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upoisreu-my.sharepoint.com/personal/minerva_grupoisr_eu/Documents/OFICINA TECNICA/PROYECTOS ABIERTOS/Ajuntament Sant Feliu de Codines_LIMPIEZA/NETEJA ESCOLA JAUME BALMES/2026/"/>
    </mc:Choice>
  </mc:AlternateContent>
  <xr:revisionPtr revIDLastSave="50" documentId="8_{6FF139BA-A846-1A4C-838E-24E4BADB3218}" xr6:coauthVersionLast="47" xr6:coauthVersionMax="47" xr10:uidLastSave="{4FEB0DE5-5AC9-704F-B2FF-82911EA2F044}"/>
  <bookViews>
    <workbookView xWindow="-20" yWindow="680" windowWidth="34200" windowHeight="19780" xr2:uid="{00000000-000D-0000-FFFF-FFFF00000000}"/>
  </bookViews>
  <sheets>
    <sheet name="Instruccions" sheetId="189" r:id="rId1"/>
    <sheet name="Inici" sheetId="27" r:id="rId2"/>
    <sheet name="1" sheetId="187" r:id="rId3"/>
    <sheet name="2" sheetId="50" r:id="rId4"/>
    <sheet name="3" sheetId="190" r:id="rId5"/>
    <sheet name="Resum Estudi" sheetId="35" r:id="rId6"/>
    <sheet name="Tablas" sheetId="39" state="hidden" r:id="rId7"/>
    <sheet name="RESUMEN RENDIMIENTOS" sheetId="40" state="hidden" r:id="rId8"/>
  </sheets>
  <definedNames>
    <definedName name="_xlnm._FilterDatabase" localSheetId="2" hidden="1">'1'!$B$7:$BA$100</definedName>
    <definedName name="_xlnm._FilterDatabase" localSheetId="3" hidden="1">'2'!$B$7:$BA$76</definedName>
    <definedName name="_xlnm._FilterDatabase" localSheetId="4" hidden="1">'3'!$B$7:$BA$76</definedName>
    <definedName name="_xlnm._FilterDatabase" localSheetId="5" hidden="1">'Resum Estudi'!$A$3:$F$21</definedName>
    <definedName name="ADRESSE">#REF!</definedName>
    <definedName name="Agence">#REF!</definedName>
    <definedName name="CA_fournitures_sanitaires" localSheetId="2">#REF!</definedName>
    <definedName name="CA_fournitures_sanitaires" localSheetId="3">#REF!</definedName>
    <definedName name="CA_fournitures_sanitaires" localSheetId="4">#REF!</definedName>
    <definedName name="CA_fournitures_sanitaires">#REF!</definedName>
    <definedName name="CA_nettoyage_des_locaux" localSheetId="2">#REF!</definedName>
    <definedName name="CA_nettoyage_des_locaux" localSheetId="3">#REF!</definedName>
    <definedName name="CA_nettoyage_des_locaux" localSheetId="4">#REF!</definedName>
    <definedName name="CA_nettoyage_des_locaux">#REF!</definedName>
    <definedName name="CA_permanence" localSheetId="2">#REF!</definedName>
    <definedName name="CA_permanence" localSheetId="3">#REF!</definedName>
    <definedName name="CA_permanence" localSheetId="4">#REF!</definedName>
    <definedName name="CA_permanence">#REF!</definedName>
    <definedName name="CA_vitrerie" localSheetId="2">#REF!</definedName>
    <definedName name="CA_vitrerie" localSheetId="3">#REF!</definedName>
    <definedName name="CA_vitrerie" localSheetId="4">#REF!</definedName>
    <definedName name="CA_vitrerie">#REF!</definedName>
    <definedName name="Categoria">#REF!</definedName>
    <definedName name="CATEGORIAS" localSheetId="7">#REF!</definedName>
    <definedName name="CATEGORIAS">#REF!</definedName>
    <definedName name="Catlaboral">#REF!</definedName>
    <definedName name="Celia">#REF!</definedName>
    <definedName name="CentrosBilbao">#REF!</definedName>
    <definedName name="Code_NAF">#REF!</definedName>
    <definedName name="CODE_POSTAL_ET_VILLE">#REF!</definedName>
    <definedName name="Duracio_de_l_amortització" localSheetId="7">#REF!</definedName>
    <definedName name="Duracio_de_l_amortització">#REF!</definedName>
    <definedName name="Durée_de_l_amortissement">#REF!</definedName>
    <definedName name="E_mail">#REF!</definedName>
    <definedName name="Fax">#REF!</definedName>
    <definedName name="Frecuencia" localSheetId="7">#REF!</definedName>
    <definedName name="Frecuencia">#REF!</definedName>
    <definedName name="Frecuencias">#REF!</definedName>
    <definedName name="Initiateur">#REF!</definedName>
    <definedName name="Interlocuteur_client">#REF!</definedName>
    <definedName name="Investissement_annuel">#REF!</definedName>
    <definedName name="Listado_Convenios">#REF!</definedName>
    <definedName name="Marge_d_exploitation_hors_CS" localSheetId="2">#REF!</definedName>
    <definedName name="Marge_d_exploitation_hors_CS" localSheetId="3">#REF!</definedName>
    <definedName name="Marge_d_exploitation_hors_CS" localSheetId="4">#REF!</definedName>
    <definedName name="Marge_d_exploitation_hors_CS">#REF!</definedName>
    <definedName name="Marge_nettoyage_des_locaux">#REF!</definedName>
    <definedName name="Marge_permanence">#REF!</definedName>
    <definedName name="Marge_vitrerie">#REF!</definedName>
    <definedName name="Masse_salariale_sur_site">#REF!</definedName>
    <definedName name="Masse_salariale_vitrerie">#REF!</definedName>
    <definedName name="Masse_salarialre_permanence">#REF!</definedName>
    <definedName name="N__SIRET">#REF!</definedName>
    <definedName name="Prestacion" localSheetId="7">#REF!</definedName>
    <definedName name="Prestacion">#REF!</definedName>
    <definedName name="Preu_unitari" localSheetId="7">#REF!</definedName>
    <definedName name="Preu_unitari">#REF!</definedName>
    <definedName name="Prix_unitaire">#REF!</definedName>
    <definedName name="RAISON_SOCIALE">#REF!</definedName>
    <definedName name="Rendimiento" localSheetId="7">#REF!</definedName>
    <definedName name="Rendimiento">#REF!</definedName>
    <definedName name="Seleccionar_Categoria">#REF!</definedName>
    <definedName name="Seleccionar_Convenio">#REF!</definedName>
    <definedName name="Surface_totale" localSheetId="2">#REF!</definedName>
    <definedName name="Surface_totale" localSheetId="3">#REF!</definedName>
    <definedName name="Surface_totale" localSheetId="4">#REF!</definedName>
    <definedName name="Surface_totale">#REF!</definedName>
    <definedName name="Téléphone">#REF!</definedName>
    <definedName name="_xlnm.Print_Titles" localSheetId="2">'1'!$1:$7</definedName>
    <definedName name="_xlnm.Print_Titles" localSheetId="3">'2'!$1:$7</definedName>
    <definedName name="_xlnm.Print_Titles" localSheetId="4">'3'!$1:$7</definedName>
    <definedName name="TOTAL" localSheetId="7">#REF!</definedName>
    <definedName name="TOTAL">#REF!</definedName>
  </definedNames>
  <calcPr calcId="191029" iterate="1" iterateCount="100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" i="50" l="1"/>
  <c r="G4" i="27"/>
  <c r="E4" i="27"/>
  <c r="AF5" i="35"/>
  <c r="AD5" i="35"/>
  <c r="H5" i="35"/>
  <c r="AX75" i="190"/>
  <c r="AU75" i="190"/>
  <c r="AR75" i="190"/>
  <c r="AO75" i="190"/>
  <c r="AL75" i="190"/>
  <c r="AI75" i="190"/>
  <c r="AF75" i="190"/>
  <c r="F75" i="190"/>
  <c r="H6" i="35" s="1"/>
  <c r="AV74" i="190"/>
  <c r="AW74" i="190" s="1"/>
  <c r="AP74" i="190"/>
  <c r="AQ74" i="190" s="1"/>
  <c r="AM74" i="190"/>
  <c r="AN74" i="190" s="1"/>
  <c r="AJ74" i="190"/>
  <c r="AK74" i="190" s="1"/>
  <c r="AG74" i="190"/>
  <c r="AH74" i="190" s="1"/>
  <c r="AE74" i="190"/>
  <c r="AC74" i="190"/>
  <c r="K74" i="190"/>
  <c r="I74" i="190"/>
  <c r="J74" i="190" s="1"/>
  <c r="X74" i="190" s="1"/>
  <c r="AV73" i="190"/>
  <c r="AW73" i="190" s="1"/>
  <c r="AP73" i="190"/>
  <c r="AQ73" i="190" s="1"/>
  <c r="AM73" i="190"/>
  <c r="AN73" i="190" s="1"/>
  <c r="AJ73" i="190"/>
  <c r="AK73" i="190" s="1"/>
  <c r="AG73" i="190"/>
  <c r="AH73" i="190" s="1"/>
  <c r="AE73" i="190"/>
  <c r="AC73" i="190"/>
  <c r="K73" i="190"/>
  <c r="J73" i="190"/>
  <c r="X73" i="190" s="1"/>
  <c r="I73" i="190"/>
  <c r="AV72" i="190"/>
  <c r="AW72" i="190" s="1"/>
  <c r="AS72" i="190"/>
  <c r="AT72" i="190" s="1"/>
  <c r="AP72" i="190"/>
  <c r="AQ72" i="190" s="1"/>
  <c r="AM72" i="190"/>
  <c r="AN72" i="190" s="1"/>
  <c r="AJ72" i="190"/>
  <c r="AK72" i="190" s="1"/>
  <c r="AG72" i="190"/>
  <c r="AH72" i="190" s="1"/>
  <c r="AE72" i="190"/>
  <c r="AC72" i="190"/>
  <c r="X72" i="190"/>
  <c r="K72" i="190"/>
  <c r="I72" i="190"/>
  <c r="J72" i="190" s="1"/>
  <c r="AV71" i="190"/>
  <c r="AW71" i="190" s="1"/>
  <c r="AP71" i="190"/>
  <c r="AQ71" i="190" s="1"/>
  <c r="AM71" i="190"/>
  <c r="AN71" i="190" s="1"/>
  <c r="AJ71" i="190"/>
  <c r="AK71" i="190" s="1"/>
  <c r="AG71" i="190"/>
  <c r="AH71" i="190" s="1"/>
  <c r="AE71" i="190"/>
  <c r="AC71" i="190"/>
  <c r="K71" i="190"/>
  <c r="I71" i="190"/>
  <c r="J71" i="190" s="1"/>
  <c r="X71" i="190" s="1"/>
  <c r="T71" i="190" s="1"/>
  <c r="AY70" i="190"/>
  <c r="AZ70" i="190" s="1"/>
  <c r="AV70" i="190"/>
  <c r="AW70" i="190" s="1"/>
  <c r="AP70" i="190"/>
  <c r="AQ70" i="190" s="1"/>
  <c r="AM70" i="190"/>
  <c r="AN70" i="190" s="1"/>
  <c r="AJ70" i="190"/>
  <c r="AK70" i="190" s="1"/>
  <c r="AG70" i="190"/>
  <c r="AH70" i="190" s="1"/>
  <c r="AE70" i="190"/>
  <c r="AC70" i="190"/>
  <c r="K70" i="190"/>
  <c r="I70" i="190"/>
  <c r="J70" i="190" s="1"/>
  <c r="X70" i="190" s="1"/>
  <c r="AV69" i="190"/>
  <c r="AW69" i="190" s="1"/>
  <c r="AP69" i="190"/>
  <c r="AQ69" i="190" s="1"/>
  <c r="AM69" i="190"/>
  <c r="AN69" i="190" s="1"/>
  <c r="AJ69" i="190"/>
  <c r="AK69" i="190" s="1"/>
  <c r="AG69" i="190"/>
  <c r="AH69" i="190" s="1"/>
  <c r="AE69" i="190"/>
  <c r="AC69" i="190"/>
  <c r="K69" i="190"/>
  <c r="I69" i="190"/>
  <c r="J69" i="190" s="1"/>
  <c r="X69" i="190" s="1"/>
  <c r="AV68" i="190"/>
  <c r="AW68" i="190" s="1"/>
  <c r="AP68" i="190"/>
  <c r="AQ68" i="190" s="1"/>
  <c r="AM68" i="190"/>
  <c r="AN68" i="190" s="1"/>
  <c r="AJ68" i="190"/>
  <c r="AK68" i="190" s="1"/>
  <c r="AG68" i="190"/>
  <c r="AH68" i="190" s="1"/>
  <c r="AE68" i="190"/>
  <c r="AC68" i="190"/>
  <c r="K68" i="190"/>
  <c r="I68" i="190"/>
  <c r="J68" i="190" s="1"/>
  <c r="X68" i="190" s="1"/>
  <c r="AV67" i="190"/>
  <c r="AW67" i="190" s="1"/>
  <c r="AP67" i="190"/>
  <c r="AQ67" i="190" s="1"/>
  <c r="AM67" i="190"/>
  <c r="AN67" i="190" s="1"/>
  <c r="AJ67" i="190"/>
  <c r="AK67" i="190" s="1"/>
  <c r="AG67" i="190"/>
  <c r="AH67" i="190" s="1"/>
  <c r="AE67" i="190"/>
  <c r="AC67" i="190"/>
  <c r="K67" i="190"/>
  <c r="I67" i="190"/>
  <c r="J67" i="190" s="1"/>
  <c r="X67" i="190" s="1"/>
  <c r="AY66" i="190"/>
  <c r="AZ66" i="190" s="1"/>
  <c r="AV66" i="190"/>
  <c r="AW66" i="190" s="1"/>
  <c r="AP66" i="190"/>
  <c r="AQ66" i="190" s="1"/>
  <c r="AM66" i="190"/>
  <c r="AN66" i="190" s="1"/>
  <c r="AJ66" i="190"/>
  <c r="AK66" i="190" s="1"/>
  <c r="AG66" i="190"/>
  <c r="AH66" i="190" s="1"/>
  <c r="AE66" i="190"/>
  <c r="AC66" i="190"/>
  <c r="T66" i="190"/>
  <c r="R66" i="190"/>
  <c r="K66" i="190"/>
  <c r="O66" i="190" s="1"/>
  <c r="I66" i="190"/>
  <c r="J66" i="190" s="1"/>
  <c r="X66" i="190" s="1"/>
  <c r="AY65" i="190"/>
  <c r="AZ65" i="190" s="1"/>
  <c r="AV65" i="190"/>
  <c r="AW65" i="190" s="1"/>
  <c r="AP65" i="190"/>
  <c r="AQ65" i="190" s="1"/>
  <c r="AM65" i="190"/>
  <c r="AN65" i="190" s="1"/>
  <c r="AJ65" i="190"/>
  <c r="AK65" i="190" s="1"/>
  <c r="AG65" i="190"/>
  <c r="AH65" i="190" s="1"/>
  <c r="AE65" i="190"/>
  <c r="AC65" i="190"/>
  <c r="K65" i="190"/>
  <c r="I65" i="190"/>
  <c r="J65" i="190" s="1"/>
  <c r="X65" i="190" s="1"/>
  <c r="AV64" i="190"/>
  <c r="AW64" i="190" s="1"/>
  <c r="AP64" i="190"/>
  <c r="AQ64" i="190" s="1"/>
  <c r="AM64" i="190"/>
  <c r="AN64" i="190" s="1"/>
  <c r="AJ64" i="190"/>
  <c r="AK64" i="190" s="1"/>
  <c r="AG64" i="190"/>
  <c r="AH64" i="190" s="1"/>
  <c r="AE64" i="190"/>
  <c r="AC64" i="190"/>
  <c r="K64" i="190"/>
  <c r="I64" i="190"/>
  <c r="J64" i="190" s="1"/>
  <c r="X64" i="190" s="1"/>
  <c r="AV63" i="190"/>
  <c r="AW63" i="190" s="1"/>
  <c r="AP63" i="190"/>
  <c r="AQ63" i="190" s="1"/>
  <c r="AM63" i="190"/>
  <c r="AN63" i="190" s="1"/>
  <c r="AJ63" i="190"/>
  <c r="AK63" i="190" s="1"/>
  <c r="AG63" i="190"/>
  <c r="AH63" i="190" s="1"/>
  <c r="AE63" i="190"/>
  <c r="AC63" i="190"/>
  <c r="K63" i="190"/>
  <c r="I63" i="190"/>
  <c r="J63" i="190" s="1"/>
  <c r="X63" i="190" s="1"/>
  <c r="AV62" i="190"/>
  <c r="AW62" i="190" s="1"/>
  <c r="AP62" i="190"/>
  <c r="AQ62" i="190" s="1"/>
  <c r="AM62" i="190"/>
  <c r="AN62" i="190" s="1"/>
  <c r="AJ62" i="190"/>
  <c r="AK62" i="190" s="1"/>
  <c r="AG62" i="190"/>
  <c r="AH62" i="190" s="1"/>
  <c r="AE62" i="190"/>
  <c r="AC62" i="190"/>
  <c r="K62" i="190"/>
  <c r="I62" i="190"/>
  <c r="J62" i="190" s="1"/>
  <c r="X62" i="190" s="1"/>
  <c r="AV61" i="190"/>
  <c r="AW61" i="190" s="1"/>
  <c r="AP61" i="190"/>
  <c r="AQ61" i="190" s="1"/>
  <c r="AM61" i="190"/>
  <c r="AN61" i="190" s="1"/>
  <c r="AJ61" i="190"/>
  <c r="AK61" i="190" s="1"/>
  <c r="AG61" i="190"/>
  <c r="AH61" i="190" s="1"/>
  <c r="AE61" i="190"/>
  <c r="AC61" i="190"/>
  <c r="K61" i="190"/>
  <c r="I61" i="190"/>
  <c r="J61" i="190" s="1"/>
  <c r="X61" i="190" s="1"/>
  <c r="T61" i="190" s="1"/>
  <c r="AV60" i="190"/>
  <c r="AW60" i="190" s="1"/>
  <c r="AP60" i="190"/>
  <c r="AQ60" i="190" s="1"/>
  <c r="AM60" i="190"/>
  <c r="AN60" i="190" s="1"/>
  <c r="AJ60" i="190"/>
  <c r="AK60" i="190" s="1"/>
  <c r="AG60" i="190"/>
  <c r="AH60" i="190" s="1"/>
  <c r="AE60" i="190"/>
  <c r="AC60" i="190"/>
  <c r="K60" i="190"/>
  <c r="I60" i="190"/>
  <c r="J60" i="190" s="1"/>
  <c r="X60" i="190" s="1"/>
  <c r="AV59" i="190"/>
  <c r="AW59" i="190" s="1"/>
  <c r="AP59" i="190"/>
  <c r="AQ59" i="190" s="1"/>
  <c r="AM59" i="190"/>
  <c r="AN59" i="190" s="1"/>
  <c r="AJ59" i="190"/>
  <c r="AK59" i="190" s="1"/>
  <c r="AG59" i="190"/>
  <c r="AH59" i="190" s="1"/>
  <c r="AE59" i="190"/>
  <c r="AC59" i="190"/>
  <c r="K59" i="190"/>
  <c r="I59" i="190"/>
  <c r="J59" i="190" s="1"/>
  <c r="X59" i="190" s="1"/>
  <c r="AV58" i="190"/>
  <c r="AW58" i="190" s="1"/>
  <c r="AP58" i="190"/>
  <c r="AQ58" i="190" s="1"/>
  <c r="AM58" i="190"/>
  <c r="AN58" i="190" s="1"/>
  <c r="AJ58" i="190"/>
  <c r="AK58" i="190" s="1"/>
  <c r="AG58" i="190"/>
  <c r="AH58" i="190" s="1"/>
  <c r="AE58" i="190"/>
  <c r="AC58" i="190"/>
  <c r="K58" i="190"/>
  <c r="I58" i="190"/>
  <c r="J58" i="190" s="1"/>
  <c r="X58" i="190" s="1"/>
  <c r="L58" i="190" s="1"/>
  <c r="AV57" i="190"/>
  <c r="AW57" i="190" s="1"/>
  <c r="AP57" i="190"/>
  <c r="AQ57" i="190" s="1"/>
  <c r="AM57" i="190"/>
  <c r="AN57" i="190" s="1"/>
  <c r="AJ57" i="190"/>
  <c r="AK57" i="190" s="1"/>
  <c r="AG57" i="190"/>
  <c r="AH57" i="190" s="1"/>
  <c r="AE57" i="190"/>
  <c r="AC57" i="190"/>
  <c r="K57" i="190"/>
  <c r="I57" i="190"/>
  <c r="J57" i="190" s="1"/>
  <c r="X57" i="190" s="1"/>
  <c r="R57" i="190" s="1"/>
  <c r="AV56" i="190"/>
  <c r="AW56" i="190" s="1"/>
  <c r="AP56" i="190"/>
  <c r="AQ56" i="190" s="1"/>
  <c r="AM56" i="190"/>
  <c r="AN56" i="190" s="1"/>
  <c r="AJ56" i="190"/>
  <c r="AK56" i="190" s="1"/>
  <c r="AG56" i="190"/>
  <c r="AH56" i="190" s="1"/>
  <c r="AE56" i="190"/>
  <c r="AC56" i="190"/>
  <c r="K56" i="190"/>
  <c r="I56" i="190"/>
  <c r="J56" i="190" s="1"/>
  <c r="X56" i="190" s="1"/>
  <c r="T56" i="190" s="1"/>
  <c r="AY55" i="190"/>
  <c r="AZ55" i="190" s="1"/>
  <c r="AV55" i="190"/>
  <c r="AW55" i="190" s="1"/>
  <c r="AP55" i="190"/>
  <c r="AQ55" i="190" s="1"/>
  <c r="AM55" i="190"/>
  <c r="AN55" i="190" s="1"/>
  <c r="AJ55" i="190"/>
  <c r="AK55" i="190" s="1"/>
  <c r="AG55" i="190"/>
  <c r="AH55" i="190" s="1"/>
  <c r="AE55" i="190"/>
  <c r="AC55" i="190"/>
  <c r="K55" i="190"/>
  <c r="I55" i="190"/>
  <c r="J55" i="190" s="1"/>
  <c r="X55" i="190" s="1"/>
  <c r="AV54" i="190"/>
  <c r="AW54" i="190" s="1"/>
  <c r="AP54" i="190"/>
  <c r="AQ54" i="190" s="1"/>
  <c r="AM54" i="190"/>
  <c r="AN54" i="190" s="1"/>
  <c r="AJ54" i="190"/>
  <c r="AK54" i="190" s="1"/>
  <c r="AG54" i="190"/>
  <c r="AH54" i="190" s="1"/>
  <c r="AE54" i="190"/>
  <c r="AC54" i="190"/>
  <c r="K54" i="190"/>
  <c r="I54" i="190"/>
  <c r="J54" i="190" s="1"/>
  <c r="X54" i="190" s="1"/>
  <c r="AV53" i="190"/>
  <c r="AW53" i="190" s="1"/>
  <c r="AP53" i="190"/>
  <c r="AQ53" i="190" s="1"/>
  <c r="AM53" i="190"/>
  <c r="AN53" i="190" s="1"/>
  <c r="AJ53" i="190"/>
  <c r="AK53" i="190" s="1"/>
  <c r="AG53" i="190"/>
  <c r="AH53" i="190" s="1"/>
  <c r="AE53" i="190"/>
  <c r="AC53" i="190"/>
  <c r="K53" i="190"/>
  <c r="I53" i="190"/>
  <c r="J53" i="190" s="1"/>
  <c r="X53" i="190" s="1"/>
  <c r="AV52" i="190"/>
  <c r="AW52" i="190" s="1"/>
  <c r="AP52" i="190"/>
  <c r="AQ52" i="190" s="1"/>
  <c r="AM52" i="190"/>
  <c r="AN52" i="190" s="1"/>
  <c r="AJ52" i="190"/>
  <c r="AK52" i="190" s="1"/>
  <c r="AG52" i="190"/>
  <c r="AH52" i="190" s="1"/>
  <c r="AE52" i="190"/>
  <c r="AC52" i="190"/>
  <c r="K52" i="190"/>
  <c r="I52" i="190"/>
  <c r="J52" i="190" s="1"/>
  <c r="X52" i="190" s="1"/>
  <c r="L52" i="190" s="1"/>
  <c r="AV51" i="190"/>
  <c r="AW51" i="190" s="1"/>
  <c r="AP51" i="190"/>
  <c r="AQ51" i="190" s="1"/>
  <c r="AM51" i="190"/>
  <c r="AN51" i="190" s="1"/>
  <c r="AJ51" i="190"/>
  <c r="AK51" i="190" s="1"/>
  <c r="AG51" i="190"/>
  <c r="AH51" i="190" s="1"/>
  <c r="AE51" i="190"/>
  <c r="AC51" i="190"/>
  <c r="K51" i="190"/>
  <c r="I51" i="190"/>
  <c r="J51" i="190" s="1"/>
  <c r="X51" i="190" s="1"/>
  <c r="AV50" i="190"/>
  <c r="AW50" i="190" s="1"/>
  <c r="AP50" i="190"/>
  <c r="AQ50" i="190" s="1"/>
  <c r="AM50" i="190"/>
  <c r="AN50" i="190" s="1"/>
  <c r="AJ50" i="190"/>
  <c r="AK50" i="190" s="1"/>
  <c r="AG50" i="190"/>
  <c r="AH50" i="190" s="1"/>
  <c r="AE50" i="190"/>
  <c r="AC50" i="190"/>
  <c r="K50" i="190"/>
  <c r="I50" i="190"/>
  <c r="J50" i="190" s="1"/>
  <c r="X50" i="190" s="1"/>
  <c r="AV49" i="190"/>
  <c r="AW49" i="190" s="1"/>
  <c r="AP49" i="190"/>
  <c r="AQ49" i="190" s="1"/>
  <c r="AM49" i="190"/>
  <c r="AN49" i="190" s="1"/>
  <c r="AJ49" i="190"/>
  <c r="AK49" i="190" s="1"/>
  <c r="AG49" i="190"/>
  <c r="AH49" i="190" s="1"/>
  <c r="AE49" i="190"/>
  <c r="AC49" i="190"/>
  <c r="K49" i="190"/>
  <c r="I49" i="190"/>
  <c r="J49" i="190" s="1"/>
  <c r="X49" i="190" s="1"/>
  <c r="AV48" i="190"/>
  <c r="AW48" i="190" s="1"/>
  <c r="AP48" i="190"/>
  <c r="AQ48" i="190" s="1"/>
  <c r="AM48" i="190"/>
  <c r="AN48" i="190" s="1"/>
  <c r="AJ48" i="190"/>
  <c r="AK48" i="190" s="1"/>
  <c r="AG48" i="190"/>
  <c r="AH48" i="190" s="1"/>
  <c r="AE48" i="190"/>
  <c r="AC48" i="190"/>
  <c r="K48" i="190"/>
  <c r="I48" i="190"/>
  <c r="J48" i="190" s="1"/>
  <c r="X48" i="190" s="1"/>
  <c r="AV47" i="190"/>
  <c r="AW47" i="190" s="1"/>
  <c r="AS47" i="190"/>
  <c r="AT47" i="190" s="1"/>
  <c r="AP47" i="190"/>
  <c r="AQ47" i="190" s="1"/>
  <c r="AM47" i="190"/>
  <c r="AN47" i="190" s="1"/>
  <c r="AJ47" i="190"/>
  <c r="AK47" i="190" s="1"/>
  <c r="AG47" i="190"/>
  <c r="AH47" i="190" s="1"/>
  <c r="AE47" i="190"/>
  <c r="AC47" i="190"/>
  <c r="K47" i="190"/>
  <c r="I47" i="190"/>
  <c r="J47" i="190" s="1"/>
  <c r="X47" i="190" s="1"/>
  <c r="AV46" i="190"/>
  <c r="AW46" i="190" s="1"/>
  <c r="AS46" i="190"/>
  <c r="AT46" i="190" s="1"/>
  <c r="AP46" i="190"/>
  <c r="AQ46" i="190" s="1"/>
  <c r="AM46" i="190"/>
  <c r="AN46" i="190" s="1"/>
  <c r="AJ46" i="190"/>
  <c r="AK46" i="190" s="1"/>
  <c r="AG46" i="190"/>
  <c r="AH46" i="190" s="1"/>
  <c r="AE46" i="190"/>
  <c r="AC46" i="190"/>
  <c r="K46" i="190"/>
  <c r="I46" i="190"/>
  <c r="J46" i="190" s="1"/>
  <c r="X46" i="190" s="1"/>
  <c r="AV45" i="190"/>
  <c r="AW45" i="190" s="1"/>
  <c r="AP45" i="190"/>
  <c r="AQ45" i="190" s="1"/>
  <c r="AM45" i="190"/>
  <c r="AN45" i="190" s="1"/>
  <c r="AJ45" i="190"/>
  <c r="AK45" i="190" s="1"/>
  <c r="AG45" i="190"/>
  <c r="AH45" i="190" s="1"/>
  <c r="AE45" i="190"/>
  <c r="AA45" i="190"/>
  <c r="K45" i="190"/>
  <c r="I45" i="190"/>
  <c r="J45" i="190" s="1"/>
  <c r="X45" i="190" s="1"/>
  <c r="AV44" i="190"/>
  <c r="AW44" i="190" s="1"/>
  <c r="AP44" i="190"/>
  <c r="AQ44" i="190" s="1"/>
  <c r="AM44" i="190"/>
  <c r="AN44" i="190" s="1"/>
  <c r="AJ44" i="190"/>
  <c r="AK44" i="190" s="1"/>
  <c r="AG44" i="190"/>
  <c r="AH44" i="190" s="1"/>
  <c r="AE44" i="190"/>
  <c r="AA44" i="190"/>
  <c r="X44" i="190"/>
  <c r="K44" i="190"/>
  <c r="I44" i="190"/>
  <c r="J44" i="190" s="1"/>
  <c r="AV43" i="190"/>
  <c r="AW43" i="190" s="1"/>
  <c r="AP43" i="190"/>
  <c r="AQ43" i="190" s="1"/>
  <c r="AM43" i="190"/>
  <c r="AN43" i="190" s="1"/>
  <c r="AJ43" i="190"/>
  <c r="AK43" i="190" s="1"/>
  <c r="AG43" i="190"/>
  <c r="AH43" i="190" s="1"/>
  <c r="AE43" i="190"/>
  <c r="AA43" i="190"/>
  <c r="K43" i="190"/>
  <c r="I43" i="190"/>
  <c r="J43" i="190" s="1"/>
  <c r="X43" i="190" s="1"/>
  <c r="AV42" i="190"/>
  <c r="AW42" i="190" s="1"/>
  <c r="AP42" i="190"/>
  <c r="AQ42" i="190" s="1"/>
  <c r="AM42" i="190"/>
  <c r="AN42" i="190" s="1"/>
  <c r="AJ42" i="190"/>
  <c r="AK42" i="190" s="1"/>
  <c r="AH42" i="190"/>
  <c r="AG42" i="190"/>
  <c r="AE42" i="190"/>
  <c r="AA42" i="190"/>
  <c r="K42" i="190"/>
  <c r="I42" i="190"/>
  <c r="J42" i="190" s="1"/>
  <c r="X42" i="190" s="1"/>
  <c r="AV41" i="190"/>
  <c r="AW41" i="190" s="1"/>
  <c r="AP41" i="190"/>
  <c r="AQ41" i="190" s="1"/>
  <c r="AM41" i="190"/>
  <c r="AN41" i="190" s="1"/>
  <c r="AJ41" i="190"/>
  <c r="AK41" i="190" s="1"/>
  <c r="AH41" i="190"/>
  <c r="AG41" i="190"/>
  <c r="AE41" i="190"/>
  <c r="AA41" i="190"/>
  <c r="K41" i="190"/>
  <c r="I41" i="190"/>
  <c r="J41" i="190" s="1"/>
  <c r="X41" i="190" s="1"/>
  <c r="AV40" i="190"/>
  <c r="AW40" i="190" s="1"/>
  <c r="AP40" i="190"/>
  <c r="AQ40" i="190" s="1"/>
  <c r="AM40" i="190"/>
  <c r="AN40" i="190" s="1"/>
  <c r="AJ40" i="190"/>
  <c r="AK40" i="190" s="1"/>
  <c r="AG40" i="190"/>
  <c r="AH40" i="190" s="1"/>
  <c r="AE40" i="190"/>
  <c r="AA40" i="190"/>
  <c r="K40" i="190"/>
  <c r="I40" i="190"/>
  <c r="J40" i="190" s="1"/>
  <c r="X40" i="190" s="1"/>
  <c r="AV39" i="190"/>
  <c r="AW39" i="190" s="1"/>
  <c r="AP39" i="190"/>
  <c r="AQ39" i="190" s="1"/>
  <c r="AM39" i="190"/>
  <c r="AN39" i="190" s="1"/>
  <c r="AJ39" i="190"/>
  <c r="AK39" i="190" s="1"/>
  <c r="AG39" i="190"/>
  <c r="AH39" i="190" s="1"/>
  <c r="AE39" i="190"/>
  <c r="AA39" i="190"/>
  <c r="K39" i="190"/>
  <c r="I39" i="190"/>
  <c r="J39" i="190" s="1"/>
  <c r="X39" i="190" s="1"/>
  <c r="T39" i="190" s="1"/>
  <c r="AV38" i="190"/>
  <c r="AW38" i="190" s="1"/>
  <c r="AP38" i="190"/>
  <c r="AQ38" i="190" s="1"/>
  <c r="AM38" i="190"/>
  <c r="AN38" i="190" s="1"/>
  <c r="AJ38" i="190"/>
  <c r="AK38" i="190" s="1"/>
  <c r="AG38" i="190"/>
  <c r="AH38" i="190" s="1"/>
  <c r="AE38" i="190"/>
  <c r="AA38" i="190"/>
  <c r="K38" i="190"/>
  <c r="I38" i="190"/>
  <c r="J38" i="190" s="1"/>
  <c r="X38" i="190" s="1"/>
  <c r="R38" i="190" s="1"/>
  <c r="AV37" i="190"/>
  <c r="AW37" i="190" s="1"/>
  <c r="AS37" i="190"/>
  <c r="AT37" i="190" s="1"/>
  <c r="AP37" i="190"/>
  <c r="AQ37" i="190" s="1"/>
  <c r="AM37" i="190"/>
  <c r="AN37" i="190" s="1"/>
  <c r="AJ37" i="190"/>
  <c r="AK37" i="190" s="1"/>
  <c r="AG37" i="190"/>
  <c r="AH37" i="190" s="1"/>
  <c r="AE37" i="190"/>
  <c r="AA37" i="190"/>
  <c r="K37" i="190"/>
  <c r="I37" i="190"/>
  <c r="J37" i="190" s="1"/>
  <c r="X37" i="190" s="1"/>
  <c r="AV36" i="190"/>
  <c r="AW36" i="190" s="1"/>
  <c r="AS36" i="190"/>
  <c r="AT36" i="190" s="1"/>
  <c r="AP36" i="190"/>
  <c r="AQ36" i="190" s="1"/>
  <c r="AM36" i="190"/>
  <c r="AN36" i="190" s="1"/>
  <c r="AJ36" i="190"/>
  <c r="AK36" i="190" s="1"/>
  <c r="AG36" i="190"/>
  <c r="AH36" i="190" s="1"/>
  <c r="AE36" i="190"/>
  <c r="AA36" i="190"/>
  <c r="K36" i="190"/>
  <c r="I36" i="190"/>
  <c r="J36" i="190" s="1"/>
  <c r="X36" i="190" s="1"/>
  <c r="AY35" i="190"/>
  <c r="AZ35" i="190" s="1"/>
  <c r="AV35" i="190"/>
  <c r="AW35" i="190" s="1"/>
  <c r="AP35" i="190"/>
  <c r="AQ35" i="190" s="1"/>
  <c r="AM35" i="190"/>
  <c r="AN35" i="190" s="1"/>
  <c r="AJ35" i="190"/>
  <c r="AK35" i="190" s="1"/>
  <c r="AG35" i="190"/>
  <c r="AH35" i="190" s="1"/>
  <c r="AE35" i="190"/>
  <c r="AA35" i="190"/>
  <c r="K35" i="190"/>
  <c r="I35" i="190"/>
  <c r="J35" i="190" s="1"/>
  <c r="X35" i="190" s="1"/>
  <c r="AY34" i="190"/>
  <c r="AZ34" i="190" s="1"/>
  <c r="AV34" i="190"/>
  <c r="AW34" i="190" s="1"/>
  <c r="AP34" i="190"/>
  <c r="AQ34" i="190" s="1"/>
  <c r="AM34" i="190"/>
  <c r="AN34" i="190" s="1"/>
  <c r="AJ34" i="190"/>
  <c r="AK34" i="190" s="1"/>
  <c r="AG34" i="190"/>
  <c r="AH34" i="190" s="1"/>
  <c r="AE34" i="190"/>
  <c r="AA34" i="190"/>
  <c r="K34" i="190"/>
  <c r="I34" i="190"/>
  <c r="J34" i="190" s="1"/>
  <c r="X34" i="190" s="1"/>
  <c r="T34" i="190" s="1"/>
  <c r="AV33" i="190"/>
  <c r="AW33" i="190" s="1"/>
  <c r="AS33" i="190"/>
  <c r="AT33" i="190" s="1"/>
  <c r="AP33" i="190"/>
  <c r="AQ33" i="190" s="1"/>
  <c r="AM33" i="190"/>
  <c r="AN33" i="190" s="1"/>
  <c r="AJ33" i="190"/>
  <c r="AK33" i="190" s="1"/>
  <c r="AG33" i="190"/>
  <c r="AH33" i="190" s="1"/>
  <c r="AE33" i="190"/>
  <c r="AA33" i="190"/>
  <c r="K33" i="190"/>
  <c r="I33" i="190"/>
  <c r="J33" i="190" s="1"/>
  <c r="X33" i="190" s="1"/>
  <c r="AY32" i="190"/>
  <c r="AZ32" i="190" s="1"/>
  <c r="AV32" i="190"/>
  <c r="AW32" i="190" s="1"/>
  <c r="AP32" i="190"/>
  <c r="AQ32" i="190" s="1"/>
  <c r="AM32" i="190"/>
  <c r="AN32" i="190" s="1"/>
  <c r="AJ32" i="190"/>
  <c r="AK32" i="190" s="1"/>
  <c r="AG32" i="190"/>
  <c r="AH32" i="190" s="1"/>
  <c r="AE32" i="190"/>
  <c r="AA32" i="190"/>
  <c r="K32" i="190"/>
  <c r="I32" i="190"/>
  <c r="J32" i="190" s="1"/>
  <c r="X32" i="190" s="1"/>
  <c r="L32" i="190" s="1"/>
  <c r="AV31" i="190"/>
  <c r="AW31" i="190" s="1"/>
  <c r="AS31" i="190"/>
  <c r="AT31" i="190" s="1"/>
  <c r="AP31" i="190"/>
  <c r="AQ31" i="190" s="1"/>
  <c r="AM31" i="190"/>
  <c r="AN31" i="190" s="1"/>
  <c r="AJ31" i="190"/>
  <c r="AK31" i="190" s="1"/>
  <c r="AG31" i="190"/>
  <c r="AH31" i="190" s="1"/>
  <c r="AE31" i="190"/>
  <c r="AA31" i="190"/>
  <c r="K31" i="190"/>
  <c r="I31" i="190"/>
  <c r="J31" i="190" s="1"/>
  <c r="X31" i="190" s="1"/>
  <c r="AY30" i="190"/>
  <c r="AZ30" i="190" s="1"/>
  <c r="AV30" i="190"/>
  <c r="AW30" i="190" s="1"/>
  <c r="AP30" i="190"/>
  <c r="AQ30" i="190" s="1"/>
  <c r="AM30" i="190"/>
  <c r="AN30" i="190" s="1"/>
  <c r="AJ30" i="190"/>
  <c r="AK30" i="190" s="1"/>
  <c r="AG30" i="190"/>
  <c r="AH30" i="190" s="1"/>
  <c r="AE30" i="190"/>
  <c r="AA30" i="190"/>
  <c r="K30" i="190"/>
  <c r="I30" i="190"/>
  <c r="J30" i="190" s="1"/>
  <c r="X30" i="190" s="1"/>
  <c r="AV29" i="190"/>
  <c r="AW29" i="190" s="1"/>
  <c r="AP29" i="190"/>
  <c r="AQ29" i="190" s="1"/>
  <c r="AM29" i="190"/>
  <c r="AN29" i="190" s="1"/>
  <c r="AJ29" i="190"/>
  <c r="AK29" i="190" s="1"/>
  <c r="AG29" i="190"/>
  <c r="AH29" i="190" s="1"/>
  <c r="AE29" i="190"/>
  <c r="AA29" i="190"/>
  <c r="K29" i="190"/>
  <c r="I29" i="190"/>
  <c r="J29" i="190" s="1"/>
  <c r="X29" i="190" s="1"/>
  <c r="AV28" i="190"/>
  <c r="AW28" i="190" s="1"/>
  <c r="AS28" i="190"/>
  <c r="AT28" i="190" s="1"/>
  <c r="AP28" i="190"/>
  <c r="AQ28" i="190" s="1"/>
  <c r="AM28" i="190"/>
  <c r="AN28" i="190" s="1"/>
  <c r="AJ28" i="190"/>
  <c r="AK28" i="190" s="1"/>
  <c r="AG28" i="190"/>
  <c r="AH28" i="190" s="1"/>
  <c r="AE28" i="190"/>
  <c r="AA28" i="190"/>
  <c r="K28" i="190"/>
  <c r="I28" i="190"/>
  <c r="J28" i="190" s="1"/>
  <c r="X28" i="190" s="1"/>
  <c r="AV27" i="190"/>
  <c r="AW27" i="190" s="1"/>
  <c r="AP27" i="190"/>
  <c r="AQ27" i="190" s="1"/>
  <c r="AM27" i="190"/>
  <c r="AN27" i="190" s="1"/>
  <c r="AJ27" i="190"/>
  <c r="AK27" i="190" s="1"/>
  <c r="AG27" i="190"/>
  <c r="AH27" i="190" s="1"/>
  <c r="AE27" i="190"/>
  <c r="AA27" i="190"/>
  <c r="K27" i="190"/>
  <c r="I27" i="190"/>
  <c r="J27" i="190" s="1"/>
  <c r="X27" i="190" s="1"/>
  <c r="AV26" i="190"/>
  <c r="AW26" i="190" s="1"/>
  <c r="AS26" i="190"/>
  <c r="AT26" i="190" s="1"/>
  <c r="AP26" i="190"/>
  <c r="AQ26" i="190" s="1"/>
  <c r="AM26" i="190"/>
  <c r="AN26" i="190" s="1"/>
  <c r="AJ26" i="190"/>
  <c r="AK26" i="190" s="1"/>
  <c r="AG26" i="190"/>
  <c r="AH26" i="190" s="1"/>
  <c r="AE26" i="190"/>
  <c r="AA26" i="190"/>
  <c r="K26" i="190"/>
  <c r="I26" i="190"/>
  <c r="J26" i="190" s="1"/>
  <c r="X26" i="190" s="1"/>
  <c r="AV25" i="190"/>
  <c r="AW25" i="190" s="1"/>
  <c r="AP25" i="190"/>
  <c r="AQ25" i="190" s="1"/>
  <c r="AM25" i="190"/>
  <c r="AN25" i="190" s="1"/>
  <c r="AJ25" i="190"/>
  <c r="AK25" i="190" s="1"/>
  <c r="AG25" i="190"/>
  <c r="AH25" i="190" s="1"/>
  <c r="AE25" i="190"/>
  <c r="AA25" i="190"/>
  <c r="K25" i="190"/>
  <c r="I25" i="190"/>
  <c r="J25" i="190" s="1"/>
  <c r="X25" i="190" s="1"/>
  <c r="M25" i="190" s="1"/>
  <c r="AV24" i="190"/>
  <c r="AW24" i="190" s="1"/>
  <c r="AP24" i="190"/>
  <c r="AQ24" i="190" s="1"/>
  <c r="AM24" i="190"/>
  <c r="AN24" i="190" s="1"/>
  <c r="AJ24" i="190"/>
  <c r="AK24" i="190" s="1"/>
  <c r="AG24" i="190"/>
  <c r="AH24" i="190" s="1"/>
  <c r="AE24" i="190"/>
  <c r="AA24" i="190"/>
  <c r="K24" i="190"/>
  <c r="I24" i="190"/>
  <c r="J24" i="190" s="1"/>
  <c r="X24" i="190" s="1"/>
  <c r="AV23" i="190"/>
  <c r="AW23" i="190" s="1"/>
  <c r="AP23" i="190"/>
  <c r="AQ23" i="190" s="1"/>
  <c r="AM23" i="190"/>
  <c r="AN23" i="190" s="1"/>
  <c r="AJ23" i="190"/>
  <c r="AK23" i="190" s="1"/>
  <c r="AG23" i="190"/>
  <c r="AH23" i="190" s="1"/>
  <c r="AE23" i="190"/>
  <c r="AA23" i="190"/>
  <c r="K23" i="190"/>
  <c r="I23" i="190"/>
  <c r="J23" i="190" s="1"/>
  <c r="X23" i="190" s="1"/>
  <c r="AV22" i="190"/>
  <c r="AW22" i="190" s="1"/>
  <c r="AS22" i="190"/>
  <c r="AT22" i="190" s="1"/>
  <c r="AP22" i="190"/>
  <c r="AQ22" i="190" s="1"/>
  <c r="AM22" i="190"/>
  <c r="AN22" i="190" s="1"/>
  <c r="AJ22" i="190"/>
  <c r="AK22" i="190" s="1"/>
  <c r="AG22" i="190"/>
  <c r="AH22" i="190" s="1"/>
  <c r="AE22" i="190"/>
  <c r="AA22" i="190"/>
  <c r="K22" i="190"/>
  <c r="I22" i="190"/>
  <c r="J22" i="190" s="1"/>
  <c r="X22" i="190" s="1"/>
  <c r="AY21" i="190"/>
  <c r="AZ21" i="190" s="1"/>
  <c r="AV21" i="190"/>
  <c r="AW21" i="190" s="1"/>
  <c r="AP21" i="190"/>
  <c r="AQ21" i="190" s="1"/>
  <c r="AM21" i="190"/>
  <c r="AN21" i="190" s="1"/>
  <c r="AJ21" i="190"/>
  <c r="AK21" i="190" s="1"/>
  <c r="AG21" i="190"/>
  <c r="AH21" i="190" s="1"/>
  <c r="AE21" i="190"/>
  <c r="AA21" i="190"/>
  <c r="K21" i="190"/>
  <c r="I21" i="190"/>
  <c r="J21" i="190" s="1"/>
  <c r="X21" i="190" s="1"/>
  <c r="AV20" i="190"/>
  <c r="AW20" i="190" s="1"/>
  <c r="AP20" i="190"/>
  <c r="AQ20" i="190" s="1"/>
  <c r="AM20" i="190"/>
  <c r="AN20" i="190" s="1"/>
  <c r="AJ20" i="190"/>
  <c r="AK20" i="190" s="1"/>
  <c r="AG20" i="190"/>
  <c r="AH20" i="190" s="1"/>
  <c r="AE20" i="190"/>
  <c r="AA20" i="190"/>
  <c r="K20" i="190"/>
  <c r="I20" i="190"/>
  <c r="J20" i="190" s="1"/>
  <c r="X20" i="190" s="1"/>
  <c r="AV19" i="190"/>
  <c r="AW19" i="190" s="1"/>
  <c r="AP19" i="190"/>
  <c r="AQ19" i="190" s="1"/>
  <c r="AM19" i="190"/>
  <c r="AN19" i="190" s="1"/>
  <c r="AJ19" i="190"/>
  <c r="AK19" i="190" s="1"/>
  <c r="AG19" i="190"/>
  <c r="AH19" i="190" s="1"/>
  <c r="AE19" i="190"/>
  <c r="AA19" i="190"/>
  <c r="K19" i="190"/>
  <c r="I19" i="190"/>
  <c r="J19" i="190" s="1"/>
  <c r="X19" i="190" s="1"/>
  <c r="AV18" i="190"/>
  <c r="AW18" i="190" s="1"/>
  <c r="AP18" i="190"/>
  <c r="AQ18" i="190" s="1"/>
  <c r="AM18" i="190"/>
  <c r="AN18" i="190" s="1"/>
  <c r="AJ18" i="190"/>
  <c r="AK18" i="190" s="1"/>
  <c r="AG18" i="190"/>
  <c r="AH18" i="190" s="1"/>
  <c r="AE18" i="190"/>
  <c r="AA18" i="190"/>
  <c r="K18" i="190"/>
  <c r="I18" i="190"/>
  <c r="J18" i="190" s="1"/>
  <c r="X18" i="190" s="1"/>
  <c r="AZ17" i="190"/>
  <c r="AY17" i="190"/>
  <c r="AV17" i="190"/>
  <c r="AW17" i="190" s="1"/>
  <c r="AP17" i="190"/>
  <c r="AQ17" i="190" s="1"/>
  <c r="AM17" i="190"/>
  <c r="AN17" i="190" s="1"/>
  <c r="AJ17" i="190"/>
  <c r="AK17" i="190" s="1"/>
  <c r="AG17" i="190"/>
  <c r="AH17" i="190" s="1"/>
  <c r="AE17" i="190"/>
  <c r="AA17" i="190"/>
  <c r="K17" i="190"/>
  <c r="I17" i="190"/>
  <c r="J17" i="190" s="1"/>
  <c r="X17" i="190" s="1"/>
  <c r="AV16" i="190"/>
  <c r="AW16" i="190" s="1"/>
  <c r="AS16" i="190"/>
  <c r="AT16" i="190" s="1"/>
  <c r="AP16" i="190"/>
  <c r="AQ16" i="190" s="1"/>
  <c r="AM16" i="190"/>
  <c r="AN16" i="190" s="1"/>
  <c r="AJ16" i="190"/>
  <c r="AK16" i="190" s="1"/>
  <c r="AG16" i="190"/>
  <c r="AH16" i="190" s="1"/>
  <c r="AE16" i="190"/>
  <c r="AA16" i="190"/>
  <c r="K16" i="190"/>
  <c r="I16" i="190"/>
  <c r="J16" i="190" s="1"/>
  <c r="X16" i="190" s="1"/>
  <c r="AV15" i="190"/>
  <c r="AW15" i="190" s="1"/>
  <c r="AP15" i="190"/>
  <c r="AQ15" i="190" s="1"/>
  <c r="AM15" i="190"/>
  <c r="AN15" i="190" s="1"/>
  <c r="AJ15" i="190"/>
  <c r="AK15" i="190" s="1"/>
  <c r="AG15" i="190"/>
  <c r="AH15" i="190" s="1"/>
  <c r="AE15" i="190"/>
  <c r="AA15" i="190"/>
  <c r="K15" i="190"/>
  <c r="I15" i="190"/>
  <c r="J15" i="190" s="1"/>
  <c r="X15" i="190" s="1"/>
  <c r="AV14" i="190"/>
  <c r="AW14" i="190" s="1"/>
  <c r="AP14" i="190"/>
  <c r="AQ14" i="190" s="1"/>
  <c r="AM14" i="190"/>
  <c r="AN14" i="190" s="1"/>
  <c r="AJ14" i="190"/>
  <c r="AK14" i="190" s="1"/>
  <c r="AG14" i="190"/>
  <c r="AH14" i="190" s="1"/>
  <c r="AE14" i="190"/>
  <c r="AA14" i="190"/>
  <c r="K14" i="190"/>
  <c r="I14" i="190"/>
  <c r="J14" i="190" s="1"/>
  <c r="X14" i="190" s="1"/>
  <c r="AV13" i="190"/>
  <c r="AW13" i="190" s="1"/>
  <c r="AP13" i="190"/>
  <c r="AQ13" i="190" s="1"/>
  <c r="AM13" i="190"/>
  <c r="AN13" i="190" s="1"/>
  <c r="AJ13" i="190"/>
  <c r="AK13" i="190" s="1"/>
  <c r="AH13" i="190"/>
  <c r="AG13" i="190"/>
  <c r="AE13" i="190"/>
  <c r="AA13" i="190"/>
  <c r="K13" i="190"/>
  <c r="I13" i="190"/>
  <c r="J13" i="190" s="1"/>
  <c r="X13" i="190" s="1"/>
  <c r="AY12" i="190"/>
  <c r="AZ12" i="190" s="1"/>
  <c r="AV12" i="190"/>
  <c r="AW12" i="190" s="1"/>
  <c r="AP12" i="190"/>
  <c r="AQ12" i="190" s="1"/>
  <c r="AM12" i="190"/>
  <c r="AN12" i="190" s="1"/>
  <c r="AJ12" i="190"/>
  <c r="AK12" i="190" s="1"/>
  <c r="AG12" i="190"/>
  <c r="AH12" i="190" s="1"/>
  <c r="AE12" i="190"/>
  <c r="AA12" i="190"/>
  <c r="K12" i="190"/>
  <c r="I12" i="190"/>
  <c r="J12" i="190" s="1"/>
  <c r="X12" i="190" s="1"/>
  <c r="AY11" i="190"/>
  <c r="AZ11" i="190" s="1"/>
  <c r="AV11" i="190"/>
  <c r="AW11" i="190" s="1"/>
  <c r="AP11" i="190"/>
  <c r="AQ11" i="190" s="1"/>
  <c r="AM11" i="190"/>
  <c r="AN11" i="190" s="1"/>
  <c r="AJ11" i="190"/>
  <c r="AK11" i="190" s="1"/>
  <c r="AG11" i="190"/>
  <c r="AH11" i="190" s="1"/>
  <c r="AE11" i="190"/>
  <c r="AA11" i="190"/>
  <c r="K11" i="190"/>
  <c r="I11" i="190"/>
  <c r="J11" i="190" s="1"/>
  <c r="X11" i="190" s="1"/>
  <c r="AY10" i="190"/>
  <c r="AZ10" i="190" s="1"/>
  <c r="AV10" i="190"/>
  <c r="AW10" i="190" s="1"/>
  <c r="AP10" i="190"/>
  <c r="AQ10" i="190" s="1"/>
  <c r="AM10" i="190"/>
  <c r="AN10" i="190" s="1"/>
  <c r="AJ10" i="190"/>
  <c r="AK10" i="190" s="1"/>
  <c r="AG10" i="190"/>
  <c r="AH10" i="190" s="1"/>
  <c r="AE10" i="190"/>
  <c r="AA10" i="190"/>
  <c r="K10" i="190"/>
  <c r="I10" i="190"/>
  <c r="J10" i="190" s="1"/>
  <c r="X10" i="190" s="1"/>
  <c r="AY9" i="190"/>
  <c r="AZ9" i="190" s="1"/>
  <c r="AV9" i="190"/>
  <c r="AW9" i="190" s="1"/>
  <c r="AS9" i="190"/>
  <c r="AT9" i="190" s="1"/>
  <c r="AP9" i="190"/>
  <c r="AQ9" i="190" s="1"/>
  <c r="AM9" i="190"/>
  <c r="AN9" i="190" s="1"/>
  <c r="AJ9" i="190"/>
  <c r="AK9" i="190" s="1"/>
  <c r="AG9" i="190"/>
  <c r="AH9" i="190" s="1"/>
  <c r="AE9" i="190"/>
  <c r="AA9" i="190"/>
  <c r="K9" i="190"/>
  <c r="I9" i="190"/>
  <c r="J9" i="190" s="1"/>
  <c r="X9" i="190" s="1"/>
  <c r="R9" i="190" s="1"/>
  <c r="AV8" i="190"/>
  <c r="AW8" i="190" s="1"/>
  <c r="AS8" i="190"/>
  <c r="AT8" i="190" s="1"/>
  <c r="AP8" i="190"/>
  <c r="AQ8" i="190" s="1"/>
  <c r="AM8" i="190"/>
  <c r="AN8" i="190" s="1"/>
  <c r="AJ8" i="190"/>
  <c r="AK8" i="190" s="1"/>
  <c r="AG8" i="190"/>
  <c r="AH8" i="190" s="1"/>
  <c r="AE8" i="190"/>
  <c r="AA8" i="190"/>
  <c r="K8" i="190"/>
  <c r="I8" i="190"/>
  <c r="J8" i="190" s="1"/>
  <c r="X8" i="190" s="1"/>
  <c r="AZ4" i="190"/>
  <c r="AY60" i="190" s="1"/>
  <c r="AZ60" i="190" s="1"/>
  <c r="AT4" i="190"/>
  <c r="W4" i="190"/>
  <c r="S4" i="190"/>
  <c r="Q4" i="190"/>
  <c r="B3" i="190"/>
  <c r="U1" i="190"/>
  <c r="E1" i="190"/>
  <c r="AU13" i="187"/>
  <c r="AG13" i="187"/>
  <c r="AH13" i="187" s="1"/>
  <c r="AJ13" i="187"/>
  <c r="AK13" i="187" s="1"/>
  <c r="AM13" i="187"/>
  <c r="AN13" i="187" s="1"/>
  <c r="AG14" i="187"/>
  <c r="AH14" i="187" s="1"/>
  <c r="AJ14" i="187"/>
  <c r="AK14" i="187" s="1"/>
  <c r="AM14" i="187"/>
  <c r="AN14" i="187" s="1"/>
  <c r="AG15" i="187"/>
  <c r="AH15" i="187" s="1"/>
  <c r="AJ15" i="187"/>
  <c r="AK15" i="187" s="1"/>
  <c r="AM15" i="187"/>
  <c r="AN15" i="187" s="1"/>
  <c r="AG16" i="187"/>
  <c r="AH16" i="187" s="1"/>
  <c r="AJ16" i="187"/>
  <c r="AK16" i="187" s="1"/>
  <c r="AM16" i="187"/>
  <c r="AN16" i="187" s="1"/>
  <c r="AG17" i="187"/>
  <c r="AH17" i="187" s="1"/>
  <c r="AJ17" i="187"/>
  <c r="AK17" i="187" s="1"/>
  <c r="AM17" i="187"/>
  <c r="AN17" i="187" s="1"/>
  <c r="AG18" i="187"/>
  <c r="AH18" i="187" s="1"/>
  <c r="AJ18" i="187"/>
  <c r="AK18" i="187"/>
  <c r="AM18" i="187"/>
  <c r="AN18" i="187" s="1"/>
  <c r="AG19" i="187"/>
  <c r="AH19" i="187" s="1"/>
  <c r="AJ19" i="187"/>
  <c r="AK19" i="187" s="1"/>
  <c r="AM19" i="187"/>
  <c r="AN19" i="187" s="1"/>
  <c r="AG20" i="187"/>
  <c r="AH20" i="187" s="1"/>
  <c r="AJ20" i="187"/>
  <c r="AK20" i="187" s="1"/>
  <c r="AM20" i="187"/>
  <c r="AN20" i="187"/>
  <c r="AG21" i="187"/>
  <c r="AH21" i="187" s="1"/>
  <c r="AJ21" i="187"/>
  <c r="AK21" i="187" s="1"/>
  <c r="AM21" i="187"/>
  <c r="AN21" i="187" s="1"/>
  <c r="AG22" i="187"/>
  <c r="AH22" i="187" s="1"/>
  <c r="AJ22" i="187"/>
  <c r="AK22" i="187" s="1"/>
  <c r="AM22" i="187"/>
  <c r="AN22" i="187" s="1"/>
  <c r="AG23" i="187"/>
  <c r="AH23" i="187" s="1"/>
  <c r="AJ23" i="187"/>
  <c r="AK23" i="187" s="1"/>
  <c r="AM23" i="187"/>
  <c r="AN23" i="187" s="1"/>
  <c r="AG24" i="187"/>
  <c r="AH24" i="187" s="1"/>
  <c r="AJ24" i="187"/>
  <c r="AK24" i="187" s="1"/>
  <c r="AM24" i="187"/>
  <c r="AN24" i="187" s="1"/>
  <c r="AG25" i="187"/>
  <c r="AH25" i="187" s="1"/>
  <c r="AJ25" i="187"/>
  <c r="AK25" i="187" s="1"/>
  <c r="AM25" i="187"/>
  <c r="AN25" i="187"/>
  <c r="AG26" i="187"/>
  <c r="AH26" i="187" s="1"/>
  <c r="AJ26" i="187"/>
  <c r="AK26" i="187" s="1"/>
  <c r="AM26" i="187"/>
  <c r="AN26" i="187" s="1"/>
  <c r="AG27" i="187"/>
  <c r="AH27" i="187" s="1"/>
  <c r="AJ27" i="187"/>
  <c r="AK27" i="187" s="1"/>
  <c r="AM27" i="187"/>
  <c r="AN27" i="187" s="1"/>
  <c r="AG28" i="187"/>
  <c r="AH28" i="187" s="1"/>
  <c r="AJ28" i="187"/>
  <c r="AK28" i="187" s="1"/>
  <c r="AM28" i="187"/>
  <c r="AN28" i="187" s="1"/>
  <c r="AG29" i="187"/>
  <c r="AH29" i="187" s="1"/>
  <c r="AJ29" i="187"/>
  <c r="AK29" i="187" s="1"/>
  <c r="AM29" i="187"/>
  <c r="AN29" i="187" s="1"/>
  <c r="AG30" i="187"/>
  <c r="AH30" i="187" s="1"/>
  <c r="AJ30" i="187"/>
  <c r="AK30" i="187" s="1"/>
  <c r="AM30" i="187"/>
  <c r="AN30" i="187" s="1"/>
  <c r="AG31" i="187"/>
  <c r="AH31" i="187" s="1"/>
  <c r="AJ31" i="187"/>
  <c r="AK31" i="187" s="1"/>
  <c r="AM31" i="187"/>
  <c r="AN31" i="187" s="1"/>
  <c r="AG32" i="187"/>
  <c r="AH32" i="187" s="1"/>
  <c r="AJ32" i="187"/>
  <c r="AK32" i="187" s="1"/>
  <c r="AM32" i="187"/>
  <c r="AN32" i="187" s="1"/>
  <c r="AG33" i="187"/>
  <c r="AH33" i="187" s="1"/>
  <c r="AJ33" i="187"/>
  <c r="AK33" i="187" s="1"/>
  <c r="AM33" i="187"/>
  <c r="AN33" i="187" s="1"/>
  <c r="AG34" i="187"/>
  <c r="AH34" i="187" s="1"/>
  <c r="AJ34" i="187"/>
  <c r="AK34" i="187" s="1"/>
  <c r="AM34" i="187"/>
  <c r="AN34" i="187" s="1"/>
  <c r="AG35" i="187"/>
  <c r="AH35" i="187" s="1"/>
  <c r="AJ35" i="187"/>
  <c r="AK35" i="187" s="1"/>
  <c r="AM35" i="187"/>
  <c r="AN35" i="187" s="1"/>
  <c r="AG36" i="187"/>
  <c r="AH36" i="187" s="1"/>
  <c r="AJ36" i="187"/>
  <c r="AK36" i="187" s="1"/>
  <c r="AM36" i="187"/>
  <c r="AN36" i="187" s="1"/>
  <c r="AG37" i="187"/>
  <c r="AH37" i="187" s="1"/>
  <c r="AJ37" i="187"/>
  <c r="AK37" i="187" s="1"/>
  <c r="AM37" i="187"/>
  <c r="AN37" i="187" s="1"/>
  <c r="AG38" i="187"/>
  <c r="AH38" i="187" s="1"/>
  <c r="AJ38" i="187"/>
  <c r="AK38" i="187" s="1"/>
  <c r="AM38" i="187"/>
  <c r="AN38" i="187" s="1"/>
  <c r="AG39" i="187"/>
  <c r="AH39" i="187" s="1"/>
  <c r="AJ39" i="187"/>
  <c r="AK39" i="187"/>
  <c r="AM39" i="187"/>
  <c r="AN39" i="187" s="1"/>
  <c r="AG40" i="187"/>
  <c r="AH40" i="187" s="1"/>
  <c r="AJ40" i="187"/>
  <c r="AK40" i="187" s="1"/>
  <c r="AM40" i="187"/>
  <c r="AN40" i="187" s="1"/>
  <c r="AG41" i="187"/>
  <c r="AH41" i="187" s="1"/>
  <c r="AJ41" i="187"/>
  <c r="AK41" i="187" s="1"/>
  <c r="AM41" i="187"/>
  <c r="AN41" i="187" s="1"/>
  <c r="AG42" i="187"/>
  <c r="AH42" i="187" s="1"/>
  <c r="AJ42" i="187"/>
  <c r="AK42" i="187" s="1"/>
  <c r="AM42" i="187"/>
  <c r="AN42" i="187" s="1"/>
  <c r="AG43" i="187"/>
  <c r="AH43" i="187" s="1"/>
  <c r="AJ43" i="187"/>
  <c r="AK43" i="187" s="1"/>
  <c r="AM43" i="187"/>
  <c r="AN43" i="187" s="1"/>
  <c r="AG44" i="187"/>
  <c r="AH44" i="187" s="1"/>
  <c r="AJ44" i="187"/>
  <c r="AK44" i="187" s="1"/>
  <c r="AM44" i="187"/>
  <c r="AN44" i="187" s="1"/>
  <c r="AG45" i="187"/>
  <c r="AH45" i="187" s="1"/>
  <c r="AJ45" i="187"/>
  <c r="AK45" i="187" s="1"/>
  <c r="AM45" i="187"/>
  <c r="AN45" i="187" s="1"/>
  <c r="AG46" i="187"/>
  <c r="AH46" i="187" s="1"/>
  <c r="AJ46" i="187"/>
  <c r="AK46" i="187" s="1"/>
  <c r="AM46" i="187"/>
  <c r="AN46" i="187" s="1"/>
  <c r="AG47" i="187"/>
  <c r="AH47" i="187" s="1"/>
  <c r="AJ47" i="187"/>
  <c r="AK47" i="187" s="1"/>
  <c r="AM47" i="187"/>
  <c r="AN47" i="187" s="1"/>
  <c r="AG48" i="187"/>
  <c r="AH48" i="187" s="1"/>
  <c r="AJ48" i="187"/>
  <c r="AK48" i="187" s="1"/>
  <c r="AM48" i="187"/>
  <c r="AN48" i="187" s="1"/>
  <c r="AG49" i="187"/>
  <c r="AH49" i="187" s="1"/>
  <c r="AJ49" i="187"/>
  <c r="AK49" i="187" s="1"/>
  <c r="AM49" i="187"/>
  <c r="AN49" i="187" s="1"/>
  <c r="AG50" i="187"/>
  <c r="AH50" i="187" s="1"/>
  <c r="AJ50" i="187"/>
  <c r="AK50" i="187" s="1"/>
  <c r="AM50" i="187"/>
  <c r="AN50" i="187" s="1"/>
  <c r="AG51" i="187"/>
  <c r="AH51" i="187" s="1"/>
  <c r="AJ51" i="187"/>
  <c r="AK51" i="187" s="1"/>
  <c r="AM51" i="187"/>
  <c r="AN51" i="187"/>
  <c r="AG52" i="187"/>
  <c r="AH52" i="187" s="1"/>
  <c r="AJ52" i="187"/>
  <c r="AK52" i="187" s="1"/>
  <c r="AM52" i="187"/>
  <c r="AN52" i="187" s="1"/>
  <c r="AG53" i="187"/>
  <c r="AH53" i="187" s="1"/>
  <c r="AJ53" i="187"/>
  <c r="AK53" i="187" s="1"/>
  <c r="AM53" i="187"/>
  <c r="AN53" i="187" s="1"/>
  <c r="AG54" i="187"/>
  <c r="AH54" i="187" s="1"/>
  <c r="AJ54" i="187"/>
  <c r="AK54" i="187" s="1"/>
  <c r="AM54" i="187"/>
  <c r="AN54" i="187" s="1"/>
  <c r="AG55" i="187"/>
  <c r="AH55" i="187" s="1"/>
  <c r="AJ55" i="187"/>
  <c r="AK55" i="187" s="1"/>
  <c r="AM55" i="187"/>
  <c r="AN55" i="187" s="1"/>
  <c r="AG56" i="187"/>
  <c r="AH56" i="187" s="1"/>
  <c r="AJ56" i="187"/>
  <c r="AK56" i="187" s="1"/>
  <c r="AM56" i="187"/>
  <c r="AN56" i="187" s="1"/>
  <c r="AG57" i="187"/>
  <c r="AH57" i="187" s="1"/>
  <c r="AJ57" i="187"/>
  <c r="AK57" i="187" s="1"/>
  <c r="AM57" i="187"/>
  <c r="AN57" i="187"/>
  <c r="AG58" i="187"/>
  <c r="AH58" i="187" s="1"/>
  <c r="AJ58" i="187"/>
  <c r="AK58" i="187" s="1"/>
  <c r="AM58" i="187"/>
  <c r="AN58" i="187" s="1"/>
  <c r="AG59" i="187"/>
  <c r="AH59" i="187" s="1"/>
  <c r="AJ59" i="187"/>
  <c r="AK59" i="187" s="1"/>
  <c r="AM59" i="187"/>
  <c r="AN59" i="187" s="1"/>
  <c r="AG60" i="187"/>
  <c r="AH60" i="187" s="1"/>
  <c r="AJ60" i="187"/>
  <c r="AK60" i="187" s="1"/>
  <c r="AM60" i="187"/>
  <c r="AN60" i="187" s="1"/>
  <c r="F11" i="187"/>
  <c r="K59" i="187"/>
  <c r="K60" i="187"/>
  <c r="K61" i="187"/>
  <c r="L40" i="190" l="1"/>
  <c r="N29" i="190"/>
  <c r="P11" i="190"/>
  <c r="P12" i="190"/>
  <c r="P13" i="190"/>
  <c r="P37" i="190"/>
  <c r="L63" i="190"/>
  <c r="P8" i="190"/>
  <c r="O62" i="190"/>
  <c r="L64" i="190"/>
  <c r="N52" i="190"/>
  <c r="N66" i="190"/>
  <c r="P66" i="190"/>
  <c r="P55" i="190"/>
  <c r="P61" i="190"/>
  <c r="P56" i="190"/>
  <c r="M61" i="190"/>
  <c r="N56" i="190"/>
  <c r="O56" i="190"/>
  <c r="R56" i="190"/>
  <c r="L42" i="190"/>
  <c r="M64" i="190"/>
  <c r="M70" i="190"/>
  <c r="P21" i="190"/>
  <c r="O21" i="190"/>
  <c r="N21" i="190"/>
  <c r="T21" i="190"/>
  <c r="R21" i="190"/>
  <c r="R27" i="190"/>
  <c r="T27" i="190"/>
  <c r="P17" i="190"/>
  <c r="M56" i="190"/>
  <c r="N51" i="190"/>
  <c r="M52" i="190"/>
  <c r="P67" i="190"/>
  <c r="L44" i="190"/>
  <c r="O8" i="190"/>
  <c r="O27" i="190"/>
  <c r="M8" i="190"/>
  <c r="N8" i="190"/>
  <c r="M16" i="190"/>
  <c r="O34" i="190"/>
  <c r="M66" i="190"/>
  <c r="N9" i="190"/>
  <c r="N27" i="190"/>
  <c r="P27" i="190"/>
  <c r="M34" i="190"/>
  <c r="N34" i="190"/>
  <c r="M23" i="190"/>
  <c r="M41" i="190"/>
  <c r="T41" i="190"/>
  <c r="O10" i="190"/>
  <c r="M10" i="190"/>
  <c r="L10" i="190"/>
  <c r="T10" i="190"/>
  <c r="R10" i="190"/>
  <c r="P10" i="190"/>
  <c r="O29" i="190"/>
  <c r="O9" i="190"/>
  <c r="R12" i="190"/>
  <c r="M44" i="190"/>
  <c r="L38" i="190"/>
  <c r="R13" i="190"/>
  <c r="M38" i="190"/>
  <c r="M32" i="190"/>
  <c r="P38" i="190"/>
  <c r="N12" i="190"/>
  <c r="L19" i="190"/>
  <c r="T29" i="190"/>
  <c r="M9" i="190"/>
  <c r="O12" i="190"/>
  <c r="N73" i="190"/>
  <c r="M73" i="190"/>
  <c r="L73" i="190"/>
  <c r="R73" i="190"/>
  <c r="O73" i="190"/>
  <c r="P62" i="190"/>
  <c r="R62" i="190"/>
  <c r="N61" i="190"/>
  <c r="N71" i="190"/>
  <c r="L54" i="190"/>
  <c r="O71" i="190"/>
  <c r="P71" i="190"/>
  <c r="R61" i="190"/>
  <c r="R71" i="190"/>
  <c r="O61" i="190"/>
  <c r="M51" i="190"/>
  <c r="N15" i="190"/>
  <c r="M15" i="190"/>
  <c r="T15" i="190"/>
  <c r="R15" i="190"/>
  <c r="O15" i="190"/>
  <c r="P15" i="190"/>
  <c r="L15" i="190"/>
  <c r="O22" i="190"/>
  <c r="N22" i="190"/>
  <c r="M22" i="190"/>
  <c r="L22" i="190"/>
  <c r="P22" i="190"/>
  <c r="R22" i="190"/>
  <c r="T22" i="190"/>
  <c r="P69" i="190"/>
  <c r="N69" i="190"/>
  <c r="T69" i="190"/>
  <c r="R69" i="190"/>
  <c r="O69" i="190"/>
  <c r="M69" i="190"/>
  <c r="L69" i="190"/>
  <c r="P14" i="190"/>
  <c r="N14" i="190"/>
  <c r="R14" i="190"/>
  <c r="O14" i="190"/>
  <c r="L14" i="190"/>
  <c r="M14" i="190"/>
  <c r="T14" i="190"/>
  <c r="M26" i="190"/>
  <c r="L26" i="190"/>
  <c r="R26" i="190"/>
  <c r="N26" i="190"/>
  <c r="T26" i="190"/>
  <c r="P26" i="190"/>
  <c r="O26" i="190"/>
  <c r="N60" i="190"/>
  <c r="L60" i="190"/>
  <c r="T60" i="190"/>
  <c r="R60" i="190"/>
  <c r="O60" i="190"/>
  <c r="M60" i="190"/>
  <c r="P60" i="190"/>
  <c r="T18" i="190"/>
  <c r="O18" i="190"/>
  <c r="M18" i="190"/>
  <c r="P18" i="190"/>
  <c r="N18" i="190"/>
  <c r="L18" i="190"/>
  <c r="R18" i="190"/>
  <c r="R24" i="190"/>
  <c r="P24" i="190"/>
  <c r="N24" i="190"/>
  <c r="L24" i="190"/>
  <c r="T24" i="190"/>
  <c r="O24" i="190"/>
  <c r="M24" i="190"/>
  <c r="AW75" i="190"/>
  <c r="T33" i="190"/>
  <c r="P33" i="190"/>
  <c r="R33" i="190"/>
  <c r="O33" i="190"/>
  <c r="M33" i="190"/>
  <c r="N33" i="190"/>
  <c r="L33" i="190"/>
  <c r="N45" i="190"/>
  <c r="P45" i="190"/>
  <c r="O45" i="190"/>
  <c r="M45" i="190"/>
  <c r="R45" i="190"/>
  <c r="T45" i="190"/>
  <c r="N50" i="190"/>
  <c r="R50" i="190"/>
  <c r="P50" i="190"/>
  <c r="O50" i="190"/>
  <c r="T50" i="190"/>
  <c r="M50" i="190"/>
  <c r="L50" i="190"/>
  <c r="L36" i="190"/>
  <c r="O36" i="190"/>
  <c r="N36" i="190"/>
  <c r="P36" i="190"/>
  <c r="M36" i="190"/>
  <c r="R36" i="190"/>
  <c r="T36" i="190"/>
  <c r="M19" i="190"/>
  <c r="M31" i="190"/>
  <c r="L31" i="190"/>
  <c r="R31" i="190"/>
  <c r="O31" i="190"/>
  <c r="T31" i="190"/>
  <c r="P31" i="190"/>
  <c r="N31" i="190"/>
  <c r="O11" i="190"/>
  <c r="N17" i="190"/>
  <c r="R19" i="190"/>
  <c r="P19" i="190"/>
  <c r="T19" i="190"/>
  <c r="N19" i="190"/>
  <c r="O19" i="190"/>
  <c r="R32" i="190"/>
  <c r="O32" i="190"/>
  <c r="N32" i="190"/>
  <c r="T32" i="190"/>
  <c r="P32" i="190"/>
  <c r="P42" i="190"/>
  <c r="O42" i="190"/>
  <c r="N42" i="190"/>
  <c r="R42" i="190"/>
  <c r="T42" i="190"/>
  <c r="M42" i="190"/>
  <c r="L45" i="190"/>
  <c r="P54" i="190"/>
  <c r="T54" i="190"/>
  <c r="R54" i="190"/>
  <c r="O54" i="190"/>
  <c r="N54" i="190"/>
  <c r="M54" i="190"/>
  <c r="P59" i="190"/>
  <c r="N59" i="190"/>
  <c r="T59" i="190"/>
  <c r="R59" i="190"/>
  <c r="O59" i="190"/>
  <c r="M59" i="190"/>
  <c r="L59" i="190"/>
  <c r="N70" i="190"/>
  <c r="L70" i="190"/>
  <c r="T70" i="190"/>
  <c r="R70" i="190"/>
  <c r="P70" i="190"/>
  <c r="O70" i="190"/>
  <c r="R74" i="190"/>
  <c r="P74" i="190"/>
  <c r="N74" i="190"/>
  <c r="T74" i="190"/>
  <c r="O74" i="190"/>
  <c r="L74" i="190"/>
  <c r="M74" i="190"/>
  <c r="N40" i="190"/>
  <c r="O40" i="190"/>
  <c r="M40" i="190"/>
  <c r="P40" i="190"/>
  <c r="T40" i="190"/>
  <c r="R40" i="190"/>
  <c r="O17" i="190"/>
  <c r="M17" i="190"/>
  <c r="T17" i="190"/>
  <c r="O37" i="190"/>
  <c r="N37" i="190"/>
  <c r="T37" i="190"/>
  <c r="R37" i="190"/>
  <c r="L37" i="190"/>
  <c r="M37" i="190"/>
  <c r="L16" i="190"/>
  <c r="O16" i="190"/>
  <c r="R16" i="190"/>
  <c r="T16" i="190"/>
  <c r="P16" i="190"/>
  <c r="L17" i="190"/>
  <c r="L11" i="190"/>
  <c r="T11" i="190"/>
  <c r="M11" i="190"/>
  <c r="O30" i="190"/>
  <c r="N30" i="190"/>
  <c r="L30" i="190"/>
  <c r="R30" i="190"/>
  <c r="P30" i="190"/>
  <c r="M30" i="190"/>
  <c r="T30" i="190"/>
  <c r="AN75" i="190"/>
  <c r="N11" i="190"/>
  <c r="L46" i="190"/>
  <c r="R46" i="190"/>
  <c r="P46" i="190"/>
  <c r="O46" i="190"/>
  <c r="T46" i="190"/>
  <c r="N46" i="190"/>
  <c r="M46" i="190"/>
  <c r="N65" i="190"/>
  <c r="L65" i="190"/>
  <c r="T65" i="190"/>
  <c r="R65" i="190"/>
  <c r="P65" i="190"/>
  <c r="O65" i="190"/>
  <c r="M65" i="190"/>
  <c r="R11" i="190"/>
  <c r="O20" i="190"/>
  <c r="N20" i="190"/>
  <c r="T20" i="190"/>
  <c r="P20" i="190"/>
  <c r="L20" i="190"/>
  <c r="M20" i="190"/>
  <c r="T48" i="190"/>
  <c r="R48" i="190"/>
  <c r="P48" i="190"/>
  <c r="O48" i="190"/>
  <c r="L48" i="190"/>
  <c r="N48" i="190"/>
  <c r="M48" i="190"/>
  <c r="AE75" i="190"/>
  <c r="U6" i="35" s="1"/>
  <c r="N16" i="190"/>
  <c r="R17" i="190"/>
  <c r="T28" i="190"/>
  <c r="R28" i="190"/>
  <c r="N28" i="190"/>
  <c r="P28" i="190"/>
  <c r="L28" i="190"/>
  <c r="O28" i="190"/>
  <c r="M28" i="190"/>
  <c r="T72" i="190"/>
  <c r="P72" i="190"/>
  <c r="O72" i="190"/>
  <c r="N72" i="190"/>
  <c r="R72" i="190"/>
  <c r="L72" i="190"/>
  <c r="M72" i="190"/>
  <c r="O25" i="190"/>
  <c r="N25" i="190"/>
  <c r="P25" i="190"/>
  <c r="L25" i="190"/>
  <c r="T25" i="190"/>
  <c r="R25" i="190"/>
  <c r="T68" i="190"/>
  <c r="P68" i="190"/>
  <c r="O68" i="190"/>
  <c r="N68" i="190"/>
  <c r="M68" i="190"/>
  <c r="R68" i="190"/>
  <c r="L68" i="190"/>
  <c r="T13" i="190"/>
  <c r="N13" i="190"/>
  <c r="M13" i="190"/>
  <c r="L13" i="190"/>
  <c r="O13" i="190"/>
  <c r="R20" i="190"/>
  <c r="T43" i="190"/>
  <c r="P43" i="190"/>
  <c r="O43" i="190"/>
  <c r="N43" i="190"/>
  <c r="R43" i="190"/>
  <c r="M43" i="190"/>
  <c r="L43" i="190"/>
  <c r="P49" i="190"/>
  <c r="T49" i="190"/>
  <c r="R49" i="190"/>
  <c r="O49" i="190"/>
  <c r="M49" i="190"/>
  <c r="L49" i="190"/>
  <c r="N49" i="190"/>
  <c r="T8" i="190"/>
  <c r="R8" i="190"/>
  <c r="L8" i="190"/>
  <c r="AH75" i="190"/>
  <c r="P9" i="190"/>
  <c r="T9" i="190"/>
  <c r="L9" i="190"/>
  <c r="BA9" i="190"/>
  <c r="L12" i="190"/>
  <c r="T12" i="190"/>
  <c r="M12" i="190"/>
  <c r="T23" i="190"/>
  <c r="L23" i="190"/>
  <c r="P23" i="190"/>
  <c r="N23" i="190"/>
  <c r="R23" i="190"/>
  <c r="O23" i="190"/>
  <c r="O35" i="190"/>
  <c r="N35" i="190"/>
  <c r="T35" i="190"/>
  <c r="R35" i="190"/>
  <c r="P35" i="190"/>
  <c r="M35" i="190"/>
  <c r="L35" i="190"/>
  <c r="T53" i="190"/>
  <c r="R53" i="190"/>
  <c r="P53" i="190"/>
  <c r="O53" i="190"/>
  <c r="M53" i="190"/>
  <c r="L53" i="190"/>
  <c r="N53" i="190"/>
  <c r="AS70" i="190"/>
  <c r="AT70" i="190" s="1"/>
  <c r="BA70" i="190" s="1"/>
  <c r="AS65" i="190"/>
  <c r="AT65" i="190" s="1"/>
  <c r="BA65" i="190" s="1"/>
  <c r="AS60" i="190"/>
  <c r="AT60" i="190" s="1"/>
  <c r="BA60" i="190" s="1"/>
  <c r="AS55" i="190"/>
  <c r="AT55" i="190" s="1"/>
  <c r="BA55" i="190" s="1"/>
  <c r="AS50" i="190"/>
  <c r="AT50" i="190" s="1"/>
  <c r="AS45" i="190"/>
  <c r="AT45" i="190" s="1"/>
  <c r="AS40" i="190"/>
  <c r="AT40" i="190" s="1"/>
  <c r="BA40" i="190" s="1"/>
  <c r="AS35" i="190"/>
  <c r="AT35" i="190" s="1"/>
  <c r="BA35" i="190" s="1"/>
  <c r="AS74" i="190"/>
  <c r="AT74" i="190" s="1"/>
  <c r="AS69" i="190"/>
  <c r="AT69" i="190" s="1"/>
  <c r="AS64" i="190"/>
  <c r="AT64" i="190" s="1"/>
  <c r="AS59" i="190"/>
  <c r="AT59" i="190" s="1"/>
  <c r="AS54" i="190"/>
  <c r="AT54" i="190" s="1"/>
  <c r="AS73" i="190"/>
  <c r="AT73" i="190" s="1"/>
  <c r="AS67" i="190"/>
  <c r="AT67" i="190" s="1"/>
  <c r="AS62" i="190"/>
  <c r="AT62" i="190" s="1"/>
  <c r="AS57" i="190"/>
  <c r="AT57" i="190" s="1"/>
  <c r="AS30" i="190"/>
  <c r="AT30" i="190" s="1"/>
  <c r="BA30" i="190" s="1"/>
  <c r="AS25" i="190"/>
  <c r="AT25" i="190" s="1"/>
  <c r="AS20" i="190"/>
  <c r="AT20" i="190" s="1"/>
  <c r="AS15" i="190"/>
  <c r="AT15" i="190" s="1"/>
  <c r="AS10" i="190"/>
  <c r="AT10" i="190" s="1"/>
  <c r="AS71" i="190"/>
  <c r="AT71" i="190" s="1"/>
  <c r="AS66" i="190"/>
  <c r="AT66" i="190" s="1"/>
  <c r="BA66" i="190" s="1"/>
  <c r="AS61" i="190"/>
  <c r="AT61" i="190" s="1"/>
  <c r="AS56" i="190"/>
  <c r="AT56" i="190" s="1"/>
  <c r="AS58" i="190"/>
  <c r="AT58" i="190" s="1"/>
  <c r="AS29" i="190"/>
  <c r="AT29" i="190" s="1"/>
  <c r="AS23" i="190"/>
  <c r="AT23" i="190" s="1"/>
  <c r="AS63" i="190"/>
  <c r="AT63" i="190" s="1"/>
  <c r="AS52" i="190"/>
  <c r="AT52" i="190" s="1"/>
  <c r="AS44" i="190"/>
  <c r="AT44" i="190" s="1"/>
  <c r="AS68" i="190"/>
  <c r="AT68" i="190" s="1"/>
  <c r="AS48" i="190"/>
  <c r="AT48" i="190" s="1"/>
  <c r="AS39" i="190"/>
  <c r="AT39" i="190" s="1"/>
  <c r="AS24" i="190"/>
  <c r="AT24" i="190" s="1"/>
  <c r="AS18" i="190"/>
  <c r="AT18" i="190" s="1"/>
  <c r="AS17" i="190"/>
  <c r="AT17" i="190" s="1"/>
  <c r="BA17" i="190" s="1"/>
  <c r="AS53" i="190"/>
  <c r="AT53" i="190" s="1"/>
  <c r="AS49" i="190"/>
  <c r="AT49" i="190" s="1"/>
  <c r="AS42" i="190"/>
  <c r="AT42" i="190" s="1"/>
  <c r="AS38" i="190"/>
  <c r="AT38" i="190" s="1"/>
  <c r="AS14" i="190"/>
  <c r="AT14" i="190" s="1"/>
  <c r="BA14" i="190" s="1"/>
  <c r="AQ75" i="190"/>
  <c r="N10" i="190"/>
  <c r="AS11" i="190"/>
  <c r="AT11" i="190" s="1"/>
  <c r="BA11" i="190" s="1"/>
  <c r="AS12" i="190"/>
  <c r="AT12" i="190" s="1"/>
  <c r="BA12" i="190" s="1"/>
  <c r="AS19" i="190"/>
  <c r="AT19" i="190" s="1"/>
  <c r="AY25" i="190"/>
  <c r="AZ25" i="190" s="1"/>
  <c r="M27" i="190"/>
  <c r="AY27" i="190"/>
  <c r="AZ27" i="190" s="1"/>
  <c r="R47" i="190"/>
  <c r="P47" i="190"/>
  <c r="O47" i="190"/>
  <c r="T47" i="190"/>
  <c r="L47" i="190"/>
  <c r="M47" i="190"/>
  <c r="L51" i="190"/>
  <c r="R51" i="190"/>
  <c r="P51" i="190"/>
  <c r="O51" i="190"/>
  <c r="T51" i="190"/>
  <c r="T67" i="190"/>
  <c r="M67" i="190"/>
  <c r="L67" i="190"/>
  <c r="N67" i="190"/>
  <c r="O67" i="190"/>
  <c r="T63" i="190"/>
  <c r="P63" i="190"/>
  <c r="O63" i="190"/>
  <c r="N63" i="190"/>
  <c r="M63" i="190"/>
  <c r="R63" i="190"/>
  <c r="P44" i="190"/>
  <c r="R44" i="190"/>
  <c r="O44" i="190"/>
  <c r="N44" i="190"/>
  <c r="T44" i="190"/>
  <c r="AK75" i="190"/>
  <c r="AY16" i="190"/>
  <c r="AZ16" i="190" s="1"/>
  <c r="BA16" i="190" s="1"/>
  <c r="AY20" i="190"/>
  <c r="AZ20" i="190" s="1"/>
  <c r="AS27" i="190"/>
  <c r="AT27" i="190" s="1"/>
  <c r="BA27" i="190" s="1"/>
  <c r="T57" i="190"/>
  <c r="M57" i="190"/>
  <c r="L57" i="190"/>
  <c r="N57" i="190"/>
  <c r="AY15" i="190"/>
  <c r="AZ15" i="190" s="1"/>
  <c r="AY24" i="190"/>
  <c r="AZ24" i="190" s="1"/>
  <c r="R29" i="190"/>
  <c r="P29" i="190"/>
  <c r="L29" i="190"/>
  <c r="R34" i="190"/>
  <c r="P34" i="190"/>
  <c r="AS34" i="190"/>
  <c r="AT34" i="190" s="1"/>
  <c r="BA34" i="190" s="1"/>
  <c r="AY37" i="190"/>
  <c r="AZ37" i="190" s="1"/>
  <c r="BA37" i="190" s="1"/>
  <c r="N47" i="190"/>
  <c r="AS51" i="190"/>
  <c r="AT51" i="190" s="1"/>
  <c r="BA51" i="190" s="1"/>
  <c r="R67" i="190"/>
  <c r="AS43" i="190"/>
  <c r="AT43" i="190" s="1"/>
  <c r="BA43" i="190" s="1"/>
  <c r="T58" i="190"/>
  <c r="P58" i="190"/>
  <c r="O58" i="190"/>
  <c r="N58" i="190"/>
  <c r="M58" i="190"/>
  <c r="R58" i="190"/>
  <c r="AY71" i="190"/>
  <c r="AZ71" i="190" s="1"/>
  <c r="AS13" i="190"/>
  <c r="AT13" i="190" s="1"/>
  <c r="AS21" i="190"/>
  <c r="AT21" i="190" s="1"/>
  <c r="BA21" i="190" s="1"/>
  <c r="AY22" i="190"/>
  <c r="AZ22" i="190" s="1"/>
  <c r="BA22" i="190" s="1"/>
  <c r="AS32" i="190"/>
  <c r="AT32" i="190" s="1"/>
  <c r="BA32" i="190" s="1"/>
  <c r="T38" i="190"/>
  <c r="O38" i="190"/>
  <c r="N38" i="190"/>
  <c r="AS41" i="190"/>
  <c r="AT41" i="190" s="1"/>
  <c r="O57" i="190"/>
  <c r="P64" i="190"/>
  <c r="N64" i="190"/>
  <c r="T64" i="190"/>
  <c r="R64" i="190"/>
  <c r="O64" i="190"/>
  <c r="P39" i="190"/>
  <c r="O39" i="190"/>
  <c r="N39" i="190"/>
  <c r="M39" i="190"/>
  <c r="L39" i="190"/>
  <c r="R39" i="190"/>
  <c r="T62" i="190"/>
  <c r="M62" i="190"/>
  <c r="L62" i="190"/>
  <c r="N62" i="190"/>
  <c r="AY73" i="190"/>
  <c r="AZ73" i="190" s="1"/>
  <c r="AY68" i="190"/>
  <c r="AZ68" i="190" s="1"/>
  <c r="AY63" i="190"/>
  <c r="AZ63" i="190" s="1"/>
  <c r="AY58" i="190"/>
  <c r="AZ58" i="190" s="1"/>
  <c r="AY53" i="190"/>
  <c r="AZ53" i="190" s="1"/>
  <c r="AY48" i="190"/>
  <c r="AZ48" i="190" s="1"/>
  <c r="AY43" i="190"/>
  <c r="AZ43" i="190" s="1"/>
  <c r="AY38" i="190"/>
  <c r="AZ38" i="190" s="1"/>
  <c r="AY72" i="190"/>
  <c r="AZ72" i="190" s="1"/>
  <c r="BA72" i="190" s="1"/>
  <c r="AY67" i="190"/>
  <c r="AZ67" i="190" s="1"/>
  <c r="AY62" i="190"/>
  <c r="AZ62" i="190" s="1"/>
  <c r="AY57" i="190"/>
  <c r="AZ57" i="190" s="1"/>
  <c r="AY74" i="190"/>
  <c r="AZ74" i="190" s="1"/>
  <c r="AY52" i="190"/>
  <c r="AZ52" i="190" s="1"/>
  <c r="AY51" i="190"/>
  <c r="AZ51" i="190" s="1"/>
  <c r="AY50" i="190"/>
  <c r="AZ50" i="190" s="1"/>
  <c r="AY49" i="190"/>
  <c r="AZ49" i="190" s="1"/>
  <c r="AY47" i="190"/>
  <c r="AZ47" i="190" s="1"/>
  <c r="BA47" i="190" s="1"/>
  <c r="AY46" i="190"/>
  <c r="AZ46" i="190" s="1"/>
  <c r="BA46" i="190" s="1"/>
  <c r="AY45" i="190"/>
  <c r="AZ45" i="190" s="1"/>
  <c r="AY69" i="190"/>
  <c r="AZ69" i="190" s="1"/>
  <c r="AY64" i="190"/>
  <c r="AZ64" i="190" s="1"/>
  <c r="AY59" i="190"/>
  <c r="AZ59" i="190" s="1"/>
  <c r="AY54" i="190"/>
  <c r="AZ54" i="190" s="1"/>
  <c r="AY33" i="190"/>
  <c r="AZ33" i="190" s="1"/>
  <c r="BA33" i="190" s="1"/>
  <c r="AY28" i="190"/>
  <c r="AZ28" i="190" s="1"/>
  <c r="BA28" i="190" s="1"/>
  <c r="AY23" i="190"/>
  <c r="AZ23" i="190" s="1"/>
  <c r="AY18" i="190"/>
  <c r="AZ18" i="190" s="1"/>
  <c r="AY13" i="190"/>
  <c r="AZ13" i="190" s="1"/>
  <c r="AY8" i="190"/>
  <c r="AZ8" i="190" s="1"/>
  <c r="AY44" i="190"/>
  <c r="AZ44" i="190" s="1"/>
  <c r="AY42" i="190"/>
  <c r="AZ42" i="190" s="1"/>
  <c r="BA42" i="190" s="1"/>
  <c r="AY41" i="190"/>
  <c r="AZ41" i="190" s="1"/>
  <c r="AY40" i="190"/>
  <c r="AZ40" i="190" s="1"/>
  <c r="AY36" i="190"/>
  <c r="AZ36" i="190" s="1"/>
  <c r="BA36" i="190" s="1"/>
  <c r="AY31" i="190"/>
  <c r="AZ31" i="190" s="1"/>
  <c r="BA31" i="190" s="1"/>
  <c r="AY19" i="190"/>
  <c r="AZ19" i="190" s="1"/>
  <c r="AY56" i="190"/>
  <c r="AZ56" i="190" s="1"/>
  <c r="AY61" i="190"/>
  <c r="AZ61" i="190" s="1"/>
  <c r="AY26" i="190"/>
  <c r="AZ26" i="190" s="1"/>
  <c r="BA26" i="190" s="1"/>
  <c r="AY39" i="190"/>
  <c r="AZ39" i="190" s="1"/>
  <c r="AY14" i="190"/>
  <c r="AZ14" i="190" s="1"/>
  <c r="M21" i="190"/>
  <c r="L21" i="190"/>
  <c r="L27" i="190"/>
  <c r="M29" i="190"/>
  <c r="AY29" i="190"/>
  <c r="AZ29" i="190" s="1"/>
  <c r="L34" i="190"/>
  <c r="R52" i="190"/>
  <c r="P52" i="190"/>
  <c r="O52" i="190"/>
  <c r="T52" i="190"/>
  <c r="N55" i="190"/>
  <c r="L55" i="190"/>
  <c r="T55" i="190"/>
  <c r="R55" i="190"/>
  <c r="M55" i="190"/>
  <c r="O55" i="190"/>
  <c r="P57" i="190"/>
  <c r="L41" i="190"/>
  <c r="P41" i="190"/>
  <c r="O41" i="190"/>
  <c r="N41" i="190"/>
  <c r="R41" i="190"/>
  <c r="T73" i="190"/>
  <c r="P73" i="190"/>
  <c r="M71" i="190"/>
  <c r="L71" i="190"/>
  <c r="L56" i="190"/>
  <c r="L61" i="190"/>
  <c r="U61" i="190" s="1"/>
  <c r="L66" i="190"/>
  <c r="W4" i="50"/>
  <c r="W4" i="187"/>
  <c r="U66" i="190" l="1"/>
  <c r="BA20" i="190"/>
  <c r="BA74" i="190"/>
  <c r="BA13" i="190"/>
  <c r="BA24" i="190"/>
  <c r="BA45" i="190"/>
  <c r="U73" i="190"/>
  <c r="BA68" i="190"/>
  <c r="U56" i="190"/>
  <c r="U44" i="190"/>
  <c r="V44" i="190" s="1"/>
  <c r="W44" i="190" s="1"/>
  <c r="BA41" i="190"/>
  <c r="BA48" i="190"/>
  <c r="U71" i="190"/>
  <c r="BA49" i="190"/>
  <c r="U54" i="190"/>
  <c r="V54" i="190" s="1"/>
  <c r="W54" i="190" s="1"/>
  <c r="U69" i="190"/>
  <c r="BA53" i="190"/>
  <c r="BA23" i="190"/>
  <c r="BA19" i="190"/>
  <c r="BA29" i="190"/>
  <c r="BA18" i="190"/>
  <c r="BA71" i="190"/>
  <c r="BA54" i="190"/>
  <c r="BA56" i="190"/>
  <c r="BA73" i="190"/>
  <c r="BA38" i="190"/>
  <c r="BA44" i="190"/>
  <c r="BA61" i="190"/>
  <c r="BA50" i="190"/>
  <c r="BA39" i="190"/>
  <c r="BA15" i="190"/>
  <c r="U59" i="190"/>
  <c r="U38" i="190"/>
  <c r="U10" i="190"/>
  <c r="U16" i="190"/>
  <c r="V16" i="190" s="1"/>
  <c r="W16" i="190" s="1"/>
  <c r="U21" i="190"/>
  <c r="V21" i="190" s="1"/>
  <c r="W21" i="190" s="1"/>
  <c r="U19" i="190"/>
  <c r="AC19" i="190" s="1"/>
  <c r="U33" i="190"/>
  <c r="V33" i="190" s="1"/>
  <c r="W33" i="190" s="1"/>
  <c r="U11" i="190"/>
  <c r="V11" i="190" s="1"/>
  <c r="W11" i="190" s="1"/>
  <c r="U40" i="190"/>
  <c r="V40" i="190" s="1"/>
  <c r="W40" i="190" s="1"/>
  <c r="U42" i="190"/>
  <c r="V42" i="190" s="1"/>
  <c r="W42" i="190" s="1"/>
  <c r="U32" i="190"/>
  <c r="AC32" i="190" s="1"/>
  <c r="U35" i="190"/>
  <c r="AC35" i="190" s="1"/>
  <c r="U34" i="190"/>
  <c r="V34" i="190" s="1"/>
  <c r="W34" i="190" s="1"/>
  <c r="N75" i="190"/>
  <c r="AO76" i="190"/>
  <c r="AC6" i="35"/>
  <c r="P75" i="190"/>
  <c r="AU76" i="190"/>
  <c r="AE6" i="35"/>
  <c r="BA59" i="190"/>
  <c r="AL76" i="190"/>
  <c r="AB6" i="35"/>
  <c r="BA52" i="190"/>
  <c r="BA64" i="190"/>
  <c r="U52" i="190"/>
  <c r="V52" i="190" s="1"/>
  <c r="W52" i="190" s="1"/>
  <c r="AI76" i="190"/>
  <c r="AA6" i="35"/>
  <c r="BA63" i="190"/>
  <c r="BA69" i="190"/>
  <c r="O75" i="190"/>
  <c r="U58" i="190"/>
  <c r="V58" i="190" s="1"/>
  <c r="W58" i="190" s="1"/>
  <c r="AF76" i="190"/>
  <c r="Z6" i="35"/>
  <c r="BA67" i="190"/>
  <c r="U64" i="190"/>
  <c r="AA64" i="190" s="1"/>
  <c r="BA62" i="190"/>
  <c r="AT75" i="190"/>
  <c r="U51" i="190"/>
  <c r="AA51" i="190" s="1"/>
  <c r="U49" i="190"/>
  <c r="AA49" i="190" s="1"/>
  <c r="BA58" i="190"/>
  <c r="BA57" i="190"/>
  <c r="V73" i="190"/>
  <c r="W73" i="190" s="1"/>
  <c r="AA73" i="190"/>
  <c r="V64" i="190"/>
  <c r="W64" i="190" s="1"/>
  <c r="AC44" i="190"/>
  <c r="AA54" i="190"/>
  <c r="AC38" i="190"/>
  <c r="V38" i="190"/>
  <c r="W38" i="190" s="1"/>
  <c r="U67" i="190"/>
  <c r="U62" i="190"/>
  <c r="U37" i="190"/>
  <c r="U24" i="190"/>
  <c r="U46" i="190"/>
  <c r="U22" i="190"/>
  <c r="V61" i="190"/>
  <c r="W61" i="190" s="1"/>
  <c r="AA61" i="190"/>
  <c r="U9" i="190"/>
  <c r="U25" i="190"/>
  <c r="U74" i="190"/>
  <c r="U70" i="190"/>
  <c r="U50" i="190"/>
  <c r="U60" i="190"/>
  <c r="BA10" i="190"/>
  <c r="U65" i="190"/>
  <c r="AC16" i="190"/>
  <c r="AZ75" i="190"/>
  <c r="AC10" i="190"/>
  <c r="V10" i="190"/>
  <c r="W10" i="190" s="1"/>
  <c r="U68" i="190"/>
  <c r="R75" i="190"/>
  <c r="U30" i="190"/>
  <c r="U27" i="190"/>
  <c r="U39" i="190"/>
  <c r="T75" i="190"/>
  <c r="U13" i="190"/>
  <c r="U28" i="190"/>
  <c r="U26" i="190"/>
  <c r="V56" i="190"/>
  <c r="W56" i="190" s="1"/>
  <c r="AA56" i="190"/>
  <c r="M75" i="190"/>
  <c r="AA69" i="190"/>
  <c r="V69" i="190"/>
  <c r="W69" i="190" s="1"/>
  <c r="U47" i="190"/>
  <c r="U23" i="190"/>
  <c r="BA8" i="190"/>
  <c r="BA25" i="190"/>
  <c r="V59" i="190"/>
  <c r="W59" i="190" s="1"/>
  <c r="AA59" i="190"/>
  <c r="U14" i="190"/>
  <c r="U63" i="190"/>
  <c r="L75" i="190"/>
  <c r="U8" i="190"/>
  <c r="U20" i="190"/>
  <c r="U29" i="190"/>
  <c r="U17" i="190"/>
  <c r="U41" i="190"/>
  <c r="U12" i="190"/>
  <c r="U43" i="190"/>
  <c r="U72" i="190"/>
  <c r="U48" i="190"/>
  <c r="U45" i="190"/>
  <c r="U36" i="190"/>
  <c r="U57" i="190"/>
  <c r="AA71" i="190"/>
  <c r="V71" i="190"/>
  <c r="W71" i="190" s="1"/>
  <c r="U53" i="190"/>
  <c r="U55" i="190"/>
  <c r="V66" i="190"/>
  <c r="W66" i="190" s="1"/>
  <c r="AA66" i="190"/>
  <c r="U31" i="190"/>
  <c r="U18" i="190"/>
  <c r="U15" i="190"/>
  <c r="AY67" i="187"/>
  <c r="AZ67" i="187" s="1"/>
  <c r="AV67" i="187"/>
  <c r="AW67" i="187" s="1"/>
  <c r="AS67" i="187"/>
  <c r="AT67" i="187" s="1"/>
  <c r="AP67" i="187"/>
  <c r="AQ67" i="187" s="1"/>
  <c r="AM67" i="187"/>
  <c r="AN67" i="187" s="1"/>
  <c r="AJ67" i="187"/>
  <c r="AK67" i="187" s="1"/>
  <c r="AG67" i="187"/>
  <c r="AH67" i="187" s="1"/>
  <c r="AE67" i="187"/>
  <c r="AC67" i="187"/>
  <c r="K67" i="187"/>
  <c r="I67" i="187"/>
  <c r="J67" i="187" s="1"/>
  <c r="X67" i="187" s="1"/>
  <c r="AY66" i="187"/>
  <c r="AZ66" i="187" s="1"/>
  <c r="AV66" i="187"/>
  <c r="AW66" i="187" s="1"/>
  <c r="AS66" i="187"/>
  <c r="AT66" i="187" s="1"/>
  <c r="AP66" i="187"/>
  <c r="AQ66" i="187" s="1"/>
  <c r="AM66" i="187"/>
  <c r="AN66" i="187" s="1"/>
  <c r="AJ66" i="187"/>
  <c r="AK66" i="187" s="1"/>
  <c r="AG66" i="187"/>
  <c r="AH66" i="187" s="1"/>
  <c r="AE66" i="187"/>
  <c r="AC66" i="187"/>
  <c r="K66" i="187"/>
  <c r="I66" i="187"/>
  <c r="J66" i="187" s="1"/>
  <c r="X66" i="187" s="1"/>
  <c r="AY65" i="187"/>
  <c r="AZ65" i="187" s="1"/>
  <c r="AV65" i="187"/>
  <c r="AW65" i="187" s="1"/>
  <c r="AS65" i="187"/>
  <c r="AT65" i="187" s="1"/>
  <c r="AP65" i="187"/>
  <c r="AQ65" i="187" s="1"/>
  <c r="AM65" i="187"/>
  <c r="AN65" i="187" s="1"/>
  <c r="AJ65" i="187"/>
  <c r="AK65" i="187" s="1"/>
  <c r="AG65" i="187"/>
  <c r="AH65" i="187" s="1"/>
  <c r="AE65" i="187"/>
  <c r="K65" i="187"/>
  <c r="I65" i="187"/>
  <c r="J65" i="187" s="1"/>
  <c r="X65" i="187" s="1"/>
  <c r="AY64" i="187"/>
  <c r="AZ64" i="187" s="1"/>
  <c r="AV64" i="187"/>
  <c r="AW64" i="187" s="1"/>
  <c r="AS64" i="187"/>
  <c r="AT64" i="187" s="1"/>
  <c r="AP64" i="187"/>
  <c r="AQ64" i="187" s="1"/>
  <c r="AM64" i="187"/>
  <c r="AN64" i="187" s="1"/>
  <c r="AJ64" i="187"/>
  <c r="AK64" i="187" s="1"/>
  <c r="AG64" i="187"/>
  <c r="AH64" i="187" s="1"/>
  <c r="AE64" i="187"/>
  <c r="K64" i="187"/>
  <c r="I64" i="187"/>
  <c r="J64" i="187" s="1"/>
  <c r="X64" i="187" s="1"/>
  <c r="AY63" i="187"/>
  <c r="AZ63" i="187" s="1"/>
  <c r="AV63" i="187"/>
  <c r="AW63" i="187" s="1"/>
  <c r="AS63" i="187"/>
  <c r="AT63" i="187" s="1"/>
  <c r="AP63" i="187"/>
  <c r="AQ63" i="187" s="1"/>
  <c r="AM63" i="187"/>
  <c r="AN63" i="187" s="1"/>
  <c r="AJ63" i="187"/>
  <c r="AK63" i="187" s="1"/>
  <c r="AG63" i="187"/>
  <c r="AH63" i="187" s="1"/>
  <c r="AE63" i="187"/>
  <c r="K63" i="187"/>
  <c r="I63" i="187"/>
  <c r="AY62" i="187"/>
  <c r="AZ62" i="187" s="1"/>
  <c r="AV62" i="187"/>
  <c r="AW62" i="187" s="1"/>
  <c r="AS62" i="187"/>
  <c r="AT62" i="187" s="1"/>
  <c r="AP62" i="187"/>
  <c r="AQ62" i="187" s="1"/>
  <c r="AM62" i="187"/>
  <c r="AN62" i="187" s="1"/>
  <c r="AJ62" i="187"/>
  <c r="AK62" i="187" s="1"/>
  <c r="AG62" i="187"/>
  <c r="AH62" i="187" s="1"/>
  <c r="AE62" i="187"/>
  <c r="K62" i="187"/>
  <c r="I62" i="187"/>
  <c r="AY61" i="187"/>
  <c r="AZ61" i="187" s="1"/>
  <c r="AV61" i="187"/>
  <c r="AW61" i="187" s="1"/>
  <c r="AS61" i="187"/>
  <c r="AT61" i="187" s="1"/>
  <c r="AP61" i="187"/>
  <c r="AQ61" i="187" s="1"/>
  <c r="AM61" i="187"/>
  <c r="AN61" i="187" s="1"/>
  <c r="AJ61" i="187"/>
  <c r="AK61" i="187" s="1"/>
  <c r="AG61" i="187"/>
  <c r="AH61" i="187" s="1"/>
  <c r="AE61" i="187"/>
  <c r="I61" i="187"/>
  <c r="AY60" i="187"/>
  <c r="AZ60" i="187" s="1"/>
  <c r="AV60" i="187"/>
  <c r="AW60" i="187" s="1"/>
  <c r="AS60" i="187"/>
  <c r="AT60" i="187" s="1"/>
  <c r="AP60" i="187"/>
  <c r="AQ60" i="187" s="1"/>
  <c r="AE60" i="187"/>
  <c r="I60" i="187"/>
  <c r="AY59" i="187"/>
  <c r="AZ59" i="187" s="1"/>
  <c r="AV59" i="187"/>
  <c r="AW59" i="187" s="1"/>
  <c r="AS59" i="187"/>
  <c r="AT59" i="187" s="1"/>
  <c r="AP59" i="187"/>
  <c r="AQ59" i="187" s="1"/>
  <c r="AE59" i="187"/>
  <c r="I59" i="187"/>
  <c r="AY58" i="187"/>
  <c r="AZ58" i="187" s="1"/>
  <c r="AV58" i="187"/>
  <c r="AW58" i="187" s="1"/>
  <c r="AS58" i="187"/>
  <c r="AT58" i="187" s="1"/>
  <c r="AP58" i="187"/>
  <c r="AQ58" i="187" s="1"/>
  <c r="AE58" i="187"/>
  <c r="K58" i="187"/>
  <c r="I58" i="187"/>
  <c r="AY57" i="187"/>
  <c r="AZ57" i="187" s="1"/>
  <c r="AV57" i="187"/>
  <c r="AW57" i="187" s="1"/>
  <c r="AS57" i="187"/>
  <c r="AT57" i="187" s="1"/>
  <c r="AP57" i="187"/>
  <c r="AQ57" i="187" s="1"/>
  <c r="AE57" i="187"/>
  <c r="K57" i="187"/>
  <c r="I57" i="187"/>
  <c r="AY56" i="187"/>
  <c r="AZ56" i="187" s="1"/>
  <c r="AV56" i="187"/>
  <c r="AW56" i="187" s="1"/>
  <c r="AS56" i="187"/>
  <c r="AT56" i="187" s="1"/>
  <c r="AP56" i="187"/>
  <c r="AQ56" i="187" s="1"/>
  <c r="AE56" i="187"/>
  <c r="K56" i="187"/>
  <c r="I56" i="187"/>
  <c r="AY55" i="187"/>
  <c r="AZ55" i="187" s="1"/>
  <c r="AV55" i="187"/>
  <c r="AW55" i="187" s="1"/>
  <c r="AS55" i="187"/>
  <c r="AT55" i="187" s="1"/>
  <c r="AP55" i="187"/>
  <c r="AQ55" i="187" s="1"/>
  <c r="AE55" i="187"/>
  <c r="K55" i="187"/>
  <c r="I55" i="187"/>
  <c r="AY54" i="187"/>
  <c r="AZ54" i="187" s="1"/>
  <c r="AV54" i="187"/>
  <c r="AW54" i="187" s="1"/>
  <c r="AS54" i="187"/>
  <c r="AT54" i="187" s="1"/>
  <c r="AP54" i="187"/>
  <c r="AQ54" i="187" s="1"/>
  <c r="AE54" i="187"/>
  <c r="K54" i="187"/>
  <c r="I54" i="187"/>
  <c r="AY53" i="187"/>
  <c r="AZ53" i="187" s="1"/>
  <c r="AV53" i="187"/>
  <c r="AW53" i="187" s="1"/>
  <c r="AS53" i="187"/>
  <c r="AT53" i="187" s="1"/>
  <c r="AP53" i="187"/>
  <c r="AQ53" i="187" s="1"/>
  <c r="AE53" i="187"/>
  <c r="K53" i="187"/>
  <c r="I53" i="187"/>
  <c r="AY52" i="187"/>
  <c r="AZ52" i="187" s="1"/>
  <c r="AV52" i="187"/>
  <c r="AW52" i="187" s="1"/>
  <c r="AS52" i="187"/>
  <c r="AT52" i="187" s="1"/>
  <c r="AP52" i="187"/>
  <c r="AQ52" i="187" s="1"/>
  <c r="AE52" i="187"/>
  <c r="K52" i="187"/>
  <c r="I52" i="187"/>
  <c r="AY51" i="187"/>
  <c r="AZ51" i="187" s="1"/>
  <c r="AV51" i="187"/>
  <c r="AW51" i="187" s="1"/>
  <c r="AS51" i="187"/>
  <c r="AT51" i="187" s="1"/>
  <c r="AP51" i="187"/>
  <c r="AQ51" i="187" s="1"/>
  <c r="AE51" i="187"/>
  <c r="K51" i="187"/>
  <c r="I51" i="187"/>
  <c r="AY50" i="187"/>
  <c r="AZ50" i="187" s="1"/>
  <c r="AV50" i="187"/>
  <c r="AW50" i="187" s="1"/>
  <c r="AS50" i="187"/>
  <c r="AT50" i="187" s="1"/>
  <c r="AP50" i="187"/>
  <c r="AQ50" i="187" s="1"/>
  <c r="AE50" i="187"/>
  <c r="K50" i="187"/>
  <c r="I50" i="187"/>
  <c r="AY49" i="187"/>
  <c r="AZ49" i="187" s="1"/>
  <c r="AV49" i="187"/>
  <c r="AW49" i="187" s="1"/>
  <c r="AS49" i="187"/>
  <c r="AT49" i="187" s="1"/>
  <c r="AP49" i="187"/>
  <c r="AQ49" i="187" s="1"/>
  <c r="AE49" i="187"/>
  <c r="K49" i="187"/>
  <c r="I49" i="187"/>
  <c r="AY48" i="187"/>
  <c r="AZ48" i="187" s="1"/>
  <c r="AV48" i="187"/>
  <c r="AW48" i="187" s="1"/>
  <c r="AS48" i="187"/>
  <c r="AT48" i="187" s="1"/>
  <c r="AP48" i="187"/>
  <c r="AQ48" i="187" s="1"/>
  <c r="AE48" i="187"/>
  <c r="K48" i="187"/>
  <c r="I48" i="187"/>
  <c r="AY47" i="187"/>
  <c r="AZ47" i="187" s="1"/>
  <c r="AV47" i="187"/>
  <c r="AW47" i="187" s="1"/>
  <c r="AS47" i="187"/>
  <c r="AT47" i="187" s="1"/>
  <c r="AP47" i="187"/>
  <c r="AQ47" i="187" s="1"/>
  <c r="AE47" i="187"/>
  <c r="K47" i="187"/>
  <c r="I47" i="187"/>
  <c r="AY46" i="187"/>
  <c r="AZ46" i="187" s="1"/>
  <c r="AV46" i="187"/>
  <c r="AW46" i="187" s="1"/>
  <c r="AS46" i="187"/>
  <c r="AT46" i="187" s="1"/>
  <c r="AP46" i="187"/>
  <c r="AQ46" i="187" s="1"/>
  <c r="AE46" i="187"/>
  <c r="K46" i="187"/>
  <c r="I46" i="187"/>
  <c r="AY45" i="187"/>
  <c r="AZ45" i="187" s="1"/>
  <c r="AV45" i="187"/>
  <c r="AW45" i="187" s="1"/>
  <c r="AS45" i="187"/>
  <c r="AT45" i="187" s="1"/>
  <c r="AP45" i="187"/>
  <c r="AQ45" i="187" s="1"/>
  <c r="AE45" i="187"/>
  <c r="K45" i="187"/>
  <c r="I45" i="187"/>
  <c r="AY44" i="187"/>
  <c r="AZ44" i="187" s="1"/>
  <c r="AV44" i="187"/>
  <c r="AW44" i="187" s="1"/>
  <c r="AS44" i="187"/>
  <c r="AT44" i="187" s="1"/>
  <c r="AP44" i="187"/>
  <c r="AQ44" i="187" s="1"/>
  <c r="AE44" i="187"/>
  <c r="K44" i="187"/>
  <c r="I44" i="187"/>
  <c r="AY43" i="187"/>
  <c r="AZ43" i="187" s="1"/>
  <c r="AV43" i="187"/>
  <c r="AW43" i="187" s="1"/>
  <c r="AS43" i="187"/>
  <c r="AT43" i="187" s="1"/>
  <c r="AP43" i="187"/>
  <c r="AQ43" i="187" s="1"/>
  <c r="AE43" i="187"/>
  <c r="K43" i="187"/>
  <c r="I43" i="187"/>
  <c r="AY42" i="187"/>
  <c r="AZ42" i="187" s="1"/>
  <c r="AV42" i="187"/>
  <c r="AW42" i="187" s="1"/>
  <c r="AS42" i="187"/>
  <c r="AT42" i="187" s="1"/>
  <c r="AP42" i="187"/>
  <c r="AQ42" i="187" s="1"/>
  <c r="AE42" i="187"/>
  <c r="K42" i="187"/>
  <c r="I42" i="187"/>
  <c r="AY41" i="187"/>
  <c r="AZ41" i="187" s="1"/>
  <c r="AV41" i="187"/>
  <c r="AW41" i="187" s="1"/>
  <c r="AS41" i="187"/>
  <c r="AT41" i="187" s="1"/>
  <c r="AP41" i="187"/>
  <c r="AQ41" i="187" s="1"/>
  <c r="AE41" i="187"/>
  <c r="K41" i="187"/>
  <c r="I41" i="187"/>
  <c r="AY40" i="187"/>
  <c r="AZ40" i="187" s="1"/>
  <c r="AV40" i="187"/>
  <c r="AW40" i="187" s="1"/>
  <c r="AS40" i="187"/>
  <c r="AT40" i="187" s="1"/>
  <c r="AP40" i="187"/>
  <c r="AQ40" i="187" s="1"/>
  <c r="AE40" i="187"/>
  <c r="K40" i="187"/>
  <c r="I40" i="187"/>
  <c r="AY39" i="187"/>
  <c r="AZ39" i="187" s="1"/>
  <c r="AV39" i="187"/>
  <c r="AW39" i="187" s="1"/>
  <c r="AS39" i="187"/>
  <c r="AT39" i="187" s="1"/>
  <c r="AP39" i="187"/>
  <c r="AQ39" i="187" s="1"/>
  <c r="AE39" i="187"/>
  <c r="K39" i="187"/>
  <c r="I39" i="187"/>
  <c r="AY38" i="187"/>
  <c r="AZ38" i="187" s="1"/>
  <c r="AV38" i="187"/>
  <c r="AW38" i="187" s="1"/>
  <c r="AS38" i="187"/>
  <c r="AT38" i="187" s="1"/>
  <c r="AP38" i="187"/>
  <c r="AQ38" i="187" s="1"/>
  <c r="AE38" i="187"/>
  <c r="K38" i="187"/>
  <c r="I38" i="187"/>
  <c r="AY97" i="187"/>
  <c r="AZ97" i="187" s="1"/>
  <c r="AV97" i="187"/>
  <c r="AW97" i="187" s="1"/>
  <c r="AS97" i="187"/>
  <c r="AT97" i="187" s="1"/>
  <c r="AP97" i="187"/>
  <c r="AQ97" i="187" s="1"/>
  <c r="AM97" i="187"/>
  <c r="AN97" i="187" s="1"/>
  <c r="AJ97" i="187"/>
  <c r="AK97" i="187" s="1"/>
  <c r="AG97" i="187"/>
  <c r="AH97" i="187" s="1"/>
  <c r="AE97" i="187"/>
  <c r="AC97" i="187"/>
  <c r="K97" i="187"/>
  <c r="I97" i="187"/>
  <c r="J97" i="187" s="1"/>
  <c r="X97" i="187" s="1"/>
  <c r="AY96" i="187"/>
  <c r="AZ96" i="187" s="1"/>
  <c r="AV96" i="187"/>
  <c r="AW96" i="187" s="1"/>
  <c r="AS96" i="187"/>
  <c r="AT96" i="187" s="1"/>
  <c r="AP96" i="187"/>
  <c r="AQ96" i="187" s="1"/>
  <c r="AM96" i="187"/>
  <c r="AN96" i="187" s="1"/>
  <c r="AJ96" i="187"/>
  <c r="AK96" i="187" s="1"/>
  <c r="AG96" i="187"/>
  <c r="AH96" i="187" s="1"/>
  <c r="AE96" i="187"/>
  <c r="AC96" i="187"/>
  <c r="K96" i="187"/>
  <c r="I96" i="187"/>
  <c r="J96" i="187" s="1"/>
  <c r="X96" i="187" s="1"/>
  <c r="R96" i="187" s="1"/>
  <c r="AY95" i="187"/>
  <c r="AZ95" i="187" s="1"/>
  <c r="AV95" i="187"/>
  <c r="AW95" i="187" s="1"/>
  <c r="AS95" i="187"/>
  <c r="AT95" i="187" s="1"/>
  <c r="AP95" i="187"/>
  <c r="AQ95" i="187" s="1"/>
  <c r="AM95" i="187"/>
  <c r="AN95" i="187" s="1"/>
  <c r="AJ95" i="187"/>
  <c r="AK95" i="187" s="1"/>
  <c r="AG95" i="187"/>
  <c r="AH95" i="187" s="1"/>
  <c r="AE95" i="187"/>
  <c r="AC95" i="187"/>
  <c r="K95" i="187"/>
  <c r="I95" i="187"/>
  <c r="J95" i="187" s="1"/>
  <c r="X95" i="187" s="1"/>
  <c r="AY94" i="187"/>
  <c r="AZ94" i="187" s="1"/>
  <c r="AV94" i="187"/>
  <c r="AW94" i="187" s="1"/>
  <c r="AS94" i="187"/>
  <c r="AT94" i="187" s="1"/>
  <c r="AP94" i="187"/>
  <c r="AQ94" i="187" s="1"/>
  <c r="AM94" i="187"/>
  <c r="AN94" i="187" s="1"/>
  <c r="AJ94" i="187"/>
  <c r="AK94" i="187" s="1"/>
  <c r="AG94" i="187"/>
  <c r="AH94" i="187" s="1"/>
  <c r="AE94" i="187"/>
  <c r="AC94" i="187"/>
  <c r="K94" i="187"/>
  <c r="I94" i="187"/>
  <c r="J94" i="187" s="1"/>
  <c r="X94" i="187" s="1"/>
  <c r="AY93" i="187"/>
  <c r="AZ93" i="187" s="1"/>
  <c r="AV93" i="187"/>
  <c r="AW93" i="187" s="1"/>
  <c r="AS93" i="187"/>
  <c r="AT93" i="187" s="1"/>
  <c r="AP93" i="187"/>
  <c r="AQ93" i="187" s="1"/>
  <c r="AM93" i="187"/>
  <c r="AN93" i="187" s="1"/>
  <c r="AJ93" i="187"/>
  <c r="AK93" i="187" s="1"/>
  <c r="AG93" i="187"/>
  <c r="AH93" i="187" s="1"/>
  <c r="AE93" i="187"/>
  <c r="AC93" i="187"/>
  <c r="K93" i="187"/>
  <c r="I93" i="187"/>
  <c r="J93" i="187" s="1"/>
  <c r="X93" i="187" s="1"/>
  <c r="AY92" i="187"/>
  <c r="AZ92" i="187" s="1"/>
  <c r="AV92" i="187"/>
  <c r="AW92" i="187" s="1"/>
  <c r="AS92" i="187"/>
  <c r="AT92" i="187" s="1"/>
  <c r="AP92" i="187"/>
  <c r="AQ92" i="187" s="1"/>
  <c r="AM92" i="187"/>
  <c r="AN92" i="187" s="1"/>
  <c r="AJ92" i="187"/>
  <c r="AK92" i="187" s="1"/>
  <c r="AG92" i="187"/>
  <c r="AH92" i="187" s="1"/>
  <c r="AE92" i="187"/>
  <c r="AC92" i="187"/>
  <c r="K92" i="187"/>
  <c r="I92" i="187"/>
  <c r="J92" i="187" s="1"/>
  <c r="X92" i="187" s="1"/>
  <c r="R92" i="187" s="1"/>
  <c r="AY91" i="187"/>
  <c r="AZ91" i="187" s="1"/>
  <c r="AV91" i="187"/>
  <c r="AW91" i="187" s="1"/>
  <c r="AS91" i="187"/>
  <c r="AT91" i="187" s="1"/>
  <c r="AP91" i="187"/>
  <c r="AQ91" i="187" s="1"/>
  <c r="AM91" i="187"/>
  <c r="AN91" i="187" s="1"/>
  <c r="AJ91" i="187"/>
  <c r="AK91" i="187" s="1"/>
  <c r="AG91" i="187"/>
  <c r="AH91" i="187" s="1"/>
  <c r="AE91" i="187"/>
  <c r="AC91" i="187"/>
  <c r="K91" i="187"/>
  <c r="I91" i="187"/>
  <c r="J91" i="187" s="1"/>
  <c r="X91" i="187" s="1"/>
  <c r="AY90" i="187"/>
  <c r="AZ90" i="187" s="1"/>
  <c r="AV90" i="187"/>
  <c r="AW90" i="187" s="1"/>
  <c r="AS90" i="187"/>
  <c r="AT90" i="187" s="1"/>
  <c r="AP90" i="187"/>
  <c r="AQ90" i="187" s="1"/>
  <c r="AM90" i="187"/>
  <c r="AN90" i="187" s="1"/>
  <c r="AJ90" i="187"/>
  <c r="AK90" i="187" s="1"/>
  <c r="AG90" i="187"/>
  <c r="AH90" i="187" s="1"/>
  <c r="AE90" i="187"/>
  <c r="AC90" i="187"/>
  <c r="K90" i="187"/>
  <c r="I90" i="187"/>
  <c r="J90" i="187" s="1"/>
  <c r="X90" i="187" s="1"/>
  <c r="AY89" i="187"/>
  <c r="AZ89" i="187" s="1"/>
  <c r="AV89" i="187"/>
  <c r="AW89" i="187" s="1"/>
  <c r="AS89" i="187"/>
  <c r="AT89" i="187" s="1"/>
  <c r="AP89" i="187"/>
  <c r="AQ89" i="187" s="1"/>
  <c r="AM89" i="187"/>
  <c r="AN89" i="187" s="1"/>
  <c r="AJ89" i="187"/>
  <c r="AK89" i="187" s="1"/>
  <c r="AG89" i="187"/>
  <c r="AH89" i="187" s="1"/>
  <c r="AE89" i="187"/>
  <c r="AC89" i="187"/>
  <c r="K89" i="187"/>
  <c r="I89" i="187"/>
  <c r="J89" i="187" s="1"/>
  <c r="X89" i="187" s="1"/>
  <c r="AY88" i="187"/>
  <c r="AZ88" i="187" s="1"/>
  <c r="AV88" i="187"/>
  <c r="AW88" i="187" s="1"/>
  <c r="AS88" i="187"/>
  <c r="AT88" i="187" s="1"/>
  <c r="AP88" i="187"/>
  <c r="AQ88" i="187" s="1"/>
  <c r="AM88" i="187"/>
  <c r="AN88" i="187" s="1"/>
  <c r="AJ88" i="187"/>
  <c r="AK88" i="187" s="1"/>
  <c r="AG88" i="187"/>
  <c r="AH88" i="187" s="1"/>
  <c r="AE88" i="187"/>
  <c r="AC88" i="187"/>
  <c r="K88" i="187"/>
  <c r="I88" i="187"/>
  <c r="J88" i="187" s="1"/>
  <c r="X88" i="187" s="1"/>
  <c r="AY87" i="187"/>
  <c r="AZ87" i="187" s="1"/>
  <c r="AV87" i="187"/>
  <c r="AW87" i="187" s="1"/>
  <c r="AS87" i="187"/>
  <c r="AT87" i="187" s="1"/>
  <c r="AP87" i="187"/>
  <c r="AQ87" i="187" s="1"/>
  <c r="AM87" i="187"/>
  <c r="AN87" i="187" s="1"/>
  <c r="AJ87" i="187"/>
  <c r="AK87" i="187" s="1"/>
  <c r="AG87" i="187"/>
  <c r="AH87" i="187" s="1"/>
  <c r="AE87" i="187"/>
  <c r="AC87" i="187"/>
  <c r="K87" i="187"/>
  <c r="I87" i="187"/>
  <c r="J87" i="187" s="1"/>
  <c r="X87" i="187" s="1"/>
  <c r="AY86" i="187"/>
  <c r="AZ86" i="187" s="1"/>
  <c r="AV86" i="187"/>
  <c r="AW86" i="187" s="1"/>
  <c r="AS86" i="187"/>
  <c r="AT86" i="187" s="1"/>
  <c r="AP86" i="187"/>
  <c r="AQ86" i="187" s="1"/>
  <c r="AM86" i="187"/>
  <c r="AN86" i="187" s="1"/>
  <c r="AJ86" i="187"/>
  <c r="AK86" i="187" s="1"/>
  <c r="AG86" i="187"/>
  <c r="AH86" i="187" s="1"/>
  <c r="AE86" i="187"/>
  <c r="AC86" i="187"/>
  <c r="K86" i="187"/>
  <c r="I86" i="187"/>
  <c r="J86" i="187" s="1"/>
  <c r="X86" i="187" s="1"/>
  <c r="AY85" i="187"/>
  <c r="AZ85" i="187" s="1"/>
  <c r="AV85" i="187"/>
  <c r="AW85" i="187" s="1"/>
  <c r="AS85" i="187"/>
  <c r="AT85" i="187" s="1"/>
  <c r="AP85" i="187"/>
  <c r="AQ85" i="187" s="1"/>
  <c r="AM85" i="187"/>
  <c r="AN85" i="187" s="1"/>
  <c r="AJ85" i="187"/>
  <c r="AK85" i="187" s="1"/>
  <c r="AG85" i="187"/>
  <c r="AH85" i="187" s="1"/>
  <c r="AE85" i="187"/>
  <c r="AC85" i="187"/>
  <c r="K85" i="187"/>
  <c r="I85" i="187"/>
  <c r="J85" i="187" s="1"/>
  <c r="X85" i="187" s="1"/>
  <c r="AY84" i="187"/>
  <c r="AZ84" i="187" s="1"/>
  <c r="AV84" i="187"/>
  <c r="AW84" i="187" s="1"/>
  <c r="AS84" i="187"/>
  <c r="AT84" i="187" s="1"/>
  <c r="AP84" i="187"/>
  <c r="AQ84" i="187" s="1"/>
  <c r="AM84" i="187"/>
  <c r="AN84" i="187" s="1"/>
  <c r="AJ84" i="187"/>
  <c r="AK84" i="187" s="1"/>
  <c r="AG84" i="187"/>
  <c r="AH84" i="187" s="1"/>
  <c r="AE84" i="187"/>
  <c r="AC84" i="187"/>
  <c r="K84" i="187"/>
  <c r="I84" i="187"/>
  <c r="J84" i="187" s="1"/>
  <c r="X84" i="187" s="1"/>
  <c r="AY83" i="187"/>
  <c r="AZ83" i="187" s="1"/>
  <c r="AV83" i="187"/>
  <c r="AW83" i="187" s="1"/>
  <c r="AS83" i="187"/>
  <c r="AT83" i="187" s="1"/>
  <c r="AP83" i="187"/>
  <c r="AQ83" i="187" s="1"/>
  <c r="AM83" i="187"/>
  <c r="AN83" i="187" s="1"/>
  <c r="AJ83" i="187"/>
  <c r="AK83" i="187" s="1"/>
  <c r="AG83" i="187"/>
  <c r="AH83" i="187" s="1"/>
  <c r="AE83" i="187"/>
  <c r="AC83" i="187"/>
  <c r="K83" i="187"/>
  <c r="I83" i="187"/>
  <c r="J83" i="187" s="1"/>
  <c r="X83" i="187" s="1"/>
  <c r="AY82" i="187"/>
  <c r="AZ82" i="187" s="1"/>
  <c r="AV82" i="187"/>
  <c r="AW82" i="187" s="1"/>
  <c r="AS82" i="187"/>
  <c r="AT82" i="187" s="1"/>
  <c r="AP82" i="187"/>
  <c r="AQ82" i="187" s="1"/>
  <c r="AM82" i="187"/>
  <c r="AN82" i="187" s="1"/>
  <c r="AJ82" i="187"/>
  <c r="AK82" i="187" s="1"/>
  <c r="AG82" i="187"/>
  <c r="AH82" i="187" s="1"/>
  <c r="AE82" i="187"/>
  <c r="AC82" i="187"/>
  <c r="K82" i="187"/>
  <c r="I82" i="187"/>
  <c r="J82" i="187" s="1"/>
  <c r="X82" i="187" s="1"/>
  <c r="AY81" i="187"/>
  <c r="AZ81" i="187" s="1"/>
  <c r="AV81" i="187"/>
  <c r="AW81" i="187" s="1"/>
  <c r="AS81" i="187"/>
  <c r="AT81" i="187" s="1"/>
  <c r="AP81" i="187"/>
  <c r="AQ81" i="187" s="1"/>
  <c r="AM81" i="187"/>
  <c r="AN81" i="187" s="1"/>
  <c r="AJ81" i="187"/>
  <c r="AK81" i="187" s="1"/>
  <c r="AG81" i="187"/>
  <c r="AH81" i="187" s="1"/>
  <c r="AE81" i="187"/>
  <c r="AC81" i="187"/>
  <c r="K81" i="187"/>
  <c r="I81" i="187"/>
  <c r="J81" i="187" s="1"/>
  <c r="X81" i="187" s="1"/>
  <c r="AY80" i="187"/>
  <c r="AZ80" i="187" s="1"/>
  <c r="AV80" i="187"/>
  <c r="AW80" i="187" s="1"/>
  <c r="AS80" i="187"/>
  <c r="AT80" i="187" s="1"/>
  <c r="AP80" i="187"/>
  <c r="AQ80" i="187" s="1"/>
  <c r="AM80" i="187"/>
  <c r="AN80" i="187" s="1"/>
  <c r="AJ80" i="187"/>
  <c r="AK80" i="187" s="1"/>
  <c r="AG80" i="187"/>
  <c r="AH80" i="187" s="1"/>
  <c r="AE80" i="187"/>
  <c r="AC80" i="187"/>
  <c r="K80" i="187"/>
  <c r="I80" i="187"/>
  <c r="J80" i="187" s="1"/>
  <c r="X80" i="187" s="1"/>
  <c r="R80" i="187" s="1"/>
  <c r="AY79" i="187"/>
  <c r="AZ79" i="187" s="1"/>
  <c r="AV79" i="187"/>
  <c r="AW79" i="187" s="1"/>
  <c r="AS79" i="187"/>
  <c r="AT79" i="187" s="1"/>
  <c r="AP79" i="187"/>
  <c r="AQ79" i="187" s="1"/>
  <c r="AM79" i="187"/>
  <c r="AN79" i="187" s="1"/>
  <c r="AJ79" i="187"/>
  <c r="AK79" i="187" s="1"/>
  <c r="AG79" i="187"/>
  <c r="AH79" i="187" s="1"/>
  <c r="AE79" i="187"/>
  <c r="AC79" i="187"/>
  <c r="K79" i="187"/>
  <c r="I79" i="187"/>
  <c r="J79" i="187" s="1"/>
  <c r="X79" i="187" s="1"/>
  <c r="AY78" i="187"/>
  <c r="AZ78" i="187" s="1"/>
  <c r="AV78" i="187"/>
  <c r="AW78" i="187" s="1"/>
  <c r="AS78" i="187"/>
  <c r="AT78" i="187" s="1"/>
  <c r="AP78" i="187"/>
  <c r="AQ78" i="187" s="1"/>
  <c r="AM78" i="187"/>
  <c r="AN78" i="187" s="1"/>
  <c r="AJ78" i="187"/>
  <c r="AK78" i="187" s="1"/>
  <c r="AG78" i="187"/>
  <c r="AH78" i="187" s="1"/>
  <c r="AE78" i="187"/>
  <c r="AC78" i="187"/>
  <c r="K78" i="187"/>
  <c r="I78" i="187"/>
  <c r="J78" i="187" s="1"/>
  <c r="X78" i="187" s="1"/>
  <c r="AY77" i="187"/>
  <c r="AZ77" i="187" s="1"/>
  <c r="AV77" i="187"/>
  <c r="AW77" i="187" s="1"/>
  <c r="AS77" i="187"/>
  <c r="AT77" i="187" s="1"/>
  <c r="AP77" i="187"/>
  <c r="AQ77" i="187" s="1"/>
  <c r="AM77" i="187"/>
  <c r="AN77" i="187" s="1"/>
  <c r="AJ77" i="187"/>
  <c r="AK77" i="187" s="1"/>
  <c r="AG77" i="187"/>
  <c r="AH77" i="187" s="1"/>
  <c r="AE77" i="187"/>
  <c r="AC77" i="187"/>
  <c r="K77" i="187"/>
  <c r="I77" i="187"/>
  <c r="J77" i="187" s="1"/>
  <c r="X77" i="187" s="1"/>
  <c r="AY76" i="187"/>
  <c r="AZ76" i="187" s="1"/>
  <c r="AV76" i="187"/>
  <c r="AW76" i="187" s="1"/>
  <c r="AS76" i="187"/>
  <c r="AT76" i="187" s="1"/>
  <c r="AP76" i="187"/>
  <c r="AQ76" i="187" s="1"/>
  <c r="AM76" i="187"/>
  <c r="AN76" i="187" s="1"/>
  <c r="AJ76" i="187"/>
  <c r="AK76" i="187" s="1"/>
  <c r="AG76" i="187"/>
  <c r="AH76" i="187" s="1"/>
  <c r="AE76" i="187"/>
  <c r="AC76" i="187"/>
  <c r="K76" i="187"/>
  <c r="I76" i="187"/>
  <c r="J76" i="187" s="1"/>
  <c r="X76" i="187" s="1"/>
  <c r="AY75" i="187"/>
  <c r="AZ75" i="187" s="1"/>
  <c r="AV75" i="187"/>
  <c r="AW75" i="187" s="1"/>
  <c r="AS75" i="187"/>
  <c r="AT75" i="187" s="1"/>
  <c r="AP75" i="187"/>
  <c r="AQ75" i="187" s="1"/>
  <c r="AM75" i="187"/>
  <c r="AN75" i="187" s="1"/>
  <c r="AJ75" i="187"/>
  <c r="AK75" i="187" s="1"/>
  <c r="AG75" i="187"/>
  <c r="AH75" i="187" s="1"/>
  <c r="AE75" i="187"/>
  <c r="AC75" i="187"/>
  <c r="K75" i="187"/>
  <c r="I75" i="187"/>
  <c r="J75" i="187" s="1"/>
  <c r="X75" i="187" s="1"/>
  <c r="AY74" i="187"/>
  <c r="AZ74" i="187" s="1"/>
  <c r="AV74" i="187"/>
  <c r="AW74" i="187" s="1"/>
  <c r="AS74" i="187"/>
  <c r="AT74" i="187" s="1"/>
  <c r="AP74" i="187"/>
  <c r="AQ74" i="187" s="1"/>
  <c r="AM74" i="187"/>
  <c r="AN74" i="187" s="1"/>
  <c r="AJ74" i="187"/>
  <c r="AK74" i="187" s="1"/>
  <c r="AG74" i="187"/>
  <c r="AH74" i="187" s="1"/>
  <c r="AE74" i="187"/>
  <c r="AC74" i="187"/>
  <c r="K74" i="187"/>
  <c r="I74" i="187"/>
  <c r="J74" i="187" s="1"/>
  <c r="X74" i="187" s="1"/>
  <c r="AY73" i="187"/>
  <c r="AZ73" i="187" s="1"/>
  <c r="AV73" i="187"/>
  <c r="AW73" i="187" s="1"/>
  <c r="AS73" i="187"/>
  <c r="AT73" i="187" s="1"/>
  <c r="AP73" i="187"/>
  <c r="AQ73" i="187" s="1"/>
  <c r="AM73" i="187"/>
  <c r="AN73" i="187" s="1"/>
  <c r="AJ73" i="187"/>
  <c r="AK73" i="187" s="1"/>
  <c r="AG73" i="187"/>
  <c r="AH73" i="187" s="1"/>
  <c r="AE73" i="187"/>
  <c r="AC73" i="187"/>
  <c r="K73" i="187"/>
  <c r="I73" i="187"/>
  <c r="J73" i="187" s="1"/>
  <c r="X73" i="187" s="1"/>
  <c r="AY72" i="187"/>
  <c r="AZ72" i="187" s="1"/>
  <c r="AV72" i="187"/>
  <c r="AW72" i="187" s="1"/>
  <c r="AS72" i="187"/>
  <c r="AT72" i="187" s="1"/>
  <c r="AP72" i="187"/>
  <c r="AQ72" i="187" s="1"/>
  <c r="AM72" i="187"/>
  <c r="AN72" i="187" s="1"/>
  <c r="AJ72" i="187"/>
  <c r="AK72" i="187" s="1"/>
  <c r="AG72" i="187"/>
  <c r="AH72" i="187" s="1"/>
  <c r="AE72" i="187"/>
  <c r="AC72" i="187"/>
  <c r="K72" i="187"/>
  <c r="I72" i="187"/>
  <c r="J72" i="187" s="1"/>
  <c r="X72" i="187" s="1"/>
  <c r="AY71" i="187"/>
  <c r="AZ71" i="187" s="1"/>
  <c r="AV71" i="187"/>
  <c r="AW71" i="187" s="1"/>
  <c r="AS71" i="187"/>
  <c r="AT71" i="187" s="1"/>
  <c r="AP71" i="187"/>
  <c r="AQ71" i="187" s="1"/>
  <c r="AM71" i="187"/>
  <c r="AN71" i="187" s="1"/>
  <c r="AJ71" i="187"/>
  <c r="AK71" i="187" s="1"/>
  <c r="AG71" i="187"/>
  <c r="AH71" i="187" s="1"/>
  <c r="AE71" i="187"/>
  <c r="AC71" i="187"/>
  <c r="K71" i="187"/>
  <c r="I71" i="187"/>
  <c r="J71" i="187" s="1"/>
  <c r="X71" i="187" s="1"/>
  <c r="AY70" i="187"/>
  <c r="AZ70" i="187" s="1"/>
  <c r="AV70" i="187"/>
  <c r="AW70" i="187" s="1"/>
  <c r="AS70" i="187"/>
  <c r="AT70" i="187" s="1"/>
  <c r="AP70" i="187"/>
  <c r="AQ70" i="187" s="1"/>
  <c r="AM70" i="187"/>
  <c r="AN70" i="187" s="1"/>
  <c r="AJ70" i="187"/>
  <c r="AK70" i="187" s="1"/>
  <c r="AG70" i="187"/>
  <c r="AH70" i="187" s="1"/>
  <c r="AE70" i="187"/>
  <c r="AC70" i="187"/>
  <c r="K70" i="187"/>
  <c r="I70" i="187"/>
  <c r="J70" i="187" s="1"/>
  <c r="X70" i="187" s="1"/>
  <c r="AY69" i="187"/>
  <c r="AZ69" i="187" s="1"/>
  <c r="AV69" i="187"/>
  <c r="AW69" i="187" s="1"/>
  <c r="AS69" i="187"/>
  <c r="AT69" i="187" s="1"/>
  <c r="AP69" i="187"/>
  <c r="AQ69" i="187" s="1"/>
  <c r="AM69" i="187"/>
  <c r="AN69" i="187" s="1"/>
  <c r="AJ69" i="187"/>
  <c r="AK69" i="187" s="1"/>
  <c r="AG69" i="187"/>
  <c r="AH69" i="187" s="1"/>
  <c r="AE69" i="187"/>
  <c r="AC69" i="187"/>
  <c r="K69" i="187"/>
  <c r="I69" i="187"/>
  <c r="J69" i="187" s="1"/>
  <c r="X69" i="187" s="1"/>
  <c r="AY68" i="187"/>
  <c r="AZ68" i="187" s="1"/>
  <c r="AV68" i="187"/>
  <c r="AW68" i="187" s="1"/>
  <c r="AS68" i="187"/>
  <c r="AT68" i="187" s="1"/>
  <c r="AP68" i="187"/>
  <c r="AQ68" i="187" s="1"/>
  <c r="AM68" i="187"/>
  <c r="AN68" i="187" s="1"/>
  <c r="AJ68" i="187"/>
  <c r="AK68" i="187" s="1"/>
  <c r="AG68" i="187"/>
  <c r="AH68" i="187" s="1"/>
  <c r="AE68" i="187"/>
  <c r="AC68" i="187"/>
  <c r="K68" i="187"/>
  <c r="I68" i="187"/>
  <c r="J68" i="187" s="1"/>
  <c r="X68" i="187" s="1"/>
  <c r="T68" i="187" s="1"/>
  <c r="V19" i="190" l="1"/>
  <c r="W19" i="190" s="1"/>
  <c r="AC40" i="190"/>
  <c r="AA58" i="190"/>
  <c r="AA52" i="190"/>
  <c r="AC11" i="190"/>
  <c r="AC33" i="190"/>
  <c r="AC21" i="190"/>
  <c r="V32" i="190"/>
  <c r="W32" i="190" s="1"/>
  <c r="AC34" i="190"/>
  <c r="AC42" i="190"/>
  <c r="V35" i="190"/>
  <c r="W35" i="190" s="1"/>
  <c r="V49" i="190"/>
  <c r="W49" i="190" s="1"/>
  <c r="AX76" i="190"/>
  <c r="AF6" i="35"/>
  <c r="O4" i="190"/>
  <c r="O6" i="35"/>
  <c r="T4" i="190"/>
  <c r="R6" i="35"/>
  <c r="AR76" i="190"/>
  <c r="AD6" i="35"/>
  <c r="P4" i="190"/>
  <c r="P6" i="35"/>
  <c r="L4" i="190"/>
  <c r="L6" i="35"/>
  <c r="V51" i="190"/>
  <c r="W51" i="190" s="1"/>
  <c r="M4" i="190"/>
  <c r="M6" i="35"/>
  <c r="R4" i="190"/>
  <c r="Q6" i="35"/>
  <c r="N4" i="190"/>
  <c r="N6" i="35"/>
  <c r="V28" i="190"/>
  <c r="W28" i="190" s="1"/>
  <c r="AC28" i="190"/>
  <c r="V67" i="190"/>
  <c r="W67" i="190" s="1"/>
  <c r="AA67" i="190"/>
  <c r="V17" i="190"/>
  <c r="W17" i="190" s="1"/>
  <c r="AC17" i="190"/>
  <c r="AC23" i="190"/>
  <c r="V23" i="190"/>
  <c r="W23" i="190" s="1"/>
  <c r="V47" i="190"/>
  <c r="W47" i="190" s="1"/>
  <c r="AA47" i="190"/>
  <c r="AC18" i="190"/>
  <c r="V18" i="190"/>
  <c r="W18" i="190" s="1"/>
  <c r="V57" i="190"/>
  <c r="W57" i="190" s="1"/>
  <c r="AA57" i="190"/>
  <c r="V26" i="190"/>
  <c r="W26" i="190" s="1"/>
  <c r="AC26" i="190"/>
  <c r="AC25" i="190"/>
  <c r="V25" i="190"/>
  <c r="W25" i="190" s="1"/>
  <c r="V62" i="190"/>
  <c r="W62" i="190" s="1"/>
  <c r="AA62" i="190"/>
  <c r="AC24" i="190"/>
  <c r="V24" i="190"/>
  <c r="W24" i="190" s="1"/>
  <c r="V9" i="190"/>
  <c r="W9" i="190" s="1"/>
  <c r="AC9" i="190"/>
  <c r="BA75" i="190"/>
  <c r="BA4" i="190" s="1"/>
  <c r="AC29" i="190"/>
  <c r="V29" i="190"/>
  <c r="W29" i="190" s="1"/>
  <c r="AC45" i="190"/>
  <c r="V45" i="190"/>
  <c r="W45" i="190" s="1"/>
  <c r="V65" i="190"/>
  <c r="W65" i="190" s="1"/>
  <c r="AA65" i="190"/>
  <c r="V22" i="190"/>
  <c r="W22" i="190" s="1"/>
  <c r="AC22" i="190"/>
  <c r="V53" i="190"/>
  <c r="W53" i="190" s="1"/>
  <c r="AA53" i="190"/>
  <c r="V60" i="190"/>
  <c r="W60" i="190" s="1"/>
  <c r="AA60" i="190"/>
  <c r="V43" i="190"/>
  <c r="W43" i="190" s="1"/>
  <c r="AC43" i="190"/>
  <c r="AA63" i="190"/>
  <c r="V63" i="190"/>
  <c r="W63" i="190" s="1"/>
  <c r="AA50" i="190"/>
  <c r="V50" i="190"/>
  <c r="W50" i="190" s="1"/>
  <c r="AC31" i="190"/>
  <c r="V31" i="190"/>
  <c r="W31" i="190" s="1"/>
  <c r="AC41" i="190"/>
  <c r="V41" i="190"/>
  <c r="W41" i="190" s="1"/>
  <c r="V36" i="190"/>
  <c r="W36" i="190" s="1"/>
  <c r="AC36" i="190"/>
  <c r="V55" i="190"/>
  <c r="W55" i="190" s="1"/>
  <c r="AA55" i="190"/>
  <c r="AC39" i="190"/>
  <c r="V39" i="190"/>
  <c r="W39" i="190" s="1"/>
  <c r="AA48" i="190"/>
  <c r="V48" i="190"/>
  <c r="W48" i="190" s="1"/>
  <c r="V27" i="190"/>
  <c r="W27" i="190" s="1"/>
  <c r="AC27" i="190"/>
  <c r="V12" i="190"/>
  <c r="W12" i="190" s="1"/>
  <c r="AC12" i="190"/>
  <c r="AC14" i="190"/>
  <c r="V14" i="190"/>
  <c r="W14" i="190" s="1"/>
  <c r="AA68" i="190"/>
  <c r="V68" i="190"/>
  <c r="W68" i="190" s="1"/>
  <c r="V70" i="190"/>
  <c r="W70" i="190" s="1"/>
  <c r="AA70" i="190"/>
  <c r="AC13" i="190"/>
  <c r="V13" i="190"/>
  <c r="W13" i="190" s="1"/>
  <c r="AC20" i="190"/>
  <c r="V20" i="190"/>
  <c r="W20" i="190" s="1"/>
  <c r="U75" i="190"/>
  <c r="U4" i="190" s="1"/>
  <c r="V8" i="190"/>
  <c r="AC8" i="190"/>
  <c r="V46" i="190"/>
  <c r="W46" i="190" s="1"/>
  <c r="AA46" i="190"/>
  <c r="V72" i="190"/>
  <c r="W72" i="190" s="1"/>
  <c r="AA72" i="190"/>
  <c r="AC30" i="190"/>
  <c r="V30" i="190"/>
  <c r="W30" i="190" s="1"/>
  <c r="AC15" i="190"/>
  <c r="V15" i="190"/>
  <c r="W15" i="190" s="1"/>
  <c r="V74" i="190"/>
  <c r="W74" i="190" s="1"/>
  <c r="AA74" i="190"/>
  <c r="V37" i="190"/>
  <c r="W37" i="190" s="1"/>
  <c r="AC37" i="190"/>
  <c r="O77" i="187"/>
  <c r="O73" i="187"/>
  <c r="O91" i="187"/>
  <c r="M71" i="187"/>
  <c r="O88" i="187"/>
  <c r="O74" i="187"/>
  <c r="O86" i="187"/>
  <c r="M94" i="187"/>
  <c r="BA56" i="187"/>
  <c r="BA54" i="187"/>
  <c r="M96" i="187"/>
  <c r="O65" i="187"/>
  <c r="M73" i="187"/>
  <c r="O76" i="187"/>
  <c r="P67" i="187"/>
  <c r="M75" i="187"/>
  <c r="M77" i="187"/>
  <c r="P69" i="187"/>
  <c r="O79" i="187"/>
  <c r="L65" i="187"/>
  <c r="M82" i="187"/>
  <c r="O84" i="187"/>
  <c r="M69" i="187"/>
  <c r="O75" i="187"/>
  <c r="BA47" i="187"/>
  <c r="BA62" i="187"/>
  <c r="BA76" i="187"/>
  <c r="BA43" i="187"/>
  <c r="BA51" i="187"/>
  <c r="BA60" i="187"/>
  <c r="BA55" i="187"/>
  <c r="BA39" i="187"/>
  <c r="BA44" i="187"/>
  <c r="BA45" i="187"/>
  <c r="N70" i="187"/>
  <c r="R70" i="187"/>
  <c r="BA38" i="187"/>
  <c r="P64" i="187"/>
  <c r="L64" i="187"/>
  <c r="O64" i="187"/>
  <c r="M64" i="187"/>
  <c r="T64" i="187"/>
  <c r="N64" i="187"/>
  <c r="R64" i="187"/>
  <c r="BA40" i="187"/>
  <c r="BA41" i="187"/>
  <c r="BA42" i="187"/>
  <c r="BA49" i="187"/>
  <c r="BA90" i="187"/>
  <c r="BA53" i="187"/>
  <c r="L71" i="187"/>
  <c r="BA50" i="187"/>
  <c r="P66" i="187"/>
  <c r="L66" i="187"/>
  <c r="O66" i="187"/>
  <c r="T66" i="187"/>
  <c r="R66" i="187"/>
  <c r="O81" i="187"/>
  <c r="BA86" i="187"/>
  <c r="M66" i="187"/>
  <c r="R82" i="187"/>
  <c r="R94" i="187"/>
  <c r="BA46" i="187"/>
  <c r="BA61" i="187"/>
  <c r="BA63" i="187"/>
  <c r="BA64" i="187"/>
  <c r="N66" i="187"/>
  <c r="T67" i="187"/>
  <c r="N67" i="187"/>
  <c r="R67" i="187"/>
  <c r="M67" i="187"/>
  <c r="O67" i="187"/>
  <c r="L67" i="187"/>
  <c r="BA88" i="187"/>
  <c r="BA52" i="187"/>
  <c r="BA58" i="187"/>
  <c r="BA70" i="187"/>
  <c r="P71" i="187"/>
  <c r="R71" i="187"/>
  <c r="BA48" i="187"/>
  <c r="BA66" i="187"/>
  <c r="BA57" i="187"/>
  <c r="BA65" i="187"/>
  <c r="BA78" i="187"/>
  <c r="O93" i="187"/>
  <c r="BA95" i="187"/>
  <c r="BA59" i="187"/>
  <c r="T65" i="187"/>
  <c r="N65" i="187"/>
  <c r="R65" i="187"/>
  <c r="M65" i="187"/>
  <c r="P65" i="187"/>
  <c r="BA67" i="187"/>
  <c r="BA72" i="187"/>
  <c r="BA68" i="187"/>
  <c r="R68" i="187"/>
  <c r="P72" i="187"/>
  <c r="L72" i="187"/>
  <c r="BA83" i="187"/>
  <c r="O89" i="187"/>
  <c r="M89" i="187"/>
  <c r="M68" i="187"/>
  <c r="BA71" i="187"/>
  <c r="M72" i="187"/>
  <c r="T72" i="187"/>
  <c r="P74" i="187"/>
  <c r="L74" i="187"/>
  <c r="T74" i="187"/>
  <c r="N74" i="187"/>
  <c r="R74" i="187"/>
  <c r="P76" i="187"/>
  <c r="L76" i="187"/>
  <c r="T76" i="187"/>
  <c r="N76" i="187"/>
  <c r="R76" i="187"/>
  <c r="BA77" i="187"/>
  <c r="P80" i="187"/>
  <c r="L80" i="187"/>
  <c r="O80" i="187"/>
  <c r="T80" i="187"/>
  <c r="N80" i="187"/>
  <c r="BA80" i="187"/>
  <c r="P68" i="187"/>
  <c r="L68" i="187"/>
  <c r="P78" i="187"/>
  <c r="L78" i="187"/>
  <c r="O78" i="187"/>
  <c r="T78" i="187"/>
  <c r="N78" i="187"/>
  <c r="T83" i="187"/>
  <c r="N83" i="187"/>
  <c r="R83" i="187"/>
  <c r="M83" i="187"/>
  <c r="P83" i="187"/>
  <c r="L83" i="187"/>
  <c r="O85" i="187"/>
  <c r="M85" i="187"/>
  <c r="L69" i="187"/>
  <c r="R69" i="187"/>
  <c r="BA69" i="187"/>
  <c r="M70" i="187"/>
  <c r="T70" i="187"/>
  <c r="N68" i="187"/>
  <c r="N72" i="187"/>
  <c r="BA73" i="187"/>
  <c r="BA75" i="187"/>
  <c r="M78" i="187"/>
  <c r="T79" i="187"/>
  <c r="N79" i="187"/>
  <c r="R79" i="187"/>
  <c r="M79" i="187"/>
  <c r="P79" i="187"/>
  <c r="L79" i="187"/>
  <c r="BA79" i="187"/>
  <c r="P82" i="187"/>
  <c r="L82" i="187"/>
  <c r="O82" i="187"/>
  <c r="T82" i="187"/>
  <c r="N82" i="187"/>
  <c r="BA82" i="187"/>
  <c r="O83" i="187"/>
  <c r="O87" i="187"/>
  <c r="M87" i="187"/>
  <c r="P70" i="187"/>
  <c r="L70" i="187"/>
  <c r="R72" i="187"/>
  <c r="BA74" i="187"/>
  <c r="P84" i="187"/>
  <c r="L84" i="187"/>
  <c r="N84" i="187"/>
  <c r="T84" i="187"/>
  <c r="M84" i="187"/>
  <c r="R84" i="187"/>
  <c r="O68" i="187"/>
  <c r="T69" i="187"/>
  <c r="N69" i="187"/>
  <c r="O69" i="187"/>
  <c r="O70" i="187"/>
  <c r="T71" i="187"/>
  <c r="N71" i="187"/>
  <c r="O71" i="187"/>
  <c r="O72" i="187"/>
  <c r="T73" i="187"/>
  <c r="N73" i="187"/>
  <c r="P73" i="187"/>
  <c r="L73" i="187"/>
  <c r="R73" i="187"/>
  <c r="M74" i="187"/>
  <c r="T75" i="187"/>
  <c r="N75" i="187"/>
  <c r="P75" i="187"/>
  <c r="L75" i="187"/>
  <c r="R75" i="187"/>
  <c r="M76" i="187"/>
  <c r="T77" i="187"/>
  <c r="N77" i="187"/>
  <c r="P77" i="187"/>
  <c r="L77" i="187"/>
  <c r="R77" i="187"/>
  <c r="R78" i="187"/>
  <c r="M80" i="187"/>
  <c r="T81" i="187"/>
  <c r="N81" i="187"/>
  <c r="R81" i="187"/>
  <c r="M81" i="187"/>
  <c r="P81" i="187"/>
  <c r="L81" i="187"/>
  <c r="BA81" i="187"/>
  <c r="P90" i="187"/>
  <c r="L90" i="187"/>
  <c r="O90" i="187"/>
  <c r="T90" i="187"/>
  <c r="N90" i="187"/>
  <c r="R90" i="187"/>
  <c r="M90" i="187"/>
  <c r="T95" i="187"/>
  <c r="N95" i="187"/>
  <c r="R95" i="187"/>
  <c r="M95" i="187"/>
  <c r="P95" i="187"/>
  <c r="L95" i="187"/>
  <c r="O95" i="187"/>
  <c r="P86" i="187"/>
  <c r="L86" i="187"/>
  <c r="T86" i="187"/>
  <c r="N86" i="187"/>
  <c r="R86" i="187"/>
  <c r="P88" i="187"/>
  <c r="L88" i="187"/>
  <c r="T88" i="187"/>
  <c r="N88" i="187"/>
  <c r="R88" i="187"/>
  <c r="BA89" i="187"/>
  <c r="P92" i="187"/>
  <c r="L92" i="187"/>
  <c r="O92" i="187"/>
  <c r="T92" i="187"/>
  <c r="N92" i="187"/>
  <c r="BA92" i="187"/>
  <c r="T97" i="187"/>
  <c r="N97" i="187"/>
  <c r="R97" i="187"/>
  <c r="M97" i="187"/>
  <c r="P97" i="187"/>
  <c r="L97" i="187"/>
  <c r="BA97" i="187"/>
  <c r="BA84" i="187"/>
  <c r="BA85" i="187"/>
  <c r="BA87" i="187"/>
  <c r="T91" i="187"/>
  <c r="N91" i="187"/>
  <c r="R91" i="187"/>
  <c r="M91" i="187"/>
  <c r="P91" i="187"/>
  <c r="L91" i="187"/>
  <c r="BA91" i="187"/>
  <c r="P94" i="187"/>
  <c r="L94" i="187"/>
  <c r="O94" i="187"/>
  <c r="T94" i="187"/>
  <c r="N94" i="187"/>
  <c r="BA94" i="187"/>
  <c r="T85" i="187"/>
  <c r="N85" i="187"/>
  <c r="P85" i="187"/>
  <c r="L85" i="187"/>
  <c r="R85" i="187"/>
  <c r="M86" i="187"/>
  <c r="T87" i="187"/>
  <c r="N87" i="187"/>
  <c r="P87" i="187"/>
  <c r="L87" i="187"/>
  <c r="R87" i="187"/>
  <c r="M88" i="187"/>
  <c r="T89" i="187"/>
  <c r="N89" i="187"/>
  <c r="P89" i="187"/>
  <c r="L89" i="187"/>
  <c r="R89" i="187"/>
  <c r="M92" i="187"/>
  <c r="T93" i="187"/>
  <c r="N93" i="187"/>
  <c r="R93" i="187"/>
  <c r="M93" i="187"/>
  <c r="P93" i="187"/>
  <c r="L93" i="187"/>
  <c r="BA93" i="187"/>
  <c r="P96" i="187"/>
  <c r="L96" i="187"/>
  <c r="O96" i="187"/>
  <c r="T96" i="187"/>
  <c r="N96" i="187"/>
  <c r="BA96" i="187"/>
  <c r="O97" i="187"/>
  <c r="K9" i="50"/>
  <c r="K10" i="50"/>
  <c r="K11" i="50"/>
  <c r="K12" i="50"/>
  <c r="K13" i="50"/>
  <c r="K14" i="50"/>
  <c r="K15" i="50"/>
  <c r="K16" i="50"/>
  <c r="K17" i="50"/>
  <c r="K18" i="50"/>
  <c r="K19" i="50"/>
  <c r="K20" i="50"/>
  <c r="K21" i="50"/>
  <c r="K22" i="50"/>
  <c r="K23" i="50"/>
  <c r="K24" i="50"/>
  <c r="K25" i="50"/>
  <c r="K26" i="50"/>
  <c r="K27" i="50"/>
  <c r="K28" i="50"/>
  <c r="K29" i="50"/>
  <c r="K30" i="50"/>
  <c r="K31" i="50"/>
  <c r="K32" i="50"/>
  <c r="K33" i="50"/>
  <c r="K34" i="50"/>
  <c r="K35" i="50"/>
  <c r="K36" i="50"/>
  <c r="K37" i="50"/>
  <c r="K38" i="50"/>
  <c r="K39" i="50"/>
  <c r="K40" i="50"/>
  <c r="K41" i="50"/>
  <c r="K42" i="50"/>
  <c r="K43" i="50"/>
  <c r="K44" i="50"/>
  <c r="K45" i="50"/>
  <c r="K46" i="50"/>
  <c r="K47" i="50"/>
  <c r="K48" i="50"/>
  <c r="K49" i="50"/>
  <c r="K50" i="50"/>
  <c r="K51" i="50"/>
  <c r="K52" i="50"/>
  <c r="K53" i="50"/>
  <c r="K54" i="50"/>
  <c r="K55" i="50"/>
  <c r="K56" i="50"/>
  <c r="K57" i="50"/>
  <c r="K58" i="50"/>
  <c r="K59" i="50"/>
  <c r="K60" i="50"/>
  <c r="K61" i="50"/>
  <c r="K62" i="50"/>
  <c r="K63" i="50"/>
  <c r="K64" i="50"/>
  <c r="K65" i="50"/>
  <c r="K66" i="50"/>
  <c r="K67" i="50"/>
  <c r="K68" i="50"/>
  <c r="K69" i="50"/>
  <c r="K70" i="50"/>
  <c r="K71" i="50"/>
  <c r="K72" i="50"/>
  <c r="K73" i="50"/>
  <c r="K74" i="50"/>
  <c r="K8" i="50"/>
  <c r="AT4" i="50"/>
  <c r="AZ4" i="50"/>
  <c r="K9" i="187"/>
  <c r="K10" i="187"/>
  <c r="K11" i="187"/>
  <c r="K12" i="187"/>
  <c r="K13" i="187"/>
  <c r="K14" i="187"/>
  <c r="K15" i="187"/>
  <c r="K16" i="187"/>
  <c r="K17" i="187"/>
  <c r="K18" i="187"/>
  <c r="K19" i="187"/>
  <c r="K20" i="187"/>
  <c r="K21" i="187"/>
  <c r="K22" i="187"/>
  <c r="K23" i="187"/>
  <c r="K24" i="187"/>
  <c r="K25" i="187"/>
  <c r="K26" i="187"/>
  <c r="K27" i="187"/>
  <c r="K28" i="187"/>
  <c r="K29" i="187"/>
  <c r="K30" i="187"/>
  <c r="K31" i="187"/>
  <c r="K32" i="187"/>
  <c r="K33" i="187"/>
  <c r="K34" i="187"/>
  <c r="K35" i="187"/>
  <c r="K36" i="187"/>
  <c r="K37" i="187"/>
  <c r="K98" i="187"/>
  <c r="K8" i="187"/>
  <c r="AA75" i="190" l="1"/>
  <c r="S6" i="35" s="1"/>
  <c r="AC75" i="190"/>
  <c r="T6" i="35" s="1"/>
  <c r="W8" i="190"/>
  <c r="W75" i="190" s="1"/>
  <c r="V75" i="190"/>
  <c r="V4" i="190" s="1"/>
  <c r="U65" i="187"/>
  <c r="AA59" i="187"/>
  <c r="AA50" i="187"/>
  <c r="U67" i="187"/>
  <c r="U66" i="187"/>
  <c r="U87" i="187"/>
  <c r="V87" i="187" s="1"/>
  <c r="U75" i="187"/>
  <c r="AA75" i="187" s="1"/>
  <c r="U71" i="187"/>
  <c r="V71" i="187" s="1"/>
  <c r="U82" i="187"/>
  <c r="AA82" i="187" s="1"/>
  <c r="U68" i="187"/>
  <c r="V68" i="187" s="1"/>
  <c r="U76" i="187"/>
  <c r="V76" i="187" s="1"/>
  <c r="U64" i="187"/>
  <c r="AC64" i="187" s="1"/>
  <c r="U91" i="187"/>
  <c r="U92" i="187"/>
  <c r="U81" i="187"/>
  <c r="U83" i="187"/>
  <c r="U74" i="187"/>
  <c r="U93" i="187"/>
  <c r="U89" i="187"/>
  <c r="U85" i="187"/>
  <c r="U94" i="187"/>
  <c r="U90" i="187"/>
  <c r="U77" i="187"/>
  <c r="U73" i="187"/>
  <c r="U69" i="187"/>
  <c r="U78" i="187"/>
  <c r="U80" i="187"/>
  <c r="U72" i="187"/>
  <c r="U86" i="187"/>
  <c r="U96" i="187"/>
  <c r="U97" i="187"/>
  <c r="U88" i="187"/>
  <c r="U95" i="187"/>
  <c r="U84" i="187"/>
  <c r="U70" i="187"/>
  <c r="U79" i="187"/>
  <c r="AA76" i="190" l="1"/>
  <c r="V65" i="187"/>
  <c r="AC65" i="187"/>
  <c r="AA65" i="187"/>
  <c r="AA87" i="187"/>
  <c r="AA61" i="187"/>
  <c r="AA68" i="187"/>
  <c r="AA63" i="187"/>
  <c r="V75" i="187"/>
  <c r="AA39" i="187"/>
  <c r="AA76" i="187"/>
  <c r="AA55" i="187"/>
  <c r="V82" i="187"/>
  <c r="AA52" i="187"/>
  <c r="AA38" i="187"/>
  <c r="V64" i="187"/>
  <c r="AA64" i="187"/>
  <c r="AA45" i="187"/>
  <c r="AA57" i="187"/>
  <c r="AA42" i="187"/>
  <c r="AA62" i="187"/>
  <c r="AA44" i="187"/>
  <c r="V66" i="187"/>
  <c r="AA66" i="187"/>
  <c r="AA60" i="187"/>
  <c r="AA71" i="187"/>
  <c r="AA40" i="187"/>
  <c r="AA53" i="187"/>
  <c r="AA67" i="187"/>
  <c r="V67" i="187"/>
  <c r="AA43" i="187"/>
  <c r="AA56" i="187"/>
  <c r="AA46" i="187"/>
  <c r="AA54" i="187"/>
  <c r="AA47" i="187"/>
  <c r="AA41" i="187"/>
  <c r="AA58" i="187"/>
  <c r="AA48" i="187"/>
  <c r="AA51" i="187"/>
  <c r="AA49" i="187"/>
  <c r="V79" i="187"/>
  <c r="AA79" i="187"/>
  <c r="V70" i="187"/>
  <c r="AA70" i="187"/>
  <c r="V97" i="187"/>
  <c r="AA97" i="187"/>
  <c r="V69" i="187"/>
  <c r="AA69" i="187"/>
  <c r="V94" i="187"/>
  <c r="AA94" i="187"/>
  <c r="V81" i="187"/>
  <c r="AA81" i="187"/>
  <c r="V90" i="187"/>
  <c r="AA90" i="187"/>
  <c r="V93" i="187"/>
  <c r="AA93" i="187"/>
  <c r="V84" i="187"/>
  <c r="AA84" i="187"/>
  <c r="V96" i="187"/>
  <c r="AA96" i="187"/>
  <c r="V72" i="187"/>
  <c r="AA72" i="187"/>
  <c r="V73" i="187"/>
  <c r="AA73" i="187"/>
  <c r="V85" i="187"/>
  <c r="AA85" i="187"/>
  <c r="V92" i="187"/>
  <c r="AA92" i="187"/>
  <c r="V88" i="187"/>
  <c r="AA88" i="187"/>
  <c r="V78" i="187"/>
  <c r="AA78" i="187"/>
  <c r="V83" i="187"/>
  <c r="AA83" i="187"/>
  <c r="V95" i="187"/>
  <c r="AA95" i="187"/>
  <c r="V86" i="187"/>
  <c r="AA86" i="187"/>
  <c r="V80" i="187"/>
  <c r="AA80" i="187"/>
  <c r="V77" i="187"/>
  <c r="AA77" i="187"/>
  <c r="V89" i="187"/>
  <c r="AA89" i="187"/>
  <c r="V74" i="187"/>
  <c r="AA74" i="187"/>
  <c r="V91" i="187"/>
  <c r="AA91" i="187"/>
  <c r="E307" i="40"/>
  <c r="E308" i="40"/>
  <c r="E309" i="40"/>
  <c r="E310" i="40"/>
  <c r="E311" i="40"/>
  <c r="E312" i="40"/>
  <c r="E313" i="40"/>
  <c r="E314" i="40"/>
  <c r="E315" i="40"/>
  <c r="E316" i="40"/>
  <c r="E317" i="40"/>
  <c r="E318" i="40"/>
  <c r="E319" i="40"/>
  <c r="E320" i="40"/>
  <c r="E321" i="40"/>
  <c r="E306" i="40"/>
  <c r="W64" i="187" l="1"/>
  <c r="W92" i="187" l="1"/>
  <c r="W65" i="187"/>
  <c r="W66" i="187"/>
  <c r="W67" i="187"/>
  <c r="W79" i="187"/>
  <c r="W93" i="187"/>
  <c r="W89" i="187"/>
  <c r="W90" i="187"/>
  <c r="W97" i="187"/>
  <c r="W81" i="187"/>
  <c r="W96" i="187"/>
  <c r="W74" i="187"/>
  <c r="W70" i="187"/>
  <c r="W71" i="187"/>
  <c r="W82" i="187"/>
  <c r="W76" i="187"/>
  <c r="W87" i="187"/>
  <c r="W68" i="187"/>
  <c r="W75" i="187"/>
  <c r="W88" i="187"/>
  <c r="W73" i="187"/>
  <c r="W95" i="187"/>
  <c r="W77" i="187"/>
  <c r="W86" i="187"/>
  <c r="W72" i="187"/>
  <c r="W80" i="187"/>
  <c r="W84" i="187"/>
  <c r="W85" i="187"/>
  <c r="W94" i="187"/>
  <c r="W83" i="187"/>
  <c r="W78" i="187"/>
  <c r="W69" i="187"/>
  <c r="W91" i="187"/>
  <c r="E1" i="50"/>
  <c r="B3" i="50" l="1"/>
  <c r="AX99" i="187"/>
  <c r="AU99" i="187"/>
  <c r="AR99" i="187"/>
  <c r="AO99" i="187"/>
  <c r="AL99" i="187"/>
  <c r="AI99" i="187"/>
  <c r="AF99" i="187"/>
  <c r="F99" i="187"/>
  <c r="H4" i="35" s="1"/>
  <c r="AY98" i="187"/>
  <c r="AZ98" i="187" s="1"/>
  <c r="AV98" i="187"/>
  <c r="AW98" i="187" s="1"/>
  <c r="AS98" i="187"/>
  <c r="AT98" i="187" s="1"/>
  <c r="AP98" i="187"/>
  <c r="AQ98" i="187" s="1"/>
  <c r="AM98" i="187"/>
  <c r="AN98" i="187" s="1"/>
  <c r="AJ98" i="187"/>
  <c r="AK98" i="187" s="1"/>
  <c r="AG98" i="187"/>
  <c r="AH98" i="187" s="1"/>
  <c r="AE98" i="187"/>
  <c r="AC98" i="187"/>
  <c r="I98" i="187"/>
  <c r="AY37" i="187"/>
  <c r="AZ37" i="187" s="1"/>
  <c r="AV37" i="187"/>
  <c r="AW37" i="187" s="1"/>
  <c r="AS37" i="187"/>
  <c r="AT37" i="187" s="1"/>
  <c r="AP37" i="187"/>
  <c r="AQ37" i="187" s="1"/>
  <c r="AE37" i="187"/>
  <c r="I37" i="187"/>
  <c r="AY36" i="187"/>
  <c r="AZ36" i="187" s="1"/>
  <c r="AV36" i="187"/>
  <c r="AW36" i="187" s="1"/>
  <c r="AS36" i="187"/>
  <c r="AT36" i="187" s="1"/>
  <c r="AP36" i="187"/>
  <c r="AQ36" i="187" s="1"/>
  <c r="AE36" i="187"/>
  <c r="I36" i="187"/>
  <c r="AY35" i="187"/>
  <c r="AZ35" i="187" s="1"/>
  <c r="AV35" i="187"/>
  <c r="AW35" i="187" s="1"/>
  <c r="AS35" i="187"/>
  <c r="AT35" i="187" s="1"/>
  <c r="AP35" i="187"/>
  <c r="AQ35" i="187" s="1"/>
  <c r="AE35" i="187"/>
  <c r="I35" i="187"/>
  <c r="AY34" i="187"/>
  <c r="AZ34" i="187" s="1"/>
  <c r="AV34" i="187"/>
  <c r="AW34" i="187" s="1"/>
  <c r="AS34" i="187"/>
  <c r="AT34" i="187" s="1"/>
  <c r="AP34" i="187"/>
  <c r="AQ34" i="187" s="1"/>
  <c r="AE34" i="187"/>
  <c r="I34" i="187"/>
  <c r="AY33" i="187"/>
  <c r="AZ33" i="187" s="1"/>
  <c r="AV33" i="187"/>
  <c r="AW33" i="187" s="1"/>
  <c r="AS33" i="187"/>
  <c r="AT33" i="187" s="1"/>
  <c r="AP33" i="187"/>
  <c r="AQ33" i="187" s="1"/>
  <c r="AE33" i="187"/>
  <c r="I33" i="187"/>
  <c r="AY32" i="187"/>
  <c r="AZ32" i="187" s="1"/>
  <c r="AV32" i="187"/>
  <c r="AW32" i="187" s="1"/>
  <c r="AS32" i="187"/>
  <c r="AT32" i="187" s="1"/>
  <c r="AP32" i="187"/>
  <c r="AQ32" i="187" s="1"/>
  <c r="AE32" i="187"/>
  <c r="I32" i="187"/>
  <c r="AY31" i="187"/>
  <c r="AZ31" i="187" s="1"/>
  <c r="AV31" i="187"/>
  <c r="AW31" i="187" s="1"/>
  <c r="AS31" i="187"/>
  <c r="AT31" i="187" s="1"/>
  <c r="AP31" i="187"/>
  <c r="AQ31" i="187" s="1"/>
  <c r="AE31" i="187"/>
  <c r="I31" i="187"/>
  <c r="AY30" i="187"/>
  <c r="AZ30" i="187" s="1"/>
  <c r="AV30" i="187"/>
  <c r="AW30" i="187" s="1"/>
  <c r="AS30" i="187"/>
  <c r="AT30" i="187" s="1"/>
  <c r="AP30" i="187"/>
  <c r="AQ30" i="187" s="1"/>
  <c r="AE30" i="187"/>
  <c r="I30" i="187"/>
  <c r="AY29" i="187"/>
  <c r="AZ29" i="187" s="1"/>
  <c r="AV29" i="187"/>
  <c r="AW29" i="187" s="1"/>
  <c r="AS29" i="187"/>
  <c r="AT29" i="187" s="1"/>
  <c r="AP29" i="187"/>
  <c r="AQ29" i="187" s="1"/>
  <c r="AE29" i="187"/>
  <c r="I29" i="187"/>
  <c r="AY28" i="187"/>
  <c r="AZ28" i="187" s="1"/>
  <c r="AV28" i="187"/>
  <c r="AW28" i="187" s="1"/>
  <c r="AS28" i="187"/>
  <c r="AT28" i="187" s="1"/>
  <c r="AP28" i="187"/>
  <c r="AQ28" i="187" s="1"/>
  <c r="AE28" i="187"/>
  <c r="I28" i="187"/>
  <c r="AY27" i="187"/>
  <c r="AZ27" i="187" s="1"/>
  <c r="AV27" i="187"/>
  <c r="AW27" i="187" s="1"/>
  <c r="AS27" i="187"/>
  <c r="AT27" i="187" s="1"/>
  <c r="AP27" i="187"/>
  <c r="AQ27" i="187" s="1"/>
  <c r="AE27" i="187"/>
  <c r="I27" i="187"/>
  <c r="AY26" i="187"/>
  <c r="AZ26" i="187" s="1"/>
  <c r="AV26" i="187"/>
  <c r="AW26" i="187" s="1"/>
  <c r="AS26" i="187"/>
  <c r="AT26" i="187" s="1"/>
  <c r="AP26" i="187"/>
  <c r="AQ26" i="187" s="1"/>
  <c r="AE26" i="187"/>
  <c r="I26" i="187"/>
  <c r="AY25" i="187"/>
  <c r="AZ25" i="187" s="1"/>
  <c r="AV25" i="187"/>
  <c r="AW25" i="187" s="1"/>
  <c r="AS25" i="187"/>
  <c r="AT25" i="187" s="1"/>
  <c r="AP25" i="187"/>
  <c r="AQ25" i="187" s="1"/>
  <c r="AE25" i="187"/>
  <c r="I25" i="187"/>
  <c r="AY24" i="187"/>
  <c r="AZ24" i="187" s="1"/>
  <c r="AV24" i="187"/>
  <c r="AW24" i="187" s="1"/>
  <c r="AS24" i="187"/>
  <c r="AT24" i="187" s="1"/>
  <c r="AP24" i="187"/>
  <c r="AQ24" i="187" s="1"/>
  <c r="AE24" i="187"/>
  <c r="I24" i="187"/>
  <c r="AY23" i="187"/>
  <c r="AZ23" i="187" s="1"/>
  <c r="AV23" i="187"/>
  <c r="AW23" i="187" s="1"/>
  <c r="AS23" i="187"/>
  <c r="AT23" i="187" s="1"/>
  <c r="AP23" i="187"/>
  <c r="AQ23" i="187" s="1"/>
  <c r="AE23" i="187"/>
  <c r="I23" i="187"/>
  <c r="AY22" i="187"/>
  <c r="AZ22" i="187" s="1"/>
  <c r="AV22" i="187"/>
  <c r="AW22" i="187" s="1"/>
  <c r="AS22" i="187"/>
  <c r="AT22" i="187" s="1"/>
  <c r="AP22" i="187"/>
  <c r="AQ22" i="187" s="1"/>
  <c r="AE22" i="187"/>
  <c r="I22" i="187"/>
  <c r="AY21" i="187"/>
  <c r="AZ21" i="187" s="1"/>
  <c r="AV21" i="187"/>
  <c r="AW21" i="187" s="1"/>
  <c r="AS21" i="187"/>
  <c r="AT21" i="187" s="1"/>
  <c r="AP21" i="187"/>
  <c r="AQ21" i="187" s="1"/>
  <c r="AE21" i="187"/>
  <c r="I21" i="187"/>
  <c r="AY20" i="187"/>
  <c r="AZ20" i="187" s="1"/>
  <c r="AV20" i="187"/>
  <c r="AW20" i="187" s="1"/>
  <c r="AS20" i="187"/>
  <c r="AT20" i="187" s="1"/>
  <c r="AP20" i="187"/>
  <c r="AQ20" i="187" s="1"/>
  <c r="AE20" i="187"/>
  <c r="I20" i="187"/>
  <c r="AY19" i="187"/>
  <c r="AZ19" i="187" s="1"/>
  <c r="AV19" i="187"/>
  <c r="AW19" i="187" s="1"/>
  <c r="AS19" i="187"/>
  <c r="AT19" i="187" s="1"/>
  <c r="AP19" i="187"/>
  <c r="AQ19" i="187" s="1"/>
  <c r="AE19" i="187"/>
  <c r="I19" i="187"/>
  <c r="AY18" i="187"/>
  <c r="AZ18" i="187" s="1"/>
  <c r="AV18" i="187"/>
  <c r="AW18" i="187" s="1"/>
  <c r="AS18" i="187"/>
  <c r="AT18" i="187" s="1"/>
  <c r="AP18" i="187"/>
  <c r="AQ18" i="187" s="1"/>
  <c r="AE18" i="187"/>
  <c r="I18" i="187"/>
  <c r="AY17" i="187"/>
  <c r="AZ17" i="187" s="1"/>
  <c r="AV17" i="187"/>
  <c r="AW17" i="187" s="1"/>
  <c r="AS17" i="187"/>
  <c r="AT17" i="187" s="1"/>
  <c r="AP17" i="187"/>
  <c r="AQ17" i="187" s="1"/>
  <c r="AE17" i="187"/>
  <c r="I17" i="187"/>
  <c r="AY16" i="187"/>
  <c r="AZ16" i="187" s="1"/>
  <c r="AV16" i="187"/>
  <c r="AW16" i="187" s="1"/>
  <c r="AS16" i="187"/>
  <c r="AT16" i="187" s="1"/>
  <c r="AP16" i="187"/>
  <c r="AQ16" i="187" s="1"/>
  <c r="AE16" i="187"/>
  <c r="I16" i="187"/>
  <c r="AY15" i="187"/>
  <c r="AZ15" i="187" s="1"/>
  <c r="AV15" i="187"/>
  <c r="AW15" i="187" s="1"/>
  <c r="AS15" i="187"/>
  <c r="AT15" i="187" s="1"/>
  <c r="AP15" i="187"/>
  <c r="AQ15" i="187" s="1"/>
  <c r="AE15" i="187"/>
  <c r="I15" i="187"/>
  <c r="AY14" i="187"/>
  <c r="AZ14" i="187" s="1"/>
  <c r="AV14" i="187"/>
  <c r="AW14" i="187" s="1"/>
  <c r="AS14" i="187"/>
  <c r="AT14" i="187" s="1"/>
  <c r="AP14" i="187"/>
  <c r="AQ14" i="187" s="1"/>
  <c r="AE14" i="187"/>
  <c r="I14" i="187"/>
  <c r="AY13" i="187"/>
  <c r="AZ13" i="187" s="1"/>
  <c r="AV13" i="187"/>
  <c r="AW13" i="187" s="1"/>
  <c r="AS13" i="187"/>
  <c r="AT13" i="187" s="1"/>
  <c r="AP13" i="187"/>
  <c r="AQ13" i="187" s="1"/>
  <c r="AE13" i="187"/>
  <c r="I13" i="187"/>
  <c r="AY12" i="187"/>
  <c r="AZ12" i="187" s="1"/>
  <c r="AV12" i="187"/>
  <c r="AW12" i="187" s="1"/>
  <c r="AS12" i="187"/>
  <c r="AT12" i="187" s="1"/>
  <c r="AP12" i="187"/>
  <c r="AQ12" i="187" s="1"/>
  <c r="AM12" i="187"/>
  <c r="AN12" i="187" s="1"/>
  <c r="AJ12" i="187"/>
  <c r="AK12" i="187" s="1"/>
  <c r="AG12" i="187"/>
  <c r="AH12" i="187" s="1"/>
  <c r="AE12" i="187"/>
  <c r="I12" i="187"/>
  <c r="AY11" i="187"/>
  <c r="AZ11" i="187" s="1"/>
  <c r="AV11" i="187"/>
  <c r="AW11" i="187" s="1"/>
  <c r="AS11" i="187"/>
  <c r="AT11" i="187" s="1"/>
  <c r="AP11" i="187"/>
  <c r="AQ11" i="187" s="1"/>
  <c r="AM11" i="187"/>
  <c r="AN11" i="187" s="1"/>
  <c r="AJ11" i="187"/>
  <c r="AK11" i="187" s="1"/>
  <c r="AG11" i="187"/>
  <c r="AH11" i="187" s="1"/>
  <c r="AE11" i="187"/>
  <c r="I11" i="187"/>
  <c r="AY10" i="187"/>
  <c r="AZ10" i="187" s="1"/>
  <c r="AV10" i="187"/>
  <c r="AW10" i="187" s="1"/>
  <c r="AS10" i="187"/>
  <c r="AT10" i="187" s="1"/>
  <c r="AP10" i="187"/>
  <c r="AQ10" i="187" s="1"/>
  <c r="AM10" i="187"/>
  <c r="AN10" i="187" s="1"/>
  <c r="AJ10" i="187"/>
  <c r="AK10" i="187" s="1"/>
  <c r="AG10" i="187"/>
  <c r="AH10" i="187" s="1"/>
  <c r="AE10" i="187"/>
  <c r="I10" i="187"/>
  <c r="AY9" i="187"/>
  <c r="AZ9" i="187" s="1"/>
  <c r="AV9" i="187"/>
  <c r="AW9" i="187" s="1"/>
  <c r="AS9" i="187"/>
  <c r="AT9" i="187" s="1"/>
  <c r="AP9" i="187"/>
  <c r="AQ9" i="187" s="1"/>
  <c r="AM9" i="187"/>
  <c r="AN9" i="187" s="1"/>
  <c r="AJ9" i="187"/>
  <c r="AK9" i="187" s="1"/>
  <c r="AG9" i="187"/>
  <c r="AH9" i="187" s="1"/>
  <c r="AE9" i="187"/>
  <c r="I9" i="187"/>
  <c r="AY8" i="187"/>
  <c r="AZ8" i="187" s="1"/>
  <c r="AV8" i="187"/>
  <c r="AW8" i="187" s="1"/>
  <c r="AS8" i="187"/>
  <c r="AT8" i="187" s="1"/>
  <c r="AP8" i="187"/>
  <c r="AQ8" i="187" s="1"/>
  <c r="AM8" i="187"/>
  <c r="AN8" i="187" s="1"/>
  <c r="AJ8" i="187"/>
  <c r="AK8" i="187" s="1"/>
  <c r="AG8" i="187"/>
  <c r="AH8" i="187" s="1"/>
  <c r="AE8" i="187"/>
  <c r="I8" i="187"/>
  <c r="S4" i="187"/>
  <c r="Q4" i="187"/>
  <c r="BA11" i="187" l="1"/>
  <c r="BA16" i="187"/>
  <c r="BA18" i="187"/>
  <c r="BA14" i="187"/>
  <c r="BA19" i="187"/>
  <c r="BA37" i="187"/>
  <c r="BA12" i="187"/>
  <c r="BA21" i="187"/>
  <c r="BA22" i="187"/>
  <c r="BA28" i="187"/>
  <c r="BA33" i="187"/>
  <c r="BA32" i="187"/>
  <c r="BA36" i="187"/>
  <c r="AE99" i="187"/>
  <c r="U4" i="35" s="1"/>
  <c r="BA10" i="187"/>
  <c r="BA20" i="187"/>
  <c r="BA26" i="187"/>
  <c r="BA30" i="187"/>
  <c r="BA35" i="187"/>
  <c r="BA9" i="187"/>
  <c r="BA13" i="187"/>
  <c r="BA15" i="187"/>
  <c r="BA24" i="187"/>
  <c r="BA34" i="187"/>
  <c r="BA17" i="187"/>
  <c r="BA23" i="187"/>
  <c r="BA29" i="187"/>
  <c r="BA25" i="187"/>
  <c r="BA27" i="187"/>
  <c r="BA31" i="187"/>
  <c r="BA98" i="187"/>
  <c r="AK99" i="187"/>
  <c r="AQ99" i="187"/>
  <c r="AW99" i="187"/>
  <c r="AH99" i="187"/>
  <c r="AN99" i="187"/>
  <c r="AT99" i="187"/>
  <c r="AZ99" i="187"/>
  <c r="BA8" i="187"/>
  <c r="AO100" i="187" l="1"/>
  <c r="AC4" i="35"/>
  <c r="AL100" i="187"/>
  <c r="AB4" i="35"/>
  <c r="AR100" i="187"/>
  <c r="AD4" i="35"/>
  <c r="AX100" i="187"/>
  <c r="AF4" i="35"/>
  <c r="AU100" i="187"/>
  <c r="AE4" i="35"/>
  <c r="AI100" i="187"/>
  <c r="AA4" i="35"/>
  <c r="AF100" i="187"/>
  <c r="Z4" i="35"/>
  <c r="BA99" i="187"/>
  <c r="BA4" i="187" s="1"/>
  <c r="C48" i="40" l="1"/>
  <c r="C47" i="40"/>
  <c r="C46" i="40"/>
  <c r="C45" i="40"/>
  <c r="C44" i="40"/>
  <c r="V224" i="40" l="1"/>
  <c r="C164" i="39" s="1"/>
  <c r="W224" i="40"/>
  <c r="U1" i="187" l="1"/>
  <c r="AX75" i="50" l="1"/>
  <c r="AU75" i="50"/>
  <c r="AR75" i="50"/>
  <c r="AO75" i="50"/>
  <c r="AL75" i="50"/>
  <c r="AI75" i="50"/>
  <c r="AF75" i="50"/>
  <c r="F75" i="50"/>
  <c r="AY74" i="50"/>
  <c r="AZ74" i="50" s="1"/>
  <c r="AV74" i="50"/>
  <c r="AW74" i="50" s="1"/>
  <c r="AS74" i="50"/>
  <c r="AT74" i="50" s="1"/>
  <c r="AP74" i="50"/>
  <c r="AQ74" i="50" s="1"/>
  <c r="AM74" i="50"/>
  <c r="AN74" i="50" s="1"/>
  <c r="AJ74" i="50"/>
  <c r="AK74" i="50" s="1"/>
  <c r="AG74" i="50"/>
  <c r="AH74" i="50" s="1"/>
  <c r="AE74" i="50"/>
  <c r="AC74" i="50"/>
  <c r="I74" i="50"/>
  <c r="AY73" i="50"/>
  <c r="AZ73" i="50" s="1"/>
  <c r="AV73" i="50"/>
  <c r="AW73" i="50" s="1"/>
  <c r="AS73" i="50"/>
  <c r="AT73" i="50" s="1"/>
  <c r="AP73" i="50"/>
  <c r="AQ73" i="50" s="1"/>
  <c r="AM73" i="50"/>
  <c r="AN73" i="50" s="1"/>
  <c r="AJ73" i="50"/>
  <c r="AK73" i="50" s="1"/>
  <c r="AG73" i="50"/>
  <c r="AH73" i="50" s="1"/>
  <c r="AE73" i="50"/>
  <c r="AC73" i="50"/>
  <c r="I73" i="50"/>
  <c r="AY72" i="50"/>
  <c r="AZ72" i="50" s="1"/>
  <c r="AV72" i="50"/>
  <c r="AW72" i="50" s="1"/>
  <c r="AS72" i="50"/>
  <c r="AT72" i="50" s="1"/>
  <c r="AP72" i="50"/>
  <c r="AQ72" i="50" s="1"/>
  <c r="AM72" i="50"/>
  <c r="AN72" i="50" s="1"/>
  <c r="AJ72" i="50"/>
  <c r="AK72" i="50" s="1"/>
  <c r="AG72" i="50"/>
  <c r="AH72" i="50" s="1"/>
  <c r="AE72" i="50"/>
  <c r="AC72" i="50"/>
  <c r="I72" i="50"/>
  <c r="AY71" i="50"/>
  <c r="AZ71" i="50" s="1"/>
  <c r="AV71" i="50"/>
  <c r="AW71" i="50" s="1"/>
  <c r="AS71" i="50"/>
  <c r="AT71" i="50" s="1"/>
  <c r="AP71" i="50"/>
  <c r="AQ71" i="50" s="1"/>
  <c r="AM71" i="50"/>
  <c r="AN71" i="50" s="1"/>
  <c r="AJ71" i="50"/>
  <c r="AK71" i="50" s="1"/>
  <c r="AG71" i="50"/>
  <c r="AH71" i="50" s="1"/>
  <c r="AE71" i="50"/>
  <c r="AC71" i="50"/>
  <c r="I71" i="50"/>
  <c r="AY70" i="50"/>
  <c r="AZ70" i="50" s="1"/>
  <c r="AV70" i="50"/>
  <c r="AW70" i="50" s="1"/>
  <c r="AS70" i="50"/>
  <c r="AT70" i="50" s="1"/>
  <c r="AP70" i="50"/>
  <c r="AQ70" i="50" s="1"/>
  <c r="AM70" i="50"/>
  <c r="AN70" i="50" s="1"/>
  <c r="AJ70" i="50"/>
  <c r="AK70" i="50" s="1"/>
  <c r="AG70" i="50"/>
  <c r="AH70" i="50" s="1"/>
  <c r="AE70" i="50"/>
  <c r="AC70" i="50"/>
  <c r="I70" i="50"/>
  <c r="AY69" i="50"/>
  <c r="AZ69" i="50" s="1"/>
  <c r="AV69" i="50"/>
  <c r="AW69" i="50" s="1"/>
  <c r="AS69" i="50"/>
  <c r="AT69" i="50" s="1"/>
  <c r="AP69" i="50"/>
  <c r="AQ69" i="50" s="1"/>
  <c r="AM69" i="50"/>
  <c r="AN69" i="50" s="1"/>
  <c r="AJ69" i="50"/>
  <c r="AK69" i="50" s="1"/>
  <c r="AG69" i="50"/>
  <c r="AH69" i="50" s="1"/>
  <c r="AE69" i="50"/>
  <c r="AC69" i="50"/>
  <c r="I69" i="50"/>
  <c r="AY68" i="50"/>
  <c r="AZ68" i="50" s="1"/>
  <c r="AV68" i="50"/>
  <c r="AW68" i="50" s="1"/>
  <c r="AS68" i="50"/>
  <c r="AT68" i="50" s="1"/>
  <c r="AP68" i="50"/>
  <c r="AQ68" i="50" s="1"/>
  <c r="AM68" i="50"/>
  <c r="AN68" i="50" s="1"/>
  <c r="AJ68" i="50"/>
  <c r="AK68" i="50" s="1"/>
  <c r="AG68" i="50"/>
  <c r="AH68" i="50" s="1"/>
  <c r="AE68" i="50"/>
  <c r="AC68" i="50"/>
  <c r="I68" i="50"/>
  <c r="AY67" i="50"/>
  <c r="AZ67" i="50" s="1"/>
  <c r="AV67" i="50"/>
  <c r="AW67" i="50" s="1"/>
  <c r="AS67" i="50"/>
  <c r="AT67" i="50" s="1"/>
  <c r="AP67" i="50"/>
  <c r="AQ67" i="50" s="1"/>
  <c r="AM67" i="50"/>
  <c r="AN67" i="50" s="1"/>
  <c r="AJ67" i="50"/>
  <c r="AK67" i="50" s="1"/>
  <c r="AG67" i="50"/>
  <c r="AH67" i="50" s="1"/>
  <c r="AE67" i="50"/>
  <c r="AC67" i="50"/>
  <c r="I67" i="50"/>
  <c r="AY66" i="50"/>
  <c r="AZ66" i="50" s="1"/>
  <c r="AV66" i="50"/>
  <c r="AW66" i="50" s="1"/>
  <c r="AS66" i="50"/>
  <c r="AT66" i="50" s="1"/>
  <c r="AP66" i="50"/>
  <c r="AQ66" i="50" s="1"/>
  <c r="AM66" i="50"/>
  <c r="AN66" i="50" s="1"/>
  <c r="AJ66" i="50"/>
  <c r="AK66" i="50" s="1"/>
  <c r="AG66" i="50"/>
  <c r="AH66" i="50" s="1"/>
  <c r="AE66" i="50"/>
  <c r="AC66" i="50"/>
  <c r="I66" i="50"/>
  <c r="AY65" i="50"/>
  <c r="AZ65" i="50" s="1"/>
  <c r="AV65" i="50"/>
  <c r="AW65" i="50" s="1"/>
  <c r="AS65" i="50"/>
  <c r="AT65" i="50" s="1"/>
  <c r="AP65" i="50"/>
  <c r="AQ65" i="50" s="1"/>
  <c r="AM65" i="50"/>
  <c r="AN65" i="50" s="1"/>
  <c r="AJ65" i="50"/>
  <c r="AK65" i="50" s="1"/>
  <c r="AG65" i="50"/>
  <c r="AH65" i="50" s="1"/>
  <c r="AE65" i="50"/>
  <c r="AC65" i="50"/>
  <c r="I65" i="50"/>
  <c r="AY64" i="50"/>
  <c r="AZ64" i="50" s="1"/>
  <c r="AV64" i="50"/>
  <c r="AW64" i="50" s="1"/>
  <c r="AS64" i="50"/>
  <c r="AT64" i="50" s="1"/>
  <c r="AP64" i="50"/>
  <c r="AQ64" i="50" s="1"/>
  <c r="AM64" i="50"/>
  <c r="AN64" i="50" s="1"/>
  <c r="AJ64" i="50"/>
  <c r="AK64" i="50" s="1"/>
  <c r="AG64" i="50"/>
  <c r="AH64" i="50" s="1"/>
  <c r="AE64" i="50"/>
  <c r="AC64" i="50"/>
  <c r="I64" i="50"/>
  <c r="AY63" i="50"/>
  <c r="AZ63" i="50" s="1"/>
  <c r="AV63" i="50"/>
  <c r="AW63" i="50" s="1"/>
  <c r="AS63" i="50"/>
  <c r="AT63" i="50" s="1"/>
  <c r="AP63" i="50"/>
  <c r="AQ63" i="50" s="1"/>
  <c r="AM63" i="50"/>
  <c r="AN63" i="50" s="1"/>
  <c r="AJ63" i="50"/>
  <c r="AK63" i="50" s="1"/>
  <c r="AG63" i="50"/>
  <c r="AH63" i="50" s="1"/>
  <c r="AE63" i="50"/>
  <c r="AC63" i="50"/>
  <c r="I63" i="50"/>
  <c r="AY62" i="50"/>
  <c r="AZ62" i="50" s="1"/>
  <c r="AV62" i="50"/>
  <c r="AW62" i="50" s="1"/>
  <c r="AS62" i="50"/>
  <c r="AT62" i="50" s="1"/>
  <c r="AP62" i="50"/>
  <c r="AQ62" i="50" s="1"/>
  <c r="AM62" i="50"/>
  <c r="AN62" i="50" s="1"/>
  <c r="AJ62" i="50"/>
  <c r="AK62" i="50" s="1"/>
  <c r="AG62" i="50"/>
  <c r="AH62" i="50" s="1"/>
  <c r="AE62" i="50"/>
  <c r="AC62" i="50"/>
  <c r="I62" i="50"/>
  <c r="AY61" i="50"/>
  <c r="AZ61" i="50" s="1"/>
  <c r="AV61" i="50"/>
  <c r="AW61" i="50" s="1"/>
  <c r="AS61" i="50"/>
  <c r="AT61" i="50" s="1"/>
  <c r="AP61" i="50"/>
  <c r="AQ61" i="50" s="1"/>
  <c r="AM61" i="50"/>
  <c r="AN61" i="50" s="1"/>
  <c r="AJ61" i="50"/>
  <c r="AK61" i="50" s="1"/>
  <c r="AG61" i="50"/>
  <c r="AH61" i="50" s="1"/>
  <c r="AE61" i="50"/>
  <c r="AC61" i="50"/>
  <c r="I61" i="50"/>
  <c r="AY60" i="50"/>
  <c r="AZ60" i="50" s="1"/>
  <c r="AV60" i="50"/>
  <c r="AW60" i="50" s="1"/>
  <c r="AS60" i="50"/>
  <c r="AT60" i="50" s="1"/>
  <c r="AP60" i="50"/>
  <c r="AQ60" i="50" s="1"/>
  <c r="AM60" i="50"/>
  <c r="AN60" i="50" s="1"/>
  <c r="AJ60" i="50"/>
  <c r="AK60" i="50" s="1"/>
  <c r="AG60" i="50"/>
  <c r="AH60" i="50" s="1"/>
  <c r="AE60" i="50"/>
  <c r="AC60" i="50"/>
  <c r="I60" i="50"/>
  <c r="AY59" i="50"/>
  <c r="AZ59" i="50" s="1"/>
  <c r="AV59" i="50"/>
  <c r="AW59" i="50" s="1"/>
  <c r="AS59" i="50"/>
  <c r="AT59" i="50" s="1"/>
  <c r="AP59" i="50"/>
  <c r="AQ59" i="50" s="1"/>
  <c r="AM59" i="50"/>
  <c r="AN59" i="50" s="1"/>
  <c r="AJ59" i="50"/>
  <c r="AK59" i="50" s="1"/>
  <c r="AG59" i="50"/>
  <c r="AH59" i="50" s="1"/>
  <c r="AE59" i="50"/>
  <c r="AC59" i="50"/>
  <c r="I59" i="50"/>
  <c r="AY58" i="50"/>
  <c r="AZ58" i="50" s="1"/>
  <c r="AV58" i="50"/>
  <c r="AW58" i="50" s="1"/>
  <c r="AS58" i="50"/>
  <c r="AT58" i="50" s="1"/>
  <c r="AP58" i="50"/>
  <c r="AQ58" i="50" s="1"/>
  <c r="AM58" i="50"/>
  <c r="AN58" i="50" s="1"/>
  <c r="AJ58" i="50"/>
  <c r="AK58" i="50" s="1"/>
  <c r="AG58" i="50"/>
  <c r="AH58" i="50" s="1"/>
  <c r="AE58" i="50"/>
  <c r="AC58" i="50"/>
  <c r="I58" i="50"/>
  <c r="AY57" i="50"/>
  <c r="AZ57" i="50" s="1"/>
  <c r="AV57" i="50"/>
  <c r="AW57" i="50" s="1"/>
  <c r="AS57" i="50"/>
  <c r="AT57" i="50" s="1"/>
  <c r="AP57" i="50"/>
  <c r="AQ57" i="50" s="1"/>
  <c r="AM57" i="50"/>
  <c r="AN57" i="50" s="1"/>
  <c r="AJ57" i="50"/>
  <c r="AK57" i="50" s="1"/>
  <c r="AG57" i="50"/>
  <c r="AH57" i="50" s="1"/>
  <c r="AE57" i="50"/>
  <c r="AC57" i="50"/>
  <c r="I57" i="50"/>
  <c r="AY56" i="50"/>
  <c r="AZ56" i="50" s="1"/>
  <c r="AV56" i="50"/>
  <c r="AW56" i="50" s="1"/>
  <c r="AS56" i="50"/>
  <c r="AT56" i="50" s="1"/>
  <c r="AP56" i="50"/>
  <c r="AQ56" i="50" s="1"/>
  <c r="AM56" i="50"/>
  <c r="AN56" i="50" s="1"/>
  <c r="AJ56" i="50"/>
  <c r="AK56" i="50" s="1"/>
  <c r="AG56" i="50"/>
  <c r="AH56" i="50" s="1"/>
  <c r="AE56" i="50"/>
  <c r="AC56" i="50"/>
  <c r="I56" i="50"/>
  <c r="AY55" i="50"/>
  <c r="AZ55" i="50" s="1"/>
  <c r="AV55" i="50"/>
  <c r="AW55" i="50" s="1"/>
  <c r="AS55" i="50"/>
  <c r="AT55" i="50" s="1"/>
  <c r="AP55" i="50"/>
  <c r="AQ55" i="50" s="1"/>
  <c r="AM55" i="50"/>
  <c r="AN55" i="50" s="1"/>
  <c r="AJ55" i="50"/>
  <c r="AK55" i="50" s="1"/>
  <c r="AG55" i="50"/>
  <c r="AH55" i="50" s="1"/>
  <c r="AE55" i="50"/>
  <c r="AC55" i="50"/>
  <c r="I55" i="50"/>
  <c r="AY54" i="50"/>
  <c r="AZ54" i="50" s="1"/>
  <c r="AV54" i="50"/>
  <c r="AW54" i="50" s="1"/>
  <c r="AS54" i="50"/>
  <c r="AT54" i="50" s="1"/>
  <c r="AP54" i="50"/>
  <c r="AQ54" i="50" s="1"/>
  <c r="AM54" i="50"/>
  <c r="AN54" i="50" s="1"/>
  <c r="AJ54" i="50"/>
  <c r="AK54" i="50" s="1"/>
  <c r="AG54" i="50"/>
  <c r="AH54" i="50" s="1"/>
  <c r="AE54" i="50"/>
  <c r="AC54" i="50"/>
  <c r="I54" i="50"/>
  <c r="AY53" i="50"/>
  <c r="AZ53" i="50" s="1"/>
  <c r="AV53" i="50"/>
  <c r="AW53" i="50" s="1"/>
  <c r="AS53" i="50"/>
  <c r="AT53" i="50" s="1"/>
  <c r="AP53" i="50"/>
  <c r="AQ53" i="50" s="1"/>
  <c r="AM53" i="50"/>
  <c r="AN53" i="50" s="1"/>
  <c r="AJ53" i="50"/>
  <c r="AK53" i="50" s="1"/>
  <c r="AG53" i="50"/>
  <c r="AH53" i="50" s="1"/>
  <c r="AE53" i="50"/>
  <c r="AC53" i="50"/>
  <c r="I53" i="50"/>
  <c r="AY52" i="50"/>
  <c r="AZ52" i="50" s="1"/>
  <c r="AV52" i="50"/>
  <c r="AW52" i="50" s="1"/>
  <c r="AS52" i="50"/>
  <c r="AT52" i="50" s="1"/>
  <c r="AP52" i="50"/>
  <c r="AQ52" i="50" s="1"/>
  <c r="AM52" i="50"/>
  <c r="AN52" i="50" s="1"/>
  <c r="AJ52" i="50"/>
  <c r="AK52" i="50" s="1"/>
  <c r="AG52" i="50"/>
  <c r="AH52" i="50" s="1"/>
  <c r="AE52" i="50"/>
  <c r="AC52" i="50"/>
  <c r="I52" i="50"/>
  <c r="AY51" i="50"/>
  <c r="AZ51" i="50" s="1"/>
  <c r="AV51" i="50"/>
  <c r="AW51" i="50" s="1"/>
  <c r="AS51" i="50"/>
  <c r="AT51" i="50" s="1"/>
  <c r="AP51" i="50"/>
  <c r="AQ51" i="50" s="1"/>
  <c r="AM51" i="50"/>
  <c r="AN51" i="50" s="1"/>
  <c r="AJ51" i="50"/>
  <c r="AK51" i="50" s="1"/>
  <c r="AG51" i="50"/>
  <c r="AH51" i="50" s="1"/>
  <c r="AE51" i="50"/>
  <c r="AC51" i="50"/>
  <c r="I51" i="50"/>
  <c r="AY50" i="50"/>
  <c r="AZ50" i="50" s="1"/>
  <c r="AV50" i="50"/>
  <c r="AW50" i="50" s="1"/>
  <c r="AS50" i="50"/>
  <c r="AT50" i="50" s="1"/>
  <c r="AP50" i="50"/>
  <c r="AQ50" i="50" s="1"/>
  <c r="AM50" i="50"/>
  <c r="AN50" i="50" s="1"/>
  <c r="AJ50" i="50"/>
  <c r="AK50" i="50" s="1"/>
  <c r="AG50" i="50"/>
  <c r="AH50" i="50" s="1"/>
  <c r="AE50" i="50"/>
  <c r="AC50" i="50"/>
  <c r="I50" i="50"/>
  <c r="AY49" i="50"/>
  <c r="AZ49" i="50" s="1"/>
  <c r="AV49" i="50"/>
  <c r="AW49" i="50" s="1"/>
  <c r="AS49" i="50"/>
  <c r="AT49" i="50" s="1"/>
  <c r="AP49" i="50"/>
  <c r="AQ49" i="50" s="1"/>
  <c r="AM49" i="50"/>
  <c r="AN49" i="50" s="1"/>
  <c r="AJ49" i="50"/>
  <c r="AK49" i="50" s="1"/>
  <c r="AG49" i="50"/>
  <c r="AH49" i="50" s="1"/>
  <c r="AE49" i="50"/>
  <c r="AC49" i="50"/>
  <c r="I49" i="50"/>
  <c r="AY48" i="50"/>
  <c r="AZ48" i="50" s="1"/>
  <c r="AV48" i="50"/>
  <c r="AW48" i="50" s="1"/>
  <c r="AS48" i="50"/>
  <c r="AT48" i="50" s="1"/>
  <c r="AP48" i="50"/>
  <c r="AQ48" i="50" s="1"/>
  <c r="AM48" i="50"/>
  <c r="AN48" i="50" s="1"/>
  <c r="AJ48" i="50"/>
  <c r="AK48" i="50" s="1"/>
  <c r="AG48" i="50"/>
  <c r="AH48" i="50" s="1"/>
  <c r="AE48" i="50"/>
  <c r="AC48" i="50"/>
  <c r="I48" i="50"/>
  <c r="AY47" i="50"/>
  <c r="AZ47" i="50" s="1"/>
  <c r="AV47" i="50"/>
  <c r="AW47" i="50" s="1"/>
  <c r="AS47" i="50"/>
  <c r="AT47" i="50" s="1"/>
  <c r="AP47" i="50"/>
  <c r="AQ47" i="50" s="1"/>
  <c r="AM47" i="50"/>
  <c r="AN47" i="50" s="1"/>
  <c r="AJ47" i="50"/>
  <c r="AK47" i="50" s="1"/>
  <c r="AG47" i="50"/>
  <c r="AH47" i="50" s="1"/>
  <c r="AE47" i="50"/>
  <c r="AC47" i="50"/>
  <c r="I47" i="50"/>
  <c r="AY46" i="50"/>
  <c r="AZ46" i="50" s="1"/>
  <c r="AV46" i="50"/>
  <c r="AW46" i="50" s="1"/>
  <c r="AS46" i="50"/>
  <c r="AT46" i="50" s="1"/>
  <c r="AP46" i="50"/>
  <c r="AQ46" i="50" s="1"/>
  <c r="AM46" i="50"/>
  <c r="AN46" i="50" s="1"/>
  <c r="AJ46" i="50"/>
  <c r="AK46" i="50" s="1"/>
  <c r="AG46" i="50"/>
  <c r="AH46" i="50" s="1"/>
  <c r="AE46" i="50"/>
  <c r="AC46" i="50"/>
  <c r="I46" i="50"/>
  <c r="AY45" i="50"/>
  <c r="AZ45" i="50" s="1"/>
  <c r="AV45" i="50"/>
  <c r="AW45" i="50" s="1"/>
  <c r="AS45" i="50"/>
  <c r="AT45" i="50" s="1"/>
  <c r="AP45" i="50"/>
  <c r="AQ45" i="50" s="1"/>
  <c r="AM45" i="50"/>
  <c r="AN45" i="50" s="1"/>
  <c r="AJ45" i="50"/>
  <c r="AK45" i="50" s="1"/>
  <c r="AG45" i="50"/>
  <c r="AH45" i="50" s="1"/>
  <c r="AE45" i="50"/>
  <c r="I45" i="50"/>
  <c r="AY44" i="50"/>
  <c r="AZ44" i="50" s="1"/>
  <c r="AV44" i="50"/>
  <c r="AW44" i="50" s="1"/>
  <c r="AS44" i="50"/>
  <c r="AT44" i="50" s="1"/>
  <c r="AP44" i="50"/>
  <c r="AQ44" i="50" s="1"/>
  <c r="AM44" i="50"/>
  <c r="AN44" i="50" s="1"/>
  <c r="AJ44" i="50"/>
  <c r="AK44" i="50" s="1"/>
  <c r="AG44" i="50"/>
  <c r="AH44" i="50" s="1"/>
  <c r="AE44" i="50"/>
  <c r="I44" i="50"/>
  <c r="AY43" i="50"/>
  <c r="AZ43" i="50" s="1"/>
  <c r="AV43" i="50"/>
  <c r="AW43" i="50" s="1"/>
  <c r="AS43" i="50"/>
  <c r="AT43" i="50" s="1"/>
  <c r="AP43" i="50"/>
  <c r="AQ43" i="50" s="1"/>
  <c r="AM43" i="50"/>
  <c r="AN43" i="50" s="1"/>
  <c r="AJ43" i="50"/>
  <c r="AK43" i="50" s="1"/>
  <c r="AG43" i="50"/>
  <c r="AH43" i="50" s="1"/>
  <c r="AE43" i="50"/>
  <c r="I43" i="50"/>
  <c r="AY42" i="50"/>
  <c r="AZ42" i="50" s="1"/>
  <c r="AV42" i="50"/>
  <c r="AW42" i="50" s="1"/>
  <c r="AS42" i="50"/>
  <c r="AT42" i="50" s="1"/>
  <c r="AP42" i="50"/>
  <c r="AQ42" i="50" s="1"/>
  <c r="AM42" i="50"/>
  <c r="AN42" i="50" s="1"/>
  <c r="AJ42" i="50"/>
  <c r="AK42" i="50" s="1"/>
  <c r="AG42" i="50"/>
  <c r="AH42" i="50" s="1"/>
  <c r="AE42" i="50"/>
  <c r="I42" i="50"/>
  <c r="AY41" i="50"/>
  <c r="AZ41" i="50" s="1"/>
  <c r="AV41" i="50"/>
  <c r="AW41" i="50" s="1"/>
  <c r="AS41" i="50"/>
  <c r="AT41" i="50" s="1"/>
  <c r="AP41" i="50"/>
  <c r="AQ41" i="50" s="1"/>
  <c r="AM41" i="50"/>
  <c r="AN41" i="50" s="1"/>
  <c r="AJ41" i="50"/>
  <c r="AK41" i="50" s="1"/>
  <c r="AG41" i="50"/>
  <c r="AH41" i="50" s="1"/>
  <c r="AE41" i="50"/>
  <c r="I41" i="50"/>
  <c r="AY40" i="50"/>
  <c r="AZ40" i="50" s="1"/>
  <c r="AV40" i="50"/>
  <c r="AW40" i="50" s="1"/>
  <c r="AS40" i="50"/>
  <c r="AT40" i="50" s="1"/>
  <c r="AP40" i="50"/>
  <c r="AQ40" i="50" s="1"/>
  <c r="AM40" i="50"/>
  <c r="AN40" i="50" s="1"/>
  <c r="AJ40" i="50"/>
  <c r="AK40" i="50" s="1"/>
  <c r="AG40" i="50"/>
  <c r="AH40" i="50" s="1"/>
  <c r="AE40" i="50"/>
  <c r="I40" i="50"/>
  <c r="AY39" i="50"/>
  <c r="AZ39" i="50" s="1"/>
  <c r="AV39" i="50"/>
  <c r="AW39" i="50" s="1"/>
  <c r="AS39" i="50"/>
  <c r="AT39" i="50" s="1"/>
  <c r="AP39" i="50"/>
  <c r="AQ39" i="50" s="1"/>
  <c r="AM39" i="50"/>
  <c r="AN39" i="50" s="1"/>
  <c r="AJ39" i="50"/>
  <c r="AK39" i="50" s="1"/>
  <c r="AG39" i="50"/>
  <c r="AH39" i="50" s="1"/>
  <c r="AE39" i="50"/>
  <c r="I39" i="50"/>
  <c r="AY38" i="50"/>
  <c r="AZ38" i="50" s="1"/>
  <c r="AV38" i="50"/>
  <c r="AW38" i="50" s="1"/>
  <c r="AS38" i="50"/>
  <c r="AT38" i="50" s="1"/>
  <c r="AP38" i="50"/>
  <c r="AQ38" i="50" s="1"/>
  <c r="AM38" i="50"/>
  <c r="AN38" i="50" s="1"/>
  <c r="AJ38" i="50"/>
  <c r="AK38" i="50" s="1"/>
  <c r="AG38" i="50"/>
  <c r="AH38" i="50" s="1"/>
  <c r="AE38" i="50"/>
  <c r="I38" i="50"/>
  <c r="AY37" i="50"/>
  <c r="AZ37" i="50" s="1"/>
  <c r="AV37" i="50"/>
  <c r="AW37" i="50" s="1"/>
  <c r="AS37" i="50"/>
  <c r="AT37" i="50" s="1"/>
  <c r="AP37" i="50"/>
  <c r="AQ37" i="50" s="1"/>
  <c r="AM37" i="50"/>
  <c r="AN37" i="50" s="1"/>
  <c r="AJ37" i="50"/>
  <c r="AK37" i="50" s="1"/>
  <c r="AG37" i="50"/>
  <c r="AH37" i="50" s="1"/>
  <c r="AE37" i="50"/>
  <c r="I37" i="50"/>
  <c r="AY36" i="50"/>
  <c r="AZ36" i="50" s="1"/>
  <c r="AV36" i="50"/>
  <c r="AW36" i="50" s="1"/>
  <c r="AS36" i="50"/>
  <c r="AT36" i="50" s="1"/>
  <c r="AP36" i="50"/>
  <c r="AQ36" i="50" s="1"/>
  <c r="AM36" i="50"/>
  <c r="AN36" i="50" s="1"/>
  <c r="AJ36" i="50"/>
  <c r="AK36" i="50" s="1"/>
  <c r="AG36" i="50"/>
  <c r="AH36" i="50" s="1"/>
  <c r="AE36" i="50"/>
  <c r="I36" i="50"/>
  <c r="AY35" i="50"/>
  <c r="AZ35" i="50" s="1"/>
  <c r="AV35" i="50"/>
  <c r="AW35" i="50" s="1"/>
  <c r="AS35" i="50"/>
  <c r="AT35" i="50" s="1"/>
  <c r="AP35" i="50"/>
  <c r="AQ35" i="50" s="1"/>
  <c r="AM35" i="50"/>
  <c r="AN35" i="50" s="1"/>
  <c r="AJ35" i="50"/>
  <c r="AK35" i="50" s="1"/>
  <c r="AG35" i="50"/>
  <c r="AH35" i="50" s="1"/>
  <c r="AE35" i="50"/>
  <c r="I35" i="50"/>
  <c r="AY34" i="50"/>
  <c r="AZ34" i="50" s="1"/>
  <c r="AV34" i="50"/>
  <c r="AW34" i="50" s="1"/>
  <c r="AS34" i="50"/>
  <c r="AT34" i="50" s="1"/>
  <c r="AP34" i="50"/>
  <c r="AQ34" i="50" s="1"/>
  <c r="AM34" i="50"/>
  <c r="AN34" i="50" s="1"/>
  <c r="AJ34" i="50"/>
  <c r="AK34" i="50" s="1"/>
  <c r="AG34" i="50"/>
  <c r="AH34" i="50" s="1"/>
  <c r="AE34" i="50"/>
  <c r="I34" i="50"/>
  <c r="AY33" i="50"/>
  <c r="AZ33" i="50" s="1"/>
  <c r="AV33" i="50"/>
  <c r="AW33" i="50" s="1"/>
  <c r="AS33" i="50"/>
  <c r="AT33" i="50" s="1"/>
  <c r="AP33" i="50"/>
  <c r="AQ33" i="50" s="1"/>
  <c r="AM33" i="50"/>
  <c r="AN33" i="50" s="1"/>
  <c r="AJ33" i="50"/>
  <c r="AK33" i="50" s="1"/>
  <c r="AG33" i="50"/>
  <c r="AH33" i="50" s="1"/>
  <c r="AE33" i="50"/>
  <c r="I33" i="50"/>
  <c r="AY32" i="50"/>
  <c r="AZ32" i="50" s="1"/>
  <c r="AV32" i="50"/>
  <c r="AW32" i="50" s="1"/>
  <c r="AS32" i="50"/>
  <c r="AT32" i="50" s="1"/>
  <c r="AP32" i="50"/>
  <c r="AQ32" i="50" s="1"/>
  <c r="AM32" i="50"/>
  <c r="AN32" i="50" s="1"/>
  <c r="AJ32" i="50"/>
  <c r="AK32" i="50" s="1"/>
  <c r="AG32" i="50"/>
  <c r="AH32" i="50" s="1"/>
  <c r="AE32" i="50"/>
  <c r="I32" i="50"/>
  <c r="AY31" i="50"/>
  <c r="AZ31" i="50" s="1"/>
  <c r="AV31" i="50"/>
  <c r="AW31" i="50" s="1"/>
  <c r="AS31" i="50"/>
  <c r="AT31" i="50" s="1"/>
  <c r="AP31" i="50"/>
  <c r="AQ31" i="50" s="1"/>
  <c r="AM31" i="50"/>
  <c r="AN31" i="50" s="1"/>
  <c r="AJ31" i="50"/>
  <c r="AK31" i="50" s="1"/>
  <c r="AG31" i="50"/>
  <c r="AH31" i="50" s="1"/>
  <c r="AE31" i="50"/>
  <c r="I31" i="50"/>
  <c r="AY30" i="50"/>
  <c r="AZ30" i="50" s="1"/>
  <c r="AV30" i="50"/>
  <c r="AW30" i="50" s="1"/>
  <c r="AS30" i="50"/>
  <c r="AT30" i="50" s="1"/>
  <c r="AP30" i="50"/>
  <c r="AQ30" i="50" s="1"/>
  <c r="AM30" i="50"/>
  <c r="AN30" i="50" s="1"/>
  <c r="AJ30" i="50"/>
  <c r="AK30" i="50" s="1"/>
  <c r="AG30" i="50"/>
  <c r="AH30" i="50" s="1"/>
  <c r="AE30" i="50"/>
  <c r="I30" i="50"/>
  <c r="AY29" i="50"/>
  <c r="AZ29" i="50" s="1"/>
  <c r="AV29" i="50"/>
  <c r="AW29" i="50" s="1"/>
  <c r="AS29" i="50"/>
  <c r="AT29" i="50" s="1"/>
  <c r="AP29" i="50"/>
  <c r="AQ29" i="50" s="1"/>
  <c r="AM29" i="50"/>
  <c r="AN29" i="50" s="1"/>
  <c r="AJ29" i="50"/>
  <c r="AK29" i="50" s="1"/>
  <c r="AG29" i="50"/>
  <c r="AH29" i="50" s="1"/>
  <c r="AE29" i="50"/>
  <c r="I29" i="50"/>
  <c r="AY28" i="50"/>
  <c r="AZ28" i="50" s="1"/>
  <c r="AV28" i="50"/>
  <c r="AW28" i="50" s="1"/>
  <c r="AS28" i="50"/>
  <c r="AT28" i="50" s="1"/>
  <c r="AP28" i="50"/>
  <c r="AQ28" i="50" s="1"/>
  <c r="AM28" i="50"/>
  <c r="AN28" i="50" s="1"/>
  <c r="AJ28" i="50"/>
  <c r="AK28" i="50" s="1"/>
  <c r="AG28" i="50"/>
  <c r="AH28" i="50" s="1"/>
  <c r="AE28" i="50"/>
  <c r="I28" i="50"/>
  <c r="AY27" i="50"/>
  <c r="AZ27" i="50" s="1"/>
  <c r="AV27" i="50"/>
  <c r="AW27" i="50" s="1"/>
  <c r="AS27" i="50"/>
  <c r="AT27" i="50" s="1"/>
  <c r="AP27" i="50"/>
  <c r="AQ27" i="50" s="1"/>
  <c r="AM27" i="50"/>
  <c r="AN27" i="50" s="1"/>
  <c r="AJ27" i="50"/>
  <c r="AK27" i="50" s="1"/>
  <c r="AG27" i="50"/>
  <c r="AH27" i="50" s="1"/>
  <c r="AE27" i="50"/>
  <c r="I27" i="50"/>
  <c r="AY26" i="50"/>
  <c r="AZ26" i="50" s="1"/>
  <c r="AV26" i="50"/>
  <c r="AW26" i="50" s="1"/>
  <c r="AS26" i="50"/>
  <c r="AT26" i="50" s="1"/>
  <c r="AP26" i="50"/>
  <c r="AQ26" i="50" s="1"/>
  <c r="AM26" i="50"/>
  <c r="AN26" i="50" s="1"/>
  <c r="AJ26" i="50"/>
  <c r="AK26" i="50" s="1"/>
  <c r="AG26" i="50"/>
  <c r="AH26" i="50" s="1"/>
  <c r="AE26" i="50"/>
  <c r="I26" i="50"/>
  <c r="AY25" i="50"/>
  <c r="AZ25" i="50" s="1"/>
  <c r="AV25" i="50"/>
  <c r="AW25" i="50" s="1"/>
  <c r="AS25" i="50"/>
  <c r="AT25" i="50" s="1"/>
  <c r="AP25" i="50"/>
  <c r="AQ25" i="50" s="1"/>
  <c r="AM25" i="50"/>
  <c r="AN25" i="50" s="1"/>
  <c r="AJ25" i="50"/>
  <c r="AK25" i="50" s="1"/>
  <c r="AG25" i="50"/>
  <c r="AH25" i="50" s="1"/>
  <c r="AE25" i="50"/>
  <c r="I25" i="50"/>
  <c r="AY24" i="50"/>
  <c r="AZ24" i="50" s="1"/>
  <c r="AV24" i="50"/>
  <c r="AW24" i="50" s="1"/>
  <c r="AS24" i="50"/>
  <c r="AT24" i="50" s="1"/>
  <c r="AP24" i="50"/>
  <c r="AQ24" i="50" s="1"/>
  <c r="AM24" i="50"/>
  <c r="AN24" i="50" s="1"/>
  <c r="AJ24" i="50"/>
  <c r="AK24" i="50" s="1"/>
  <c r="AG24" i="50"/>
  <c r="AH24" i="50" s="1"/>
  <c r="AE24" i="50"/>
  <c r="I24" i="50"/>
  <c r="AY23" i="50"/>
  <c r="AZ23" i="50" s="1"/>
  <c r="AV23" i="50"/>
  <c r="AW23" i="50" s="1"/>
  <c r="AS23" i="50"/>
  <c r="AT23" i="50" s="1"/>
  <c r="AP23" i="50"/>
  <c r="AQ23" i="50" s="1"/>
  <c r="AM23" i="50"/>
  <c r="AN23" i="50" s="1"/>
  <c r="AJ23" i="50"/>
  <c r="AK23" i="50" s="1"/>
  <c r="AG23" i="50"/>
  <c r="AH23" i="50" s="1"/>
  <c r="AE23" i="50"/>
  <c r="I23" i="50"/>
  <c r="AY22" i="50"/>
  <c r="AZ22" i="50" s="1"/>
  <c r="AV22" i="50"/>
  <c r="AW22" i="50" s="1"/>
  <c r="AS22" i="50"/>
  <c r="AT22" i="50" s="1"/>
  <c r="AP22" i="50"/>
  <c r="AQ22" i="50" s="1"/>
  <c r="AM22" i="50"/>
  <c r="AN22" i="50" s="1"/>
  <c r="AJ22" i="50"/>
  <c r="AK22" i="50" s="1"/>
  <c r="AG22" i="50"/>
  <c r="AH22" i="50" s="1"/>
  <c r="AE22" i="50"/>
  <c r="I22" i="50"/>
  <c r="AY21" i="50"/>
  <c r="AZ21" i="50" s="1"/>
  <c r="AV21" i="50"/>
  <c r="AW21" i="50" s="1"/>
  <c r="AS21" i="50"/>
  <c r="AT21" i="50" s="1"/>
  <c r="AP21" i="50"/>
  <c r="AQ21" i="50" s="1"/>
  <c r="AM21" i="50"/>
  <c r="AN21" i="50" s="1"/>
  <c r="AJ21" i="50"/>
  <c r="AK21" i="50" s="1"/>
  <c r="AG21" i="50"/>
  <c r="AH21" i="50" s="1"/>
  <c r="AE21" i="50"/>
  <c r="I21" i="50"/>
  <c r="AY20" i="50"/>
  <c r="AZ20" i="50" s="1"/>
  <c r="AV20" i="50"/>
  <c r="AW20" i="50" s="1"/>
  <c r="AS20" i="50"/>
  <c r="AT20" i="50" s="1"/>
  <c r="AP20" i="50"/>
  <c r="AQ20" i="50" s="1"/>
  <c r="AM20" i="50"/>
  <c r="AN20" i="50" s="1"/>
  <c r="AJ20" i="50"/>
  <c r="AK20" i="50" s="1"/>
  <c r="AG20" i="50"/>
  <c r="AH20" i="50" s="1"/>
  <c r="AE20" i="50"/>
  <c r="I20" i="50"/>
  <c r="AY19" i="50"/>
  <c r="AZ19" i="50" s="1"/>
  <c r="AV19" i="50"/>
  <c r="AW19" i="50" s="1"/>
  <c r="AS19" i="50"/>
  <c r="AT19" i="50" s="1"/>
  <c r="AP19" i="50"/>
  <c r="AQ19" i="50" s="1"/>
  <c r="AM19" i="50"/>
  <c r="AN19" i="50" s="1"/>
  <c r="AJ19" i="50"/>
  <c r="AK19" i="50" s="1"/>
  <c r="AG19" i="50"/>
  <c r="AH19" i="50" s="1"/>
  <c r="AE19" i="50"/>
  <c r="I19" i="50"/>
  <c r="AY18" i="50"/>
  <c r="AZ18" i="50" s="1"/>
  <c r="AV18" i="50"/>
  <c r="AW18" i="50" s="1"/>
  <c r="AS18" i="50"/>
  <c r="AT18" i="50" s="1"/>
  <c r="AP18" i="50"/>
  <c r="AQ18" i="50" s="1"/>
  <c r="AM18" i="50"/>
  <c r="AN18" i="50" s="1"/>
  <c r="AJ18" i="50"/>
  <c r="AK18" i="50" s="1"/>
  <c r="AG18" i="50"/>
  <c r="AH18" i="50" s="1"/>
  <c r="AE18" i="50"/>
  <c r="I18" i="50"/>
  <c r="AY17" i="50"/>
  <c r="AZ17" i="50" s="1"/>
  <c r="AV17" i="50"/>
  <c r="AW17" i="50" s="1"/>
  <c r="AS17" i="50"/>
  <c r="AT17" i="50" s="1"/>
  <c r="AP17" i="50"/>
  <c r="AQ17" i="50" s="1"/>
  <c r="AM17" i="50"/>
  <c r="AN17" i="50" s="1"/>
  <c r="AJ17" i="50"/>
  <c r="AK17" i="50" s="1"/>
  <c r="AG17" i="50"/>
  <c r="AH17" i="50" s="1"/>
  <c r="AE17" i="50"/>
  <c r="I17" i="50"/>
  <c r="AY16" i="50"/>
  <c r="AZ16" i="50" s="1"/>
  <c r="AV16" i="50"/>
  <c r="AW16" i="50" s="1"/>
  <c r="AS16" i="50"/>
  <c r="AT16" i="50" s="1"/>
  <c r="AP16" i="50"/>
  <c r="AQ16" i="50" s="1"/>
  <c r="AM16" i="50"/>
  <c r="AN16" i="50" s="1"/>
  <c r="AJ16" i="50"/>
  <c r="AK16" i="50" s="1"/>
  <c r="AG16" i="50"/>
  <c r="AH16" i="50" s="1"/>
  <c r="AE16" i="50"/>
  <c r="I16" i="50"/>
  <c r="AY15" i="50"/>
  <c r="AZ15" i="50" s="1"/>
  <c r="AV15" i="50"/>
  <c r="AW15" i="50" s="1"/>
  <c r="AS15" i="50"/>
  <c r="AT15" i="50" s="1"/>
  <c r="AP15" i="50"/>
  <c r="AQ15" i="50" s="1"/>
  <c r="AM15" i="50"/>
  <c r="AN15" i="50" s="1"/>
  <c r="AJ15" i="50"/>
  <c r="AK15" i="50" s="1"/>
  <c r="AG15" i="50"/>
  <c r="AH15" i="50" s="1"/>
  <c r="AE15" i="50"/>
  <c r="I15" i="50"/>
  <c r="AY14" i="50"/>
  <c r="AZ14" i="50" s="1"/>
  <c r="AV14" i="50"/>
  <c r="AW14" i="50" s="1"/>
  <c r="AS14" i="50"/>
  <c r="AT14" i="50" s="1"/>
  <c r="AP14" i="50"/>
  <c r="AQ14" i="50" s="1"/>
  <c r="AM14" i="50"/>
  <c r="AN14" i="50" s="1"/>
  <c r="AJ14" i="50"/>
  <c r="AK14" i="50" s="1"/>
  <c r="AG14" i="50"/>
  <c r="AH14" i="50" s="1"/>
  <c r="AE14" i="50"/>
  <c r="I14" i="50"/>
  <c r="AY13" i="50"/>
  <c r="AZ13" i="50" s="1"/>
  <c r="AV13" i="50"/>
  <c r="AW13" i="50" s="1"/>
  <c r="AS13" i="50"/>
  <c r="AT13" i="50" s="1"/>
  <c r="AP13" i="50"/>
  <c r="AQ13" i="50" s="1"/>
  <c r="AM13" i="50"/>
  <c r="AN13" i="50" s="1"/>
  <c r="AJ13" i="50"/>
  <c r="AK13" i="50" s="1"/>
  <c r="AG13" i="50"/>
  <c r="AH13" i="50" s="1"/>
  <c r="AE13" i="50"/>
  <c r="I13" i="50"/>
  <c r="AY12" i="50"/>
  <c r="AZ12" i="50" s="1"/>
  <c r="AV12" i="50"/>
  <c r="AW12" i="50" s="1"/>
  <c r="AS12" i="50"/>
  <c r="AT12" i="50" s="1"/>
  <c r="AP12" i="50"/>
  <c r="AQ12" i="50" s="1"/>
  <c r="AM12" i="50"/>
  <c r="AN12" i="50" s="1"/>
  <c r="AJ12" i="50"/>
  <c r="AK12" i="50" s="1"/>
  <c r="AG12" i="50"/>
  <c r="AH12" i="50" s="1"/>
  <c r="AE12" i="50"/>
  <c r="I12" i="50"/>
  <c r="AY11" i="50"/>
  <c r="AZ11" i="50" s="1"/>
  <c r="AV11" i="50"/>
  <c r="AW11" i="50" s="1"/>
  <c r="AS11" i="50"/>
  <c r="AT11" i="50" s="1"/>
  <c r="AP11" i="50"/>
  <c r="AQ11" i="50" s="1"/>
  <c r="AM11" i="50"/>
  <c r="AN11" i="50" s="1"/>
  <c r="AJ11" i="50"/>
  <c r="AK11" i="50" s="1"/>
  <c r="AG11" i="50"/>
  <c r="AH11" i="50" s="1"/>
  <c r="AE11" i="50"/>
  <c r="I11" i="50"/>
  <c r="AY10" i="50"/>
  <c r="AZ10" i="50" s="1"/>
  <c r="AV10" i="50"/>
  <c r="AW10" i="50" s="1"/>
  <c r="AS10" i="50"/>
  <c r="AT10" i="50" s="1"/>
  <c r="AP10" i="50"/>
  <c r="AQ10" i="50" s="1"/>
  <c r="AM10" i="50"/>
  <c r="AN10" i="50" s="1"/>
  <c r="AJ10" i="50"/>
  <c r="AK10" i="50" s="1"/>
  <c r="AG10" i="50"/>
  <c r="AH10" i="50" s="1"/>
  <c r="AE10" i="50"/>
  <c r="I10" i="50"/>
  <c r="AY9" i="50"/>
  <c r="AZ9" i="50" s="1"/>
  <c r="AV9" i="50"/>
  <c r="AW9" i="50" s="1"/>
  <c r="AS9" i="50"/>
  <c r="AT9" i="50" s="1"/>
  <c r="AP9" i="50"/>
  <c r="AQ9" i="50" s="1"/>
  <c r="AM9" i="50"/>
  <c r="AN9" i="50" s="1"/>
  <c r="AJ9" i="50"/>
  <c r="AK9" i="50" s="1"/>
  <c r="AG9" i="50"/>
  <c r="AH9" i="50" s="1"/>
  <c r="AE9" i="50"/>
  <c r="I9" i="50"/>
  <c r="AY8" i="50"/>
  <c r="AZ8" i="50" s="1"/>
  <c r="AV8" i="50"/>
  <c r="AW8" i="50" s="1"/>
  <c r="AS8" i="50"/>
  <c r="AT8" i="50" s="1"/>
  <c r="AP8" i="50"/>
  <c r="AQ8" i="50" s="1"/>
  <c r="AM8" i="50"/>
  <c r="AN8" i="50" s="1"/>
  <c r="AJ8" i="50"/>
  <c r="AK8" i="50" s="1"/>
  <c r="AG8" i="50"/>
  <c r="AH8" i="50" s="1"/>
  <c r="AE8" i="50"/>
  <c r="I8" i="50"/>
  <c r="S4" i="50"/>
  <c r="Q4" i="50"/>
  <c r="BA17" i="50" l="1"/>
  <c r="BA33" i="50"/>
  <c r="AW75" i="50"/>
  <c r="AE5" i="35" s="1"/>
  <c r="BA25" i="50"/>
  <c r="BA41" i="50"/>
  <c r="AQ75" i="50"/>
  <c r="AC5" i="35" s="1"/>
  <c r="BA10" i="50"/>
  <c r="BA19" i="50"/>
  <c r="BA27" i="50"/>
  <c r="BA35" i="50"/>
  <c r="BA44" i="50"/>
  <c r="BA45" i="50"/>
  <c r="BA49" i="50"/>
  <c r="BA52" i="50"/>
  <c r="BA53" i="50"/>
  <c r="BA57" i="50"/>
  <c r="BA61" i="50"/>
  <c r="BA65" i="50"/>
  <c r="BA73" i="50"/>
  <c r="BA13" i="50"/>
  <c r="BA21" i="50"/>
  <c r="BA29" i="50"/>
  <c r="BA37" i="50"/>
  <c r="BA15" i="50"/>
  <c r="BA23" i="50"/>
  <c r="BA31" i="50"/>
  <c r="BA39" i="50"/>
  <c r="BA46" i="50"/>
  <c r="BA47" i="50"/>
  <c r="BA51" i="50"/>
  <c r="BA54" i="50"/>
  <c r="BA55" i="50"/>
  <c r="BA59" i="50"/>
  <c r="BA62" i="50"/>
  <c r="BA63" i="50"/>
  <c r="BA70" i="50"/>
  <c r="BA71" i="50"/>
  <c r="BA74" i="50"/>
  <c r="BA66" i="50"/>
  <c r="BA68" i="50"/>
  <c r="BA11" i="50"/>
  <c r="BA12" i="50"/>
  <c r="BA22" i="50"/>
  <c r="BA24" i="50"/>
  <c r="BA30" i="50"/>
  <c r="BA32" i="50"/>
  <c r="BA38" i="50"/>
  <c r="BA40" i="50"/>
  <c r="BA9" i="50"/>
  <c r="BA18" i="50"/>
  <c r="BA20" i="50"/>
  <c r="BA26" i="50"/>
  <c r="BA28" i="50"/>
  <c r="BA34" i="50"/>
  <c r="BA36" i="50"/>
  <c r="BA42" i="50"/>
  <c r="AK75" i="50"/>
  <c r="AA5" i="35" s="1"/>
  <c r="BA8" i="50"/>
  <c r="BA14" i="50"/>
  <c r="BA16" i="50"/>
  <c r="AE75" i="50"/>
  <c r="U5" i="35" s="1"/>
  <c r="BA50" i="50"/>
  <c r="BA60" i="50"/>
  <c r="BA58" i="50"/>
  <c r="AH75" i="50"/>
  <c r="Z5" i="35" s="1"/>
  <c r="AG5" i="35" s="1"/>
  <c r="AH5" i="35" s="1"/>
  <c r="AN75" i="50"/>
  <c r="AB5" i="35" s="1"/>
  <c r="AT75" i="50"/>
  <c r="AZ75" i="50"/>
  <c r="BA43" i="50"/>
  <c r="BA48" i="50"/>
  <c r="BA56" i="50"/>
  <c r="BA64" i="50"/>
  <c r="BA72" i="50"/>
  <c r="BA67" i="50"/>
  <c r="BA69" i="50"/>
  <c r="AX76" i="50" l="1"/>
  <c r="AR76" i="50"/>
  <c r="AO76" i="50"/>
  <c r="AU76" i="50"/>
  <c r="AL76" i="50"/>
  <c r="AI76" i="50"/>
  <c r="AF76" i="50"/>
  <c r="BA75" i="50"/>
  <c r="BA4" i="50" s="1"/>
  <c r="AG6" i="35" l="1"/>
  <c r="AH6" i="35" s="1"/>
  <c r="O53" i="40" l="1"/>
  <c r="C190" i="39"/>
  <c r="D190" i="39"/>
  <c r="C191" i="39"/>
  <c r="D191" i="39"/>
  <c r="C192" i="39"/>
  <c r="D192" i="39"/>
  <c r="C193" i="39"/>
  <c r="D193" i="39"/>
  <c r="C194" i="39"/>
  <c r="D194" i="39"/>
  <c r="C195" i="39"/>
  <c r="D195" i="39"/>
  <c r="C196" i="39"/>
  <c r="D196" i="39"/>
  <c r="C197" i="39"/>
  <c r="D197" i="39"/>
  <c r="C198" i="39"/>
  <c r="D198" i="39"/>
  <c r="C199" i="39"/>
  <c r="D199" i="39"/>
  <c r="C200" i="39"/>
  <c r="D200" i="39"/>
  <c r="C201" i="39"/>
  <c r="D201" i="39"/>
  <c r="C202" i="39"/>
  <c r="D202" i="39"/>
  <c r="C203" i="39"/>
  <c r="D203" i="39"/>
  <c r="C204" i="39"/>
  <c r="D204" i="39"/>
  <c r="C205" i="39"/>
  <c r="D205" i="39"/>
  <c r="C206" i="39"/>
  <c r="D206" i="39"/>
  <c r="C207" i="39"/>
  <c r="D207" i="39"/>
  <c r="C208" i="39"/>
  <c r="D208" i="39"/>
  <c r="C209" i="39"/>
  <c r="D209" i="39"/>
  <c r="C210" i="39"/>
  <c r="D210" i="39"/>
  <c r="C211" i="39"/>
  <c r="D211" i="39"/>
  <c r="C212" i="39"/>
  <c r="D212" i="39"/>
  <c r="C213" i="39"/>
  <c r="D213" i="39"/>
  <c r="C214" i="39"/>
  <c r="D214" i="39"/>
  <c r="C215" i="39"/>
  <c r="D215" i="39"/>
  <c r="C216" i="39"/>
  <c r="D216" i="39"/>
  <c r="C217" i="39"/>
  <c r="D217" i="39"/>
  <c r="C218" i="39"/>
  <c r="D218" i="39"/>
  <c r="C219" i="39"/>
  <c r="D219" i="39"/>
  <c r="C220" i="39"/>
  <c r="D220" i="39"/>
  <c r="C221" i="39"/>
  <c r="D221" i="39"/>
  <c r="C222" i="39"/>
  <c r="D222" i="39"/>
  <c r="C223" i="39"/>
  <c r="D223" i="39"/>
  <c r="C224" i="39"/>
  <c r="D224" i="39"/>
  <c r="C225" i="39"/>
  <c r="D225" i="39"/>
  <c r="C226" i="39"/>
  <c r="D226" i="39"/>
  <c r="C227" i="39"/>
  <c r="D227" i="39"/>
  <c r="C228" i="39"/>
  <c r="D228" i="39"/>
  <c r="C229" i="39"/>
  <c r="D229" i="39"/>
  <c r="C230" i="39"/>
  <c r="D230" i="39"/>
  <c r="C231" i="39"/>
  <c r="D231" i="39"/>
  <c r="C232" i="39"/>
  <c r="D232" i="39"/>
  <c r="C233" i="39"/>
  <c r="D233" i="39"/>
  <c r="C234" i="39"/>
  <c r="D234" i="39"/>
  <c r="C235" i="39"/>
  <c r="D235" i="39"/>
  <c r="C236" i="39"/>
  <c r="D236" i="39"/>
  <c r="C237" i="39"/>
  <c r="D237" i="39"/>
  <c r="C238" i="39"/>
  <c r="D238" i="39"/>
  <c r="C239" i="39"/>
  <c r="D239" i="39"/>
  <c r="C240" i="39"/>
  <c r="D240" i="39"/>
  <c r="C241" i="39"/>
  <c r="D241" i="39"/>
  <c r="C242" i="39"/>
  <c r="D242" i="39"/>
  <c r="C243" i="39"/>
  <c r="D243" i="39"/>
  <c r="C244" i="39"/>
  <c r="D244" i="39"/>
  <c r="C245" i="39"/>
  <c r="D245" i="39"/>
  <c r="C246" i="39"/>
  <c r="D246" i="39"/>
  <c r="C247" i="39"/>
  <c r="D247" i="39"/>
  <c r="C248" i="39"/>
  <c r="D248" i="39"/>
  <c r="C249" i="39"/>
  <c r="D249" i="39"/>
  <c r="C250" i="39"/>
  <c r="D250" i="39"/>
  <c r="C251" i="39"/>
  <c r="D251" i="39"/>
  <c r="C252" i="39"/>
  <c r="D252" i="39"/>
  <c r="C253" i="39"/>
  <c r="D253" i="39"/>
  <c r="C254" i="39"/>
  <c r="D254" i="39"/>
  <c r="C255" i="39"/>
  <c r="D255" i="39"/>
  <c r="C256" i="39"/>
  <c r="D256" i="39"/>
  <c r="C257" i="39"/>
  <c r="D257" i="39"/>
  <c r="C258" i="39"/>
  <c r="D258" i="39"/>
  <c r="C259" i="39"/>
  <c r="D259" i="39"/>
  <c r="C260" i="39"/>
  <c r="D260" i="39"/>
  <c r="C261" i="39"/>
  <c r="D261" i="39"/>
  <c r="C262" i="39"/>
  <c r="D262" i="39"/>
  <c r="C263" i="39"/>
  <c r="D263" i="39"/>
  <c r="C264" i="39"/>
  <c r="D264" i="39"/>
  <c r="C265" i="39"/>
  <c r="D265" i="39"/>
  <c r="C266" i="39"/>
  <c r="D266" i="39"/>
  <c r="C267" i="39"/>
  <c r="D267" i="39"/>
  <c r="C268" i="39"/>
  <c r="D268" i="39"/>
  <c r="C269" i="39"/>
  <c r="D269" i="39"/>
  <c r="C270" i="39"/>
  <c r="D270" i="39"/>
  <c r="C271" i="39"/>
  <c r="D271" i="39"/>
  <c r="C272" i="39"/>
  <c r="D272" i="39"/>
  <c r="C273" i="39"/>
  <c r="D273" i="39"/>
  <c r="C274" i="39"/>
  <c r="D274" i="39"/>
  <c r="C275" i="39"/>
  <c r="D275" i="39"/>
  <c r="C276" i="39"/>
  <c r="D276" i="39"/>
  <c r="C277" i="39"/>
  <c r="D277" i="39"/>
  <c r="C278" i="39"/>
  <c r="D278" i="39"/>
  <c r="C279" i="39"/>
  <c r="D279" i="39"/>
  <c r="C280" i="39"/>
  <c r="D280" i="39"/>
  <c r="C281" i="39"/>
  <c r="D281" i="39"/>
  <c r="C282" i="39"/>
  <c r="D282" i="39"/>
  <c r="C283" i="39"/>
  <c r="D283" i="39"/>
  <c r="C284" i="39"/>
  <c r="D284" i="39"/>
  <c r="C285" i="39"/>
  <c r="D285" i="39"/>
  <c r="C286" i="39"/>
  <c r="D286" i="39"/>
  <c r="D189" i="39"/>
  <c r="C189" i="39"/>
  <c r="D143" i="39"/>
  <c r="D144" i="39"/>
  <c r="D145" i="39"/>
  <c r="D146" i="39"/>
  <c r="D147" i="39"/>
  <c r="D148" i="39"/>
  <c r="D149" i="39"/>
  <c r="D150" i="39"/>
  <c r="D151" i="39"/>
  <c r="D152" i="39"/>
  <c r="R1484" i="40"/>
  <c r="L1484" i="40"/>
  <c r="F1484" i="40"/>
  <c r="R1483" i="40"/>
  <c r="L1483" i="40"/>
  <c r="F1483" i="40"/>
  <c r="P1484" i="40"/>
  <c r="J1483" i="40"/>
  <c r="D1484" i="40"/>
  <c r="Q1479" i="40"/>
  <c r="K1479" i="40"/>
  <c r="E1479" i="40"/>
  <c r="Q1478" i="40"/>
  <c r="K1478" i="40"/>
  <c r="E1478" i="40"/>
  <c r="Q1477" i="40"/>
  <c r="K1477" i="40"/>
  <c r="E1477" i="40"/>
  <c r="Q1476" i="40"/>
  <c r="K1476" i="40"/>
  <c r="E1476" i="40"/>
  <c r="Q1475" i="40"/>
  <c r="K1475" i="40"/>
  <c r="E1475" i="40"/>
  <c r="Q1474" i="40"/>
  <c r="K1474" i="40"/>
  <c r="E1474" i="40"/>
  <c r="O1465" i="40"/>
  <c r="R1465" i="40" s="1"/>
  <c r="I1465" i="40"/>
  <c r="L1465" i="40" s="1"/>
  <c r="C1465" i="40"/>
  <c r="F1465" i="40" s="1"/>
  <c r="O1464" i="40"/>
  <c r="R1464" i="40" s="1"/>
  <c r="I1464" i="40"/>
  <c r="L1464" i="40" s="1"/>
  <c r="C1464" i="40"/>
  <c r="F1464" i="40" s="1"/>
  <c r="O1463" i="40"/>
  <c r="R1463" i="40" s="1"/>
  <c r="I1463" i="40"/>
  <c r="L1463" i="40" s="1"/>
  <c r="C1463" i="40"/>
  <c r="F1463" i="40" s="1"/>
  <c r="O1462" i="40"/>
  <c r="R1462" i="40" s="1"/>
  <c r="I1462" i="40"/>
  <c r="L1462" i="40" s="1"/>
  <c r="C1462" i="40"/>
  <c r="F1462" i="40" s="1"/>
  <c r="O1461" i="40"/>
  <c r="R1461" i="40" s="1"/>
  <c r="I1461" i="40"/>
  <c r="L1461" i="40" s="1"/>
  <c r="C1461" i="40"/>
  <c r="F1461" i="40" s="1"/>
  <c r="O1460" i="40"/>
  <c r="R1460" i="40" s="1"/>
  <c r="I1460" i="40"/>
  <c r="L1460" i="40" s="1"/>
  <c r="C1460" i="40"/>
  <c r="F1460" i="40" s="1"/>
  <c r="O1459" i="40"/>
  <c r="R1459" i="40" s="1"/>
  <c r="I1459" i="40"/>
  <c r="L1459" i="40" s="1"/>
  <c r="C1459" i="40"/>
  <c r="F1459" i="40" s="1"/>
  <c r="O1458" i="40"/>
  <c r="R1458" i="40" s="1"/>
  <c r="I1458" i="40"/>
  <c r="L1458" i="40" s="1"/>
  <c r="C1458" i="40"/>
  <c r="F1458" i="40" s="1"/>
  <c r="O1457" i="40"/>
  <c r="R1457" i="40" s="1"/>
  <c r="I1457" i="40"/>
  <c r="L1457" i="40" s="1"/>
  <c r="C1457" i="40"/>
  <c r="F1457" i="40" s="1"/>
  <c r="O1456" i="40"/>
  <c r="R1456" i="40" s="1"/>
  <c r="I1456" i="40"/>
  <c r="L1456" i="40" s="1"/>
  <c r="C1456" i="40"/>
  <c r="F1456" i="40" s="1"/>
  <c r="O1455" i="40"/>
  <c r="R1455" i="40" s="1"/>
  <c r="I1455" i="40"/>
  <c r="L1455" i="40" s="1"/>
  <c r="C1455" i="40"/>
  <c r="F1455" i="40" s="1"/>
  <c r="O1454" i="40"/>
  <c r="R1454" i="40" s="1"/>
  <c r="I1454" i="40"/>
  <c r="L1454" i="40" s="1"/>
  <c r="C1454" i="40"/>
  <c r="F1454" i="40" s="1"/>
  <c r="O1453" i="40"/>
  <c r="R1453" i="40" s="1"/>
  <c r="I1453" i="40"/>
  <c r="L1453" i="40" s="1"/>
  <c r="C1453" i="40"/>
  <c r="F1453" i="40" s="1"/>
  <c r="O1452" i="40"/>
  <c r="R1452" i="40" s="1"/>
  <c r="I1452" i="40"/>
  <c r="L1452" i="40" s="1"/>
  <c r="C1452" i="40"/>
  <c r="F1452" i="40" s="1"/>
  <c r="O1451" i="40"/>
  <c r="R1451" i="40" s="1"/>
  <c r="I1451" i="40"/>
  <c r="L1451" i="40" s="1"/>
  <c r="C1451" i="40"/>
  <c r="F1451" i="40" s="1"/>
  <c r="O1450" i="40"/>
  <c r="I1450" i="40"/>
  <c r="C1450" i="40"/>
  <c r="R1440" i="40"/>
  <c r="L1440" i="40"/>
  <c r="F1440" i="40"/>
  <c r="R1439" i="40"/>
  <c r="L1439" i="40"/>
  <c r="F1439" i="40"/>
  <c r="P1439" i="40"/>
  <c r="J1440" i="40"/>
  <c r="D1440" i="40"/>
  <c r="Q1435" i="40"/>
  <c r="K1435" i="40"/>
  <c r="E1435" i="40"/>
  <c r="Q1434" i="40"/>
  <c r="K1434" i="40"/>
  <c r="E1434" i="40"/>
  <c r="Q1433" i="40"/>
  <c r="K1433" i="40"/>
  <c r="E1433" i="40"/>
  <c r="Q1432" i="40"/>
  <c r="K1432" i="40"/>
  <c r="E1432" i="40"/>
  <c r="Q1431" i="40"/>
  <c r="K1431" i="40"/>
  <c r="E1431" i="40"/>
  <c r="Q1430" i="40"/>
  <c r="K1430" i="40"/>
  <c r="E1430" i="40"/>
  <c r="O1421" i="40"/>
  <c r="R1421" i="40" s="1"/>
  <c r="I1421" i="40"/>
  <c r="L1421" i="40" s="1"/>
  <c r="C1421" i="40"/>
  <c r="F1421" i="40" s="1"/>
  <c r="O1420" i="40"/>
  <c r="R1420" i="40" s="1"/>
  <c r="I1420" i="40"/>
  <c r="L1420" i="40" s="1"/>
  <c r="C1420" i="40"/>
  <c r="F1420" i="40" s="1"/>
  <c r="O1419" i="40"/>
  <c r="R1419" i="40" s="1"/>
  <c r="I1419" i="40"/>
  <c r="L1419" i="40" s="1"/>
  <c r="C1419" i="40"/>
  <c r="F1419" i="40" s="1"/>
  <c r="O1418" i="40"/>
  <c r="R1418" i="40" s="1"/>
  <c r="I1418" i="40"/>
  <c r="L1418" i="40" s="1"/>
  <c r="C1418" i="40"/>
  <c r="F1418" i="40" s="1"/>
  <c r="O1417" i="40"/>
  <c r="R1417" i="40" s="1"/>
  <c r="I1417" i="40"/>
  <c r="L1417" i="40" s="1"/>
  <c r="C1417" i="40"/>
  <c r="F1417" i="40" s="1"/>
  <c r="O1416" i="40"/>
  <c r="R1416" i="40" s="1"/>
  <c r="I1416" i="40"/>
  <c r="L1416" i="40" s="1"/>
  <c r="C1416" i="40"/>
  <c r="F1416" i="40" s="1"/>
  <c r="O1415" i="40"/>
  <c r="R1415" i="40" s="1"/>
  <c r="I1415" i="40"/>
  <c r="L1415" i="40" s="1"/>
  <c r="C1415" i="40"/>
  <c r="F1415" i="40" s="1"/>
  <c r="O1414" i="40"/>
  <c r="R1414" i="40" s="1"/>
  <c r="I1414" i="40"/>
  <c r="L1414" i="40" s="1"/>
  <c r="C1414" i="40"/>
  <c r="F1414" i="40" s="1"/>
  <c r="O1413" i="40"/>
  <c r="R1413" i="40" s="1"/>
  <c r="I1413" i="40"/>
  <c r="L1413" i="40" s="1"/>
  <c r="C1413" i="40"/>
  <c r="F1413" i="40" s="1"/>
  <c r="O1412" i="40"/>
  <c r="R1412" i="40" s="1"/>
  <c r="I1412" i="40"/>
  <c r="L1412" i="40" s="1"/>
  <c r="C1412" i="40"/>
  <c r="F1412" i="40" s="1"/>
  <c r="O1411" i="40"/>
  <c r="R1411" i="40" s="1"/>
  <c r="I1411" i="40"/>
  <c r="L1411" i="40" s="1"/>
  <c r="C1411" i="40"/>
  <c r="F1411" i="40" s="1"/>
  <c r="O1410" i="40"/>
  <c r="R1410" i="40" s="1"/>
  <c r="I1410" i="40"/>
  <c r="L1410" i="40" s="1"/>
  <c r="C1410" i="40"/>
  <c r="F1410" i="40" s="1"/>
  <c r="O1409" i="40"/>
  <c r="R1409" i="40" s="1"/>
  <c r="I1409" i="40"/>
  <c r="L1409" i="40" s="1"/>
  <c r="C1409" i="40"/>
  <c r="F1409" i="40" s="1"/>
  <c r="O1408" i="40"/>
  <c r="R1408" i="40" s="1"/>
  <c r="I1408" i="40"/>
  <c r="L1408" i="40" s="1"/>
  <c r="C1408" i="40"/>
  <c r="F1408" i="40" s="1"/>
  <c r="O1407" i="40"/>
  <c r="R1407" i="40" s="1"/>
  <c r="I1407" i="40"/>
  <c r="L1407" i="40" s="1"/>
  <c r="C1407" i="40"/>
  <c r="F1407" i="40" s="1"/>
  <c r="O1406" i="40"/>
  <c r="I1406" i="40"/>
  <c r="C1406" i="40"/>
  <c r="R1396" i="40"/>
  <c r="L1396" i="40"/>
  <c r="F1396" i="40"/>
  <c r="R1395" i="40"/>
  <c r="L1395" i="40"/>
  <c r="F1395" i="40"/>
  <c r="J1396" i="40"/>
  <c r="Q1391" i="40"/>
  <c r="K1391" i="40"/>
  <c r="E1391" i="40"/>
  <c r="Q1390" i="40"/>
  <c r="K1390" i="40"/>
  <c r="E1390" i="40"/>
  <c r="Q1389" i="40"/>
  <c r="K1389" i="40"/>
  <c r="E1389" i="40"/>
  <c r="Q1388" i="40"/>
  <c r="K1388" i="40"/>
  <c r="E1388" i="40"/>
  <c r="Q1387" i="40"/>
  <c r="K1387" i="40"/>
  <c r="E1387" i="40"/>
  <c r="Q1386" i="40"/>
  <c r="K1386" i="40"/>
  <c r="E1386" i="40"/>
  <c r="O1377" i="40"/>
  <c r="R1377" i="40" s="1"/>
  <c r="I1377" i="40"/>
  <c r="L1377" i="40" s="1"/>
  <c r="C1377" i="40"/>
  <c r="F1377" i="40" s="1"/>
  <c r="O1376" i="40"/>
  <c r="R1376" i="40" s="1"/>
  <c r="I1376" i="40"/>
  <c r="L1376" i="40" s="1"/>
  <c r="C1376" i="40"/>
  <c r="F1376" i="40" s="1"/>
  <c r="O1375" i="40"/>
  <c r="R1375" i="40" s="1"/>
  <c r="I1375" i="40"/>
  <c r="L1375" i="40" s="1"/>
  <c r="C1375" i="40"/>
  <c r="F1375" i="40" s="1"/>
  <c r="O1374" i="40"/>
  <c r="R1374" i="40" s="1"/>
  <c r="I1374" i="40"/>
  <c r="L1374" i="40" s="1"/>
  <c r="C1374" i="40"/>
  <c r="F1374" i="40" s="1"/>
  <c r="O1373" i="40"/>
  <c r="R1373" i="40" s="1"/>
  <c r="I1373" i="40"/>
  <c r="L1373" i="40" s="1"/>
  <c r="C1373" i="40"/>
  <c r="F1373" i="40" s="1"/>
  <c r="O1372" i="40"/>
  <c r="R1372" i="40" s="1"/>
  <c r="I1372" i="40"/>
  <c r="L1372" i="40" s="1"/>
  <c r="C1372" i="40"/>
  <c r="F1372" i="40" s="1"/>
  <c r="O1371" i="40"/>
  <c r="R1371" i="40" s="1"/>
  <c r="I1371" i="40"/>
  <c r="L1371" i="40" s="1"/>
  <c r="C1371" i="40"/>
  <c r="F1371" i="40" s="1"/>
  <c r="O1370" i="40"/>
  <c r="R1370" i="40" s="1"/>
  <c r="I1370" i="40"/>
  <c r="L1370" i="40" s="1"/>
  <c r="C1370" i="40"/>
  <c r="F1370" i="40" s="1"/>
  <c r="O1369" i="40"/>
  <c r="R1369" i="40" s="1"/>
  <c r="I1369" i="40"/>
  <c r="L1369" i="40" s="1"/>
  <c r="C1369" i="40"/>
  <c r="F1369" i="40" s="1"/>
  <c r="O1368" i="40"/>
  <c r="R1368" i="40" s="1"/>
  <c r="I1368" i="40"/>
  <c r="L1368" i="40" s="1"/>
  <c r="C1368" i="40"/>
  <c r="F1368" i="40" s="1"/>
  <c r="O1367" i="40"/>
  <c r="R1367" i="40" s="1"/>
  <c r="I1367" i="40"/>
  <c r="L1367" i="40" s="1"/>
  <c r="C1367" i="40"/>
  <c r="F1367" i="40" s="1"/>
  <c r="O1366" i="40"/>
  <c r="R1366" i="40" s="1"/>
  <c r="I1366" i="40"/>
  <c r="L1366" i="40" s="1"/>
  <c r="C1366" i="40"/>
  <c r="F1366" i="40" s="1"/>
  <c r="O1365" i="40"/>
  <c r="R1365" i="40" s="1"/>
  <c r="I1365" i="40"/>
  <c r="L1365" i="40" s="1"/>
  <c r="C1365" i="40"/>
  <c r="F1365" i="40" s="1"/>
  <c r="O1364" i="40"/>
  <c r="R1364" i="40" s="1"/>
  <c r="I1364" i="40"/>
  <c r="L1364" i="40" s="1"/>
  <c r="C1364" i="40"/>
  <c r="F1364" i="40" s="1"/>
  <c r="O1363" i="40"/>
  <c r="R1363" i="40" s="1"/>
  <c r="I1363" i="40"/>
  <c r="L1363" i="40" s="1"/>
  <c r="C1363" i="40"/>
  <c r="F1363" i="40" s="1"/>
  <c r="O1362" i="40"/>
  <c r="I1362" i="40"/>
  <c r="C1362" i="40"/>
  <c r="R1352" i="40"/>
  <c r="L1352" i="40"/>
  <c r="F1352" i="40"/>
  <c r="R1351" i="40"/>
  <c r="L1351" i="40"/>
  <c r="F1351" i="40"/>
  <c r="P1352" i="40"/>
  <c r="D1352" i="40"/>
  <c r="Q1347" i="40"/>
  <c r="K1347" i="40"/>
  <c r="E1347" i="40"/>
  <c r="Q1346" i="40"/>
  <c r="K1346" i="40"/>
  <c r="E1346" i="40"/>
  <c r="Q1345" i="40"/>
  <c r="K1345" i="40"/>
  <c r="E1345" i="40"/>
  <c r="Q1344" i="40"/>
  <c r="K1344" i="40"/>
  <c r="E1344" i="40"/>
  <c r="Q1343" i="40"/>
  <c r="K1343" i="40"/>
  <c r="E1343" i="40"/>
  <c r="Q1342" i="40"/>
  <c r="K1342" i="40"/>
  <c r="E1342" i="40"/>
  <c r="O1333" i="40"/>
  <c r="R1333" i="40" s="1"/>
  <c r="I1333" i="40"/>
  <c r="L1333" i="40" s="1"/>
  <c r="C1333" i="40"/>
  <c r="F1333" i="40" s="1"/>
  <c r="O1332" i="40"/>
  <c r="R1332" i="40" s="1"/>
  <c r="I1332" i="40"/>
  <c r="L1332" i="40" s="1"/>
  <c r="C1332" i="40"/>
  <c r="F1332" i="40" s="1"/>
  <c r="O1331" i="40"/>
  <c r="R1331" i="40" s="1"/>
  <c r="I1331" i="40"/>
  <c r="L1331" i="40" s="1"/>
  <c r="C1331" i="40"/>
  <c r="F1331" i="40" s="1"/>
  <c r="O1330" i="40"/>
  <c r="R1330" i="40" s="1"/>
  <c r="I1330" i="40"/>
  <c r="L1330" i="40" s="1"/>
  <c r="C1330" i="40"/>
  <c r="F1330" i="40" s="1"/>
  <c r="O1329" i="40"/>
  <c r="R1329" i="40" s="1"/>
  <c r="I1329" i="40"/>
  <c r="L1329" i="40" s="1"/>
  <c r="C1329" i="40"/>
  <c r="F1329" i="40" s="1"/>
  <c r="O1328" i="40"/>
  <c r="R1328" i="40" s="1"/>
  <c r="I1328" i="40"/>
  <c r="L1328" i="40" s="1"/>
  <c r="C1328" i="40"/>
  <c r="F1328" i="40" s="1"/>
  <c r="O1327" i="40"/>
  <c r="R1327" i="40" s="1"/>
  <c r="I1327" i="40"/>
  <c r="L1327" i="40" s="1"/>
  <c r="C1327" i="40"/>
  <c r="F1327" i="40" s="1"/>
  <c r="O1326" i="40"/>
  <c r="R1326" i="40" s="1"/>
  <c r="I1326" i="40"/>
  <c r="L1326" i="40" s="1"/>
  <c r="C1326" i="40"/>
  <c r="F1326" i="40" s="1"/>
  <c r="O1325" i="40"/>
  <c r="R1325" i="40" s="1"/>
  <c r="I1325" i="40"/>
  <c r="L1325" i="40" s="1"/>
  <c r="C1325" i="40"/>
  <c r="F1325" i="40" s="1"/>
  <c r="O1324" i="40"/>
  <c r="R1324" i="40" s="1"/>
  <c r="I1324" i="40"/>
  <c r="L1324" i="40" s="1"/>
  <c r="C1324" i="40"/>
  <c r="F1324" i="40" s="1"/>
  <c r="O1323" i="40"/>
  <c r="R1323" i="40" s="1"/>
  <c r="I1323" i="40"/>
  <c r="L1323" i="40" s="1"/>
  <c r="C1323" i="40"/>
  <c r="F1323" i="40" s="1"/>
  <c r="O1322" i="40"/>
  <c r="R1322" i="40" s="1"/>
  <c r="I1322" i="40"/>
  <c r="L1322" i="40" s="1"/>
  <c r="C1322" i="40"/>
  <c r="F1322" i="40" s="1"/>
  <c r="O1321" i="40"/>
  <c r="R1321" i="40" s="1"/>
  <c r="I1321" i="40"/>
  <c r="L1321" i="40" s="1"/>
  <c r="C1321" i="40"/>
  <c r="F1321" i="40" s="1"/>
  <c r="O1320" i="40"/>
  <c r="R1320" i="40" s="1"/>
  <c r="I1320" i="40"/>
  <c r="L1320" i="40" s="1"/>
  <c r="C1320" i="40"/>
  <c r="O1319" i="40"/>
  <c r="R1319" i="40" s="1"/>
  <c r="I1319" i="40"/>
  <c r="C1319" i="40"/>
  <c r="O1318" i="40"/>
  <c r="I1318" i="40"/>
  <c r="C1318" i="40"/>
  <c r="R1308" i="40"/>
  <c r="L1308" i="40"/>
  <c r="F1308" i="40"/>
  <c r="R1307" i="40"/>
  <c r="L1307" i="40"/>
  <c r="F1307" i="40"/>
  <c r="P1307" i="40"/>
  <c r="J1308" i="40"/>
  <c r="D1307" i="40"/>
  <c r="Q1303" i="40"/>
  <c r="K1303" i="40"/>
  <c r="E1303" i="40"/>
  <c r="Q1302" i="40"/>
  <c r="K1302" i="40"/>
  <c r="E1302" i="40"/>
  <c r="Q1301" i="40"/>
  <c r="K1301" i="40"/>
  <c r="E1301" i="40"/>
  <c r="Q1300" i="40"/>
  <c r="K1300" i="40"/>
  <c r="E1300" i="40"/>
  <c r="Q1299" i="40"/>
  <c r="K1299" i="40"/>
  <c r="E1299" i="40"/>
  <c r="Q1298" i="40"/>
  <c r="K1298" i="40"/>
  <c r="E1298" i="40"/>
  <c r="O1289" i="40"/>
  <c r="R1289" i="40" s="1"/>
  <c r="I1289" i="40"/>
  <c r="L1289" i="40" s="1"/>
  <c r="C1289" i="40"/>
  <c r="F1289" i="40" s="1"/>
  <c r="O1288" i="40"/>
  <c r="R1288" i="40" s="1"/>
  <c r="I1288" i="40"/>
  <c r="L1288" i="40" s="1"/>
  <c r="C1288" i="40"/>
  <c r="F1288" i="40" s="1"/>
  <c r="O1287" i="40"/>
  <c r="R1287" i="40" s="1"/>
  <c r="I1287" i="40"/>
  <c r="L1287" i="40" s="1"/>
  <c r="C1287" i="40"/>
  <c r="F1287" i="40" s="1"/>
  <c r="O1286" i="40"/>
  <c r="R1286" i="40" s="1"/>
  <c r="I1286" i="40"/>
  <c r="L1286" i="40" s="1"/>
  <c r="C1286" i="40"/>
  <c r="F1286" i="40" s="1"/>
  <c r="O1285" i="40"/>
  <c r="R1285" i="40" s="1"/>
  <c r="I1285" i="40"/>
  <c r="L1285" i="40" s="1"/>
  <c r="C1285" i="40"/>
  <c r="F1285" i="40" s="1"/>
  <c r="O1284" i="40"/>
  <c r="R1284" i="40" s="1"/>
  <c r="I1284" i="40"/>
  <c r="L1284" i="40" s="1"/>
  <c r="C1284" i="40"/>
  <c r="F1284" i="40" s="1"/>
  <c r="O1283" i="40"/>
  <c r="I1283" i="40"/>
  <c r="L1283" i="40" s="1"/>
  <c r="C1283" i="40"/>
  <c r="F1283" i="40" s="1"/>
  <c r="O1282" i="40"/>
  <c r="I1282" i="40"/>
  <c r="L1282" i="40" s="1"/>
  <c r="C1282" i="40"/>
  <c r="F1282" i="40" s="1"/>
  <c r="O1281" i="40"/>
  <c r="I1281" i="40"/>
  <c r="L1281" i="40" s="1"/>
  <c r="C1281" i="40"/>
  <c r="F1281" i="40" s="1"/>
  <c r="O1280" i="40"/>
  <c r="I1280" i="40"/>
  <c r="L1280" i="40" s="1"/>
  <c r="C1280" i="40"/>
  <c r="F1280" i="40" s="1"/>
  <c r="O1279" i="40"/>
  <c r="I1279" i="40"/>
  <c r="L1279" i="40" s="1"/>
  <c r="C1279" i="40"/>
  <c r="F1279" i="40" s="1"/>
  <c r="O1278" i="40"/>
  <c r="I1278" i="40"/>
  <c r="L1278" i="40" s="1"/>
  <c r="C1278" i="40"/>
  <c r="F1278" i="40" s="1"/>
  <c r="O1277" i="40"/>
  <c r="I1277" i="40"/>
  <c r="L1277" i="40" s="1"/>
  <c r="C1277" i="40"/>
  <c r="O1276" i="40"/>
  <c r="I1276" i="40"/>
  <c r="L1276" i="40" s="1"/>
  <c r="C1276" i="40"/>
  <c r="O1275" i="40"/>
  <c r="I1275" i="40"/>
  <c r="L1275" i="40" s="1"/>
  <c r="C1275" i="40"/>
  <c r="O1274" i="40"/>
  <c r="I1274" i="40"/>
  <c r="L1274" i="40" s="1"/>
  <c r="C1274" i="40"/>
  <c r="R1264" i="40"/>
  <c r="L1264" i="40"/>
  <c r="F1264" i="40"/>
  <c r="R1263" i="40"/>
  <c r="L1263" i="40"/>
  <c r="F1263" i="40"/>
  <c r="P1263" i="40"/>
  <c r="J1264" i="40"/>
  <c r="D1263" i="40"/>
  <c r="Q1259" i="40"/>
  <c r="K1259" i="40"/>
  <c r="E1259" i="40"/>
  <c r="Q1258" i="40"/>
  <c r="K1258" i="40"/>
  <c r="E1258" i="40"/>
  <c r="Q1257" i="40"/>
  <c r="K1257" i="40"/>
  <c r="E1257" i="40"/>
  <c r="Q1256" i="40"/>
  <c r="K1256" i="40"/>
  <c r="E1256" i="40"/>
  <c r="Q1255" i="40"/>
  <c r="K1255" i="40"/>
  <c r="E1255" i="40"/>
  <c r="Q1254" i="40"/>
  <c r="K1254" i="40"/>
  <c r="E1254" i="40"/>
  <c r="O1245" i="40"/>
  <c r="R1245" i="40" s="1"/>
  <c r="I1245" i="40"/>
  <c r="L1245" i="40" s="1"/>
  <c r="C1245" i="40"/>
  <c r="F1245" i="40" s="1"/>
  <c r="O1244" i="40"/>
  <c r="R1244" i="40" s="1"/>
  <c r="I1244" i="40"/>
  <c r="L1244" i="40" s="1"/>
  <c r="C1244" i="40"/>
  <c r="F1244" i="40" s="1"/>
  <c r="O1243" i="40"/>
  <c r="R1243" i="40" s="1"/>
  <c r="I1243" i="40"/>
  <c r="L1243" i="40" s="1"/>
  <c r="C1243" i="40"/>
  <c r="F1243" i="40" s="1"/>
  <c r="O1242" i="40"/>
  <c r="R1242" i="40" s="1"/>
  <c r="I1242" i="40"/>
  <c r="L1242" i="40" s="1"/>
  <c r="C1242" i="40"/>
  <c r="F1242" i="40" s="1"/>
  <c r="O1241" i="40"/>
  <c r="I1241" i="40"/>
  <c r="C1241" i="40"/>
  <c r="F1241" i="40" s="1"/>
  <c r="O1240" i="40"/>
  <c r="I1240" i="40"/>
  <c r="C1240" i="40"/>
  <c r="F1240" i="40" s="1"/>
  <c r="O1239" i="40"/>
  <c r="I1239" i="40"/>
  <c r="C1239" i="40"/>
  <c r="F1239" i="40" s="1"/>
  <c r="O1238" i="40"/>
  <c r="I1238" i="40"/>
  <c r="C1238" i="40"/>
  <c r="O1237" i="40"/>
  <c r="I1237" i="40"/>
  <c r="C1237" i="40"/>
  <c r="O1236" i="40"/>
  <c r="I1236" i="40"/>
  <c r="C1236" i="40"/>
  <c r="O1235" i="40"/>
  <c r="I1235" i="40"/>
  <c r="C1235" i="40"/>
  <c r="O1234" i="40"/>
  <c r="I1234" i="40"/>
  <c r="C1234" i="40"/>
  <c r="O1233" i="40"/>
  <c r="I1233" i="40"/>
  <c r="C1233" i="40"/>
  <c r="O1232" i="40"/>
  <c r="I1232" i="40"/>
  <c r="C1232" i="40"/>
  <c r="O1231" i="40"/>
  <c r="I1231" i="40"/>
  <c r="C1231" i="40"/>
  <c r="O1230" i="40"/>
  <c r="I1230" i="40"/>
  <c r="C1230" i="40"/>
  <c r="R1220" i="40"/>
  <c r="L1220" i="40"/>
  <c r="F1220" i="40"/>
  <c r="R1219" i="40"/>
  <c r="L1219" i="40"/>
  <c r="F1219" i="40"/>
  <c r="P1220" i="40"/>
  <c r="J1219" i="40"/>
  <c r="D1220" i="40"/>
  <c r="Q1215" i="40"/>
  <c r="K1215" i="40"/>
  <c r="E1215" i="40"/>
  <c r="Q1214" i="40"/>
  <c r="K1214" i="40"/>
  <c r="E1214" i="40"/>
  <c r="Q1213" i="40"/>
  <c r="K1213" i="40"/>
  <c r="E1213" i="40"/>
  <c r="Q1212" i="40"/>
  <c r="K1212" i="40"/>
  <c r="E1212" i="40"/>
  <c r="Q1211" i="40"/>
  <c r="K1211" i="40"/>
  <c r="E1211" i="40"/>
  <c r="Q1210" i="40"/>
  <c r="K1210" i="40"/>
  <c r="E1210" i="40"/>
  <c r="O1201" i="40"/>
  <c r="R1201" i="40" s="1"/>
  <c r="I1201" i="40"/>
  <c r="L1201" i="40" s="1"/>
  <c r="C1201" i="40"/>
  <c r="F1201" i="40" s="1"/>
  <c r="O1200" i="40"/>
  <c r="R1200" i="40" s="1"/>
  <c r="I1200" i="40"/>
  <c r="L1200" i="40" s="1"/>
  <c r="C1200" i="40"/>
  <c r="F1200" i="40" s="1"/>
  <c r="O1199" i="40"/>
  <c r="R1199" i="40" s="1"/>
  <c r="I1199" i="40"/>
  <c r="L1199" i="40" s="1"/>
  <c r="C1199" i="40"/>
  <c r="F1199" i="40" s="1"/>
  <c r="O1198" i="40"/>
  <c r="R1198" i="40" s="1"/>
  <c r="I1198" i="40"/>
  <c r="L1198" i="40" s="1"/>
  <c r="C1198" i="40"/>
  <c r="F1198" i="40" s="1"/>
  <c r="O1197" i="40"/>
  <c r="R1197" i="40" s="1"/>
  <c r="I1197" i="40"/>
  <c r="L1197" i="40" s="1"/>
  <c r="C1197" i="40"/>
  <c r="O1196" i="40"/>
  <c r="R1196" i="40" s="1"/>
  <c r="I1196" i="40"/>
  <c r="L1196" i="40" s="1"/>
  <c r="C1196" i="40"/>
  <c r="O1195" i="40"/>
  <c r="R1195" i="40" s="1"/>
  <c r="I1195" i="40"/>
  <c r="L1195" i="40" s="1"/>
  <c r="C1195" i="40"/>
  <c r="O1194" i="40"/>
  <c r="R1194" i="40" s="1"/>
  <c r="I1194" i="40"/>
  <c r="C1194" i="40"/>
  <c r="O1193" i="40"/>
  <c r="I1193" i="40"/>
  <c r="C1193" i="40"/>
  <c r="O1192" i="40"/>
  <c r="I1192" i="40"/>
  <c r="C1192" i="40"/>
  <c r="O1191" i="40"/>
  <c r="I1191" i="40"/>
  <c r="C1191" i="40"/>
  <c r="O1190" i="40"/>
  <c r="I1190" i="40"/>
  <c r="C1190" i="40"/>
  <c r="O1189" i="40"/>
  <c r="I1189" i="40"/>
  <c r="C1189" i="40"/>
  <c r="O1188" i="40"/>
  <c r="I1188" i="40"/>
  <c r="C1188" i="40"/>
  <c r="O1187" i="40"/>
  <c r="I1187" i="40"/>
  <c r="C1187" i="40"/>
  <c r="O1186" i="40"/>
  <c r="I1186" i="40"/>
  <c r="C1186" i="40"/>
  <c r="R1176" i="40"/>
  <c r="L1176" i="40"/>
  <c r="F1176" i="40"/>
  <c r="R1175" i="40"/>
  <c r="L1175" i="40"/>
  <c r="F1175" i="40"/>
  <c r="P1175" i="40"/>
  <c r="J1176" i="40"/>
  <c r="D1175" i="40"/>
  <c r="Q1171" i="40"/>
  <c r="K1171" i="40"/>
  <c r="E1171" i="40"/>
  <c r="Q1170" i="40"/>
  <c r="K1170" i="40"/>
  <c r="E1170" i="40"/>
  <c r="Q1169" i="40"/>
  <c r="K1169" i="40"/>
  <c r="E1169" i="40"/>
  <c r="Q1168" i="40"/>
  <c r="K1168" i="40"/>
  <c r="E1168" i="40"/>
  <c r="Q1167" i="40"/>
  <c r="K1167" i="40"/>
  <c r="E1167" i="40"/>
  <c r="Q1166" i="40"/>
  <c r="K1166" i="40"/>
  <c r="E1166" i="40"/>
  <c r="O1157" i="40"/>
  <c r="R1157" i="40" s="1"/>
  <c r="I1157" i="40"/>
  <c r="L1157" i="40" s="1"/>
  <c r="C1157" i="40"/>
  <c r="F1157" i="40" s="1"/>
  <c r="O1156" i="40"/>
  <c r="R1156" i="40" s="1"/>
  <c r="I1156" i="40"/>
  <c r="L1156" i="40" s="1"/>
  <c r="C1156" i="40"/>
  <c r="F1156" i="40" s="1"/>
  <c r="O1155" i="40"/>
  <c r="R1155" i="40" s="1"/>
  <c r="I1155" i="40"/>
  <c r="L1155" i="40" s="1"/>
  <c r="C1155" i="40"/>
  <c r="F1155" i="40" s="1"/>
  <c r="O1154" i="40"/>
  <c r="R1154" i="40" s="1"/>
  <c r="I1154" i="40"/>
  <c r="L1154" i="40" s="1"/>
  <c r="C1154" i="40"/>
  <c r="F1154" i="40" s="1"/>
  <c r="O1153" i="40"/>
  <c r="R1153" i="40" s="1"/>
  <c r="I1153" i="40"/>
  <c r="L1153" i="40" s="1"/>
  <c r="C1153" i="40"/>
  <c r="F1153" i="40" s="1"/>
  <c r="O1152" i="40"/>
  <c r="R1152" i="40" s="1"/>
  <c r="I1152" i="40"/>
  <c r="L1152" i="40" s="1"/>
  <c r="C1152" i="40"/>
  <c r="F1152" i="40" s="1"/>
  <c r="O1151" i="40"/>
  <c r="R1151" i="40" s="1"/>
  <c r="I1151" i="40"/>
  <c r="L1151" i="40" s="1"/>
  <c r="C1151" i="40"/>
  <c r="F1151" i="40" s="1"/>
  <c r="O1150" i="40"/>
  <c r="R1150" i="40" s="1"/>
  <c r="I1150" i="40"/>
  <c r="L1150" i="40" s="1"/>
  <c r="C1150" i="40"/>
  <c r="F1150" i="40" s="1"/>
  <c r="O1149" i="40"/>
  <c r="R1149" i="40" s="1"/>
  <c r="I1149" i="40"/>
  <c r="L1149" i="40" s="1"/>
  <c r="C1149" i="40"/>
  <c r="F1149" i="40" s="1"/>
  <c r="O1148" i="40"/>
  <c r="I1148" i="40"/>
  <c r="L1148" i="40" s="1"/>
  <c r="C1148" i="40"/>
  <c r="F1148" i="40" s="1"/>
  <c r="O1147" i="40"/>
  <c r="I1147" i="40"/>
  <c r="L1147" i="40" s="1"/>
  <c r="C1147" i="40"/>
  <c r="O1146" i="40"/>
  <c r="I1146" i="40"/>
  <c r="C1146" i="40"/>
  <c r="O1145" i="40"/>
  <c r="I1145" i="40"/>
  <c r="C1145" i="40"/>
  <c r="O1144" i="40"/>
  <c r="I1144" i="40"/>
  <c r="C1144" i="40"/>
  <c r="O1143" i="40"/>
  <c r="I1143" i="40"/>
  <c r="C1143" i="40"/>
  <c r="O1142" i="40"/>
  <c r="I1142" i="40"/>
  <c r="C1142" i="40"/>
  <c r="R1132" i="40"/>
  <c r="L1132" i="40"/>
  <c r="F1132" i="40"/>
  <c r="R1131" i="40"/>
  <c r="L1131" i="40"/>
  <c r="F1131" i="40"/>
  <c r="P1132" i="40"/>
  <c r="J1132" i="40"/>
  <c r="D1132" i="40"/>
  <c r="Q1127" i="40"/>
  <c r="K1127" i="40"/>
  <c r="E1127" i="40"/>
  <c r="Q1126" i="40"/>
  <c r="K1126" i="40"/>
  <c r="E1126" i="40"/>
  <c r="Q1125" i="40"/>
  <c r="K1125" i="40"/>
  <c r="E1125" i="40"/>
  <c r="Q1124" i="40"/>
  <c r="K1124" i="40"/>
  <c r="E1124" i="40"/>
  <c r="Q1123" i="40"/>
  <c r="K1123" i="40"/>
  <c r="E1123" i="40"/>
  <c r="Q1122" i="40"/>
  <c r="K1122" i="40"/>
  <c r="E1122" i="40"/>
  <c r="O1113" i="40"/>
  <c r="R1113" i="40" s="1"/>
  <c r="I1113" i="40"/>
  <c r="L1113" i="40" s="1"/>
  <c r="C1113" i="40"/>
  <c r="F1113" i="40" s="1"/>
  <c r="O1112" i="40"/>
  <c r="R1112" i="40" s="1"/>
  <c r="I1112" i="40"/>
  <c r="L1112" i="40" s="1"/>
  <c r="C1112" i="40"/>
  <c r="O1111" i="40"/>
  <c r="R1111" i="40" s="1"/>
  <c r="I1111" i="40"/>
  <c r="L1111" i="40" s="1"/>
  <c r="C1111" i="40"/>
  <c r="O1110" i="40"/>
  <c r="R1110" i="40" s="1"/>
  <c r="I1110" i="40"/>
  <c r="L1110" i="40" s="1"/>
  <c r="C1110" i="40"/>
  <c r="O1109" i="40"/>
  <c r="R1109" i="40" s="1"/>
  <c r="I1109" i="40"/>
  <c r="L1109" i="40" s="1"/>
  <c r="C1109" i="40"/>
  <c r="F1109" i="40" s="1"/>
  <c r="O1108" i="40"/>
  <c r="R1108" i="40" s="1"/>
  <c r="I1108" i="40"/>
  <c r="L1108" i="40" s="1"/>
  <c r="C1108" i="40"/>
  <c r="O1107" i="40"/>
  <c r="R1107" i="40" s="1"/>
  <c r="I1107" i="40"/>
  <c r="L1107" i="40" s="1"/>
  <c r="C1107" i="40"/>
  <c r="O1106" i="40"/>
  <c r="R1106" i="40" s="1"/>
  <c r="I1106" i="40"/>
  <c r="C1106" i="40"/>
  <c r="O1105" i="40"/>
  <c r="R1105" i="40" s="1"/>
  <c r="I1105" i="40"/>
  <c r="C1105" i="40"/>
  <c r="O1104" i="40"/>
  <c r="R1104" i="40" s="1"/>
  <c r="I1104" i="40"/>
  <c r="C1104" i="40"/>
  <c r="O1103" i="40"/>
  <c r="R1103" i="40" s="1"/>
  <c r="I1103" i="40"/>
  <c r="C1103" i="40"/>
  <c r="O1102" i="40"/>
  <c r="R1102" i="40" s="1"/>
  <c r="I1102" i="40"/>
  <c r="C1102" i="40"/>
  <c r="O1101" i="40"/>
  <c r="R1101" i="40" s="1"/>
  <c r="I1101" i="40"/>
  <c r="C1101" i="40"/>
  <c r="O1100" i="40"/>
  <c r="R1100" i="40" s="1"/>
  <c r="I1100" i="40"/>
  <c r="C1100" i="40"/>
  <c r="O1099" i="40"/>
  <c r="I1099" i="40"/>
  <c r="C1099" i="40"/>
  <c r="O1098" i="40"/>
  <c r="I1098" i="40"/>
  <c r="C1098" i="40"/>
  <c r="O1096" i="40"/>
  <c r="R1088" i="40"/>
  <c r="L1088" i="40"/>
  <c r="F1088" i="40"/>
  <c r="R1087" i="40"/>
  <c r="L1087" i="40"/>
  <c r="F1087" i="40"/>
  <c r="P1088" i="40"/>
  <c r="J1087" i="40"/>
  <c r="D1088" i="40"/>
  <c r="Q1083" i="40"/>
  <c r="K1083" i="40"/>
  <c r="E1083" i="40"/>
  <c r="Q1082" i="40"/>
  <c r="K1082" i="40"/>
  <c r="E1082" i="40"/>
  <c r="Q1081" i="40"/>
  <c r="K1081" i="40"/>
  <c r="E1081" i="40"/>
  <c r="Q1080" i="40"/>
  <c r="K1080" i="40"/>
  <c r="E1080" i="40"/>
  <c r="Q1079" i="40"/>
  <c r="K1079" i="40"/>
  <c r="E1079" i="40"/>
  <c r="Q1078" i="40"/>
  <c r="K1078" i="40"/>
  <c r="E1078" i="40"/>
  <c r="O1069" i="40"/>
  <c r="R1069" i="40" s="1"/>
  <c r="I1069" i="40"/>
  <c r="L1069" i="40" s="1"/>
  <c r="C1069" i="40"/>
  <c r="F1069" i="40" s="1"/>
  <c r="O1068" i="40"/>
  <c r="R1068" i="40" s="1"/>
  <c r="I1068" i="40"/>
  <c r="L1068" i="40" s="1"/>
  <c r="C1068" i="40"/>
  <c r="F1068" i="40" s="1"/>
  <c r="O1067" i="40"/>
  <c r="R1067" i="40" s="1"/>
  <c r="I1067" i="40"/>
  <c r="L1067" i="40" s="1"/>
  <c r="C1067" i="40"/>
  <c r="F1067" i="40" s="1"/>
  <c r="O1066" i="40"/>
  <c r="I1066" i="40"/>
  <c r="L1066" i="40" s="1"/>
  <c r="C1066" i="40"/>
  <c r="F1066" i="40" s="1"/>
  <c r="O1065" i="40"/>
  <c r="I1065" i="40"/>
  <c r="L1065" i="40" s="1"/>
  <c r="C1065" i="40"/>
  <c r="F1065" i="40" s="1"/>
  <c r="O1064" i="40"/>
  <c r="I1064" i="40"/>
  <c r="L1064" i="40" s="1"/>
  <c r="C1064" i="40"/>
  <c r="F1064" i="40" s="1"/>
  <c r="O1063" i="40"/>
  <c r="I1063" i="40"/>
  <c r="L1063" i="40" s="1"/>
  <c r="C1063" i="40"/>
  <c r="F1063" i="40" s="1"/>
  <c r="O1062" i="40"/>
  <c r="I1062" i="40"/>
  <c r="L1062" i="40" s="1"/>
  <c r="C1062" i="40"/>
  <c r="F1062" i="40" s="1"/>
  <c r="O1061" i="40"/>
  <c r="I1061" i="40"/>
  <c r="L1061" i="40" s="1"/>
  <c r="C1061" i="40"/>
  <c r="F1061" i="40" s="1"/>
  <c r="O1060" i="40"/>
  <c r="I1060" i="40"/>
  <c r="C1060" i="40"/>
  <c r="O1059" i="40"/>
  <c r="I1059" i="40"/>
  <c r="C1059" i="40"/>
  <c r="O1058" i="40"/>
  <c r="I1058" i="40"/>
  <c r="C1058" i="40"/>
  <c r="O1057" i="40"/>
  <c r="I1057" i="40"/>
  <c r="C1057" i="40"/>
  <c r="O1056" i="40"/>
  <c r="I1056" i="40"/>
  <c r="C1056" i="40"/>
  <c r="O1055" i="40"/>
  <c r="I1055" i="40"/>
  <c r="C1055" i="40"/>
  <c r="O1054" i="40"/>
  <c r="I1054" i="40"/>
  <c r="C1054" i="40"/>
  <c r="R1044" i="40"/>
  <c r="L1044" i="40"/>
  <c r="F1044" i="40"/>
  <c r="R1043" i="40"/>
  <c r="L1043" i="40"/>
  <c r="F1043" i="40"/>
  <c r="P1043" i="40"/>
  <c r="J1044" i="40"/>
  <c r="D1043" i="40"/>
  <c r="Q1039" i="40"/>
  <c r="K1039" i="40"/>
  <c r="E1039" i="40"/>
  <c r="Q1038" i="40"/>
  <c r="K1038" i="40"/>
  <c r="E1038" i="40"/>
  <c r="Q1037" i="40"/>
  <c r="K1037" i="40"/>
  <c r="E1037" i="40"/>
  <c r="Q1036" i="40"/>
  <c r="K1036" i="40"/>
  <c r="E1036" i="40"/>
  <c r="Q1035" i="40"/>
  <c r="K1035" i="40"/>
  <c r="E1035" i="40"/>
  <c r="Q1034" i="40"/>
  <c r="K1034" i="40"/>
  <c r="E1034" i="40"/>
  <c r="O1025" i="40"/>
  <c r="R1025" i="40" s="1"/>
  <c r="I1025" i="40"/>
  <c r="L1025" i="40" s="1"/>
  <c r="C1025" i="40"/>
  <c r="F1025" i="40" s="1"/>
  <c r="O1024" i="40"/>
  <c r="R1024" i="40" s="1"/>
  <c r="I1024" i="40"/>
  <c r="L1024" i="40" s="1"/>
  <c r="C1024" i="40"/>
  <c r="F1024" i="40" s="1"/>
  <c r="O1023" i="40"/>
  <c r="R1023" i="40" s="1"/>
  <c r="I1023" i="40"/>
  <c r="L1023" i="40" s="1"/>
  <c r="C1023" i="40"/>
  <c r="F1023" i="40" s="1"/>
  <c r="O1022" i="40"/>
  <c r="R1022" i="40" s="1"/>
  <c r="I1022" i="40"/>
  <c r="L1022" i="40" s="1"/>
  <c r="C1022" i="40"/>
  <c r="F1022" i="40" s="1"/>
  <c r="O1021" i="40"/>
  <c r="R1021" i="40" s="1"/>
  <c r="I1021" i="40"/>
  <c r="L1021" i="40" s="1"/>
  <c r="C1021" i="40"/>
  <c r="F1021" i="40" s="1"/>
  <c r="O1020" i="40"/>
  <c r="R1020" i="40" s="1"/>
  <c r="I1020" i="40"/>
  <c r="L1020" i="40" s="1"/>
  <c r="C1020" i="40"/>
  <c r="F1020" i="40" s="1"/>
  <c r="O1019" i="40"/>
  <c r="R1019" i="40" s="1"/>
  <c r="I1019" i="40"/>
  <c r="L1019" i="40" s="1"/>
  <c r="C1019" i="40"/>
  <c r="F1019" i="40" s="1"/>
  <c r="O1018" i="40"/>
  <c r="R1018" i="40" s="1"/>
  <c r="I1018" i="40"/>
  <c r="L1018" i="40" s="1"/>
  <c r="C1018" i="40"/>
  <c r="F1018" i="40" s="1"/>
  <c r="O1017" i="40"/>
  <c r="R1017" i="40" s="1"/>
  <c r="I1017" i="40"/>
  <c r="L1017" i="40" s="1"/>
  <c r="C1017" i="40"/>
  <c r="F1017" i="40" s="1"/>
  <c r="O1016" i="40"/>
  <c r="I1016" i="40"/>
  <c r="C1016" i="40"/>
  <c r="F1016" i="40" s="1"/>
  <c r="O1015" i="40"/>
  <c r="I1015" i="40"/>
  <c r="C1015" i="40"/>
  <c r="F1015" i="40" s="1"/>
  <c r="O1014" i="40"/>
  <c r="I1014" i="40"/>
  <c r="C1014" i="40"/>
  <c r="F1014" i="40" s="1"/>
  <c r="O1013" i="40"/>
  <c r="I1013" i="40"/>
  <c r="C1013" i="40"/>
  <c r="F1013" i="40" s="1"/>
  <c r="O1012" i="40"/>
  <c r="I1012" i="40"/>
  <c r="C1012" i="40"/>
  <c r="O1011" i="40"/>
  <c r="I1011" i="40"/>
  <c r="C1011" i="40"/>
  <c r="O1010" i="40"/>
  <c r="I1010" i="40"/>
  <c r="C1010" i="40"/>
  <c r="R1000" i="40"/>
  <c r="L1000" i="40"/>
  <c r="F1000" i="40"/>
  <c r="R999" i="40"/>
  <c r="L999" i="40"/>
  <c r="F999" i="40"/>
  <c r="P1000" i="40"/>
  <c r="J999" i="40"/>
  <c r="D1000" i="40"/>
  <c r="Q995" i="40"/>
  <c r="K995" i="40"/>
  <c r="E995" i="40"/>
  <c r="Q994" i="40"/>
  <c r="K994" i="40"/>
  <c r="E994" i="40"/>
  <c r="Q993" i="40"/>
  <c r="K993" i="40"/>
  <c r="E993" i="40"/>
  <c r="Q992" i="40"/>
  <c r="K992" i="40"/>
  <c r="E992" i="40"/>
  <c r="Q991" i="40"/>
  <c r="K991" i="40"/>
  <c r="E991" i="40"/>
  <c r="Q990" i="40"/>
  <c r="K990" i="40"/>
  <c r="E990" i="40"/>
  <c r="O981" i="40"/>
  <c r="R981" i="40" s="1"/>
  <c r="I981" i="40"/>
  <c r="L981" i="40" s="1"/>
  <c r="C981" i="40"/>
  <c r="F981" i="40" s="1"/>
  <c r="O980" i="40"/>
  <c r="R980" i="40" s="1"/>
  <c r="I980" i="40"/>
  <c r="L980" i="40" s="1"/>
  <c r="C980" i="40"/>
  <c r="F980" i="40" s="1"/>
  <c r="O979" i="40"/>
  <c r="R979" i="40" s="1"/>
  <c r="I979" i="40"/>
  <c r="L979" i="40" s="1"/>
  <c r="C979" i="40"/>
  <c r="F979" i="40" s="1"/>
  <c r="O978" i="40"/>
  <c r="R978" i="40" s="1"/>
  <c r="I978" i="40"/>
  <c r="L978" i="40" s="1"/>
  <c r="C978" i="40"/>
  <c r="F978" i="40" s="1"/>
  <c r="O977" i="40"/>
  <c r="R977" i="40" s="1"/>
  <c r="I977" i="40"/>
  <c r="L977" i="40" s="1"/>
  <c r="C977" i="40"/>
  <c r="F977" i="40" s="1"/>
  <c r="O976" i="40"/>
  <c r="R976" i="40" s="1"/>
  <c r="I976" i="40"/>
  <c r="L976" i="40" s="1"/>
  <c r="C976" i="40"/>
  <c r="F976" i="40" s="1"/>
  <c r="O975" i="40"/>
  <c r="R975" i="40" s="1"/>
  <c r="I975" i="40"/>
  <c r="L975" i="40" s="1"/>
  <c r="C975" i="40"/>
  <c r="F975" i="40" s="1"/>
  <c r="O974" i="40"/>
  <c r="R974" i="40" s="1"/>
  <c r="I974" i="40"/>
  <c r="L974" i="40" s="1"/>
  <c r="C974" i="40"/>
  <c r="F974" i="40" s="1"/>
  <c r="O973" i="40"/>
  <c r="R973" i="40" s="1"/>
  <c r="I973" i="40"/>
  <c r="L973" i="40" s="1"/>
  <c r="C973" i="40"/>
  <c r="F973" i="40" s="1"/>
  <c r="O972" i="40"/>
  <c r="I972" i="40"/>
  <c r="C972" i="40"/>
  <c r="O971" i="40"/>
  <c r="I971" i="40"/>
  <c r="C971" i="40"/>
  <c r="O970" i="40"/>
  <c r="I970" i="40"/>
  <c r="C970" i="40"/>
  <c r="O969" i="40"/>
  <c r="I969" i="40"/>
  <c r="C969" i="40"/>
  <c r="O968" i="40"/>
  <c r="I968" i="40"/>
  <c r="C968" i="40"/>
  <c r="O967" i="40"/>
  <c r="I967" i="40"/>
  <c r="C967" i="40"/>
  <c r="O966" i="40"/>
  <c r="I966" i="40"/>
  <c r="C966" i="40"/>
  <c r="R956" i="40"/>
  <c r="L956" i="40"/>
  <c r="F956" i="40"/>
  <c r="R955" i="40"/>
  <c r="L955" i="40"/>
  <c r="F955" i="40"/>
  <c r="P955" i="40"/>
  <c r="D955" i="40"/>
  <c r="Q951" i="40"/>
  <c r="K951" i="40"/>
  <c r="E951" i="40"/>
  <c r="R950" i="40"/>
  <c r="Q950" i="40"/>
  <c r="L950" i="40"/>
  <c r="K950" i="40"/>
  <c r="F950" i="40"/>
  <c r="E950" i="40"/>
  <c r="R949" i="40"/>
  <c r="Q949" i="40"/>
  <c r="L949" i="40"/>
  <c r="K949" i="40"/>
  <c r="F949" i="40"/>
  <c r="E949" i="40"/>
  <c r="R948" i="40"/>
  <c r="Q948" i="40"/>
  <c r="K948" i="40"/>
  <c r="E948" i="40"/>
  <c r="R947" i="40"/>
  <c r="Q947" i="40"/>
  <c r="L947" i="40"/>
  <c r="K947" i="40"/>
  <c r="E947" i="40"/>
  <c r="Q946" i="40"/>
  <c r="L946" i="40"/>
  <c r="K946" i="40"/>
  <c r="E946" i="40"/>
  <c r="O937" i="40"/>
  <c r="R937" i="40" s="1"/>
  <c r="I937" i="40"/>
  <c r="L937" i="40" s="1"/>
  <c r="C937" i="40"/>
  <c r="F937" i="40" s="1"/>
  <c r="O936" i="40"/>
  <c r="R936" i="40" s="1"/>
  <c r="I936" i="40"/>
  <c r="L936" i="40" s="1"/>
  <c r="C936" i="40"/>
  <c r="F936" i="40" s="1"/>
  <c r="O935" i="40"/>
  <c r="R935" i="40" s="1"/>
  <c r="I935" i="40"/>
  <c r="L935" i="40" s="1"/>
  <c r="C935" i="40"/>
  <c r="F935" i="40" s="1"/>
  <c r="O934" i="40"/>
  <c r="R934" i="40" s="1"/>
  <c r="I934" i="40"/>
  <c r="L934" i="40" s="1"/>
  <c r="C934" i="40"/>
  <c r="F934" i="40" s="1"/>
  <c r="O933" i="40"/>
  <c r="R933" i="40" s="1"/>
  <c r="I933" i="40"/>
  <c r="L933" i="40" s="1"/>
  <c r="C933" i="40"/>
  <c r="F933" i="40" s="1"/>
  <c r="O932" i="40"/>
  <c r="R932" i="40" s="1"/>
  <c r="I932" i="40"/>
  <c r="L932" i="40" s="1"/>
  <c r="C932" i="40"/>
  <c r="F932" i="40" s="1"/>
  <c r="O931" i="40"/>
  <c r="R931" i="40" s="1"/>
  <c r="I931" i="40"/>
  <c r="L931" i="40" s="1"/>
  <c r="C931" i="40"/>
  <c r="F931" i="40" s="1"/>
  <c r="O930" i="40"/>
  <c r="R930" i="40" s="1"/>
  <c r="I930" i="40"/>
  <c r="L930" i="40" s="1"/>
  <c r="C930" i="40"/>
  <c r="F930" i="40" s="1"/>
  <c r="O929" i="40"/>
  <c r="R929" i="40" s="1"/>
  <c r="I929" i="40"/>
  <c r="L929" i="40" s="1"/>
  <c r="C929" i="40"/>
  <c r="F929" i="40" s="1"/>
  <c r="O928" i="40"/>
  <c r="R928" i="40" s="1"/>
  <c r="I928" i="40"/>
  <c r="L928" i="40" s="1"/>
  <c r="C928" i="40"/>
  <c r="F928" i="40" s="1"/>
  <c r="O927" i="40"/>
  <c r="R927" i="40" s="1"/>
  <c r="I927" i="40"/>
  <c r="L927" i="40" s="1"/>
  <c r="C927" i="40"/>
  <c r="F927" i="40" s="1"/>
  <c r="O926" i="40"/>
  <c r="R926" i="40" s="1"/>
  <c r="I926" i="40"/>
  <c r="L926" i="40" s="1"/>
  <c r="C926" i="40"/>
  <c r="O925" i="40"/>
  <c r="R925" i="40" s="1"/>
  <c r="I925" i="40"/>
  <c r="L925" i="40" s="1"/>
  <c r="C925" i="40"/>
  <c r="O924" i="40"/>
  <c r="I924" i="40"/>
  <c r="C924" i="40"/>
  <c r="O923" i="40"/>
  <c r="I923" i="40"/>
  <c r="C923" i="40"/>
  <c r="O922" i="40"/>
  <c r="I922" i="40"/>
  <c r="C922" i="40"/>
  <c r="R912" i="40"/>
  <c r="L912" i="40"/>
  <c r="F912" i="40"/>
  <c r="R911" i="40"/>
  <c r="L911" i="40"/>
  <c r="F911" i="40"/>
  <c r="P912" i="40"/>
  <c r="J911" i="40"/>
  <c r="D912" i="40"/>
  <c r="Q907" i="40"/>
  <c r="K907" i="40"/>
  <c r="E907" i="40"/>
  <c r="Q906" i="40"/>
  <c r="K906" i="40"/>
  <c r="E906" i="40"/>
  <c r="Q905" i="40"/>
  <c r="K905" i="40"/>
  <c r="E905" i="40"/>
  <c r="Q904" i="40"/>
  <c r="K904" i="40"/>
  <c r="E904" i="40"/>
  <c r="Q903" i="40"/>
  <c r="K903" i="40"/>
  <c r="E903" i="40"/>
  <c r="Q902" i="40"/>
  <c r="K902" i="40"/>
  <c r="E902" i="40"/>
  <c r="O893" i="40"/>
  <c r="R893" i="40" s="1"/>
  <c r="I893" i="40"/>
  <c r="L893" i="40" s="1"/>
  <c r="C893" i="40"/>
  <c r="F893" i="40" s="1"/>
  <c r="O892" i="40"/>
  <c r="R892" i="40" s="1"/>
  <c r="I892" i="40"/>
  <c r="L892" i="40" s="1"/>
  <c r="C892" i="40"/>
  <c r="F892" i="40" s="1"/>
  <c r="O891" i="40"/>
  <c r="R891" i="40" s="1"/>
  <c r="I891" i="40"/>
  <c r="L891" i="40" s="1"/>
  <c r="C891" i="40"/>
  <c r="F891" i="40" s="1"/>
  <c r="O890" i="40"/>
  <c r="R890" i="40" s="1"/>
  <c r="I890" i="40"/>
  <c r="L890" i="40" s="1"/>
  <c r="C890" i="40"/>
  <c r="F890" i="40" s="1"/>
  <c r="O889" i="40"/>
  <c r="R889" i="40" s="1"/>
  <c r="I889" i="40"/>
  <c r="L889" i="40" s="1"/>
  <c r="C889" i="40"/>
  <c r="F889" i="40" s="1"/>
  <c r="O888" i="40"/>
  <c r="R888" i="40" s="1"/>
  <c r="I888" i="40"/>
  <c r="L888" i="40" s="1"/>
  <c r="C888" i="40"/>
  <c r="F888" i="40" s="1"/>
  <c r="O887" i="40"/>
  <c r="R887" i="40" s="1"/>
  <c r="I887" i="40"/>
  <c r="L887" i="40" s="1"/>
  <c r="C887" i="40"/>
  <c r="F887" i="40" s="1"/>
  <c r="O886" i="40"/>
  <c r="R886" i="40" s="1"/>
  <c r="I886" i="40"/>
  <c r="L886" i="40" s="1"/>
  <c r="C886" i="40"/>
  <c r="F886" i="40" s="1"/>
  <c r="O885" i="40"/>
  <c r="R885" i="40" s="1"/>
  <c r="I885" i="40"/>
  <c r="L885" i="40" s="1"/>
  <c r="C885" i="40"/>
  <c r="F885" i="40" s="1"/>
  <c r="O884" i="40"/>
  <c r="R884" i="40" s="1"/>
  <c r="I884" i="40"/>
  <c r="L884" i="40" s="1"/>
  <c r="C884" i="40"/>
  <c r="F884" i="40" s="1"/>
  <c r="O883" i="40"/>
  <c r="R883" i="40" s="1"/>
  <c r="I883" i="40"/>
  <c r="L883" i="40" s="1"/>
  <c r="C883" i="40"/>
  <c r="F883" i="40" s="1"/>
  <c r="O882" i="40"/>
  <c r="R882" i="40" s="1"/>
  <c r="I882" i="40"/>
  <c r="L882" i="40" s="1"/>
  <c r="C882" i="40"/>
  <c r="F882" i="40" s="1"/>
  <c r="O881" i="40"/>
  <c r="R881" i="40" s="1"/>
  <c r="I881" i="40"/>
  <c r="L881" i="40" s="1"/>
  <c r="C881" i="40"/>
  <c r="F881" i="40" s="1"/>
  <c r="O880" i="40"/>
  <c r="R880" i="40" s="1"/>
  <c r="I880" i="40"/>
  <c r="C880" i="40"/>
  <c r="O879" i="40"/>
  <c r="I879" i="40"/>
  <c r="C879" i="40"/>
  <c r="O878" i="40"/>
  <c r="I878" i="40"/>
  <c r="C878" i="40"/>
  <c r="R868" i="40"/>
  <c r="L868" i="40"/>
  <c r="F868" i="40"/>
  <c r="R867" i="40"/>
  <c r="L867" i="40"/>
  <c r="F867" i="40"/>
  <c r="P867" i="40"/>
  <c r="J868" i="40"/>
  <c r="D867" i="40"/>
  <c r="Q863" i="40"/>
  <c r="K863" i="40"/>
  <c r="E863" i="40"/>
  <c r="Q862" i="40"/>
  <c r="K862" i="40"/>
  <c r="E862" i="40"/>
  <c r="Q861" i="40"/>
  <c r="K861" i="40"/>
  <c r="E861" i="40"/>
  <c r="Q860" i="40"/>
  <c r="K860" i="40"/>
  <c r="E860" i="40"/>
  <c r="Q859" i="40"/>
  <c r="K859" i="40"/>
  <c r="E859" i="40"/>
  <c r="Q858" i="40"/>
  <c r="K858" i="40"/>
  <c r="E858" i="40"/>
  <c r="O849" i="40"/>
  <c r="R849" i="40" s="1"/>
  <c r="I849" i="40"/>
  <c r="L849" i="40" s="1"/>
  <c r="C849" i="40"/>
  <c r="F849" i="40" s="1"/>
  <c r="O848" i="40"/>
  <c r="R848" i="40" s="1"/>
  <c r="I848" i="40"/>
  <c r="L848" i="40" s="1"/>
  <c r="C848" i="40"/>
  <c r="F848" i="40" s="1"/>
  <c r="O847" i="40"/>
  <c r="R847" i="40" s="1"/>
  <c r="I847" i="40"/>
  <c r="L847" i="40" s="1"/>
  <c r="C847" i="40"/>
  <c r="F847" i="40" s="1"/>
  <c r="O846" i="40"/>
  <c r="R846" i="40" s="1"/>
  <c r="I846" i="40"/>
  <c r="L846" i="40" s="1"/>
  <c r="C846" i="40"/>
  <c r="F846" i="40" s="1"/>
  <c r="O845" i="40"/>
  <c r="R845" i="40" s="1"/>
  <c r="I845" i="40"/>
  <c r="L845" i="40" s="1"/>
  <c r="C845" i="40"/>
  <c r="F845" i="40" s="1"/>
  <c r="O844" i="40"/>
  <c r="R844" i="40" s="1"/>
  <c r="I844" i="40"/>
  <c r="L844" i="40" s="1"/>
  <c r="C844" i="40"/>
  <c r="F844" i="40" s="1"/>
  <c r="O843" i="40"/>
  <c r="R843" i="40" s="1"/>
  <c r="I843" i="40"/>
  <c r="L843" i="40" s="1"/>
  <c r="C843" i="40"/>
  <c r="F843" i="40" s="1"/>
  <c r="O842" i="40"/>
  <c r="R842" i="40" s="1"/>
  <c r="I842" i="40"/>
  <c r="L842" i="40" s="1"/>
  <c r="C842" i="40"/>
  <c r="F842" i="40" s="1"/>
  <c r="O841" i="40"/>
  <c r="R841" i="40" s="1"/>
  <c r="I841" i="40"/>
  <c r="L841" i="40" s="1"/>
  <c r="C841" i="40"/>
  <c r="F841" i="40" s="1"/>
  <c r="O840" i="40"/>
  <c r="R840" i="40" s="1"/>
  <c r="I840" i="40"/>
  <c r="L840" i="40" s="1"/>
  <c r="C840" i="40"/>
  <c r="F840" i="40" s="1"/>
  <c r="O839" i="40"/>
  <c r="R839" i="40" s="1"/>
  <c r="I839" i="40"/>
  <c r="L839" i="40" s="1"/>
  <c r="C839" i="40"/>
  <c r="F839" i="40" s="1"/>
  <c r="O838" i="40"/>
  <c r="R838" i="40" s="1"/>
  <c r="I838" i="40"/>
  <c r="L838" i="40" s="1"/>
  <c r="C838" i="40"/>
  <c r="F838" i="40" s="1"/>
  <c r="O837" i="40"/>
  <c r="I837" i="40"/>
  <c r="L837" i="40" s="1"/>
  <c r="C837" i="40"/>
  <c r="O836" i="40"/>
  <c r="I836" i="40"/>
  <c r="C836" i="40"/>
  <c r="O835" i="40"/>
  <c r="I835" i="40"/>
  <c r="C835" i="40"/>
  <c r="O834" i="40"/>
  <c r="I834" i="40"/>
  <c r="C834" i="40"/>
  <c r="R824" i="40"/>
  <c r="L824" i="40"/>
  <c r="F824" i="40"/>
  <c r="R823" i="40"/>
  <c r="L823" i="40"/>
  <c r="F823" i="40"/>
  <c r="P824" i="40"/>
  <c r="J823" i="40"/>
  <c r="D824" i="40"/>
  <c r="Q819" i="40"/>
  <c r="K819" i="40"/>
  <c r="E819" i="40"/>
  <c r="Q818" i="40"/>
  <c r="K818" i="40"/>
  <c r="E818" i="40"/>
  <c r="Q817" i="40"/>
  <c r="K817" i="40"/>
  <c r="E817" i="40"/>
  <c r="Q816" i="40"/>
  <c r="K816" i="40"/>
  <c r="E816" i="40"/>
  <c r="Q815" i="40"/>
  <c r="K815" i="40"/>
  <c r="E815" i="40"/>
  <c r="Q814" i="40"/>
  <c r="K814" i="40"/>
  <c r="E814" i="40"/>
  <c r="O805" i="40"/>
  <c r="R805" i="40" s="1"/>
  <c r="I805" i="40"/>
  <c r="L805" i="40" s="1"/>
  <c r="C805" i="40"/>
  <c r="F805" i="40" s="1"/>
  <c r="O804" i="40"/>
  <c r="R804" i="40" s="1"/>
  <c r="I804" i="40"/>
  <c r="L804" i="40" s="1"/>
  <c r="C804" i="40"/>
  <c r="F804" i="40" s="1"/>
  <c r="O803" i="40"/>
  <c r="R803" i="40" s="1"/>
  <c r="I803" i="40"/>
  <c r="L803" i="40" s="1"/>
  <c r="C803" i="40"/>
  <c r="F803" i="40" s="1"/>
  <c r="O802" i="40"/>
  <c r="R802" i="40" s="1"/>
  <c r="I802" i="40"/>
  <c r="L802" i="40" s="1"/>
  <c r="C802" i="40"/>
  <c r="F802" i="40" s="1"/>
  <c r="O801" i="40"/>
  <c r="R801" i="40" s="1"/>
  <c r="I801" i="40"/>
  <c r="L801" i="40" s="1"/>
  <c r="C801" i="40"/>
  <c r="F801" i="40" s="1"/>
  <c r="O800" i="40"/>
  <c r="R800" i="40" s="1"/>
  <c r="I800" i="40"/>
  <c r="L800" i="40" s="1"/>
  <c r="C800" i="40"/>
  <c r="F800" i="40" s="1"/>
  <c r="O799" i="40"/>
  <c r="R799" i="40" s="1"/>
  <c r="I799" i="40"/>
  <c r="L799" i="40" s="1"/>
  <c r="C799" i="40"/>
  <c r="F799" i="40" s="1"/>
  <c r="O798" i="40"/>
  <c r="R798" i="40" s="1"/>
  <c r="I798" i="40"/>
  <c r="L798" i="40" s="1"/>
  <c r="C798" i="40"/>
  <c r="F798" i="40" s="1"/>
  <c r="O797" i="40"/>
  <c r="R797" i="40" s="1"/>
  <c r="I797" i="40"/>
  <c r="C797" i="40"/>
  <c r="F797" i="40" s="1"/>
  <c r="O796" i="40"/>
  <c r="R796" i="40" s="1"/>
  <c r="I796" i="40"/>
  <c r="C796" i="40"/>
  <c r="F796" i="40" s="1"/>
  <c r="O795" i="40"/>
  <c r="R795" i="40" s="1"/>
  <c r="I795" i="40"/>
  <c r="C795" i="40"/>
  <c r="F795" i="40" s="1"/>
  <c r="O794" i="40"/>
  <c r="R794" i="40" s="1"/>
  <c r="I794" i="40"/>
  <c r="C794" i="40"/>
  <c r="F794" i="40" s="1"/>
  <c r="O793" i="40"/>
  <c r="I793" i="40"/>
  <c r="C793" i="40"/>
  <c r="O792" i="40"/>
  <c r="I792" i="40"/>
  <c r="C792" i="40"/>
  <c r="O791" i="40"/>
  <c r="I791" i="40"/>
  <c r="C791" i="40"/>
  <c r="O790" i="40"/>
  <c r="I790" i="40"/>
  <c r="C790" i="40"/>
  <c r="R780" i="40"/>
  <c r="L780" i="40"/>
  <c r="F780" i="40"/>
  <c r="R779" i="40"/>
  <c r="L779" i="40"/>
  <c r="F779" i="40"/>
  <c r="P779" i="40"/>
  <c r="J780" i="40"/>
  <c r="D779" i="40"/>
  <c r="Q775" i="40"/>
  <c r="K775" i="40"/>
  <c r="E775" i="40"/>
  <c r="Q774" i="40"/>
  <c r="K774" i="40"/>
  <c r="E774" i="40"/>
  <c r="Q773" i="40"/>
  <c r="K773" i="40"/>
  <c r="E773" i="40"/>
  <c r="Q772" i="40"/>
  <c r="K772" i="40"/>
  <c r="E772" i="40"/>
  <c r="Q771" i="40"/>
  <c r="K771" i="40"/>
  <c r="E771" i="40"/>
  <c r="Q770" i="40"/>
  <c r="K770" i="40"/>
  <c r="E770" i="40"/>
  <c r="O761" i="40"/>
  <c r="R761" i="40" s="1"/>
  <c r="I761" i="40"/>
  <c r="L761" i="40" s="1"/>
  <c r="C761" i="40"/>
  <c r="F761" i="40" s="1"/>
  <c r="O760" i="40"/>
  <c r="R760" i="40" s="1"/>
  <c r="I760" i="40"/>
  <c r="L760" i="40" s="1"/>
  <c r="C760" i="40"/>
  <c r="F760" i="40" s="1"/>
  <c r="O759" i="40"/>
  <c r="R759" i="40" s="1"/>
  <c r="I759" i="40"/>
  <c r="L759" i="40" s="1"/>
  <c r="C759" i="40"/>
  <c r="F759" i="40" s="1"/>
  <c r="O758" i="40"/>
  <c r="R758" i="40" s="1"/>
  <c r="I758" i="40"/>
  <c r="L758" i="40" s="1"/>
  <c r="C758" i="40"/>
  <c r="O757" i="40"/>
  <c r="R757" i="40" s="1"/>
  <c r="I757" i="40"/>
  <c r="L757" i="40" s="1"/>
  <c r="C757" i="40"/>
  <c r="O756" i="40"/>
  <c r="R756" i="40" s="1"/>
  <c r="I756" i="40"/>
  <c r="L756" i="40" s="1"/>
  <c r="C756" i="40"/>
  <c r="O755" i="40"/>
  <c r="R755" i="40" s="1"/>
  <c r="I755" i="40"/>
  <c r="C755" i="40"/>
  <c r="O754" i="40"/>
  <c r="I754" i="40"/>
  <c r="C754" i="40"/>
  <c r="O753" i="40"/>
  <c r="I753" i="40"/>
  <c r="C753" i="40"/>
  <c r="O752" i="40"/>
  <c r="I752" i="40"/>
  <c r="C752" i="40"/>
  <c r="O751" i="40"/>
  <c r="I751" i="40"/>
  <c r="C751" i="40"/>
  <c r="O750" i="40"/>
  <c r="I750" i="40"/>
  <c r="C750" i="40"/>
  <c r="O749" i="40"/>
  <c r="I749" i="40"/>
  <c r="C749" i="40"/>
  <c r="O748" i="40"/>
  <c r="I748" i="40"/>
  <c r="C748" i="40"/>
  <c r="O747" i="40"/>
  <c r="I747" i="40"/>
  <c r="C747" i="40"/>
  <c r="O746" i="40"/>
  <c r="I746" i="40"/>
  <c r="C746" i="40"/>
  <c r="R736" i="40"/>
  <c r="L736" i="40"/>
  <c r="F736" i="40"/>
  <c r="R735" i="40"/>
  <c r="L735" i="40"/>
  <c r="F735" i="40"/>
  <c r="P736" i="40"/>
  <c r="J736" i="40"/>
  <c r="D736" i="40"/>
  <c r="Q731" i="40"/>
  <c r="K731" i="40"/>
  <c r="E731" i="40"/>
  <c r="Q730" i="40"/>
  <c r="K730" i="40"/>
  <c r="E730" i="40"/>
  <c r="Q729" i="40"/>
  <c r="K729" i="40"/>
  <c r="E729" i="40"/>
  <c r="Q728" i="40"/>
  <c r="K728" i="40"/>
  <c r="E728" i="40"/>
  <c r="Q727" i="40"/>
  <c r="K727" i="40"/>
  <c r="E727" i="40"/>
  <c r="Q726" i="40"/>
  <c r="K726" i="40"/>
  <c r="E726" i="40"/>
  <c r="O717" i="40"/>
  <c r="R717" i="40" s="1"/>
  <c r="I717" i="40"/>
  <c r="L717" i="40" s="1"/>
  <c r="C717" i="40"/>
  <c r="F717" i="40" s="1"/>
  <c r="O716" i="40"/>
  <c r="R716" i="40" s="1"/>
  <c r="I716" i="40"/>
  <c r="L716" i="40" s="1"/>
  <c r="C716" i="40"/>
  <c r="F716" i="40" s="1"/>
  <c r="O715" i="40"/>
  <c r="R715" i="40" s="1"/>
  <c r="I715" i="40"/>
  <c r="L715" i="40" s="1"/>
  <c r="C715" i="40"/>
  <c r="F715" i="40" s="1"/>
  <c r="O714" i="40"/>
  <c r="R714" i="40" s="1"/>
  <c r="I714" i="40"/>
  <c r="L714" i="40" s="1"/>
  <c r="C714" i="40"/>
  <c r="F714" i="40" s="1"/>
  <c r="O713" i="40"/>
  <c r="R713" i="40" s="1"/>
  <c r="I713" i="40"/>
  <c r="L713" i="40" s="1"/>
  <c r="C713" i="40"/>
  <c r="F713" i="40" s="1"/>
  <c r="O712" i="40"/>
  <c r="R712" i="40" s="1"/>
  <c r="I712" i="40"/>
  <c r="L712" i="40" s="1"/>
  <c r="C712" i="40"/>
  <c r="F712" i="40" s="1"/>
  <c r="O711" i="40"/>
  <c r="R711" i="40" s="1"/>
  <c r="I711" i="40"/>
  <c r="L711" i="40" s="1"/>
  <c r="C711" i="40"/>
  <c r="F711" i="40" s="1"/>
  <c r="O710" i="40"/>
  <c r="R710" i="40" s="1"/>
  <c r="I710" i="40"/>
  <c r="L710" i="40" s="1"/>
  <c r="C710" i="40"/>
  <c r="F710" i="40" s="1"/>
  <c r="O709" i="40"/>
  <c r="R709" i="40" s="1"/>
  <c r="I709" i="40"/>
  <c r="L709" i="40" s="1"/>
  <c r="C709" i="40"/>
  <c r="F709" i="40" s="1"/>
  <c r="O708" i="40"/>
  <c r="R708" i="40" s="1"/>
  <c r="I708" i="40"/>
  <c r="L708" i="40" s="1"/>
  <c r="C708" i="40"/>
  <c r="F708" i="40" s="1"/>
  <c r="O707" i="40"/>
  <c r="R707" i="40" s="1"/>
  <c r="I707" i="40"/>
  <c r="L707" i="40" s="1"/>
  <c r="C707" i="40"/>
  <c r="O706" i="40"/>
  <c r="I706" i="40"/>
  <c r="L706" i="40" s="1"/>
  <c r="C706" i="40"/>
  <c r="O705" i="40"/>
  <c r="I705" i="40"/>
  <c r="L705" i="40" s="1"/>
  <c r="C705" i="40"/>
  <c r="O704" i="40"/>
  <c r="I704" i="40"/>
  <c r="C704" i="40"/>
  <c r="O703" i="40"/>
  <c r="I703" i="40"/>
  <c r="C703" i="40"/>
  <c r="O702" i="40"/>
  <c r="I702" i="40"/>
  <c r="C702" i="40"/>
  <c r="R692" i="40"/>
  <c r="L692" i="40"/>
  <c r="F692" i="40"/>
  <c r="R691" i="40"/>
  <c r="L691" i="40"/>
  <c r="F691" i="40"/>
  <c r="P692" i="40"/>
  <c r="J692" i="40"/>
  <c r="D692" i="40"/>
  <c r="Q687" i="40"/>
  <c r="K687" i="40"/>
  <c r="F687" i="40"/>
  <c r="E687" i="40"/>
  <c r="Q686" i="40"/>
  <c r="K686" i="40"/>
  <c r="F686" i="40"/>
  <c r="E686" i="40"/>
  <c r="Q685" i="40"/>
  <c r="K685" i="40"/>
  <c r="F685" i="40"/>
  <c r="E685" i="40"/>
  <c r="Q684" i="40"/>
  <c r="K684" i="40"/>
  <c r="F684" i="40"/>
  <c r="E684" i="40"/>
  <c r="Q683" i="40"/>
  <c r="K683" i="40"/>
  <c r="F683" i="40"/>
  <c r="E683" i="40"/>
  <c r="Q682" i="40"/>
  <c r="K682" i="40"/>
  <c r="F682" i="40"/>
  <c r="E682" i="40"/>
  <c r="O673" i="40"/>
  <c r="R673" i="40" s="1"/>
  <c r="I673" i="40"/>
  <c r="L673" i="40" s="1"/>
  <c r="C673" i="40"/>
  <c r="F673" i="40" s="1"/>
  <c r="O672" i="40"/>
  <c r="R672" i="40" s="1"/>
  <c r="I672" i="40"/>
  <c r="L672" i="40" s="1"/>
  <c r="C672" i="40"/>
  <c r="F672" i="40" s="1"/>
  <c r="O671" i="40"/>
  <c r="R671" i="40" s="1"/>
  <c r="I671" i="40"/>
  <c r="L671" i="40" s="1"/>
  <c r="C671" i="40"/>
  <c r="F671" i="40" s="1"/>
  <c r="O670" i="40"/>
  <c r="R670" i="40" s="1"/>
  <c r="I670" i="40"/>
  <c r="L670" i="40" s="1"/>
  <c r="C670" i="40"/>
  <c r="F670" i="40" s="1"/>
  <c r="O669" i="40"/>
  <c r="R669" i="40" s="1"/>
  <c r="I669" i="40"/>
  <c r="L669" i="40" s="1"/>
  <c r="C669" i="40"/>
  <c r="F669" i="40" s="1"/>
  <c r="O668" i="40"/>
  <c r="R668" i="40" s="1"/>
  <c r="I668" i="40"/>
  <c r="L668" i="40" s="1"/>
  <c r="C668" i="40"/>
  <c r="F668" i="40" s="1"/>
  <c r="O667" i="40"/>
  <c r="R667" i="40" s="1"/>
  <c r="I667" i="40"/>
  <c r="L667" i="40" s="1"/>
  <c r="C667" i="40"/>
  <c r="F667" i="40" s="1"/>
  <c r="O666" i="40"/>
  <c r="R666" i="40" s="1"/>
  <c r="I666" i="40"/>
  <c r="L666" i="40" s="1"/>
  <c r="C666" i="40"/>
  <c r="F666" i="40" s="1"/>
  <c r="O665" i="40"/>
  <c r="R665" i="40" s="1"/>
  <c r="I665" i="40"/>
  <c r="L665" i="40" s="1"/>
  <c r="C665" i="40"/>
  <c r="F665" i="40" s="1"/>
  <c r="O664" i="40"/>
  <c r="R664" i="40" s="1"/>
  <c r="I664" i="40"/>
  <c r="L664" i="40" s="1"/>
  <c r="C664" i="40"/>
  <c r="F664" i="40" s="1"/>
  <c r="O663" i="40"/>
  <c r="R663" i="40" s="1"/>
  <c r="I663" i="40"/>
  <c r="L663" i="40" s="1"/>
  <c r="C663" i="40"/>
  <c r="F663" i="40" s="1"/>
  <c r="O662" i="40"/>
  <c r="R662" i="40" s="1"/>
  <c r="I662" i="40"/>
  <c r="L662" i="40" s="1"/>
  <c r="C662" i="40"/>
  <c r="F662" i="40" s="1"/>
  <c r="O661" i="40"/>
  <c r="I661" i="40"/>
  <c r="C661" i="40"/>
  <c r="F661" i="40" s="1"/>
  <c r="O660" i="40"/>
  <c r="I660" i="40"/>
  <c r="C660" i="40"/>
  <c r="F660" i="40" s="1"/>
  <c r="O659" i="40"/>
  <c r="I659" i="40"/>
  <c r="C659" i="40"/>
  <c r="O658" i="40"/>
  <c r="I658" i="40"/>
  <c r="C658" i="40"/>
  <c r="R648" i="40"/>
  <c r="L648" i="40"/>
  <c r="F648" i="40"/>
  <c r="R647" i="40"/>
  <c r="L647" i="40"/>
  <c r="F647" i="40"/>
  <c r="P648" i="40"/>
  <c r="D648" i="40"/>
  <c r="Q643" i="40"/>
  <c r="K643" i="40"/>
  <c r="E643" i="40"/>
  <c r="Q642" i="40"/>
  <c r="K642" i="40"/>
  <c r="E642" i="40"/>
  <c r="Q641" i="40"/>
  <c r="K641" i="40"/>
  <c r="E641" i="40"/>
  <c r="Q640" i="40"/>
  <c r="K640" i="40"/>
  <c r="E640" i="40"/>
  <c r="Q639" i="40"/>
  <c r="K639" i="40"/>
  <c r="E639" i="40"/>
  <c r="Q638" i="40"/>
  <c r="K638" i="40"/>
  <c r="E638" i="40"/>
  <c r="O629" i="40"/>
  <c r="R629" i="40" s="1"/>
  <c r="I629" i="40"/>
  <c r="L629" i="40" s="1"/>
  <c r="C629" i="40"/>
  <c r="F629" i="40" s="1"/>
  <c r="O628" i="40"/>
  <c r="R628" i="40" s="1"/>
  <c r="I628" i="40"/>
  <c r="L628" i="40" s="1"/>
  <c r="C628" i="40"/>
  <c r="F628" i="40" s="1"/>
  <c r="O627" i="40"/>
  <c r="R627" i="40" s="1"/>
  <c r="I627" i="40"/>
  <c r="L627" i="40" s="1"/>
  <c r="C627" i="40"/>
  <c r="F627" i="40" s="1"/>
  <c r="O626" i="40"/>
  <c r="R626" i="40" s="1"/>
  <c r="I626" i="40"/>
  <c r="L626" i="40" s="1"/>
  <c r="C626" i="40"/>
  <c r="F626" i="40" s="1"/>
  <c r="O625" i="40"/>
  <c r="R625" i="40" s="1"/>
  <c r="I625" i="40"/>
  <c r="L625" i="40" s="1"/>
  <c r="C625" i="40"/>
  <c r="F625" i="40" s="1"/>
  <c r="O624" i="40"/>
  <c r="R624" i="40" s="1"/>
  <c r="I624" i="40"/>
  <c r="L624" i="40" s="1"/>
  <c r="C624" i="40"/>
  <c r="F624" i="40" s="1"/>
  <c r="O623" i="40"/>
  <c r="R623" i="40" s="1"/>
  <c r="I623" i="40"/>
  <c r="L623" i="40" s="1"/>
  <c r="C623" i="40"/>
  <c r="F623" i="40" s="1"/>
  <c r="O622" i="40"/>
  <c r="R622" i="40" s="1"/>
  <c r="I622" i="40"/>
  <c r="L622" i="40" s="1"/>
  <c r="C622" i="40"/>
  <c r="F622" i="40" s="1"/>
  <c r="O621" i="40"/>
  <c r="R621" i="40" s="1"/>
  <c r="I621" i="40"/>
  <c r="L621" i="40" s="1"/>
  <c r="C621" i="40"/>
  <c r="F621" i="40" s="1"/>
  <c r="O620" i="40"/>
  <c r="R620" i="40" s="1"/>
  <c r="I620" i="40"/>
  <c r="L620" i="40" s="1"/>
  <c r="C620" i="40"/>
  <c r="O619" i="40"/>
  <c r="R619" i="40" s="1"/>
  <c r="I619" i="40"/>
  <c r="L619" i="40" s="1"/>
  <c r="C619" i="40"/>
  <c r="O618" i="40"/>
  <c r="R618" i="40" s="1"/>
  <c r="I618" i="40"/>
  <c r="L618" i="40" s="1"/>
  <c r="C618" i="40"/>
  <c r="O617" i="40"/>
  <c r="R617" i="40" s="1"/>
  <c r="I617" i="40"/>
  <c r="L617" i="40" s="1"/>
  <c r="C617" i="40"/>
  <c r="O616" i="40"/>
  <c r="R616" i="40" s="1"/>
  <c r="I616" i="40"/>
  <c r="L616" i="40" s="1"/>
  <c r="C616" i="40"/>
  <c r="O615" i="40"/>
  <c r="I615" i="40"/>
  <c r="C615" i="40"/>
  <c r="O614" i="40"/>
  <c r="I614" i="40"/>
  <c r="C614" i="40"/>
  <c r="O612" i="40"/>
  <c r="I612" i="40"/>
  <c r="R604" i="40"/>
  <c r="L604" i="40"/>
  <c r="F604" i="40"/>
  <c r="R603" i="40"/>
  <c r="L603" i="40"/>
  <c r="F603" i="40"/>
  <c r="P603" i="40"/>
  <c r="D603" i="40"/>
  <c r="Q599" i="40"/>
  <c r="K599" i="40"/>
  <c r="E599" i="40"/>
  <c r="Q598" i="40"/>
  <c r="K598" i="40"/>
  <c r="E598" i="40"/>
  <c r="Q597" i="40"/>
  <c r="K597" i="40"/>
  <c r="E597" i="40"/>
  <c r="Q596" i="40"/>
  <c r="K596" i="40"/>
  <c r="E596" i="40"/>
  <c r="Q595" i="40"/>
  <c r="K595" i="40"/>
  <c r="E595" i="40"/>
  <c r="Q594" i="40"/>
  <c r="K594" i="40"/>
  <c r="E594" i="40"/>
  <c r="O585" i="40"/>
  <c r="R585" i="40" s="1"/>
  <c r="I585" i="40"/>
  <c r="L585" i="40" s="1"/>
  <c r="C585" i="40"/>
  <c r="F585" i="40" s="1"/>
  <c r="O584" i="40"/>
  <c r="R584" i="40" s="1"/>
  <c r="I584" i="40"/>
  <c r="L584" i="40" s="1"/>
  <c r="C584" i="40"/>
  <c r="F584" i="40" s="1"/>
  <c r="O583" i="40"/>
  <c r="R583" i="40" s="1"/>
  <c r="I583" i="40"/>
  <c r="L583" i="40" s="1"/>
  <c r="C583" i="40"/>
  <c r="F583" i="40" s="1"/>
  <c r="O582" i="40"/>
  <c r="R582" i="40" s="1"/>
  <c r="I582" i="40"/>
  <c r="L582" i="40" s="1"/>
  <c r="C582" i="40"/>
  <c r="F582" i="40" s="1"/>
  <c r="O581" i="40"/>
  <c r="R581" i="40" s="1"/>
  <c r="I581" i="40"/>
  <c r="L581" i="40" s="1"/>
  <c r="C581" i="40"/>
  <c r="F581" i="40" s="1"/>
  <c r="O580" i="40"/>
  <c r="R580" i="40" s="1"/>
  <c r="I580" i="40"/>
  <c r="L580" i="40" s="1"/>
  <c r="C580" i="40"/>
  <c r="F580" i="40" s="1"/>
  <c r="O579" i="40"/>
  <c r="R579" i="40" s="1"/>
  <c r="I579" i="40"/>
  <c r="L579" i="40" s="1"/>
  <c r="C579" i="40"/>
  <c r="F579" i="40" s="1"/>
  <c r="O578" i="40"/>
  <c r="R578" i="40" s="1"/>
  <c r="I578" i="40"/>
  <c r="L578" i="40" s="1"/>
  <c r="C578" i="40"/>
  <c r="F578" i="40" s="1"/>
  <c r="O577" i="40"/>
  <c r="R577" i="40" s="1"/>
  <c r="I577" i="40"/>
  <c r="L577" i="40" s="1"/>
  <c r="C577" i="40"/>
  <c r="F577" i="40" s="1"/>
  <c r="O576" i="40"/>
  <c r="R576" i="40" s="1"/>
  <c r="I576" i="40"/>
  <c r="L576" i="40" s="1"/>
  <c r="C576" i="40"/>
  <c r="F576" i="40" s="1"/>
  <c r="O575" i="40"/>
  <c r="I575" i="40"/>
  <c r="C575" i="40"/>
  <c r="F575" i="40" s="1"/>
  <c r="O574" i="40"/>
  <c r="I574" i="40"/>
  <c r="C574" i="40"/>
  <c r="F574" i="40" s="1"/>
  <c r="O573" i="40"/>
  <c r="I573" i="40"/>
  <c r="C573" i="40"/>
  <c r="F573" i="40" s="1"/>
  <c r="O572" i="40"/>
  <c r="I572" i="40"/>
  <c r="C572" i="40"/>
  <c r="O571" i="40"/>
  <c r="I571" i="40"/>
  <c r="C571" i="40"/>
  <c r="O570" i="40"/>
  <c r="I570" i="40"/>
  <c r="C570" i="40"/>
  <c r="R560" i="40"/>
  <c r="L560" i="40"/>
  <c r="F560" i="40"/>
  <c r="R559" i="40"/>
  <c r="L559" i="40"/>
  <c r="F559" i="40"/>
  <c r="P560" i="40"/>
  <c r="J559" i="40"/>
  <c r="Q555" i="40"/>
  <c r="K555" i="40"/>
  <c r="E555" i="40"/>
  <c r="R554" i="40"/>
  <c r="Q554" i="40"/>
  <c r="K554" i="40"/>
  <c r="E554" i="40"/>
  <c r="Q553" i="40"/>
  <c r="K553" i="40"/>
  <c r="E553" i="40"/>
  <c r="Q552" i="40"/>
  <c r="K552" i="40"/>
  <c r="E552" i="40"/>
  <c r="R551" i="40"/>
  <c r="Q551" i="40"/>
  <c r="K551" i="40"/>
  <c r="E551" i="40"/>
  <c r="Q550" i="40"/>
  <c r="K550" i="40"/>
  <c r="E550" i="40"/>
  <c r="O541" i="40"/>
  <c r="R541" i="40" s="1"/>
  <c r="I541" i="40"/>
  <c r="L541" i="40" s="1"/>
  <c r="C541" i="40"/>
  <c r="F541" i="40" s="1"/>
  <c r="O540" i="40"/>
  <c r="R540" i="40" s="1"/>
  <c r="I540" i="40"/>
  <c r="L540" i="40" s="1"/>
  <c r="C540" i="40"/>
  <c r="F540" i="40" s="1"/>
  <c r="O539" i="40"/>
  <c r="R539" i="40" s="1"/>
  <c r="I539" i="40"/>
  <c r="L539" i="40" s="1"/>
  <c r="C539" i="40"/>
  <c r="F539" i="40" s="1"/>
  <c r="O538" i="40"/>
  <c r="R538" i="40" s="1"/>
  <c r="I538" i="40"/>
  <c r="L538" i="40" s="1"/>
  <c r="C538" i="40"/>
  <c r="F538" i="40" s="1"/>
  <c r="O537" i="40"/>
  <c r="R537" i="40" s="1"/>
  <c r="I537" i="40"/>
  <c r="L537" i="40" s="1"/>
  <c r="C537" i="40"/>
  <c r="F537" i="40" s="1"/>
  <c r="O536" i="40"/>
  <c r="R536" i="40" s="1"/>
  <c r="I536" i="40"/>
  <c r="L536" i="40" s="1"/>
  <c r="C536" i="40"/>
  <c r="F536" i="40" s="1"/>
  <c r="O535" i="40"/>
  <c r="R535" i="40" s="1"/>
  <c r="I535" i="40"/>
  <c r="L535" i="40" s="1"/>
  <c r="C535" i="40"/>
  <c r="F535" i="40" s="1"/>
  <c r="O534" i="40"/>
  <c r="L534" i="40"/>
  <c r="C534" i="40"/>
  <c r="F534" i="40" s="1"/>
  <c r="O533" i="40"/>
  <c r="L533" i="40"/>
  <c r="C533" i="40"/>
  <c r="F533" i="40" s="1"/>
  <c r="O532" i="40"/>
  <c r="I532" i="40"/>
  <c r="C532" i="40"/>
  <c r="F532" i="40" s="1"/>
  <c r="O531" i="40"/>
  <c r="I531" i="40"/>
  <c r="C531" i="40"/>
  <c r="O530" i="40"/>
  <c r="I530" i="40"/>
  <c r="C530" i="40"/>
  <c r="O529" i="40"/>
  <c r="I529" i="40"/>
  <c r="C529" i="40"/>
  <c r="O528" i="40"/>
  <c r="I528" i="40"/>
  <c r="C528" i="40"/>
  <c r="O527" i="40"/>
  <c r="I527" i="40"/>
  <c r="C527" i="40"/>
  <c r="O526" i="40"/>
  <c r="I526" i="40"/>
  <c r="C526" i="40"/>
  <c r="R516" i="40"/>
  <c r="L516" i="40"/>
  <c r="F516" i="40"/>
  <c r="R515" i="40"/>
  <c r="L515" i="40"/>
  <c r="F515" i="40"/>
  <c r="P515" i="40"/>
  <c r="J516" i="40"/>
  <c r="D515" i="40"/>
  <c r="Q511" i="40"/>
  <c r="K511" i="40"/>
  <c r="E511" i="40"/>
  <c r="Q510" i="40"/>
  <c r="K510" i="40"/>
  <c r="E510" i="40"/>
  <c r="Q509" i="40"/>
  <c r="K509" i="40"/>
  <c r="E509" i="40"/>
  <c r="Q508" i="40"/>
  <c r="K508" i="40"/>
  <c r="E508" i="40"/>
  <c r="Q507" i="40"/>
  <c r="K507" i="40"/>
  <c r="E507" i="40"/>
  <c r="Q506" i="40"/>
  <c r="K506" i="40"/>
  <c r="E506" i="40"/>
  <c r="O497" i="40"/>
  <c r="R497" i="40" s="1"/>
  <c r="I497" i="40"/>
  <c r="L497" i="40" s="1"/>
  <c r="C497" i="40"/>
  <c r="F497" i="40" s="1"/>
  <c r="O496" i="40"/>
  <c r="R496" i="40" s="1"/>
  <c r="I496" i="40"/>
  <c r="L496" i="40" s="1"/>
  <c r="C496" i="40"/>
  <c r="F496" i="40" s="1"/>
  <c r="O495" i="40"/>
  <c r="R495" i="40" s="1"/>
  <c r="I495" i="40"/>
  <c r="L495" i="40" s="1"/>
  <c r="C495" i="40"/>
  <c r="F495" i="40" s="1"/>
  <c r="O494" i="40"/>
  <c r="R494" i="40" s="1"/>
  <c r="I494" i="40"/>
  <c r="L494" i="40" s="1"/>
  <c r="C494" i="40"/>
  <c r="F494" i="40" s="1"/>
  <c r="O493" i="40"/>
  <c r="R493" i="40" s="1"/>
  <c r="I493" i="40"/>
  <c r="L493" i="40" s="1"/>
  <c r="C493" i="40"/>
  <c r="F493" i="40" s="1"/>
  <c r="O492" i="40"/>
  <c r="R492" i="40" s="1"/>
  <c r="I492" i="40"/>
  <c r="L492" i="40" s="1"/>
  <c r="C492" i="40"/>
  <c r="F492" i="40" s="1"/>
  <c r="O491" i="40"/>
  <c r="R491" i="40" s="1"/>
  <c r="I491" i="40"/>
  <c r="L491" i="40" s="1"/>
  <c r="C491" i="40"/>
  <c r="F491" i="40" s="1"/>
  <c r="O490" i="40"/>
  <c r="R490" i="40" s="1"/>
  <c r="I490" i="40"/>
  <c r="L490" i="40" s="1"/>
  <c r="C490" i="40"/>
  <c r="F490" i="40" s="1"/>
  <c r="O489" i="40"/>
  <c r="R489" i="40" s="1"/>
  <c r="I489" i="40"/>
  <c r="L489" i="40" s="1"/>
  <c r="C489" i="40"/>
  <c r="F489" i="40" s="1"/>
  <c r="O488" i="40"/>
  <c r="R488" i="40" s="1"/>
  <c r="I488" i="40"/>
  <c r="L488" i="40" s="1"/>
  <c r="C488" i="40"/>
  <c r="F488" i="40" s="1"/>
  <c r="O487" i="40"/>
  <c r="R487" i="40" s="1"/>
  <c r="I487" i="40"/>
  <c r="L487" i="40" s="1"/>
  <c r="C487" i="40"/>
  <c r="O486" i="40"/>
  <c r="R486" i="40" s="1"/>
  <c r="I486" i="40"/>
  <c r="C486" i="40"/>
  <c r="O485" i="40"/>
  <c r="R485" i="40" s="1"/>
  <c r="I485" i="40"/>
  <c r="C485" i="40"/>
  <c r="O484" i="40"/>
  <c r="I484" i="40"/>
  <c r="C484" i="40"/>
  <c r="O483" i="40"/>
  <c r="I483" i="40"/>
  <c r="C483" i="40"/>
  <c r="O482" i="40"/>
  <c r="I482" i="40"/>
  <c r="C482" i="40"/>
  <c r="R472" i="40"/>
  <c r="L472" i="40"/>
  <c r="F472" i="40"/>
  <c r="R471" i="40"/>
  <c r="L471" i="40"/>
  <c r="F471" i="40"/>
  <c r="P472" i="40"/>
  <c r="J471" i="40"/>
  <c r="D472" i="40"/>
  <c r="Q467" i="40"/>
  <c r="K467" i="40"/>
  <c r="E467" i="40"/>
  <c r="Q466" i="40"/>
  <c r="K466" i="40"/>
  <c r="E466" i="40"/>
  <c r="Q465" i="40"/>
  <c r="K465" i="40"/>
  <c r="E465" i="40"/>
  <c r="Q464" i="40"/>
  <c r="K464" i="40"/>
  <c r="E464" i="40"/>
  <c r="Q463" i="40"/>
  <c r="K463" i="40"/>
  <c r="E463" i="40"/>
  <c r="Q462" i="40"/>
  <c r="K462" i="40"/>
  <c r="E462" i="40"/>
  <c r="O453" i="40"/>
  <c r="R453" i="40" s="1"/>
  <c r="I453" i="40"/>
  <c r="L453" i="40" s="1"/>
  <c r="C453" i="40"/>
  <c r="F453" i="40" s="1"/>
  <c r="O452" i="40"/>
  <c r="R452" i="40" s="1"/>
  <c r="I452" i="40"/>
  <c r="L452" i="40" s="1"/>
  <c r="C452" i="40"/>
  <c r="F452" i="40" s="1"/>
  <c r="O451" i="40"/>
  <c r="R451" i="40" s="1"/>
  <c r="I451" i="40"/>
  <c r="L451" i="40" s="1"/>
  <c r="C451" i="40"/>
  <c r="F451" i="40" s="1"/>
  <c r="O450" i="40"/>
  <c r="R450" i="40" s="1"/>
  <c r="I450" i="40"/>
  <c r="L450" i="40" s="1"/>
  <c r="C450" i="40"/>
  <c r="F450" i="40" s="1"/>
  <c r="O449" i="40"/>
  <c r="R449" i="40" s="1"/>
  <c r="I449" i="40"/>
  <c r="L449" i="40" s="1"/>
  <c r="C449" i="40"/>
  <c r="F449" i="40" s="1"/>
  <c r="O448" i="40"/>
  <c r="R448" i="40" s="1"/>
  <c r="I448" i="40"/>
  <c r="L448" i="40" s="1"/>
  <c r="C448" i="40"/>
  <c r="F448" i="40" s="1"/>
  <c r="O447" i="40"/>
  <c r="R447" i="40" s="1"/>
  <c r="I447" i="40"/>
  <c r="L447" i="40" s="1"/>
  <c r="C447" i="40"/>
  <c r="F447" i="40" s="1"/>
  <c r="O446" i="40"/>
  <c r="R446" i="40" s="1"/>
  <c r="I446" i="40"/>
  <c r="L446" i="40" s="1"/>
  <c r="C446" i="40"/>
  <c r="F446" i="40" s="1"/>
  <c r="O445" i="40"/>
  <c r="I445" i="40"/>
  <c r="L445" i="40" s="1"/>
  <c r="C445" i="40"/>
  <c r="F445" i="40" s="1"/>
  <c r="O444" i="40"/>
  <c r="I444" i="40"/>
  <c r="L444" i="40" s="1"/>
  <c r="C444" i="40"/>
  <c r="F444" i="40" s="1"/>
  <c r="O443" i="40"/>
  <c r="I443" i="40"/>
  <c r="L443" i="40" s="1"/>
  <c r="C443" i="40"/>
  <c r="F443" i="40" s="1"/>
  <c r="O442" i="40"/>
  <c r="I442" i="40"/>
  <c r="L442" i="40" s="1"/>
  <c r="C442" i="40"/>
  <c r="F442" i="40" s="1"/>
  <c r="O441" i="40"/>
  <c r="I441" i="40"/>
  <c r="L441" i="40" s="1"/>
  <c r="C441" i="40"/>
  <c r="F441" i="40" s="1"/>
  <c r="O440" i="40"/>
  <c r="I440" i="40"/>
  <c r="C440" i="40"/>
  <c r="O439" i="40"/>
  <c r="I439" i="40"/>
  <c r="C439" i="40"/>
  <c r="O438" i="40"/>
  <c r="I438" i="40"/>
  <c r="C438" i="40"/>
  <c r="R428" i="40"/>
  <c r="L428" i="40"/>
  <c r="F428" i="40"/>
  <c r="R427" i="40"/>
  <c r="L427" i="40"/>
  <c r="F427" i="40"/>
  <c r="P428" i="40"/>
  <c r="D428" i="40"/>
  <c r="Q423" i="40"/>
  <c r="K423" i="40"/>
  <c r="E423" i="40"/>
  <c r="Q422" i="40"/>
  <c r="K422" i="40"/>
  <c r="E422" i="40"/>
  <c r="Q421" i="40"/>
  <c r="K421" i="40"/>
  <c r="E421" i="40"/>
  <c r="Q420" i="40"/>
  <c r="K420" i="40"/>
  <c r="E420" i="40"/>
  <c r="Q419" i="40"/>
  <c r="K419" i="40"/>
  <c r="E419" i="40"/>
  <c r="Q418" i="40"/>
  <c r="K418" i="40"/>
  <c r="E418" i="40"/>
  <c r="O409" i="40"/>
  <c r="R409" i="40" s="1"/>
  <c r="I409" i="40"/>
  <c r="L409" i="40" s="1"/>
  <c r="C409" i="40"/>
  <c r="F409" i="40" s="1"/>
  <c r="O408" i="40"/>
  <c r="R408" i="40" s="1"/>
  <c r="I408" i="40"/>
  <c r="L408" i="40" s="1"/>
  <c r="C408" i="40"/>
  <c r="F408" i="40" s="1"/>
  <c r="O407" i="40"/>
  <c r="R407" i="40" s="1"/>
  <c r="I407" i="40"/>
  <c r="L407" i="40" s="1"/>
  <c r="C407" i="40"/>
  <c r="F407" i="40" s="1"/>
  <c r="O406" i="40"/>
  <c r="R406" i="40" s="1"/>
  <c r="I406" i="40"/>
  <c r="C406" i="40"/>
  <c r="F406" i="40" s="1"/>
  <c r="O405" i="40"/>
  <c r="R405" i="40" s="1"/>
  <c r="I405" i="40"/>
  <c r="C405" i="40"/>
  <c r="F405" i="40" s="1"/>
  <c r="O404" i="40"/>
  <c r="R404" i="40" s="1"/>
  <c r="I404" i="40"/>
  <c r="C404" i="40"/>
  <c r="F404" i="40" s="1"/>
  <c r="O403" i="40"/>
  <c r="R403" i="40" s="1"/>
  <c r="I403" i="40"/>
  <c r="C403" i="40"/>
  <c r="O402" i="40"/>
  <c r="R402" i="40" s="1"/>
  <c r="I402" i="40"/>
  <c r="C402" i="40"/>
  <c r="O401" i="40"/>
  <c r="R401" i="40" s="1"/>
  <c r="I401" i="40"/>
  <c r="C401" i="40"/>
  <c r="O400" i="40"/>
  <c r="R400" i="40" s="1"/>
  <c r="I400" i="40"/>
  <c r="C400" i="40"/>
  <c r="O399" i="40"/>
  <c r="R399" i="40" s="1"/>
  <c r="I399" i="40"/>
  <c r="C399" i="40"/>
  <c r="O398" i="40"/>
  <c r="R398" i="40" s="1"/>
  <c r="I398" i="40"/>
  <c r="C398" i="40"/>
  <c r="O397" i="40"/>
  <c r="R397" i="40" s="1"/>
  <c r="I397" i="40"/>
  <c r="C397" i="40"/>
  <c r="O396" i="40"/>
  <c r="I396" i="40"/>
  <c r="C396" i="40"/>
  <c r="O395" i="40"/>
  <c r="I395" i="40"/>
  <c r="C395" i="40"/>
  <c r="O394" i="40"/>
  <c r="I394" i="40"/>
  <c r="C394" i="40"/>
  <c r="R384" i="40"/>
  <c r="L384" i="40"/>
  <c r="F384" i="40"/>
  <c r="R383" i="40"/>
  <c r="L383" i="40"/>
  <c r="F383" i="40"/>
  <c r="P384" i="40"/>
  <c r="J384" i="40"/>
  <c r="D384" i="40"/>
  <c r="Q379" i="40"/>
  <c r="K379" i="40"/>
  <c r="E379" i="40"/>
  <c r="Q378" i="40"/>
  <c r="K378" i="40"/>
  <c r="E378" i="40"/>
  <c r="Q377" i="40"/>
  <c r="K377" i="40"/>
  <c r="E377" i="40"/>
  <c r="Q376" i="40"/>
  <c r="K376" i="40"/>
  <c r="E376" i="40"/>
  <c r="Q375" i="40"/>
  <c r="K375" i="40"/>
  <c r="E375" i="40"/>
  <c r="Q374" i="40"/>
  <c r="K374" i="40"/>
  <c r="E374" i="40"/>
  <c r="O365" i="40"/>
  <c r="I365" i="40"/>
  <c r="L365" i="40" s="1"/>
  <c r="C365" i="40"/>
  <c r="F365" i="40" s="1"/>
  <c r="O364" i="40"/>
  <c r="I364" i="40"/>
  <c r="L364" i="40" s="1"/>
  <c r="C364" i="40"/>
  <c r="F364" i="40" s="1"/>
  <c r="O363" i="40"/>
  <c r="I363" i="40"/>
  <c r="L363" i="40" s="1"/>
  <c r="C363" i="40"/>
  <c r="F363" i="40" s="1"/>
  <c r="O362" i="40"/>
  <c r="I362" i="40"/>
  <c r="L362" i="40" s="1"/>
  <c r="C362" i="40"/>
  <c r="F362" i="40" s="1"/>
  <c r="O361" i="40"/>
  <c r="I361" i="40"/>
  <c r="L361" i="40" s="1"/>
  <c r="C361" i="40"/>
  <c r="F361" i="40" s="1"/>
  <c r="O360" i="40"/>
  <c r="I360" i="40"/>
  <c r="L360" i="40" s="1"/>
  <c r="C360" i="40"/>
  <c r="F360" i="40" s="1"/>
  <c r="O359" i="40"/>
  <c r="I359" i="40"/>
  <c r="L359" i="40" s="1"/>
  <c r="C359" i="40"/>
  <c r="F359" i="40" s="1"/>
  <c r="O358" i="40"/>
  <c r="I358" i="40"/>
  <c r="C358" i="40"/>
  <c r="O357" i="40"/>
  <c r="R357" i="40" s="1"/>
  <c r="I357" i="40"/>
  <c r="C357" i="40"/>
  <c r="O356" i="40"/>
  <c r="I356" i="40"/>
  <c r="C356" i="40"/>
  <c r="O355" i="40"/>
  <c r="R355" i="40" s="1"/>
  <c r="I355" i="40"/>
  <c r="C355" i="40"/>
  <c r="O354" i="40"/>
  <c r="I354" i="40"/>
  <c r="C354" i="40"/>
  <c r="O353" i="40"/>
  <c r="I353" i="40"/>
  <c r="C353" i="40"/>
  <c r="O352" i="40"/>
  <c r="I352" i="40"/>
  <c r="C352" i="40"/>
  <c r="O351" i="40"/>
  <c r="I351" i="40"/>
  <c r="C351" i="40"/>
  <c r="O350" i="40"/>
  <c r="I350" i="40"/>
  <c r="C350" i="40"/>
  <c r="R340" i="40"/>
  <c r="L340" i="40"/>
  <c r="F340" i="40"/>
  <c r="R339" i="40"/>
  <c r="L339" i="40"/>
  <c r="F339" i="40"/>
  <c r="P340" i="40"/>
  <c r="J340" i="40"/>
  <c r="D340" i="40"/>
  <c r="Q335" i="40"/>
  <c r="K335" i="40"/>
  <c r="E335" i="40"/>
  <c r="Q334" i="40"/>
  <c r="K334" i="40"/>
  <c r="E334" i="40"/>
  <c r="Q333" i="40"/>
  <c r="K333" i="40"/>
  <c r="E333" i="40"/>
  <c r="Q332" i="40"/>
  <c r="K332" i="40"/>
  <c r="E332" i="40"/>
  <c r="Q331" i="40"/>
  <c r="K331" i="40"/>
  <c r="E331" i="40"/>
  <c r="Q330" i="40"/>
  <c r="K330" i="40"/>
  <c r="E330" i="40"/>
  <c r="O321" i="40"/>
  <c r="R321" i="40" s="1"/>
  <c r="I321" i="40"/>
  <c r="L321" i="40" s="1"/>
  <c r="C321" i="40"/>
  <c r="F321" i="40" s="1"/>
  <c r="O320" i="40"/>
  <c r="R320" i="40" s="1"/>
  <c r="I320" i="40"/>
  <c r="L320" i="40" s="1"/>
  <c r="C320" i="40"/>
  <c r="F320" i="40" s="1"/>
  <c r="O319" i="40"/>
  <c r="I319" i="40"/>
  <c r="L319" i="40" s="1"/>
  <c r="C319" i="40"/>
  <c r="F319" i="40" s="1"/>
  <c r="O318" i="40"/>
  <c r="I318" i="40"/>
  <c r="L318" i="40" s="1"/>
  <c r="C318" i="40"/>
  <c r="F318" i="40" s="1"/>
  <c r="O317" i="40"/>
  <c r="I317" i="40"/>
  <c r="L317" i="40" s="1"/>
  <c r="C317" i="40"/>
  <c r="F317" i="40" s="1"/>
  <c r="O316" i="40"/>
  <c r="I316" i="40"/>
  <c r="L316" i="40" s="1"/>
  <c r="C316" i="40"/>
  <c r="F316" i="40" s="1"/>
  <c r="O315" i="40"/>
  <c r="I315" i="40"/>
  <c r="L315" i="40" s="1"/>
  <c r="C315" i="40"/>
  <c r="F315" i="40" s="1"/>
  <c r="O314" i="40"/>
  <c r="I314" i="40"/>
  <c r="L314" i="40" s="1"/>
  <c r="C314" i="40"/>
  <c r="F314" i="40" s="1"/>
  <c r="O313" i="40"/>
  <c r="I313" i="40"/>
  <c r="L313" i="40" s="1"/>
  <c r="C313" i="40"/>
  <c r="F313" i="40" s="1"/>
  <c r="O312" i="40"/>
  <c r="I312" i="40"/>
  <c r="C312" i="40"/>
  <c r="F312" i="40" s="1"/>
  <c r="O311" i="40"/>
  <c r="I311" i="40"/>
  <c r="C311" i="40"/>
  <c r="F311" i="40" s="1"/>
  <c r="O310" i="40"/>
  <c r="I310" i="40"/>
  <c r="C310" i="40"/>
  <c r="F310" i="40" s="1"/>
  <c r="O309" i="40"/>
  <c r="I309" i="40"/>
  <c r="C309" i="40"/>
  <c r="F309" i="40" s="1"/>
  <c r="O308" i="40"/>
  <c r="I308" i="40"/>
  <c r="C308" i="40"/>
  <c r="F308" i="40" s="1"/>
  <c r="O307" i="40"/>
  <c r="I307" i="40"/>
  <c r="C307" i="40"/>
  <c r="O306" i="40"/>
  <c r="I306" i="40"/>
  <c r="C306" i="40"/>
  <c r="R296" i="40"/>
  <c r="L296" i="40"/>
  <c r="F296" i="40"/>
  <c r="R295" i="40"/>
  <c r="L295" i="40"/>
  <c r="F295" i="40"/>
  <c r="P296" i="40"/>
  <c r="J296" i="40"/>
  <c r="D296" i="40"/>
  <c r="Q291" i="40"/>
  <c r="K291" i="40"/>
  <c r="E291" i="40"/>
  <c r="Q290" i="40"/>
  <c r="L290" i="40"/>
  <c r="K290" i="40"/>
  <c r="E290" i="40"/>
  <c r="Q289" i="40"/>
  <c r="L289" i="40"/>
  <c r="K289" i="40"/>
  <c r="E289" i="40"/>
  <c r="Q288" i="40"/>
  <c r="L288" i="40"/>
  <c r="K288" i="40"/>
  <c r="E288" i="40"/>
  <c r="Q287" i="40"/>
  <c r="L287" i="40"/>
  <c r="K287" i="40"/>
  <c r="E287" i="40"/>
  <c r="Q286" i="40"/>
  <c r="K286" i="40"/>
  <c r="E286" i="40"/>
  <c r="O277" i="40"/>
  <c r="R277" i="40" s="1"/>
  <c r="I277" i="40"/>
  <c r="L277" i="40" s="1"/>
  <c r="C277" i="40"/>
  <c r="F277" i="40" s="1"/>
  <c r="O276" i="40"/>
  <c r="R276" i="40" s="1"/>
  <c r="I276" i="40"/>
  <c r="L276" i="40" s="1"/>
  <c r="C276" i="40"/>
  <c r="F276" i="40" s="1"/>
  <c r="O275" i="40"/>
  <c r="R275" i="40" s="1"/>
  <c r="I275" i="40"/>
  <c r="L275" i="40" s="1"/>
  <c r="C275" i="40"/>
  <c r="F275" i="40" s="1"/>
  <c r="O274" i="40"/>
  <c r="R274" i="40" s="1"/>
  <c r="I274" i="40"/>
  <c r="L274" i="40" s="1"/>
  <c r="C274" i="40"/>
  <c r="F274" i="40" s="1"/>
  <c r="O273" i="40"/>
  <c r="R273" i="40" s="1"/>
  <c r="I273" i="40"/>
  <c r="L273" i="40" s="1"/>
  <c r="C273" i="40"/>
  <c r="F273" i="40" s="1"/>
  <c r="O272" i="40"/>
  <c r="R272" i="40" s="1"/>
  <c r="I272" i="40"/>
  <c r="L272" i="40" s="1"/>
  <c r="C272" i="40"/>
  <c r="F272" i="40" s="1"/>
  <c r="O271" i="40"/>
  <c r="R271" i="40" s="1"/>
  <c r="I271" i="40"/>
  <c r="L271" i="40" s="1"/>
  <c r="C271" i="40"/>
  <c r="F271" i="40" s="1"/>
  <c r="O270" i="40"/>
  <c r="R270" i="40" s="1"/>
  <c r="I270" i="40"/>
  <c r="L270" i="40" s="1"/>
  <c r="C270" i="40"/>
  <c r="F270" i="40" s="1"/>
  <c r="O269" i="40"/>
  <c r="R269" i="40" s="1"/>
  <c r="I269" i="40"/>
  <c r="L269" i="40" s="1"/>
  <c r="C269" i="40"/>
  <c r="F269" i="40" s="1"/>
  <c r="O268" i="40"/>
  <c r="I268" i="40"/>
  <c r="L268" i="40" s="1"/>
  <c r="C268" i="40"/>
  <c r="O267" i="40"/>
  <c r="I267" i="40"/>
  <c r="L267" i="40" s="1"/>
  <c r="C267" i="40"/>
  <c r="O266" i="40"/>
  <c r="I266" i="40"/>
  <c r="L266" i="40" s="1"/>
  <c r="C266" i="40"/>
  <c r="O265" i="40"/>
  <c r="I265" i="40"/>
  <c r="C265" i="40"/>
  <c r="O264" i="40"/>
  <c r="I264" i="40"/>
  <c r="C264" i="40"/>
  <c r="O263" i="40"/>
  <c r="I263" i="40"/>
  <c r="C263" i="40"/>
  <c r="O262" i="40"/>
  <c r="I262" i="40"/>
  <c r="C262" i="40"/>
  <c r="R252" i="40"/>
  <c r="L252" i="40"/>
  <c r="F252" i="40"/>
  <c r="R251" i="40"/>
  <c r="L251" i="40"/>
  <c r="F251" i="40"/>
  <c r="P251" i="40"/>
  <c r="J252" i="40"/>
  <c r="D251" i="40"/>
  <c r="W248" i="40"/>
  <c r="X248" i="40" s="1"/>
  <c r="V248" i="40"/>
  <c r="C188" i="39" s="1"/>
  <c r="W247" i="40"/>
  <c r="D187" i="39" s="1"/>
  <c r="V247" i="40"/>
  <c r="C187" i="39" s="1"/>
  <c r="Q247" i="40"/>
  <c r="K247" i="40"/>
  <c r="E247" i="40"/>
  <c r="W246" i="40"/>
  <c r="X246" i="40" s="1"/>
  <c r="V246" i="40"/>
  <c r="C186" i="39" s="1"/>
  <c r="Q246" i="40"/>
  <c r="K246" i="40"/>
  <c r="E246" i="40"/>
  <c r="W245" i="40"/>
  <c r="D185" i="39" s="1"/>
  <c r="V245" i="40"/>
  <c r="C185" i="39" s="1"/>
  <c r="Q245" i="40"/>
  <c r="K245" i="40"/>
  <c r="E245" i="40"/>
  <c r="W244" i="40"/>
  <c r="X244" i="40" s="1"/>
  <c r="V244" i="40"/>
  <c r="C184" i="39" s="1"/>
  <c r="Q244" i="40"/>
  <c r="K244" i="40"/>
  <c r="E244" i="40"/>
  <c r="W243" i="40"/>
  <c r="D183" i="39" s="1"/>
  <c r="V243" i="40"/>
  <c r="C183" i="39" s="1"/>
  <c r="Q243" i="40"/>
  <c r="K243" i="40"/>
  <c r="F243" i="40"/>
  <c r="E243" i="40"/>
  <c r="W242" i="40"/>
  <c r="X242" i="40" s="1"/>
  <c r="V242" i="40"/>
  <c r="C182" i="39" s="1"/>
  <c r="Q242" i="40"/>
  <c r="K242" i="40"/>
  <c r="E242" i="40"/>
  <c r="W241" i="40"/>
  <c r="D181" i="39" s="1"/>
  <c r="V241" i="40"/>
  <c r="C181" i="39" s="1"/>
  <c r="W240" i="40"/>
  <c r="X240" i="40" s="1"/>
  <c r="V240" i="40"/>
  <c r="C180" i="39" s="1"/>
  <c r="W239" i="40"/>
  <c r="D179" i="39" s="1"/>
  <c r="V239" i="40"/>
  <c r="C179" i="39" s="1"/>
  <c r="W238" i="40"/>
  <c r="X238" i="40" s="1"/>
  <c r="V238" i="40"/>
  <c r="C178" i="39" s="1"/>
  <c r="W237" i="40"/>
  <c r="X237" i="40" s="1"/>
  <c r="V237" i="40"/>
  <c r="C177" i="39" s="1"/>
  <c r="W236" i="40"/>
  <c r="D176" i="39" s="1"/>
  <c r="V236" i="40"/>
  <c r="C176" i="39" s="1"/>
  <c r="W235" i="40"/>
  <c r="X235" i="40" s="1"/>
  <c r="V235" i="40"/>
  <c r="C175" i="39" s="1"/>
  <c r="W234" i="40"/>
  <c r="X234" i="40" s="1"/>
  <c r="V234" i="40"/>
  <c r="C174" i="39" s="1"/>
  <c r="W233" i="40"/>
  <c r="D173" i="39" s="1"/>
  <c r="V233" i="40"/>
  <c r="C173" i="39" s="1"/>
  <c r="O233" i="40"/>
  <c r="R233" i="40" s="1"/>
  <c r="I233" i="40"/>
  <c r="L233" i="40" s="1"/>
  <c r="C233" i="40"/>
  <c r="F233" i="40" s="1"/>
  <c r="W232" i="40"/>
  <c r="X232" i="40" s="1"/>
  <c r="V232" i="40"/>
  <c r="C172" i="39" s="1"/>
  <c r="O232" i="40"/>
  <c r="R232" i="40" s="1"/>
  <c r="I232" i="40"/>
  <c r="L232" i="40" s="1"/>
  <c r="C232" i="40"/>
  <c r="F232" i="40" s="1"/>
  <c r="W231" i="40"/>
  <c r="D171" i="39" s="1"/>
  <c r="V231" i="40"/>
  <c r="C171" i="39" s="1"/>
  <c r="O231" i="40"/>
  <c r="R231" i="40" s="1"/>
  <c r="I231" i="40"/>
  <c r="L231" i="40" s="1"/>
  <c r="C231" i="40"/>
  <c r="F231" i="40" s="1"/>
  <c r="W230" i="40"/>
  <c r="X230" i="40" s="1"/>
  <c r="V230" i="40"/>
  <c r="C170" i="39" s="1"/>
  <c r="O230" i="40"/>
  <c r="R230" i="40" s="1"/>
  <c r="I230" i="40"/>
  <c r="L230" i="40" s="1"/>
  <c r="C230" i="40"/>
  <c r="F230" i="40" s="1"/>
  <c r="W229" i="40"/>
  <c r="D169" i="39" s="1"/>
  <c r="V229" i="40"/>
  <c r="C169" i="39" s="1"/>
  <c r="O229" i="40"/>
  <c r="R229" i="40" s="1"/>
  <c r="I229" i="40"/>
  <c r="L229" i="40" s="1"/>
  <c r="C229" i="40"/>
  <c r="F229" i="40" s="1"/>
  <c r="W228" i="40"/>
  <c r="X228" i="40" s="1"/>
  <c r="V228" i="40"/>
  <c r="C168" i="39" s="1"/>
  <c r="O228" i="40"/>
  <c r="R228" i="40" s="1"/>
  <c r="I228" i="40"/>
  <c r="L228" i="40" s="1"/>
  <c r="C228" i="40"/>
  <c r="F228" i="40" s="1"/>
  <c r="W227" i="40"/>
  <c r="D167" i="39" s="1"/>
  <c r="V227" i="40"/>
  <c r="C167" i="39" s="1"/>
  <c r="O227" i="40"/>
  <c r="R227" i="40" s="1"/>
  <c r="I227" i="40"/>
  <c r="C227" i="40"/>
  <c r="F227" i="40" s="1"/>
  <c r="W226" i="40"/>
  <c r="X226" i="40" s="1"/>
  <c r="V226" i="40"/>
  <c r="C166" i="39" s="1"/>
  <c r="O226" i="40"/>
  <c r="I226" i="40"/>
  <c r="C226" i="40"/>
  <c r="F226" i="40" s="1"/>
  <c r="W225" i="40"/>
  <c r="D165" i="39" s="1"/>
  <c r="V225" i="40"/>
  <c r="C165" i="39" s="1"/>
  <c r="O225" i="40"/>
  <c r="I225" i="40"/>
  <c r="C225" i="40"/>
  <c r="F225" i="40" s="1"/>
  <c r="O224" i="40"/>
  <c r="I224" i="40"/>
  <c r="C224" i="40"/>
  <c r="F224" i="40" s="1"/>
  <c r="W223" i="40"/>
  <c r="D163" i="39" s="1"/>
  <c r="V223" i="40"/>
  <c r="C163" i="39" s="1"/>
  <c r="O223" i="40"/>
  <c r="I223" i="40"/>
  <c r="C223" i="40"/>
  <c r="W222" i="40"/>
  <c r="X222" i="40" s="1"/>
  <c r="V222" i="40"/>
  <c r="C162" i="39" s="1"/>
  <c r="O222" i="40"/>
  <c r="I222" i="40"/>
  <c r="C222" i="40"/>
  <c r="W221" i="40"/>
  <c r="D161" i="39" s="1"/>
  <c r="V221" i="40"/>
  <c r="C161" i="39" s="1"/>
  <c r="O221" i="40"/>
  <c r="I221" i="40"/>
  <c r="C221" i="40"/>
  <c r="W220" i="40"/>
  <c r="X220" i="40" s="1"/>
  <c r="V220" i="40"/>
  <c r="C160" i="39" s="1"/>
  <c r="O220" i="40"/>
  <c r="I220" i="40"/>
  <c r="C220" i="40"/>
  <c r="W219" i="40"/>
  <c r="D159" i="39" s="1"/>
  <c r="V219" i="40"/>
  <c r="C159" i="39" s="1"/>
  <c r="O219" i="40"/>
  <c r="I219" i="40"/>
  <c r="C219" i="40"/>
  <c r="O218" i="40"/>
  <c r="I218" i="40"/>
  <c r="C218" i="40"/>
  <c r="Z212" i="40"/>
  <c r="X212" i="40"/>
  <c r="V212" i="40"/>
  <c r="C152" i="39" s="1"/>
  <c r="Z211" i="40"/>
  <c r="X211" i="40"/>
  <c r="V211" i="40"/>
  <c r="C151" i="39" s="1"/>
  <c r="Z210" i="40"/>
  <c r="X210" i="40"/>
  <c r="V210" i="40"/>
  <c r="C150" i="39" s="1"/>
  <c r="Z209" i="40"/>
  <c r="X209" i="40"/>
  <c r="V209" i="40"/>
  <c r="C149" i="39" s="1"/>
  <c r="Z208" i="40"/>
  <c r="X208" i="40"/>
  <c r="V208" i="40"/>
  <c r="C148" i="39" s="1"/>
  <c r="R208" i="40"/>
  <c r="L208" i="40"/>
  <c r="F208" i="40"/>
  <c r="Z207" i="40"/>
  <c r="X207" i="40"/>
  <c r="V207" i="40"/>
  <c r="C147" i="39" s="1"/>
  <c r="R207" i="40"/>
  <c r="L207" i="40"/>
  <c r="F207" i="40"/>
  <c r="Z206" i="40"/>
  <c r="X206" i="40"/>
  <c r="V206" i="40"/>
  <c r="C146" i="39" s="1"/>
  <c r="P208" i="40"/>
  <c r="J207" i="40"/>
  <c r="D208" i="40"/>
  <c r="Z205" i="40"/>
  <c r="X205" i="40"/>
  <c r="V205" i="40"/>
  <c r="C145" i="39" s="1"/>
  <c r="Z204" i="40"/>
  <c r="X204" i="40"/>
  <c r="V204" i="40"/>
  <c r="C144" i="39" s="1"/>
  <c r="Z203" i="40"/>
  <c r="X203" i="40"/>
  <c r="V203" i="40"/>
  <c r="C143" i="39" s="1"/>
  <c r="Q203" i="40"/>
  <c r="K203" i="40"/>
  <c r="E203" i="40"/>
  <c r="W202" i="40"/>
  <c r="D142" i="39" s="1"/>
  <c r="V202" i="40"/>
  <c r="C142" i="39" s="1"/>
  <c r="Q202" i="40"/>
  <c r="K202" i="40"/>
  <c r="E202" i="40"/>
  <c r="W201" i="40"/>
  <c r="X201" i="40" s="1"/>
  <c r="V201" i="40"/>
  <c r="C141" i="39" s="1"/>
  <c r="Q201" i="40"/>
  <c r="K201" i="40"/>
  <c r="E201" i="40"/>
  <c r="W200" i="40"/>
  <c r="D140" i="39" s="1"/>
  <c r="V200" i="40"/>
  <c r="C140" i="39" s="1"/>
  <c r="Q200" i="40"/>
  <c r="K200" i="40"/>
  <c r="E200" i="40"/>
  <c r="W199" i="40"/>
  <c r="X199" i="40" s="1"/>
  <c r="V199" i="40"/>
  <c r="C139" i="39" s="1"/>
  <c r="Q199" i="40"/>
  <c r="K199" i="40"/>
  <c r="E199" i="40"/>
  <c r="W198" i="40"/>
  <c r="D138" i="39" s="1"/>
  <c r="V198" i="40"/>
  <c r="C138" i="39" s="1"/>
  <c r="Q198" i="40"/>
  <c r="K198" i="40"/>
  <c r="E198" i="40"/>
  <c r="W197" i="40"/>
  <c r="X197" i="40" s="1"/>
  <c r="V197" i="40"/>
  <c r="C137" i="39" s="1"/>
  <c r="O189" i="40"/>
  <c r="R189" i="40" s="1"/>
  <c r="I189" i="40"/>
  <c r="L189" i="40" s="1"/>
  <c r="C189" i="40"/>
  <c r="F189" i="40" s="1"/>
  <c r="O188" i="40"/>
  <c r="R188" i="40" s="1"/>
  <c r="I188" i="40"/>
  <c r="L188" i="40" s="1"/>
  <c r="C188" i="40"/>
  <c r="F188" i="40" s="1"/>
  <c r="O187" i="40"/>
  <c r="R187" i="40" s="1"/>
  <c r="I187" i="40"/>
  <c r="L187" i="40" s="1"/>
  <c r="C187" i="40"/>
  <c r="F187" i="40" s="1"/>
  <c r="O186" i="40"/>
  <c r="R186" i="40" s="1"/>
  <c r="I186" i="40"/>
  <c r="L186" i="40" s="1"/>
  <c r="C186" i="40"/>
  <c r="F186" i="40" s="1"/>
  <c r="O185" i="40"/>
  <c r="R185" i="40" s="1"/>
  <c r="I185" i="40"/>
  <c r="L185" i="40" s="1"/>
  <c r="C185" i="40"/>
  <c r="F185" i="40" s="1"/>
  <c r="O184" i="40"/>
  <c r="R184" i="40" s="1"/>
  <c r="I184" i="40"/>
  <c r="L184" i="40" s="1"/>
  <c r="C184" i="40"/>
  <c r="F184" i="40" s="1"/>
  <c r="O183" i="40"/>
  <c r="R183" i="40" s="1"/>
  <c r="I183" i="40"/>
  <c r="L183" i="40" s="1"/>
  <c r="C183" i="40"/>
  <c r="F183" i="40" s="1"/>
  <c r="O182" i="40"/>
  <c r="R182" i="40" s="1"/>
  <c r="I182" i="40"/>
  <c r="L182" i="40" s="1"/>
  <c r="C182" i="40"/>
  <c r="F182" i="40" s="1"/>
  <c r="O181" i="40"/>
  <c r="R181" i="40" s="1"/>
  <c r="I181" i="40"/>
  <c r="L181" i="40" s="1"/>
  <c r="C181" i="40"/>
  <c r="F181" i="40" s="1"/>
  <c r="O180" i="40"/>
  <c r="R180" i="40" s="1"/>
  <c r="I180" i="40"/>
  <c r="L180" i="40" s="1"/>
  <c r="C180" i="40"/>
  <c r="F180" i="40" s="1"/>
  <c r="O179" i="40"/>
  <c r="I179" i="40"/>
  <c r="L179" i="40" s="1"/>
  <c r="C179" i="40"/>
  <c r="F179" i="40" s="1"/>
  <c r="O178" i="40"/>
  <c r="I178" i="40"/>
  <c r="C178" i="40"/>
  <c r="O177" i="40"/>
  <c r="I177" i="40"/>
  <c r="C177" i="40"/>
  <c r="O176" i="40"/>
  <c r="I176" i="40"/>
  <c r="C176" i="40"/>
  <c r="O175" i="40"/>
  <c r="I175" i="40"/>
  <c r="C175" i="40"/>
  <c r="O174" i="40"/>
  <c r="I174" i="40"/>
  <c r="C174" i="40"/>
  <c r="R164" i="40"/>
  <c r="L164" i="40"/>
  <c r="F164" i="40"/>
  <c r="R163" i="40"/>
  <c r="L163" i="40"/>
  <c r="F163" i="40"/>
  <c r="P164" i="40"/>
  <c r="J164" i="40"/>
  <c r="D164" i="40"/>
  <c r="Q159" i="40"/>
  <c r="K159" i="40"/>
  <c r="E159" i="40"/>
  <c r="Q158" i="40"/>
  <c r="K158" i="40"/>
  <c r="E158" i="40"/>
  <c r="Q157" i="40"/>
  <c r="K157" i="40"/>
  <c r="E157" i="40"/>
  <c r="Q156" i="40"/>
  <c r="K156" i="40"/>
  <c r="E156" i="40"/>
  <c r="Q155" i="40"/>
  <c r="K155" i="40"/>
  <c r="E155" i="40"/>
  <c r="Q154" i="40"/>
  <c r="K154" i="40"/>
  <c r="E154" i="40"/>
  <c r="O145" i="40"/>
  <c r="R145" i="40" s="1"/>
  <c r="I145" i="40"/>
  <c r="L145" i="40" s="1"/>
  <c r="C145" i="40"/>
  <c r="F145" i="40" s="1"/>
  <c r="O144" i="40"/>
  <c r="R144" i="40" s="1"/>
  <c r="I144" i="40"/>
  <c r="L144" i="40" s="1"/>
  <c r="C144" i="40"/>
  <c r="F144" i="40" s="1"/>
  <c r="O143" i="40"/>
  <c r="R143" i="40" s="1"/>
  <c r="I143" i="40"/>
  <c r="L143" i="40" s="1"/>
  <c r="C143" i="40"/>
  <c r="F143" i="40" s="1"/>
  <c r="V142" i="40"/>
  <c r="C82" i="39" s="1"/>
  <c r="O142" i="40"/>
  <c r="R142" i="40" s="1"/>
  <c r="I142" i="40"/>
  <c r="L142" i="40" s="1"/>
  <c r="C142" i="40"/>
  <c r="F142" i="40" s="1"/>
  <c r="O141" i="40"/>
  <c r="R141" i="40" s="1"/>
  <c r="I141" i="40"/>
  <c r="L141" i="40" s="1"/>
  <c r="C141" i="40"/>
  <c r="F141" i="40" s="1"/>
  <c r="V140" i="40"/>
  <c r="C80" i="39" s="1"/>
  <c r="O140" i="40"/>
  <c r="R140" i="40" s="1"/>
  <c r="I140" i="40"/>
  <c r="L140" i="40" s="1"/>
  <c r="C140" i="40"/>
  <c r="F140" i="40" s="1"/>
  <c r="V139" i="40"/>
  <c r="C79" i="39" s="1"/>
  <c r="O139" i="40"/>
  <c r="R139" i="40" s="1"/>
  <c r="I139" i="40"/>
  <c r="L139" i="40" s="1"/>
  <c r="C139" i="40"/>
  <c r="F139" i="40" s="1"/>
  <c r="O138" i="40"/>
  <c r="R138" i="40" s="1"/>
  <c r="I138" i="40"/>
  <c r="L138" i="40" s="1"/>
  <c r="C138" i="40"/>
  <c r="F138" i="40" s="1"/>
  <c r="O137" i="40"/>
  <c r="R137" i="40" s="1"/>
  <c r="I137" i="40"/>
  <c r="L137" i="40" s="1"/>
  <c r="C137" i="40"/>
  <c r="F137" i="40" s="1"/>
  <c r="O136" i="40"/>
  <c r="R136" i="40" s="1"/>
  <c r="I136" i="40"/>
  <c r="L136" i="40" s="1"/>
  <c r="C136" i="40"/>
  <c r="F136" i="40" s="1"/>
  <c r="O135" i="40"/>
  <c r="R135" i="40" s="1"/>
  <c r="I135" i="40"/>
  <c r="L135" i="40" s="1"/>
  <c r="C135" i="40"/>
  <c r="F135" i="40" s="1"/>
  <c r="O134" i="40"/>
  <c r="I134" i="40"/>
  <c r="C134" i="40"/>
  <c r="O133" i="40"/>
  <c r="I133" i="40"/>
  <c r="C133" i="40"/>
  <c r="O132" i="40"/>
  <c r="I132" i="40"/>
  <c r="C132" i="40"/>
  <c r="O131" i="40"/>
  <c r="I131" i="40"/>
  <c r="C131" i="40"/>
  <c r="O130" i="40"/>
  <c r="I130" i="40"/>
  <c r="C130" i="40"/>
  <c r="R120" i="40"/>
  <c r="L120" i="40"/>
  <c r="F120" i="40"/>
  <c r="R119" i="40"/>
  <c r="L119" i="40"/>
  <c r="F119" i="40"/>
  <c r="P120" i="40"/>
  <c r="J120" i="40"/>
  <c r="D120" i="40"/>
  <c r="Q115" i="40"/>
  <c r="K115" i="40"/>
  <c r="E115" i="40"/>
  <c r="Q114" i="40"/>
  <c r="K114" i="40"/>
  <c r="E114" i="40"/>
  <c r="Q113" i="40"/>
  <c r="K113" i="40"/>
  <c r="E113" i="40"/>
  <c r="Q112" i="40"/>
  <c r="K112" i="40"/>
  <c r="E112" i="40"/>
  <c r="Q111" i="40"/>
  <c r="K111" i="40"/>
  <c r="E111" i="40"/>
  <c r="Q110" i="40"/>
  <c r="K110" i="40"/>
  <c r="E110" i="40"/>
  <c r="O101" i="40"/>
  <c r="R101" i="40" s="1"/>
  <c r="I101" i="40"/>
  <c r="L101" i="40" s="1"/>
  <c r="C101" i="40"/>
  <c r="F101" i="40" s="1"/>
  <c r="O100" i="40"/>
  <c r="R100" i="40" s="1"/>
  <c r="I100" i="40"/>
  <c r="L100" i="40" s="1"/>
  <c r="C100" i="40"/>
  <c r="F100" i="40" s="1"/>
  <c r="O99" i="40"/>
  <c r="R99" i="40" s="1"/>
  <c r="I99" i="40"/>
  <c r="L99" i="40" s="1"/>
  <c r="C99" i="40"/>
  <c r="F99" i="40" s="1"/>
  <c r="O98" i="40"/>
  <c r="R98" i="40" s="1"/>
  <c r="I98" i="40"/>
  <c r="L98" i="40" s="1"/>
  <c r="C98" i="40"/>
  <c r="F98" i="40" s="1"/>
  <c r="O97" i="40"/>
  <c r="R97" i="40" s="1"/>
  <c r="I97" i="40"/>
  <c r="L97" i="40" s="1"/>
  <c r="C97" i="40"/>
  <c r="F97" i="40" s="1"/>
  <c r="O96" i="40"/>
  <c r="R96" i="40" s="1"/>
  <c r="I96" i="40"/>
  <c r="L96" i="40" s="1"/>
  <c r="C96" i="40"/>
  <c r="F96" i="40" s="1"/>
  <c r="O95" i="40"/>
  <c r="R95" i="40" s="1"/>
  <c r="I95" i="40"/>
  <c r="L95" i="40" s="1"/>
  <c r="C95" i="40"/>
  <c r="F95" i="40" s="1"/>
  <c r="O94" i="40"/>
  <c r="R94" i="40" s="1"/>
  <c r="I94" i="40"/>
  <c r="L94" i="40" s="1"/>
  <c r="C94" i="40"/>
  <c r="F94" i="40" s="1"/>
  <c r="O93" i="40"/>
  <c r="I93" i="40"/>
  <c r="C93" i="40"/>
  <c r="F93" i="40" s="1"/>
  <c r="O92" i="40"/>
  <c r="I92" i="40"/>
  <c r="C92" i="40"/>
  <c r="F92" i="40" s="1"/>
  <c r="O91" i="40"/>
  <c r="I91" i="40"/>
  <c r="C91" i="40"/>
  <c r="F91" i="40" s="1"/>
  <c r="O90" i="40"/>
  <c r="I90" i="40"/>
  <c r="C90" i="40"/>
  <c r="F90" i="40" s="1"/>
  <c r="O89" i="40"/>
  <c r="I89" i="40"/>
  <c r="C89" i="40"/>
  <c r="F89" i="40" s="1"/>
  <c r="O88" i="40"/>
  <c r="I88" i="40"/>
  <c r="C88" i="40"/>
  <c r="F88" i="40" s="1"/>
  <c r="O87" i="40"/>
  <c r="I87" i="40"/>
  <c r="C87" i="40"/>
  <c r="O86" i="40"/>
  <c r="I86" i="40"/>
  <c r="C86" i="40"/>
  <c r="R76" i="40"/>
  <c r="L76" i="40"/>
  <c r="F76" i="40"/>
  <c r="R75" i="40"/>
  <c r="L75" i="40"/>
  <c r="F75" i="40"/>
  <c r="P75" i="40"/>
  <c r="J76" i="40"/>
  <c r="D75" i="40"/>
  <c r="O72" i="40"/>
  <c r="I72" i="40"/>
  <c r="Q71" i="40"/>
  <c r="K71" i="40"/>
  <c r="E71" i="40"/>
  <c r="Q70" i="40"/>
  <c r="K70" i="40"/>
  <c r="F70" i="40"/>
  <c r="E70" i="40"/>
  <c r="Q69" i="40"/>
  <c r="K69" i="40"/>
  <c r="F69" i="40"/>
  <c r="E69" i="40"/>
  <c r="Q68" i="40"/>
  <c r="K68" i="40"/>
  <c r="E68" i="40"/>
  <c r="Q67" i="40"/>
  <c r="K67" i="40"/>
  <c r="F67" i="40"/>
  <c r="E67" i="40"/>
  <c r="Q66" i="40"/>
  <c r="K66" i="40"/>
  <c r="E66" i="40"/>
  <c r="O57" i="40"/>
  <c r="R57" i="40" s="1"/>
  <c r="I57" i="40"/>
  <c r="L57" i="40" s="1"/>
  <c r="C57" i="40"/>
  <c r="F57" i="40" s="1"/>
  <c r="O56" i="40"/>
  <c r="R56" i="40" s="1"/>
  <c r="I56" i="40"/>
  <c r="L56" i="40" s="1"/>
  <c r="C56" i="40"/>
  <c r="F56" i="40" s="1"/>
  <c r="O55" i="40"/>
  <c r="R55" i="40" s="1"/>
  <c r="I55" i="40"/>
  <c r="L55" i="40" s="1"/>
  <c r="C55" i="40"/>
  <c r="F55" i="40" s="1"/>
  <c r="O54" i="40"/>
  <c r="R54" i="40" s="1"/>
  <c r="I54" i="40"/>
  <c r="L54" i="40" s="1"/>
  <c r="C54" i="40"/>
  <c r="F54" i="40" s="1"/>
  <c r="I53" i="40"/>
  <c r="L53" i="40" s="1"/>
  <c r="C53" i="40"/>
  <c r="F53" i="40" s="1"/>
  <c r="O52" i="40"/>
  <c r="I52" i="40"/>
  <c r="L52" i="40" s="1"/>
  <c r="C52" i="40"/>
  <c r="F52" i="40" s="1"/>
  <c r="O51" i="40"/>
  <c r="I51" i="40"/>
  <c r="L51" i="40" s="1"/>
  <c r="C51" i="40"/>
  <c r="F51" i="40" s="1"/>
  <c r="O50" i="40"/>
  <c r="I50" i="40"/>
  <c r="C50" i="40"/>
  <c r="F50" i="40" s="1"/>
  <c r="O49" i="40"/>
  <c r="I49" i="40"/>
  <c r="C49" i="40"/>
  <c r="F49" i="40" s="1"/>
  <c r="O48" i="40"/>
  <c r="I48" i="40"/>
  <c r="F48" i="40"/>
  <c r="O47" i="40"/>
  <c r="I47" i="40"/>
  <c r="F47" i="40"/>
  <c r="O46" i="40"/>
  <c r="I46" i="40"/>
  <c r="O45" i="40"/>
  <c r="I45" i="40"/>
  <c r="O44" i="40"/>
  <c r="I44" i="40"/>
  <c r="F44" i="40"/>
  <c r="O43" i="40"/>
  <c r="I43" i="40"/>
  <c r="C43" i="40"/>
  <c r="O42" i="40"/>
  <c r="I42" i="40"/>
  <c r="C42" i="40"/>
  <c r="H29" i="40"/>
  <c r="V185" i="40" s="1"/>
  <c r="C125" i="39" s="1"/>
  <c r="D29" i="40"/>
  <c r="V158" i="40" s="1"/>
  <c r="C98" i="39" s="1"/>
  <c r="B29" i="40"/>
  <c r="V131" i="40" s="1"/>
  <c r="C71" i="39" s="1"/>
  <c r="H28" i="40"/>
  <c r="V184" i="40" s="1"/>
  <c r="C124" i="39" s="1"/>
  <c r="D28" i="40"/>
  <c r="V157" i="40" s="1"/>
  <c r="C97" i="39" s="1"/>
  <c r="B28" i="40"/>
  <c r="V130" i="40" s="1"/>
  <c r="C70" i="39" s="1"/>
  <c r="H27" i="40"/>
  <c r="V183" i="40" s="1"/>
  <c r="C123" i="39" s="1"/>
  <c r="D27" i="40"/>
  <c r="V156" i="40" s="1"/>
  <c r="C96" i="39" s="1"/>
  <c r="B27" i="40"/>
  <c r="V129" i="40" s="1"/>
  <c r="C69" i="39" s="1"/>
  <c r="AL26" i="40"/>
  <c r="AJ26" i="40"/>
  <c r="AG26" i="40"/>
  <c r="H26" i="40"/>
  <c r="V182" i="40" s="1"/>
  <c r="C122" i="39" s="1"/>
  <c r="D26" i="40"/>
  <c r="V155" i="40" s="1"/>
  <c r="C95" i="39" s="1"/>
  <c r="B26" i="40"/>
  <c r="V128" i="40" s="1"/>
  <c r="C68" i="39" s="1"/>
  <c r="AL25" i="40"/>
  <c r="AJ25" i="40"/>
  <c r="AF25" i="40"/>
  <c r="AG25" i="40" s="1"/>
  <c r="H25" i="40"/>
  <c r="V181" i="40" s="1"/>
  <c r="C121" i="39" s="1"/>
  <c r="D25" i="40"/>
  <c r="V154" i="40" s="1"/>
  <c r="C94" i="39" s="1"/>
  <c r="B25" i="40"/>
  <c r="V127" i="40" s="1"/>
  <c r="C67" i="39" s="1"/>
  <c r="AL24" i="40"/>
  <c r="AJ24" i="40"/>
  <c r="AF24" i="40"/>
  <c r="AG24" i="40" s="1"/>
  <c r="H24" i="40"/>
  <c r="V180" i="40" s="1"/>
  <c r="C120" i="39" s="1"/>
  <c r="D24" i="40"/>
  <c r="V153" i="40" s="1"/>
  <c r="C93" i="39" s="1"/>
  <c r="B24" i="40"/>
  <c r="V126" i="40" s="1"/>
  <c r="C66" i="39" s="1"/>
  <c r="AP23" i="40"/>
  <c r="AL23" i="40"/>
  <c r="AJ23" i="40"/>
  <c r="AF23" i="40"/>
  <c r="AG23" i="40" s="1"/>
  <c r="H23" i="40"/>
  <c r="V179" i="40" s="1"/>
  <c r="C119" i="39" s="1"/>
  <c r="D23" i="40"/>
  <c r="V152" i="40" s="1"/>
  <c r="C92" i="39" s="1"/>
  <c r="B23" i="40"/>
  <c r="V125" i="40" s="1"/>
  <c r="C65" i="39" s="1"/>
  <c r="AL22" i="40"/>
  <c r="AJ22" i="40"/>
  <c r="AF22" i="40"/>
  <c r="AG22" i="40" s="1"/>
  <c r="H22" i="40"/>
  <c r="V178" i="40" s="1"/>
  <c r="C118" i="39" s="1"/>
  <c r="D22" i="40"/>
  <c r="V151" i="40" s="1"/>
  <c r="C91" i="39" s="1"/>
  <c r="B22" i="40"/>
  <c r="V124" i="40" s="1"/>
  <c r="C64" i="39" s="1"/>
  <c r="AL21" i="40"/>
  <c r="AJ21" i="40"/>
  <c r="AG21" i="40"/>
  <c r="H21" i="40"/>
  <c r="V177" i="40" s="1"/>
  <c r="C117" i="39" s="1"/>
  <c r="D21" i="40"/>
  <c r="V150" i="40" s="1"/>
  <c r="C90" i="39" s="1"/>
  <c r="B21" i="40"/>
  <c r="V123" i="40" s="1"/>
  <c r="C63" i="39" s="1"/>
  <c r="AL20" i="40"/>
  <c r="AJ20" i="40"/>
  <c r="AG20" i="40"/>
  <c r="H20" i="40"/>
  <c r="V176" i="40" s="1"/>
  <c r="C116" i="39" s="1"/>
  <c r="D20" i="40"/>
  <c r="V149" i="40" s="1"/>
  <c r="C89" i="39" s="1"/>
  <c r="B20" i="40"/>
  <c r="V122" i="40" s="1"/>
  <c r="C62" i="39" s="1"/>
  <c r="AL19" i="40"/>
  <c r="AJ19" i="40"/>
  <c r="AG19" i="40"/>
  <c r="H19" i="40"/>
  <c r="V175" i="40" s="1"/>
  <c r="C115" i="39" s="1"/>
  <c r="D19" i="40"/>
  <c r="V148" i="40" s="1"/>
  <c r="C88" i="39" s="1"/>
  <c r="B19" i="40"/>
  <c r="V121" i="40" s="1"/>
  <c r="C61" i="39" s="1"/>
  <c r="AL18" i="40"/>
  <c r="AJ18" i="40"/>
  <c r="AF18" i="40"/>
  <c r="AG18" i="40" s="1"/>
  <c r="H18" i="40"/>
  <c r="V174" i="40" s="1"/>
  <c r="C114" i="39" s="1"/>
  <c r="D18" i="40"/>
  <c r="V147" i="40" s="1"/>
  <c r="C87" i="39" s="1"/>
  <c r="B18" i="40"/>
  <c r="V120" i="40" s="1"/>
  <c r="C60" i="39" s="1"/>
  <c r="AL17" i="40"/>
  <c r="AJ17" i="40"/>
  <c r="AF17" i="40"/>
  <c r="AG17" i="40" s="1"/>
  <c r="H17" i="40"/>
  <c r="V173" i="40" s="1"/>
  <c r="C113" i="39" s="1"/>
  <c r="D17" i="40"/>
  <c r="V146" i="40" s="1"/>
  <c r="C86" i="39" s="1"/>
  <c r="B17" i="40"/>
  <c r="V119" i="40" s="1"/>
  <c r="C59" i="39" s="1"/>
  <c r="AL16" i="40"/>
  <c r="AJ16" i="40"/>
  <c r="AF16" i="40"/>
  <c r="AG16" i="40" s="1"/>
  <c r="H16" i="40"/>
  <c r="V172" i="40" s="1"/>
  <c r="C112" i="39" s="1"/>
  <c r="D16" i="40"/>
  <c r="V145" i="40" s="1"/>
  <c r="C85" i="39" s="1"/>
  <c r="B16" i="40"/>
  <c r="V118" i="40" s="1"/>
  <c r="C58" i="39" s="1"/>
  <c r="AL15" i="40"/>
  <c r="AJ15" i="40"/>
  <c r="AF15" i="40"/>
  <c r="AG15" i="40" s="1"/>
  <c r="H15" i="40"/>
  <c r="V171" i="40" s="1"/>
  <c r="C111" i="39" s="1"/>
  <c r="D15" i="40"/>
  <c r="V144" i="40" s="1"/>
  <c r="C84" i="39" s="1"/>
  <c r="B15" i="40"/>
  <c r="V117" i="40" s="1"/>
  <c r="C57" i="39" s="1"/>
  <c r="AL14" i="40"/>
  <c r="AJ14" i="40"/>
  <c r="AF14" i="40"/>
  <c r="AG14" i="40" s="1"/>
  <c r="H14" i="40"/>
  <c r="V170" i="40" s="1"/>
  <c r="C110" i="39" s="1"/>
  <c r="D14" i="40"/>
  <c r="V143" i="40" s="1"/>
  <c r="C83" i="39" s="1"/>
  <c r="B14" i="40"/>
  <c r="V116" i="40" s="1"/>
  <c r="C56" i="39" s="1"/>
  <c r="AL13" i="40"/>
  <c r="AJ13" i="40"/>
  <c r="AF13" i="40"/>
  <c r="AG13" i="40" s="1"/>
  <c r="J13" i="40"/>
  <c r="V196" i="40" s="1"/>
  <c r="C136" i="39" s="1"/>
  <c r="H13" i="40"/>
  <c r="V169" i="40" s="1"/>
  <c r="C109" i="39" s="1"/>
  <c r="B13" i="40"/>
  <c r="V115" i="40" s="1"/>
  <c r="C55" i="39" s="1"/>
  <c r="AL12" i="40"/>
  <c r="AJ12" i="40"/>
  <c r="AG12" i="40"/>
  <c r="J12" i="40"/>
  <c r="V195" i="40" s="1"/>
  <c r="C135" i="39" s="1"/>
  <c r="H12" i="40"/>
  <c r="V168" i="40" s="1"/>
  <c r="C108" i="39" s="1"/>
  <c r="D12" i="40"/>
  <c r="V141" i="40" s="1"/>
  <c r="C81" i="39" s="1"/>
  <c r="B12" i="40"/>
  <c r="V114" i="40" s="1"/>
  <c r="C54" i="39" s="1"/>
  <c r="AL11" i="40"/>
  <c r="AJ11" i="40"/>
  <c r="AG11" i="40"/>
  <c r="J11" i="40"/>
  <c r="V194" i="40" s="1"/>
  <c r="C134" i="39" s="1"/>
  <c r="H11" i="40"/>
  <c r="V167" i="40" s="1"/>
  <c r="C107" i="39" s="1"/>
  <c r="B11" i="40"/>
  <c r="V113" i="40" s="1"/>
  <c r="C53" i="39" s="1"/>
  <c r="AL10" i="40"/>
  <c r="AJ10" i="40"/>
  <c r="AF10" i="40"/>
  <c r="AG10" i="40" s="1"/>
  <c r="J10" i="40"/>
  <c r="V193" i="40" s="1"/>
  <c r="C133" i="39" s="1"/>
  <c r="H10" i="40"/>
  <c r="V166" i="40" s="1"/>
  <c r="C106" i="39" s="1"/>
  <c r="B10" i="40"/>
  <c r="V112" i="40" s="1"/>
  <c r="C52" i="39" s="1"/>
  <c r="AL9" i="40"/>
  <c r="AJ9" i="40"/>
  <c r="AF9" i="40"/>
  <c r="AG9" i="40" s="1"/>
  <c r="J9" i="40"/>
  <c r="V192" i="40" s="1"/>
  <c r="C132" i="39" s="1"/>
  <c r="H9" i="40"/>
  <c r="V165" i="40" s="1"/>
  <c r="C105" i="39" s="1"/>
  <c r="D9" i="40"/>
  <c r="V138" i="40" s="1"/>
  <c r="C78" i="39" s="1"/>
  <c r="B9" i="40"/>
  <c r="V111" i="40" s="1"/>
  <c r="C51" i="39" s="1"/>
  <c r="AL8" i="40"/>
  <c r="AJ8" i="40"/>
  <c r="AF8" i="40"/>
  <c r="AG8" i="40" s="1"/>
  <c r="N8" i="40"/>
  <c r="V218" i="40" s="1"/>
  <c r="C158" i="39" s="1"/>
  <c r="J8" i="40"/>
  <c r="V191" i="40" s="1"/>
  <c r="C131" i="39" s="1"/>
  <c r="H8" i="40"/>
  <c r="V164" i="40" s="1"/>
  <c r="C104" i="39" s="1"/>
  <c r="D8" i="40"/>
  <c r="V137" i="40" s="1"/>
  <c r="C77" i="39" s="1"/>
  <c r="B8" i="40"/>
  <c r="V110" i="40" s="1"/>
  <c r="C50" i="39" s="1"/>
  <c r="AL7" i="40"/>
  <c r="AJ7" i="40"/>
  <c r="AF7" i="40"/>
  <c r="AG7" i="40" s="1"/>
  <c r="AP7" i="40" s="1"/>
  <c r="N7" i="40"/>
  <c r="V217" i="40" s="1"/>
  <c r="C157" i="39" s="1"/>
  <c r="J7" i="40"/>
  <c r="V190" i="40" s="1"/>
  <c r="C130" i="39" s="1"/>
  <c r="H7" i="40"/>
  <c r="V163" i="40" s="1"/>
  <c r="C103" i="39" s="1"/>
  <c r="D7" i="40"/>
  <c r="V136" i="40" s="1"/>
  <c r="C76" i="39" s="1"/>
  <c r="B7" i="40"/>
  <c r="V109" i="40" s="1"/>
  <c r="C49" i="39" s="1"/>
  <c r="N6" i="40"/>
  <c r="V216" i="40" s="1"/>
  <c r="C156" i="39" s="1"/>
  <c r="J6" i="40"/>
  <c r="V189" i="40" s="1"/>
  <c r="C129" i="39" s="1"/>
  <c r="H6" i="40"/>
  <c r="V162" i="40" s="1"/>
  <c r="C102" i="39" s="1"/>
  <c r="D6" i="40"/>
  <c r="V135" i="40" s="1"/>
  <c r="C75" i="39" s="1"/>
  <c r="B6" i="40"/>
  <c r="V108" i="40" s="1"/>
  <c r="C48" i="39" s="1"/>
  <c r="N5" i="40"/>
  <c r="V215" i="40" s="1"/>
  <c r="C155" i="39" s="1"/>
  <c r="J5" i="40"/>
  <c r="V188" i="40" s="1"/>
  <c r="C128" i="39" s="1"/>
  <c r="H5" i="40"/>
  <c r="V161" i="40" s="1"/>
  <c r="C101" i="39" s="1"/>
  <c r="D5" i="40"/>
  <c r="V134" i="40" s="1"/>
  <c r="C74" i="39" s="1"/>
  <c r="B5" i="40"/>
  <c r="V107" i="40" s="1"/>
  <c r="C47" i="39" s="1"/>
  <c r="N4" i="40"/>
  <c r="V214" i="40" s="1"/>
  <c r="C154" i="39" s="1"/>
  <c r="J4" i="40"/>
  <c r="V187" i="40" s="1"/>
  <c r="C127" i="39" s="1"/>
  <c r="H4" i="40"/>
  <c r="V160" i="40" s="1"/>
  <c r="C100" i="39" s="1"/>
  <c r="D4" i="40"/>
  <c r="V133" i="40" s="1"/>
  <c r="C73" i="39" s="1"/>
  <c r="B4" i="40"/>
  <c r="V106" i="40" s="1"/>
  <c r="C46" i="39" s="1"/>
  <c r="N3" i="40"/>
  <c r="V213" i="40" s="1"/>
  <c r="C153" i="39" s="1"/>
  <c r="J3" i="40"/>
  <c r="V186" i="40" s="1"/>
  <c r="C126" i="39" s="1"/>
  <c r="H3" i="40"/>
  <c r="V159" i="40" s="1"/>
  <c r="C99" i="39" s="1"/>
  <c r="D3" i="40"/>
  <c r="V132" i="40" s="1"/>
  <c r="C72" i="39" s="1"/>
  <c r="B3" i="40"/>
  <c r="V105" i="40" s="1"/>
  <c r="C45" i="39" s="1"/>
  <c r="F688" i="40" l="1"/>
  <c r="R1362" i="40"/>
  <c r="R1378" i="40" s="1"/>
  <c r="S1362" i="40" s="1"/>
  <c r="Z225" i="40"/>
  <c r="X241" i="40"/>
  <c r="Z244" i="40"/>
  <c r="D735" i="40"/>
  <c r="L1191" i="40"/>
  <c r="F1192" i="40"/>
  <c r="R1192" i="40"/>
  <c r="L1193" i="40"/>
  <c r="F1194" i="40"/>
  <c r="F1196" i="40"/>
  <c r="Z198" i="40"/>
  <c r="X200" i="40"/>
  <c r="Z200" i="40"/>
  <c r="X221" i="40"/>
  <c r="Z241" i="40"/>
  <c r="X202" i="40"/>
  <c r="X219" i="40"/>
  <c r="Z221" i="40"/>
  <c r="X239" i="40"/>
  <c r="Z240" i="40"/>
  <c r="AM17" i="40"/>
  <c r="AO17" i="40" s="1"/>
  <c r="Z247" i="40"/>
  <c r="X227" i="40"/>
  <c r="X233" i="40"/>
  <c r="Z238" i="40"/>
  <c r="Z239" i="40"/>
  <c r="X245" i="40"/>
  <c r="X198" i="40"/>
  <c r="Z220" i="40"/>
  <c r="Z223" i="40"/>
  <c r="X225" i="40"/>
  <c r="Z227" i="40"/>
  <c r="X231" i="40"/>
  <c r="Z233" i="40"/>
  <c r="Z242" i="40"/>
  <c r="Z245" i="40"/>
  <c r="X247" i="40"/>
  <c r="AM12" i="40"/>
  <c r="AO12" i="40" s="1"/>
  <c r="L1477" i="40" s="1"/>
  <c r="AM19" i="40"/>
  <c r="AO19" i="40" s="1"/>
  <c r="R946" i="40" s="1"/>
  <c r="AM15" i="40"/>
  <c r="AO15" i="40" s="1"/>
  <c r="AM26" i="40"/>
  <c r="AO26" i="40" s="1"/>
  <c r="F1479" i="40" s="1"/>
  <c r="Z199" i="40"/>
  <c r="Z202" i="40"/>
  <c r="R218" i="40"/>
  <c r="Z219" i="40"/>
  <c r="Z222" i="40"/>
  <c r="X229" i="40"/>
  <c r="Z231" i="40"/>
  <c r="X236" i="40"/>
  <c r="Z237" i="40"/>
  <c r="X243" i="40"/>
  <c r="R1274" i="40"/>
  <c r="F1277" i="40"/>
  <c r="R1282" i="40"/>
  <c r="D188" i="39"/>
  <c r="D186" i="39"/>
  <c r="D184" i="39"/>
  <c r="D182" i="39"/>
  <c r="D180" i="39"/>
  <c r="D178" i="39"/>
  <c r="D174" i="39"/>
  <c r="D172" i="39"/>
  <c r="D170" i="39"/>
  <c r="D168" i="39"/>
  <c r="D166" i="39"/>
  <c r="AM25" i="40"/>
  <c r="AO25" i="40" s="1"/>
  <c r="F947" i="40" s="1"/>
  <c r="AM7" i="40"/>
  <c r="AO7" i="40" s="1"/>
  <c r="R1430" i="40" s="1"/>
  <c r="AM16" i="40"/>
  <c r="AO16" i="40" s="1"/>
  <c r="AM21" i="40"/>
  <c r="AO21" i="40" s="1"/>
  <c r="AM23" i="40"/>
  <c r="AO23" i="40" s="1"/>
  <c r="AM24" i="40"/>
  <c r="AO24" i="40" s="1"/>
  <c r="AM10" i="40"/>
  <c r="AO10" i="40" s="1"/>
  <c r="AM13" i="40"/>
  <c r="AO13" i="40" s="1"/>
  <c r="L1476" i="40" s="1"/>
  <c r="AM14" i="40"/>
  <c r="AO14" i="40" s="1"/>
  <c r="F946" i="40" s="1"/>
  <c r="AM18" i="40"/>
  <c r="AO18" i="40" s="1"/>
  <c r="AM20" i="40"/>
  <c r="AO20" i="40" s="1"/>
  <c r="L948" i="40" s="1"/>
  <c r="AM22" i="40"/>
  <c r="AO22" i="40" s="1"/>
  <c r="X223" i="40"/>
  <c r="Z229" i="40"/>
  <c r="Z236" i="40"/>
  <c r="Z243" i="40"/>
  <c r="D647" i="40"/>
  <c r="R1191" i="40"/>
  <c r="L1192" i="40"/>
  <c r="F1193" i="40"/>
  <c r="R1193" i="40"/>
  <c r="L1194" i="40"/>
  <c r="F1195" i="40"/>
  <c r="F1197" i="40"/>
  <c r="F1275" i="40"/>
  <c r="R1276" i="40"/>
  <c r="D177" i="39"/>
  <c r="D175" i="39"/>
  <c r="AM8" i="40"/>
  <c r="AO8" i="40" s="1"/>
  <c r="R1475" i="40" s="1"/>
  <c r="AM11" i="40"/>
  <c r="AO11" i="40" s="1"/>
  <c r="R1478" i="40" s="1"/>
  <c r="D162" i="39"/>
  <c r="D160" i="39"/>
  <c r="D141" i="39"/>
  <c r="D139" i="39"/>
  <c r="D137" i="39"/>
  <c r="L358" i="40"/>
  <c r="R358" i="40"/>
  <c r="R359" i="40"/>
  <c r="R360" i="40"/>
  <c r="R361" i="40"/>
  <c r="R362" i="40"/>
  <c r="R363" i="40"/>
  <c r="R364" i="40"/>
  <c r="R365" i="40"/>
  <c r="R1278" i="40"/>
  <c r="R1280" i="40"/>
  <c r="J1307" i="40"/>
  <c r="L1318" i="40"/>
  <c r="F1319" i="40"/>
  <c r="L44" i="40"/>
  <c r="R44" i="40"/>
  <c r="F45" i="40"/>
  <c r="L45" i="40"/>
  <c r="R45" i="40"/>
  <c r="F46" i="40"/>
  <c r="L46" i="40"/>
  <c r="L48" i="40"/>
  <c r="L49" i="40"/>
  <c r="L50" i="40"/>
  <c r="R50" i="40"/>
  <c r="R51" i="40"/>
  <c r="R52" i="40"/>
  <c r="R88" i="40"/>
  <c r="D1087" i="40"/>
  <c r="F1188" i="40"/>
  <c r="L1188" i="40"/>
  <c r="R1188" i="40"/>
  <c r="F1189" i="40"/>
  <c r="L1189" i="40"/>
  <c r="F1190" i="40"/>
  <c r="R1190" i="40"/>
  <c r="F1191" i="40"/>
  <c r="L130" i="40"/>
  <c r="L132" i="40"/>
  <c r="F174" i="40"/>
  <c r="L174" i="40"/>
  <c r="R174" i="40"/>
  <c r="F176" i="40"/>
  <c r="L176" i="40"/>
  <c r="R176" i="40"/>
  <c r="F482" i="40"/>
  <c r="L482" i="40"/>
  <c r="R482" i="40"/>
  <c r="F483" i="40"/>
  <c r="L483" i="40"/>
  <c r="R483" i="40"/>
  <c r="F484" i="40"/>
  <c r="L484" i="40"/>
  <c r="R484" i="40"/>
  <c r="F485" i="40"/>
  <c r="L485" i="40"/>
  <c r="F486" i="40"/>
  <c r="L486" i="40"/>
  <c r="F487" i="40"/>
  <c r="J515" i="40"/>
  <c r="F526" i="40"/>
  <c r="R526" i="40"/>
  <c r="L527" i="40"/>
  <c r="F528" i="40"/>
  <c r="R528" i="40"/>
  <c r="L529" i="40"/>
  <c r="F530" i="40"/>
  <c r="R530" i="40"/>
  <c r="L531" i="40"/>
  <c r="R532" i="40"/>
  <c r="R533" i="40"/>
  <c r="L749" i="40"/>
  <c r="R749" i="40"/>
  <c r="F750" i="40"/>
  <c r="L750" i="40"/>
  <c r="R750" i="40"/>
  <c r="F751" i="40"/>
  <c r="L751" i="40"/>
  <c r="R751" i="40"/>
  <c r="F752" i="40"/>
  <c r="L752" i="40"/>
  <c r="D911" i="40"/>
  <c r="L220" i="40"/>
  <c r="F221" i="40"/>
  <c r="L221" i="40"/>
  <c r="R221" i="40"/>
  <c r="L222" i="40"/>
  <c r="F223" i="40"/>
  <c r="L223" i="40"/>
  <c r="R223" i="40"/>
  <c r="L224" i="40"/>
  <c r="L227" i="40"/>
  <c r="J251" i="40"/>
  <c r="L262" i="40"/>
  <c r="F263" i="40"/>
  <c r="R263" i="40"/>
  <c r="L264" i="40"/>
  <c r="F265" i="40"/>
  <c r="R265" i="40"/>
  <c r="F267" i="40"/>
  <c r="R267" i="40"/>
  <c r="F268" i="40"/>
  <c r="R268" i="40"/>
  <c r="R350" i="40"/>
  <c r="F351" i="40"/>
  <c r="L351" i="40"/>
  <c r="R351" i="40"/>
  <c r="F352" i="40"/>
  <c r="L352" i="40"/>
  <c r="R352" i="40"/>
  <c r="F353" i="40"/>
  <c r="L353" i="40"/>
  <c r="R353" i="40"/>
  <c r="F354" i="40"/>
  <c r="L354" i="40"/>
  <c r="R354" i="40"/>
  <c r="F355" i="40"/>
  <c r="L355" i="40"/>
  <c r="F356" i="40"/>
  <c r="L356" i="40"/>
  <c r="R356" i="40"/>
  <c r="F357" i="40"/>
  <c r="L357" i="40"/>
  <c r="F358" i="40"/>
  <c r="J956" i="40"/>
  <c r="J955" i="40"/>
  <c r="P119" i="40"/>
  <c r="D471" i="40"/>
  <c r="P559" i="40"/>
  <c r="F658" i="40"/>
  <c r="L658" i="40"/>
  <c r="R658" i="40"/>
  <c r="F659" i="40"/>
  <c r="L659" i="40"/>
  <c r="R659" i="40"/>
  <c r="L660" i="40"/>
  <c r="R660" i="40"/>
  <c r="L661" i="40"/>
  <c r="R661" i="40"/>
  <c r="F746" i="40"/>
  <c r="L746" i="40"/>
  <c r="R746" i="40"/>
  <c r="F747" i="40"/>
  <c r="L747" i="40"/>
  <c r="R747" i="40"/>
  <c r="F748" i="40"/>
  <c r="L748" i="40"/>
  <c r="R748" i="40"/>
  <c r="F749" i="40"/>
  <c r="R752" i="40"/>
  <c r="F753" i="40"/>
  <c r="L753" i="40"/>
  <c r="R753" i="40"/>
  <c r="F754" i="40"/>
  <c r="L754" i="40"/>
  <c r="R754" i="40"/>
  <c r="F755" i="40"/>
  <c r="L755" i="40"/>
  <c r="F756" i="40"/>
  <c r="F757" i="40"/>
  <c r="F758" i="40"/>
  <c r="J779" i="40"/>
  <c r="F790" i="40"/>
  <c r="R790" i="40"/>
  <c r="L791" i="40"/>
  <c r="F792" i="40"/>
  <c r="R792" i="40"/>
  <c r="L793" i="40"/>
  <c r="L795" i="40"/>
  <c r="L797" i="40"/>
  <c r="F922" i="40"/>
  <c r="L922" i="40"/>
  <c r="R922" i="40"/>
  <c r="F923" i="40"/>
  <c r="L923" i="40"/>
  <c r="R923" i="40"/>
  <c r="F924" i="40"/>
  <c r="L924" i="40"/>
  <c r="R924" i="40"/>
  <c r="F925" i="40"/>
  <c r="F926" i="40"/>
  <c r="F966" i="40"/>
  <c r="R966" i="40"/>
  <c r="L967" i="40"/>
  <c r="F968" i="40"/>
  <c r="R968" i="40"/>
  <c r="L969" i="40"/>
  <c r="F970" i="40"/>
  <c r="R970" i="40"/>
  <c r="L971" i="40"/>
  <c r="F972" i="40"/>
  <c r="R972" i="40"/>
  <c r="R1144" i="40"/>
  <c r="F1145" i="40"/>
  <c r="L1145" i="40"/>
  <c r="R1145" i="40"/>
  <c r="F1146" i="40"/>
  <c r="L1146" i="40"/>
  <c r="R1146" i="40"/>
  <c r="F1147" i="40"/>
  <c r="R1147" i="40"/>
  <c r="R1148" i="40"/>
  <c r="J1175" i="40"/>
  <c r="F1186" i="40"/>
  <c r="L1186" i="40"/>
  <c r="R1186" i="40"/>
  <c r="F1187" i="40"/>
  <c r="L1187" i="40"/>
  <c r="R1187" i="40"/>
  <c r="R1189" i="40"/>
  <c r="L1190" i="40"/>
  <c r="D1439" i="40"/>
  <c r="F42" i="40"/>
  <c r="L42" i="40"/>
  <c r="R42" i="40"/>
  <c r="F43" i="40"/>
  <c r="L43" i="40"/>
  <c r="R46" i="40"/>
  <c r="L47" i="40"/>
  <c r="R47" i="40"/>
  <c r="F175" i="40"/>
  <c r="R175" i="40"/>
  <c r="F177" i="40"/>
  <c r="R177" i="40"/>
  <c r="R179" i="40"/>
  <c r="D207" i="40"/>
  <c r="F218" i="40"/>
  <c r="L225" i="40"/>
  <c r="R225" i="40"/>
  <c r="R226" i="40"/>
  <c r="D295" i="40"/>
  <c r="L306" i="40"/>
  <c r="R306" i="40"/>
  <c r="F307" i="40"/>
  <c r="L307" i="40"/>
  <c r="R307" i="40"/>
  <c r="L308" i="40"/>
  <c r="R308" i="40"/>
  <c r="L309" i="40"/>
  <c r="R309" i="40"/>
  <c r="L310" i="40"/>
  <c r="R310" i="40"/>
  <c r="L311" i="40"/>
  <c r="R311" i="40"/>
  <c r="L312" i="40"/>
  <c r="R312" i="40"/>
  <c r="R313" i="40"/>
  <c r="R314" i="40"/>
  <c r="R315" i="40"/>
  <c r="R316" i="40"/>
  <c r="R317" i="40"/>
  <c r="R318" i="40"/>
  <c r="R319" i="40"/>
  <c r="J339" i="40"/>
  <c r="F350" i="40"/>
  <c r="L350" i="40"/>
  <c r="P383" i="40"/>
  <c r="J428" i="40"/>
  <c r="J427" i="40"/>
  <c r="D560" i="40"/>
  <c r="D559" i="40"/>
  <c r="J75" i="40"/>
  <c r="F86" i="40"/>
  <c r="L86" i="40"/>
  <c r="R86" i="40"/>
  <c r="F87" i="40"/>
  <c r="L87" i="40"/>
  <c r="R87" i="40"/>
  <c r="L88" i="40"/>
  <c r="L89" i="40"/>
  <c r="R89" i="40"/>
  <c r="L90" i="40"/>
  <c r="R90" i="40"/>
  <c r="L91" i="40"/>
  <c r="R91" i="40"/>
  <c r="L92" i="40"/>
  <c r="R92" i="40"/>
  <c r="L93" i="40"/>
  <c r="R93" i="40"/>
  <c r="D119" i="40"/>
  <c r="F131" i="40"/>
  <c r="L131" i="40"/>
  <c r="R131" i="40"/>
  <c r="F133" i="40"/>
  <c r="L133" i="40"/>
  <c r="R133" i="40"/>
  <c r="L134" i="40"/>
  <c r="J163" i="40"/>
  <c r="F178" i="40"/>
  <c r="L178" i="40"/>
  <c r="R178" i="40"/>
  <c r="P207" i="40"/>
  <c r="F219" i="40"/>
  <c r="L219" i="40"/>
  <c r="R219" i="40"/>
  <c r="P295" i="40"/>
  <c r="D383" i="40"/>
  <c r="F394" i="40"/>
  <c r="L394" i="40"/>
  <c r="R394" i="40"/>
  <c r="F395" i="40"/>
  <c r="L395" i="40"/>
  <c r="R395" i="40"/>
  <c r="F396" i="40"/>
  <c r="L396" i="40"/>
  <c r="R396" i="40"/>
  <c r="F397" i="40"/>
  <c r="L397" i="40"/>
  <c r="F398" i="40"/>
  <c r="L398" i="40"/>
  <c r="F399" i="40"/>
  <c r="L399" i="40"/>
  <c r="F400" i="40"/>
  <c r="L400" i="40"/>
  <c r="F401" i="40"/>
  <c r="L401" i="40"/>
  <c r="F402" i="40"/>
  <c r="L402" i="40"/>
  <c r="F403" i="40"/>
  <c r="L403" i="40"/>
  <c r="L404" i="40"/>
  <c r="L405" i="40"/>
  <c r="J604" i="40"/>
  <c r="J603" i="40"/>
  <c r="P823" i="40"/>
  <c r="P999" i="40"/>
  <c r="D1219" i="40"/>
  <c r="F1230" i="40"/>
  <c r="L1230" i="40"/>
  <c r="R1230" i="40"/>
  <c r="F1231" i="40"/>
  <c r="L1231" i="40"/>
  <c r="R1231" i="40"/>
  <c r="F1232" i="40"/>
  <c r="L1232" i="40"/>
  <c r="R1232" i="40"/>
  <c r="F1233" i="40"/>
  <c r="L1233" i="40"/>
  <c r="R1233" i="40"/>
  <c r="F1234" i="40"/>
  <c r="L1234" i="40"/>
  <c r="R1234" i="40"/>
  <c r="F1235" i="40"/>
  <c r="L1235" i="40"/>
  <c r="R1235" i="40"/>
  <c r="F1236" i="40"/>
  <c r="L1236" i="40"/>
  <c r="R1236" i="40"/>
  <c r="F1237" i="40"/>
  <c r="L1237" i="40"/>
  <c r="R1237" i="40"/>
  <c r="F1238" i="40"/>
  <c r="L1238" i="40"/>
  <c r="R1238" i="40"/>
  <c r="L1239" i="40"/>
  <c r="R1239" i="40"/>
  <c r="L1240" i="40"/>
  <c r="R1240" i="40"/>
  <c r="L1241" i="40"/>
  <c r="R1241" i="40"/>
  <c r="J1263" i="40"/>
  <c r="F1274" i="40"/>
  <c r="F1276" i="40"/>
  <c r="D1351" i="40"/>
  <c r="F1362" i="40"/>
  <c r="F1378" i="40" s="1"/>
  <c r="G1362" i="40" s="1"/>
  <c r="L1362" i="40"/>
  <c r="L1378" i="40" s="1"/>
  <c r="M1363" i="40" s="1"/>
  <c r="J1395" i="40"/>
  <c r="F1406" i="40"/>
  <c r="F1422" i="40" s="1"/>
  <c r="F1423" i="40" s="1"/>
  <c r="F1424" i="40" s="1"/>
  <c r="G1424" i="40" s="1"/>
  <c r="R1406" i="40"/>
  <c r="R1422" i="40" s="1"/>
  <c r="S1408" i="40" s="1"/>
  <c r="P1440" i="40"/>
  <c r="F1450" i="40"/>
  <c r="F1466" i="40" s="1"/>
  <c r="F1467" i="40" s="1"/>
  <c r="F1468" i="40" s="1"/>
  <c r="E1470" i="40" s="1"/>
  <c r="L11" i="40" s="1"/>
  <c r="W194" i="40" s="1"/>
  <c r="R1450" i="40"/>
  <c r="R1466" i="40" s="1"/>
  <c r="R1467" i="40" s="1"/>
  <c r="R1468" i="40" s="1"/>
  <c r="Q1484" i="40" s="1"/>
  <c r="P1483" i="40"/>
  <c r="L406" i="40"/>
  <c r="F438" i="40"/>
  <c r="L438" i="40"/>
  <c r="R438" i="40"/>
  <c r="F439" i="40"/>
  <c r="L439" i="40"/>
  <c r="R439" i="40"/>
  <c r="F440" i="40"/>
  <c r="L440" i="40"/>
  <c r="R440" i="40"/>
  <c r="R441" i="40"/>
  <c r="R442" i="40"/>
  <c r="R443" i="40"/>
  <c r="R444" i="40"/>
  <c r="R445" i="40"/>
  <c r="P471" i="40"/>
  <c r="F570" i="40"/>
  <c r="L570" i="40"/>
  <c r="R570" i="40"/>
  <c r="F571" i="40"/>
  <c r="L571" i="40"/>
  <c r="R571" i="40"/>
  <c r="F572" i="40"/>
  <c r="L572" i="40"/>
  <c r="R572" i="40"/>
  <c r="L573" i="40"/>
  <c r="R573" i="40"/>
  <c r="L574" i="40"/>
  <c r="R574" i="40"/>
  <c r="L575" i="40"/>
  <c r="R575" i="40"/>
  <c r="L614" i="40"/>
  <c r="F615" i="40"/>
  <c r="R615" i="40"/>
  <c r="F617" i="40"/>
  <c r="F619" i="40"/>
  <c r="P647" i="40"/>
  <c r="J691" i="40"/>
  <c r="F702" i="40"/>
  <c r="L702" i="40"/>
  <c r="R702" i="40"/>
  <c r="F703" i="40"/>
  <c r="L703" i="40"/>
  <c r="R703" i="40"/>
  <c r="F704" i="40"/>
  <c r="L704" i="40"/>
  <c r="R704" i="40"/>
  <c r="F705" i="40"/>
  <c r="R705" i="40"/>
  <c r="F706" i="40"/>
  <c r="R706" i="40"/>
  <c r="F707" i="40"/>
  <c r="P735" i="40"/>
  <c r="D823" i="40"/>
  <c r="F834" i="40"/>
  <c r="L834" i="40"/>
  <c r="R834" i="40"/>
  <c r="F835" i="40"/>
  <c r="L835" i="40"/>
  <c r="R835" i="40"/>
  <c r="F836" i="40"/>
  <c r="L836" i="40"/>
  <c r="R836" i="40"/>
  <c r="F837" i="40"/>
  <c r="R837" i="40"/>
  <c r="J867" i="40"/>
  <c r="F878" i="40"/>
  <c r="R878" i="40"/>
  <c r="L879" i="40"/>
  <c r="F880" i="40"/>
  <c r="P911" i="40"/>
  <c r="D999" i="40"/>
  <c r="F1010" i="40"/>
  <c r="L1010" i="40"/>
  <c r="R1010" i="40"/>
  <c r="F1011" i="40"/>
  <c r="L1011" i="40"/>
  <c r="R1011" i="40"/>
  <c r="F1012" i="40"/>
  <c r="L1012" i="40"/>
  <c r="R1012" i="40"/>
  <c r="L1013" i="40"/>
  <c r="R1013" i="40"/>
  <c r="L1014" i="40"/>
  <c r="R1014" i="40"/>
  <c r="L1015" i="40"/>
  <c r="R1015" i="40"/>
  <c r="L1016" i="40"/>
  <c r="R1016" i="40"/>
  <c r="J1043" i="40"/>
  <c r="F1054" i="40"/>
  <c r="R1054" i="40"/>
  <c r="L1055" i="40"/>
  <c r="F1056" i="40"/>
  <c r="R1056" i="40"/>
  <c r="L1057" i="40"/>
  <c r="F1058" i="40"/>
  <c r="R1058" i="40"/>
  <c r="L1059" i="40"/>
  <c r="F1060" i="40"/>
  <c r="R1060" i="40"/>
  <c r="R1062" i="40"/>
  <c r="R1064" i="40"/>
  <c r="R1066" i="40"/>
  <c r="P1087" i="40"/>
  <c r="F1098" i="40"/>
  <c r="L1098" i="40"/>
  <c r="R1098" i="40"/>
  <c r="F1099" i="40"/>
  <c r="L1099" i="40"/>
  <c r="R1099" i="40"/>
  <c r="F1100" i="40"/>
  <c r="L1100" i="40"/>
  <c r="F1101" i="40"/>
  <c r="L1101" i="40"/>
  <c r="F1102" i="40"/>
  <c r="L1102" i="40"/>
  <c r="F1103" i="40"/>
  <c r="L1103" i="40"/>
  <c r="F1104" i="40"/>
  <c r="L1104" i="40"/>
  <c r="F1105" i="40"/>
  <c r="L1105" i="40"/>
  <c r="F1106" i="40"/>
  <c r="L1106" i="40"/>
  <c r="F1107" i="40"/>
  <c r="F1108" i="40"/>
  <c r="F1110" i="40"/>
  <c r="F1111" i="40"/>
  <c r="F1112" i="40"/>
  <c r="J1131" i="40"/>
  <c r="F1142" i="40"/>
  <c r="L1142" i="40"/>
  <c r="R1142" i="40"/>
  <c r="F1143" i="40"/>
  <c r="L1143" i="40"/>
  <c r="R1143" i="40"/>
  <c r="F1144" i="40"/>
  <c r="L1144" i="40"/>
  <c r="P1219" i="40"/>
  <c r="P1351" i="40"/>
  <c r="D1483" i="40"/>
  <c r="R48" i="40"/>
  <c r="R53" i="40"/>
  <c r="R49" i="40"/>
  <c r="R43" i="40"/>
  <c r="AM9" i="40"/>
  <c r="AO9" i="40" s="1"/>
  <c r="D76" i="40"/>
  <c r="P76" i="40"/>
  <c r="F130" i="40"/>
  <c r="R130" i="40"/>
  <c r="F132" i="40"/>
  <c r="R132" i="40"/>
  <c r="F134" i="40"/>
  <c r="R134" i="40"/>
  <c r="L175" i="40"/>
  <c r="L177" i="40"/>
  <c r="Z197" i="40"/>
  <c r="Z201" i="40"/>
  <c r="J208" i="40"/>
  <c r="L218" i="40"/>
  <c r="F220" i="40"/>
  <c r="R220" i="40"/>
  <c r="F222" i="40"/>
  <c r="R222" i="40"/>
  <c r="R224" i="40"/>
  <c r="L226" i="40"/>
  <c r="Z226" i="40"/>
  <c r="Z228" i="40"/>
  <c r="Z230" i="40"/>
  <c r="Z232" i="40"/>
  <c r="Z234" i="40"/>
  <c r="Z235" i="40"/>
  <c r="Z246" i="40"/>
  <c r="Z248" i="40"/>
  <c r="D252" i="40"/>
  <c r="P252" i="40"/>
  <c r="F262" i="40"/>
  <c r="R262" i="40"/>
  <c r="L263" i="40"/>
  <c r="F264" i="40"/>
  <c r="R264" i="40"/>
  <c r="L265" i="40"/>
  <c r="F266" i="40"/>
  <c r="R266" i="40"/>
  <c r="J119" i="40"/>
  <c r="D163" i="40"/>
  <c r="P163" i="40"/>
  <c r="J295" i="40"/>
  <c r="D339" i="40"/>
  <c r="P339" i="40"/>
  <c r="J383" i="40"/>
  <c r="D427" i="40"/>
  <c r="P427" i="40"/>
  <c r="L526" i="40"/>
  <c r="F527" i="40"/>
  <c r="R527" i="40"/>
  <c r="L528" i="40"/>
  <c r="F529" i="40"/>
  <c r="R529" i="40"/>
  <c r="L530" i="40"/>
  <c r="F531" i="40"/>
  <c r="R531" i="40"/>
  <c r="L532" i="40"/>
  <c r="R534" i="40"/>
  <c r="J560" i="40"/>
  <c r="D604" i="40"/>
  <c r="P604" i="40"/>
  <c r="F614" i="40"/>
  <c r="R614" i="40"/>
  <c r="L615" i="40"/>
  <c r="F616" i="40"/>
  <c r="F618" i="40"/>
  <c r="F620" i="40"/>
  <c r="J648" i="40"/>
  <c r="J647" i="40"/>
  <c r="J472" i="40"/>
  <c r="D516" i="40"/>
  <c r="P516" i="40"/>
  <c r="G688" i="40"/>
  <c r="D691" i="40"/>
  <c r="P691" i="40"/>
  <c r="J735" i="40"/>
  <c r="L790" i="40"/>
  <c r="F791" i="40"/>
  <c r="R791" i="40"/>
  <c r="L792" i="40"/>
  <c r="F793" i="40"/>
  <c r="R793" i="40"/>
  <c r="L794" i="40"/>
  <c r="L796" i="40"/>
  <c r="L878" i="40"/>
  <c r="F879" i="40"/>
  <c r="R879" i="40"/>
  <c r="L880" i="40"/>
  <c r="L966" i="40"/>
  <c r="F967" i="40"/>
  <c r="R967" i="40"/>
  <c r="L968" i="40"/>
  <c r="F969" i="40"/>
  <c r="R969" i="40"/>
  <c r="L970" i="40"/>
  <c r="F971" i="40"/>
  <c r="R971" i="40"/>
  <c r="L972" i="40"/>
  <c r="L1054" i="40"/>
  <c r="F1055" i="40"/>
  <c r="R1055" i="40"/>
  <c r="L1056" i="40"/>
  <c r="F1057" i="40"/>
  <c r="R1057" i="40"/>
  <c r="L1058" i="40"/>
  <c r="F1059" i="40"/>
  <c r="R1059" i="40"/>
  <c r="L1060" i="40"/>
  <c r="R1061" i="40"/>
  <c r="R1063" i="40"/>
  <c r="R1065" i="40"/>
  <c r="J1088" i="40"/>
  <c r="D780" i="40"/>
  <c r="P780" i="40"/>
  <c r="J824" i="40"/>
  <c r="D868" i="40"/>
  <c r="P868" i="40"/>
  <c r="J912" i="40"/>
  <c r="D956" i="40"/>
  <c r="P956" i="40"/>
  <c r="J1000" i="40"/>
  <c r="D1044" i="40"/>
  <c r="P1044" i="40"/>
  <c r="D1131" i="40"/>
  <c r="P1131" i="40"/>
  <c r="D1176" i="40"/>
  <c r="P1176" i="40"/>
  <c r="J1220" i="40"/>
  <c r="D1264" i="40"/>
  <c r="P1264" i="40"/>
  <c r="L1290" i="40"/>
  <c r="M1287" i="40" s="1"/>
  <c r="D1395" i="40"/>
  <c r="P1395" i="40"/>
  <c r="R1275" i="40"/>
  <c r="R1277" i="40"/>
  <c r="R1279" i="40"/>
  <c r="R1281" i="40"/>
  <c r="R1283" i="40"/>
  <c r="D1308" i="40"/>
  <c r="P1308" i="40"/>
  <c r="F1318" i="40"/>
  <c r="R1318" i="40"/>
  <c r="L1319" i="40"/>
  <c r="F1320" i="40"/>
  <c r="J1351" i="40"/>
  <c r="J1352" i="40"/>
  <c r="D1396" i="40"/>
  <c r="P1396" i="40"/>
  <c r="L1406" i="40"/>
  <c r="J1484" i="40"/>
  <c r="J1439" i="40"/>
  <c r="L1450" i="40"/>
  <c r="L1211" i="40" l="1"/>
  <c r="G1408" i="40"/>
  <c r="L335" i="40"/>
  <c r="L1083" i="40"/>
  <c r="F1347" i="40"/>
  <c r="F159" i="40"/>
  <c r="L511" i="40"/>
  <c r="R1081" i="40"/>
  <c r="L819" i="40"/>
  <c r="F995" i="40"/>
  <c r="L684" i="40"/>
  <c r="F555" i="40"/>
  <c r="R1259" i="40"/>
  <c r="F115" i="40"/>
  <c r="R379" i="40"/>
  <c r="R951" i="40"/>
  <c r="R952" i="40" s="1"/>
  <c r="S952" i="40" s="1"/>
  <c r="L1479" i="40"/>
  <c r="R728" i="40"/>
  <c r="L201" i="40"/>
  <c r="F643" i="40"/>
  <c r="F775" i="40"/>
  <c r="R1303" i="40"/>
  <c r="F1168" i="40"/>
  <c r="F203" i="40"/>
  <c r="L599" i="40"/>
  <c r="L1127" i="40"/>
  <c r="R333" i="40"/>
  <c r="F156" i="40"/>
  <c r="L247" i="40"/>
  <c r="R291" i="40"/>
  <c r="L731" i="40"/>
  <c r="R863" i="40"/>
  <c r="F1171" i="40"/>
  <c r="L1435" i="40"/>
  <c r="F817" i="40"/>
  <c r="L200" i="40"/>
  <c r="L1344" i="40"/>
  <c r="L203" i="40"/>
  <c r="L643" i="40"/>
  <c r="R599" i="40"/>
  <c r="L775" i="40"/>
  <c r="R1127" i="40"/>
  <c r="F1391" i="40"/>
  <c r="R553" i="40"/>
  <c r="F1477" i="40"/>
  <c r="L1432" i="40"/>
  <c r="L115" i="40"/>
  <c r="R335" i="40"/>
  <c r="F467" i="40"/>
  <c r="R819" i="40"/>
  <c r="F1039" i="40"/>
  <c r="L1347" i="40"/>
  <c r="R1479" i="40"/>
  <c r="L640" i="40"/>
  <c r="R772" i="40"/>
  <c r="R71" i="40"/>
  <c r="F247" i="40"/>
  <c r="R423" i="40"/>
  <c r="L291" i="40"/>
  <c r="F511" i="40"/>
  <c r="F731" i="40"/>
  <c r="R907" i="40"/>
  <c r="L863" i="40"/>
  <c r="F1083" i="40"/>
  <c r="R1215" i="40"/>
  <c r="L1259" i="40"/>
  <c r="F1435" i="40"/>
  <c r="L69" i="40"/>
  <c r="R377" i="40"/>
  <c r="F376" i="40"/>
  <c r="F1036" i="40"/>
  <c r="R1476" i="40"/>
  <c r="R201" i="40"/>
  <c r="L465" i="40"/>
  <c r="F113" i="40"/>
  <c r="R641" i="40"/>
  <c r="L1169" i="40"/>
  <c r="L159" i="40"/>
  <c r="R247" i="40"/>
  <c r="L555" i="40"/>
  <c r="F379" i="40"/>
  <c r="R511" i="40"/>
  <c r="R731" i="40"/>
  <c r="L995" i="40"/>
  <c r="F951" i="40"/>
  <c r="R1083" i="40"/>
  <c r="L1171" i="40"/>
  <c r="F1303" i="40"/>
  <c r="R1435" i="40"/>
  <c r="L113" i="40"/>
  <c r="F553" i="40"/>
  <c r="F861" i="40"/>
  <c r="R1345" i="40"/>
  <c r="R332" i="40"/>
  <c r="L1080" i="40"/>
  <c r="L67" i="40"/>
  <c r="F421" i="40"/>
  <c r="L905" i="40"/>
  <c r="F71" i="40"/>
  <c r="R203" i="40"/>
  <c r="F423" i="40"/>
  <c r="R643" i="40"/>
  <c r="L467" i="40"/>
  <c r="L687" i="40"/>
  <c r="F907" i="40"/>
  <c r="R775" i="40"/>
  <c r="L1039" i="40"/>
  <c r="F1215" i="40"/>
  <c r="R1347" i="40"/>
  <c r="L1391" i="40"/>
  <c r="F157" i="40"/>
  <c r="L245" i="40"/>
  <c r="F289" i="40"/>
  <c r="R465" i="40"/>
  <c r="L68" i="40"/>
  <c r="L464" i="40"/>
  <c r="F904" i="40"/>
  <c r="R1256" i="40"/>
  <c r="G1409" i="40"/>
  <c r="L71" i="40"/>
  <c r="R159" i="40"/>
  <c r="R115" i="40"/>
  <c r="F335" i="40"/>
  <c r="L423" i="40"/>
  <c r="R555" i="40"/>
  <c r="F291" i="40"/>
  <c r="L379" i="40"/>
  <c r="R467" i="40"/>
  <c r="F599" i="40"/>
  <c r="R687" i="40"/>
  <c r="F819" i="40"/>
  <c r="L907" i="40"/>
  <c r="R995" i="40"/>
  <c r="F863" i="40"/>
  <c r="L951" i="40"/>
  <c r="L952" i="40" s="1"/>
  <c r="R1039" i="40"/>
  <c r="F1127" i="40"/>
  <c r="L1215" i="40"/>
  <c r="R1171" i="40"/>
  <c r="F1259" i="40"/>
  <c r="L1303" i="40"/>
  <c r="R1391" i="40"/>
  <c r="R157" i="40"/>
  <c r="R113" i="40"/>
  <c r="F333" i="40"/>
  <c r="L553" i="40"/>
  <c r="F377" i="40"/>
  <c r="R685" i="40"/>
  <c r="L1037" i="40"/>
  <c r="F1301" i="40"/>
  <c r="R244" i="40"/>
  <c r="F552" i="40"/>
  <c r="R508" i="40"/>
  <c r="L992" i="40"/>
  <c r="R1124" i="40"/>
  <c r="F1388" i="40"/>
  <c r="F903" i="40"/>
  <c r="F1078" i="40"/>
  <c r="R69" i="40"/>
  <c r="F201" i="40"/>
  <c r="R245" i="40"/>
  <c r="L421" i="40"/>
  <c r="L641" i="40"/>
  <c r="L377" i="40"/>
  <c r="F597" i="40"/>
  <c r="R993" i="40"/>
  <c r="F1213" i="40"/>
  <c r="L1389" i="40"/>
  <c r="F287" i="40"/>
  <c r="G1450" i="40"/>
  <c r="E1482" i="40"/>
  <c r="F1482" i="40" s="1"/>
  <c r="F1485" i="40" s="1"/>
  <c r="E1483" i="40"/>
  <c r="G1466" i="40"/>
  <c r="G1468" i="40"/>
  <c r="E1484" i="40"/>
  <c r="E1440" i="40"/>
  <c r="R586" i="40"/>
  <c r="S578" i="40" s="1"/>
  <c r="S1468" i="40"/>
  <c r="E1426" i="40"/>
  <c r="L8" i="40" s="1"/>
  <c r="W191" i="40" s="1"/>
  <c r="X191" i="40" s="1"/>
  <c r="G1411" i="40"/>
  <c r="G1421" i="40"/>
  <c r="S1450" i="40"/>
  <c r="Q1482" i="40"/>
  <c r="R1482" i="40" s="1"/>
  <c r="R1485" i="40" s="1"/>
  <c r="G1417" i="40"/>
  <c r="G1413" i="40"/>
  <c r="L1334" i="40"/>
  <c r="M1320" i="40" s="1"/>
  <c r="G1416" i="40"/>
  <c r="E1439" i="40"/>
  <c r="L322" i="40"/>
  <c r="M308" i="40" s="1"/>
  <c r="S1466" i="40"/>
  <c r="Q1470" i="40"/>
  <c r="L13" i="40" s="1"/>
  <c r="W196" i="40" s="1"/>
  <c r="D136" i="39" s="1"/>
  <c r="Q1483" i="40"/>
  <c r="G1420" i="40"/>
  <c r="G1422" i="40"/>
  <c r="G1407" i="40"/>
  <c r="E1438" i="40"/>
  <c r="F1438" i="40" s="1"/>
  <c r="F1441" i="40" s="1"/>
  <c r="G1415" i="40"/>
  <c r="G1419" i="40"/>
  <c r="G1406" i="40"/>
  <c r="S1422" i="40"/>
  <c r="F862" i="40"/>
  <c r="R509" i="40"/>
  <c r="L685" i="40"/>
  <c r="R729" i="40"/>
  <c r="F905" i="40"/>
  <c r="L993" i="40"/>
  <c r="R773" i="40"/>
  <c r="F1037" i="40"/>
  <c r="L1081" i="40"/>
  <c r="R1125" i="40"/>
  <c r="F1169" i="40"/>
  <c r="L1345" i="40"/>
  <c r="R1257" i="40"/>
  <c r="F1389" i="40"/>
  <c r="R1433" i="40"/>
  <c r="F551" i="40"/>
  <c r="F727" i="40"/>
  <c r="L1079" i="40"/>
  <c r="F509" i="40"/>
  <c r="L597" i="40"/>
  <c r="F729" i="40"/>
  <c r="L817" i="40"/>
  <c r="R905" i="40"/>
  <c r="F773" i="40"/>
  <c r="L861" i="40"/>
  <c r="R1037" i="40"/>
  <c r="F1125" i="40"/>
  <c r="L1213" i="40"/>
  <c r="R1169" i="40"/>
  <c r="F1257" i="40"/>
  <c r="L1301" i="40"/>
  <c r="R1389" i="40"/>
  <c r="R1477" i="40"/>
  <c r="F199" i="40"/>
  <c r="L463" i="40"/>
  <c r="R991" i="40"/>
  <c r="F1255" i="40"/>
  <c r="L157" i="40"/>
  <c r="F245" i="40"/>
  <c r="L333" i="40"/>
  <c r="R421" i="40"/>
  <c r="F641" i="40"/>
  <c r="R289" i="40"/>
  <c r="F465" i="40"/>
  <c r="L509" i="40"/>
  <c r="R597" i="40"/>
  <c r="L729" i="40"/>
  <c r="R817" i="40"/>
  <c r="F993" i="40"/>
  <c r="L773" i="40"/>
  <c r="R861" i="40"/>
  <c r="F1081" i="40"/>
  <c r="L1125" i="40"/>
  <c r="R1213" i="40"/>
  <c r="F1345" i="40"/>
  <c r="L1257" i="40"/>
  <c r="R1301" i="40"/>
  <c r="L1433" i="40"/>
  <c r="L331" i="40"/>
  <c r="F595" i="40"/>
  <c r="L859" i="40"/>
  <c r="R1387" i="40"/>
  <c r="L850" i="40"/>
  <c r="M837" i="40" s="1"/>
  <c r="F674" i="40"/>
  <c r="G658" i="40" s="1"/>
  <c r="R366" i="40"/>
  <c r="S352" i="40" s="1"/>
  <c r="F158" i="40"/>
  <c r="L1170" i="40"/>
  <c r="S1411" i="40"/>
  <c r="R642" i="40"/>
  <c r="L1478" i="40"/>
  <c r="L66" i="40"/>
  <c r="S1417" i="40"/>
  <c r="R686" i="40"/>
  <c r="F462" i="40"/>
  <c r="F58" i="40"/>
  <c r="G44" i="40" s="1"/>
  <c r="R68" i="40"/>
  <c r="F112" i="40"/>
  <c r="L156" i="40"/>
  <c r="R200" i="40"/>
  <c r="F420" i="40"/>
  <c r="L552" i="40"/>
  <c r="R640" i="40"/>
  <c r="L376" i="40"/>
  <c r="R464" i="40"/>
  <c r="F596" i="40"/>
  <c r="R684" i="40"/>
  <c r="F816" i="40"/>
  <c r="L904" i="40"/>
  <c r="R992" i="40"/>
  <c r="F860" i="40"/>
  <c r="L1036" i="40"/>
  <c r="R1080" i="40"/>
  <c r="F1212" i="40"/>
  <c r="L1168" i="40"/>
  <c r="R1344" i="40"/>
  <c r="F1300" i="40"/>
  <c r="L1388" i="40"/>
  <c r="R1432" i="40"/>
  <c r="G1452" i="40"/>
  <c r="F1290" i="40"/>
  <c r="G1278" i="40" s="1"/>
  <c r="F102" i="40"/>
  <c r="G87" i="40" s="1"/>
  <c r="F244" i="40"/>
  <c r="L112" i="40"/>
  <c r="R156" i="40"/>
  <c r="F332" i="40"/>
  <c r="L420" i="40"/>
  <c r="R552" i="40"/>
  <c r="F288" i="40"/>
  <c r="R376" i="40"/>
  <c r="F508" i="40"/>
  <c r="L596" i="40"/>
  <c r="F728" i="40"/>
  <c r="L816" i="40"/>
  <c r="R904" i="40"/>
  <c r="F772" i="40"/>
  <c r="L860" i="40"/>
  <c r="R1036" i="40"/>
  <c r="F1124" i="40"/>
  <c r="L1212" i="40"/>
  <c r="R1168" i="40"/>
  <c r="F1256" i="40"/>
  <c r="L1300" i="40"/>
  <c r="R1388" i="40"/>
  <c r="F1476" i="40"/>
  <c r="G1451" i="40"/>
  <c r="F68" i="40"/>
  <c r="L244" i="40"/>
  <c r="R112" i="40"/>
  <c r="F200" i="40"/>
  <c r="L332" i="40"/>
  <c r="R420" i="40"/>
  <c r="F640" i="40"/>
  <c r="R288" i="40"/>
  <c r="F464" i="40"/>
  <c r="L508" i="40"/>
  <c r="R596" i="40"/>
  <c r="L728" i="40"/>
  <c r="R816" i="40"/>
  <c r="F992" i="40"/>
  <c r="L772" i="40"/>
  <c r="R860" i="40"/>
  <c r="F1080" i="40"/>
  <c r="L1124" i="40"/>
  <c r="R1212" i="40"/>
  <c r="F1344" i="40"/>
  <c r="L1256" i="40"/>
  <c r="R1300" i="40"/>
  <c r="F1432" i="40"/>
  <c r="R1158" i="40"/>
  <c r="S1156" i="40" s="1"/>
  <c r="L1114" i="40"/>
  <c r="M1102" i="40" s="1"/>
  <c r="R1026" i="40"/>
  <c r="S1014" i="40" s="1"/>
  <c r="F718" i="40"/>
  <c r="G704" i="40" s="1"/>
  <c r="L454" i="40"/>
  <c r="M443" i="40" s="1"/>
  <c r="F1246" i="40"/>
  <c r="G1238" i="40" s="1"/>
  <c r="R410" i="40"/>
  <c r="S395" i="40" s="1"/>
  <c r="F410" i="40"/>
  <c r="G405" i="40" s="1"/>
  <c r="L102" i="40"/>
  <c r="M87" i="40" s="1"/>
  <c r="R938" i="40"/>
  <c r="S922" i="40" s="1"/>
  <c r="L762" i="40"/>
  <c r="M760" i="40" s="1"/>
  <c r="R674" i="40"/>
  <c r="S658" i="40" s="1"/>
  <c r="R246" i="40"/>
  <c r="F554" i="40"/>
  <c r="F598" i="40"/>
  <c r="R994" i="40"/>
  <c r="F1214" i="40"/>
  <c r="R1390" i="40"/>
  <c r="L638" i="40"/>
  <c r="L770" i="40"/>
  <c r="L202" i="40"/>
  <c r="L378" i="40"/>
  <c r="F818" i="40"/>
  <c r="L1038" i="40"/>
  <c r="R1346" i="40"/>
  <c r="F154" i="40"/>
  <c r="R594" i="40"/>
  <c r="R1210" i="40"/>
  <c r="L70" i="40"/>
  <c r="R334" i="40"/>
  <c r="R466" i="40"/>
  <c r="L906" i="40"/>
  <c r="R1082" i="40"/>
  <c r="F1302" i="40"/>
  <c r="R330" i="40"/>
  <c r="R814" i="40"/>
  <c r="L1254" i="40"/>
  <c r="S1461" i="40"/>
  <c r="S1453" i="40"/>
  <c r="F111" i="40"/>
  <c r="L155" i="40"/>
  <c r="L243" i="40"/>
  <c r="F419" i="40"/>
  <c r="L639" i="40"/>
  <c r="L375" i="40"/>
  <c r="F507" i="40"/>
  <c r="L683" i="40"/>
  <c r="F815" i="40"/>
  <c r="R903" i="40"/>
  <c r="R771" i="40"/>
  <c r="L1035" i="40"/>
  <c r="F1123" i="40"/>
  <c r="R1167" i="40"/>
  <c r="L1299" i="40"/>
  <c r="F1475" i="40"/>
  <c r="S1465" i="40"/>
  <c r="S1457" i="40"/>
  <c r="R111" i="40"/>
  <c r="R155" i="40"/>
  <c r="R243" i="40"/>
  <c r="R419" i="40"/>
  <c r="R639" i="40"/>
  <c r="R375" i="40"/>
  <c r="R507" i="40"/>
  <c r="R683" i="40"/>
  <c r="L815" i="40"/>
  <c r="L991" i="40"/>
  <c r="F859" i="40"/>
  <c r="R1035" i="40"/>
  <c r="F1211" i="40"/>
  <c r="R1343" i="40"/>
  <c r="L1387" i="40"/>
  <c r="S1464" i="40"/>
  <c r="S1456" i="40"/>
  <c r="G1412" i="40"/>
  <c r="F1158" i="40"/>
  <c r="G1144" i="40" s="1"/>
  <c r="R1114" i="40"/>
  <c r="S1103" i="40" s="1"/>
  <c r="L718" i="40"/>
  <c r="M702" i="40" s="1"/>
  <c r="F1433" i="40"/>
  <c r="R67" i="40"/>
  <c r="R199" i="40"/>
  <c r="R331" i="40"/>
  <c r="L551" i="40"/>
  <c r="F375" i="40"/>
  <c r="R463" i="40"/>
  <c r="L595" i="40"/>
  <c r="R727" i="40"/>
  <c r="L903" i="40"/>
  <c r="F771" i="40"/>
  <c r="F1035" i="40"/>
  <c r="R1079" i="40"/>
  <c r="L1167" i="40"/>
  <c r="F1299" i="40"/>
  <c r="R1431" i="40"/>
  <c r="S1460" i="40"/>
  <c r="F948" i="40"/>
  <c r="L1158" i="40"/>
  <c r="M1147" i="40" s="1"/>
  <c r="L1026" i="40"/>
  <c r="M1010" i="40" s="1"/>
  <c r="F1026" i="40"/>
  <c r="G1013" i="40" s="1"/>
  <c r="F850" i="40"/>
  <c r="G836" i="40" s="1"/>
  <c r="R850" i="40"/>
  <c r="S846" i="40" s="1"/>
  <c r="R718" i="40"/>
  <c r="S708" i="40" s="1"/>
  <c r="L586" i="40"/>
  <c r="M573" i="40" s="1"/>
  <c r="F586" i="40"/>
  <c r="G572" i="40" s="1"/>
  <c r="F454" i="40"/>
  <c r="G452" i="40" s="1"/>
  <c r="R454" i="40"/>
  <c r="S450" i="40" s="1"/>
  <c r="R1246" i="40"/>
  <c r="S1244" i="40" s="1"/>
  <c r="L1246" i="40"/>
  <c r="M1235" i="40" s="1"/>
  <c r="L410" i="40"/>
  <c r="M396" i="40" s="1"/>
  <c r="F190" i="40"/>
  <c r="G181" i="40" s="1"/>
  <c r="R102" i="40"/>
  <c r="S87" i="40" s="1"/>
  <c r="R322" i="40"/>
  <c r="S313" i="40" s="1"/>
  <c r="L58" i="40"/>
  <c r="M44" i="40" s="1"/>
  <c r="R1202" i="40"/>
  <c r="S1199" i="40" s="1"/>
  <c r="L938" i="40"/>
  <c r="M923" i="40" s="1"/>
  <c r="F938" i="40"/>
  <c r="G922" i="40" s="1"/>
  <c r="F762" i="40"/>
  <c r="G746" i="40" s="1"/>
  <c r="R762" i="40"/>
  <c r="S746" i="40" s="1"/>
  <c r="L674" i="40"/>
  <c r="M664" i="40" s="1"/>
  <c r="F366" i="40"/>
  <c r="G354" i="40" s="1"/>
  <c r="L366" i="40"/>
  <c r="M355" i="40" s="1"/>
  <c r="R498" i="40"/>
  <c r="S482" i="40" s="1"/>
  <c r="L498" i="40"/>
  <c r="M483" i="40" s="1"/>
  <c r="F498" i="40"/>
  <c r="G482" i="40" s="1"/>
  <c r="R190" i="40"/>
  <c r="S182" i="40" s="1"/>
  <c r="L146" i="40"/>
  <c r="M135" i="40" s="1"/>
  <c r="L1202" i="40"/>
  <c r="M1190" i="40" s="1"/>
  <c r="F1202" i="40"/>
  <c r="G1191" i="40" s="1"/>
  <c r="R1423" i="40"/>
  <c r="R1424" i="40" s="1"/>
  <c r="Q1440" i="40" s="1"/>
  <c r="S1409" i="40"/>
  <c r="R70" i="40"/>
  <c r="F114" i="40"/>
  <c r="L158" i="40"/>
  <c r="R202" i="40"/>
  <c r="F422" i="40"/>
  <c r="L554" i="40"/>
  <c r="F290" i="40"/>
  <c r="R378" i="40"/>
  <c r="F510" i="40"/>
  <c r="L598" i="40"/>
  <c r="F730" i="40"/>
  <c r="L818" i="40"/>
  <c r="R906" i="40"/>
  <c r="F774" i="40"/>
  <c r="L862" i="40"/>
  <c r="R1038" i="40"/>
  <c r="F1126" i="40"/>
  <c r="L1214" i="40"/>
  <c r="R1170" i="40"/>
  <c r="F1258" i="40"/>
  <c r="L1302" i="40"/>
  <c r="F1434" i="40"/>
  <c r="F242" i="40"/>
  <c r="R154" i="40"/>
  <c r="L418" i="40"/>
  <c r="F286" i="40"/>
  <c r="R462" i="40"/>
  <c r="R682" i="40"/>
  <c r="L902" i="40"/>
  <c r="F858" i="40"/>
  <c r="R1078" i="40"/>
  <c r="L1166" i="40"/>
  <c r="R1298" i="40"/>
  <c r="S1415" i="40"/>
  <c r="S1418" i="40"/>
  <c r="S1414" i="40"/>
  <c r="S1407" i="40"/>
  <c r="L630" i="40"/>
  <c r="M628" i="40" s="1"/>
  <c r="F246" i="40"/>
  <c r="L114" i="40"/>
  <c r="R158" i="40"/>
  <c r="F334" i="40"/>
  <c r="L422" i="40"/>
  <c r="F642" i="40"/>
  <c r="R290" i="40"/>
  <c r="F466" i="40"/>
  <c r="L510" i="40"/>
  <c r="R598" i="40"/>
  <c r="L730" i="40"/>
  <c r="R818" i="40"/>
  <c r="F994" i="40"/>
  <c r="L774" i="40"/>
  <c r="R862" i="40"/>
  <c r="F1082" i="40"/>
  <c r="L1126" i="40"/>
  <c r="R1214" i="40"/>
  <c r="F1346" i="40"/>
  <c r="L1258" i="40"/>
  <c r="R1302" i="40"/>
  <c r="R1434" i="40"/>
  <c r="L111" i="40"/>
  <c r="F155" i="40"/>
  <c r="L199" i="40"/>
  <c r="F331" i="40"/>
  <c r="L419" i="40"/>
  <c r="F639" i="40"/>
  <c r="R287" i="40"/>
  <c r="F463" i="40"/>
  <c r="L507" i="40"/>
  <c r="R595" i="40"/>
  <c r="L727" i="40"/>
  <c r="R815" i="40"/>
  <c r="F991" i="40"/>
  <c r="L771" i="40"/>
  <c r="R859" i="40"/>
  <c r="F1079" i="40"/>
  <c r="L1123" i="40"/>
  <c r="R1211" i="40"/>
  <c r="F1343" i="40"/>
  <c r="L1255" i="40"/>
  <c r="R1299" i="40"/>
  <c r="F1431" i="40"/>
  <c r="L1475" i="40"/>
  <c r="R242" i="40"/>
  <c r="L198" i="40"/>
  <c r="F550" i="40"/>
  <c r="R286" i="40"/>
  <c r="L506" i="40"/>
  <c r="L726" i="40"/>
  <c r="F990" i="40"/>
  <c r="R858" i="40"/>
  <c r="L1122" i="40"/>
  <c r="F1342" i="40"/>
  <c r="F1430" i="40"/>
  <c r="S1463" i="40"/>
  <c r="S1459" i="40"/>
  <c r="S1455" i="40"/>
  <c r="S1451" i="40"/>
  <c r="S1419" i="40"/>
  <c r="S1406" i="40"/>
  <c r="S1421" i="40"/>
  <c r="S1413" i="40"/>
  <c r="R894" i="40"/>
  <c r="S880" i="40" s="1"/>
  <c r="L246" i="40"/>
  <c r="R114" i="40"/>
  <c r="F202" i="40"/>
  <c r="L334" i="40"/>
  <c r="R422" i="40"/>
  <c r="L642" i="40"/>
  <c r="F378" i="40"/>
  <c r="L466" i="40"/>
  <c r="R510" i="40"/>
  <c r="L686" i="40"/>
  <c r="R730" i="40"/>
  <c r="F906" i="40"/>
  <c r="L994" i="40"/>
  <c r="R774" i="40"/>
  <c r="F1038" i="40"/>
  <c r="L1082" i="40"/>
  <c r="R1126" i="40"/>
  <c r="F1170" i="40"/>
  <c r="L1346" i="40"/>
  <c r="R1258" i="40"/>
  <c r="L1390" i="40"/>
  <c r="F1478" i="40"/>
  <c r="R1123" i="40"/>
  <c r="F1167" i="40"/>
  <c r="L1343" i="40"/>
  <c r="R1255" i="40"/>
  <c r="F1387" i="40"/>
  <c r="L1431" i="40"/>
  <c r="L110" i="40"/>
  <c r="F330" i="40"/>
  <c r="R550" i="40"/>
  <c r="L374" i="40"/>
  <c r="F594" i="40"/>
  <c r="F814" i="40"/>
  <c r="R990" i="40"/>
  <c r="L1034" i="40"/>
  <c r="F1210" i="40"/>
  <c r="R1342" i="40"/>
  <c r="L1474" i="40"/>
  <c r="S1462" i="40"/>
  <c r="S1458" i="40"/>
  <c r="S1454" i="40"/>
  <c r="F1390" i="40"/>
  <c r="L1434" i="40"/>
  <c r="F66" i="40"/>
  <c r="L242" i="40"/>
  <c r="R110" i="40"/>
  <c r="F198" i="40"/>
  <c r="L330" i="40"/>
  <c r="R418" i="40"/>
  <c r="F638" i="40"/>
  <c r="L286" i="40"/>
  <c r="R374" i="40"/>
  <c r="F506" i="40"/>
  <c r="L594" i="40"/>
  <c r="F726" i="40"/>
  <c r="L814" i="40"/>
  <c r="R902" i="40"/>
  <c r="F770" i="40"/>
  <c r="L858" i="40"/>
  <c r="R1034" i="40"/>
  <c r="F1122" i="40"/>
  <c r="L1210" i="40"/>
  <c r="R1166" i="40"/>
  <c r="F1254" i="40"/>
  <c r="L1298" i="40"/>
  <c r="R1386" i="40"/>
  <c r="F1474" i="40"/>
  <c r="G1465" i="40"/>
  <c r="G1463" i="40"/>
  <c r="G1461" i="40"/>
  <c r="G1459" i="40"/>
  <c r="G1457" i="40"/>
  <c r="G1455" i="40"/>
  <c r="G1453" i="40"/>
  <c r="G1418" i="40"/>
  <c r="R66" i="40"/>
  <c r="F110" i="40"/>
  <c r="L154" i="40"/>
  <c r="R198" i="40"/>
  <c r="F418" i="40"/>
  <c r="L550" i="40"/>
  <c r="R638" i="40"/>
  <c r="F374" i="40"/>
  <c r="L462" i="40"/>
  <c r="R506" i="40"/>
  <c r="L682" i="40"/>
  <c r="R726" i="40"/>
  <c r="F902" i="40"/>
  <c r="L990" i="40"/>
  <c r="R770" i="40"/>
  <c r="F1034" i="40"/>
  <c r="L1078" i="40"/>
  <c r="R1122" i="40"/>
  <c r="F1166" i="40"/>
  <c r="L1342" i="40"/>
  <c r="R1254" i="40"/>
  <c r="F1386" i="40"/>
  <c r="L1430" i="40"/>
  <c r="R1474" i="40"/>
  <c r="G1464" i="40"/>
  <c r="G1462" i="40"/>
  <c r="G1460" i="40"/>
  <c r="G1458" i="40"/>
  <c r="G1456" i="40"/>
  <c r="G1454" i="40"/>
  <c r="F1298" i="40"/>
  <c r="L1386" i="40"/>
  <c r="G1371" i="40"/>
  <c r="G1363" i="40"/>
  <c r="S1452" i="40"/>
  <c r="G1374" i="40"/>
  <c r="G1414" i="40"/>
  <c r="G1410" i="40"/>
  <c r="S1372" i="40"/>
  <c r="F1114" i="40"/>
  <c r="G1102" i="40" s="1"/>
  <c r="S1377" i="40"/>
  <c r="S1369" i="40"/>
  <c r="G1375" i="40"/>
  <c r="G1367" i="40"/>
  <c r="G1376" i="40"/>
  <c r="G1372" i="40"/>
  <c r="S1376" i="40"/>
  <c r="S1373" i="40"/>
  <c r="S1365" i="40"/>
  <c r="S1374" i="40"/>
  <c r="G1364" i="40"/>
  <c r="G1368" i="40"/>
  <c r="S1420" i="40"/>
  <c r="S1416" i="40"/>
  <c r="S1412" i="40"/>
  <c r="S1410" i="40"/>
  <c r="G1370" i="40"/>
  <c r="G1366" i="40"/>
  <c r="S1370" i="40"/>
  <c r="S1368" i="40"/>
  <c r="S1366" i="40"/>
  <c r="S1364" i="40"/>
  <c r="S1371" i="40"/>
  <c r="R58" i="40"/>
  <c r="S50" i="40" s="1"/>
  <c r="G1377" i="40"/>
  <c r="M1366" i="40"/>
  <c r="F982" i="40"/>
  <c r="G968" i="40" s="1"/>
  <c r="F806" i="40"/>
  <c r="G806" i="40" s="1"/>
  <c r="R806" i="40"/>
  <c r="S792" i="40" s="1"/>
  <c r="F234" i="40"/>
  <c r="G226" i="40" s="1"/>
  <c r="S1375" i="40"/>
  <c r="S1367" i="40"/>
  <c r="S1363" i="40"/>
  <c r="R542" i="40"/>
  <c r="R543" i="40" s="1"/>
  <c r="R544" i="40" s="1"/>
  <c r="G1369" i="40"/>
  <c r="F542" i="40"/>
  <c r="G533" i="40" s="1"/>
  <c r="M1374" i="40"/>
  <c r="M1370" i="40"/>
  <c r="M1286" i="40"/>
  <c r="R982" i="40"/>
  <c r="R983" i="40" s="1"/>
  <c r="R984" i="40" s="1"/>
  <c r="R234" i="40"/>
  <c r="R235" i="40" s="1"/>
  <c r="R236" i="40" s="1"/>
  <c r="G1373" i="40"/>
  <c r="G1365" i="40"/>
  <c r="M1278" i="40"/>
  <c r="L278" i="40"/>
  <c r="M264" i="40" s="1"/>
  <c r="X194" i="40"/>
  <c r="D134" i="39"/>
  <c r="M1376" i="40"/>
  <c r="M1282" i="40"/>
  <c r="M1274" i="40"/>
  <c r="M1375" i="40"/>
  <c r="M1367" i="40"/>
  <c r="M1289" i="40"/>
  <c r="M1362" i="40"/>
  <c r="M1368" i="40"/>
  <c r="M1371" i="40"/>
  <c r="Z194" i="40"/>
  <c r="L982" i="40"/>
  <c r="M966" i="40" s="1"/>
  <c r="F278" i="40"/>
  <c r="F146" i="40"/>
  <c r="G134" i="40" s="1"/>
  <c r="R1334" i="40"/>
  <c r="R1290" i="40"/>
  <c r="S1277" i="40" s="1"/>
  <c r="L806" i="40"/>
  <c r="F630" i="40"/>
  <c r="G616" i="40" s="1"/>
  <c r="L1466" i="40"/>
  <c r="M1450" i="40" s="1"/>
  <c r="L1422" i="40"/>
  <c r="M1406" i="40" s="1"/>
  <c r="L1379" i="40"/>
  <c r="L1380" i="40" s="1"/>
  <c r="M1378" i="40"/>
  <c r="F1334" i="40"/>
  <c r="G1320" i="40" s="1"/>
  <c r="M1372" i="40"/>
  <c r="M1364" i="40"/>
  <c r="L1291" i="40"/>
  <c r="L1292" i="40" s="1"/>
  <c r="M1290" i="40"/>
  <c r="M1285" i="40"/>
  <c r="M1283" i="40"/>
  <c r="M1281" i="40"/>
  <c r="M1279" i="40"/>
  <c r="M1277" i="40"/>
  <c r="M1275" i="40"/>
  <c r="M1284" i="40"/>
  <c r="M1280" i="40"/>
  <c r="M1276" i="40"/>
  <c r="M1377" i="40"/>
  <c r="M1373" i="40"/>
  <c r="M1369" i="40"/>
  <c r="M1365" i="40"/>
  <c r="S1378" i="40"/>
  <c r="R1379" i="40"/>
  <c r="R1380" i="40" s="1"/>
  <c r="G1378" i="40"/>
  <c r="F1379" i="40"/>
  <c r="F1380" i="40" s="1"/>
  <c r="M1288" i="40"/>
  <c r="R1070" i="40"/>
  <c r="S1061" i="40" s="1"/>
  <c r="F1070" i="40"/>
  <c r="F894" i="40"/>
  <c r="L1070" i="40"/>
  <c r="M1060" i="40" s="1"/>
  <c r="L894" i="40"/>
  <c r="M880" i="40" s="1"/>
  <c r="R630" i="40"/>
  <c r="S614" i="40" s="1"/>
  <c r="L542" i="40"/>
  <c r="M532" i="40" s="1"/>
  <c r="R278" i="40"/>
  <c r="L234" i="40"/>
  <c r="M226" i="40" s="1"/>
  <c r="R146" i="40"/>
  <c r="L190" i="40"/>
  <c r="M177" i="40" s="1"/>
  <c r="M1327" i="40" l="1"/>
  <c r="S572" i="40"/>
  <c r="M311" i="40"/>
  <c r="S577" i="40"/>
  <c r="R587" i="40"/>
  <c r="R588" i="40" s="1"/>
  <c r="Q602" i="40" s="1"/>
  <c r="R602" i="40" s="1"/>
  <c r="R605" i="40" s="1"/>
  <c r="S583" i="40"/>
  <c r="S582" i="40"/>
  <c r="M315" i="40"/>
  <c r="M306" i="40"/>
  <c r="M319" i="40"/>
  <c r="S585" i="40"/>
  <c r="M312" i="40"/>
  <c r="M309" i="40"/>
  <c r="S571" i="40"/>
  <c r="M316" i="40"/>
  <c r="L292" i="40"/>
  <c r="M292" i="40" s="1"/>
  <c r="G674" i="40"/>
  <c r="M442" i="40"/>
  <c r="S1158" i="40"/>
  <c r="S364" i="40"/>
  <c r="S357" i="40"/>
  <c r="G93" i="40"/>
  <c r="S673" i="40"/>
  <c r="S662" i="40"/>
  <c r="S365" i="40"/>
  <c r="S366" i="40"/>
  <c r="S351" i="40"/>
  <c r="G100" i="40"/>
  <c r="G102" i="40"/>
  <c r="S355" i="40"/>
  <c r="F411" i="40"/>
  <c r="F412" i="40" s="1"/>
  <c r="E428" i="40" s="1"/>
  <c r="M310" i="40"/>
  <c r="M307" i="40"/>
  <c r="M313" i="40"/>
  <c r="M321" i="40"/>
  <c r="S359" i="40"/>
  <c r="S575" i="40"/>
  <c r="M618" i="40"/>
  <c r="S674" i="40"/>
  <c r="L323" i="40"/>
  <c r="L324" i="40" s="1"/>
  <c r="M324" i="40" s="1"/>
  <c r="G86" i="40"/>
  <c r="S924" i="40"/>
  <c r="G1245" i="40"/>
  <c r="M718" i="40"/>
  <c r="M935" i="40"/>
  <c r="M839" i="40"/>
  <c r="M848" i="40"/>
  <c r="G182" i="40"/>
  <c r="S754" i="40"/>
  <c r="S453" i="40"/>
  <c r="M1106" i="40"/>
  <c r="S441" i="40"/>
  <c r="M714" i="40"/>
  <c r="M1022" i="40"/>
  <c r="L72" i="40"/>
  <c r="M72" i="40" s="1"/>
  <c r="M850" i="40"/>
  <c r="S492" i="40"/>
  <c r="M845" i="40"/>
  <c r="F952" i="40"/>
  <c r="G952" i="40" s="1"/>
  <c r="S938" i="40"/>
  <c r="S1198" i="40"/>
  <c r="M133" i="40"/>
  <c r="S486" i="40"/>
  <c r="F72" i="40"/>
  <c r="G72" i="40" s="1"/>
  <c r="Y160" i="40" s="1"/>
  <c r="M454" i="40"/>
  <c r="S1150" i="40"/>
  <c r="S1155" i="40"/>
  <c r="M1325" i="40"/>
  <c r="M1332" i="40"/>
  <c r="G92" i="40"/>
  <c r="G101" i="40"/>
  <c r="S358" i="40"/>
  <c r="M89" i="40"/>
  <c r="M1333" i="40"/>
  <c r="M1318" i="40"/>
  <c r="M1319" i="40"/>
  <c r="M1324" i="40"/>
  <c r="M92" i="40"/>
  <c r="S353" i="40"/>
  <c r="S361" i="40"/>
  <c r="S570" i="40"/>
  <c r="S579" i="40"/>
  <c r="M1142" i="40"/>
  <c r="S586" i="40"/>
  <c r="M1326" i="40"/>
  <c r="S356" i="40"/>
  <c r="S574" i="40"/>
  <c r="G408" i="40"/>
  <c r="S576" i="40"/>
  <c r="M318" i="40"/>
  <c r="M445" i="40"/>
  <c r="G409" i="40"/>
  <c r="M96" i="40"/>
  <c r="S1142" i="40"/>
  <c r="M440" i="40"/>
  <c r="S1144" i="40"/>
  <c r="M95" i="40"/>
  <c r="M93" i="40"/>
  <c r="M441" i="40"/>
  <c r="F864" i="40"/>
  <c r="G864" i="40" s="1"/>
  <c r="S190" i="40"/>
  <c r="S849" i="40"/>
  <c r="S1157" i="40"/>
  <c r="M88" i="40"/>
  <c r="M98" i="40"/>
  <c r="M356" i="40"/>
  <c r="S1145" i="40"/>
  <c r="S1114" i="40"/>
  <c r="M399" i="40"/>
  <c r="M99" i="40"/>
  <c r="S1154" i="40"/>
  <c r="M398" i="40"/>
  <c r="M90" i="40"/>
  <c r="M100" i="40"/>
  <c r="S841" i="40"/>
  <c r="S1104" i="40"/>
  <c r="S1151" i="40"/>
  <c r="M102" i="40"/>
  <c r="S186" i="40"/>
  <c r="M448" i="40"/>
  <c r="M47" i="40"/>
  <c r="S1152" i="40"/>
  <c r="M97" i="40"/>
  <c r="M439" i="40"/>
  <c r="G395" i="40"/>
  <c r="S670" i="40"/>
  <c r="G400" i="40"/>
  <c r="G703" i="40"/>
  <c r="G711" i="40"/>
  <c r="G714" i="40"/>
  <c r="M1236" i="40"/>
  <c r="M615" i="40"/>
  <c r="S659" i="40"/>
  <c r="F160" i="40"/>
  <c r="G160" i="40" s="1"/>
  <c r="Y140" i="40" s="1"/>
  <c r="L204" i="40"/>
  <c r="M204" i="40" s="1"/>
  <c r="L763" i="40"/>
  <c r="L764" i="40" s="1"/>
  <c r="M764" i="40" s="1"/>
  <c r="F556" i="40"/>
  <c r="G556" i="40" s="1"/>
  <c r="F103" i="40"/>
  <c r="F104" i="40" s="1"/>
  <c r="E106" i="40" s="1"/>
  <c r="C27" i="40" s="1"/>
  <c r="W129" i="40" s="1"/>
  <c r="D69" i="39" s="1"/>
  <c r="M317" i="40"/>
  <c r="S350" i="40"/>
  <c r="S363" i="40"/>
  <c r="S573" i="40"/>
  <c r="S581" i="40"/>
  <c r="R675" i="40"/>
  <c r="R676" i="40" s="1"/>
  <c r="Q691" i="40" s="1"/>
  <c r="F719" i="40"/>
  <c r="F720" i="40" s="1"/>
  <c r="E735" i="40" s="1"/>
  <c r="M322" i="40"/>
  <c r="G586" i="40"/>
  <c r="M320" i="40"/>
  <c r="G399" i="40"/>
  <c r="S580" i="40"/>
  <c r="S664" i="40"/>
  <c r="S672" i="40"/>
  <c r="G406" i="40"/>
  <c r="G398" i="40"/>
  <c r="S661" i="40"/>
  <c r="G95" i="40"/>
  <c r="G717" i="40"/>
  <c r="G709" i="40"/>
  <c r="G98" i="40"/>
  <c r="G90" i="40"/>
  <c r="S584" i="40"/>
  <c r="S665" i="40"/>
  <c r="G706" i="40"/>
  <c r="G705" i="40"/>
  <c r="M314" i="40"/>
  <c r="G401" i="40"/>
  <c r="L1084" i="40"/>
  <c r="F600" i="40"/>
  <c r="G600" i="40" s="1"/>
  <c r="G718" i="40"/>
  <c r="G403" i="40"/>
  <c r="S666" i="40"/>
  <c r="G404" i="40"/>
  <c r="G396" i="40"/>
  <c r="G88" i="40"/>
  <c r="G96" i="40"/>
  <c r="G715" i="40"/>
  <c r="G707" i="40"/>
  <c r="G97" i="40"/>
  <c r="G89" i="40"/>
  <c r="S667" i="40"/>
  <c r="G710" i="40"/>
  <c r="S663" i="40"/>
  <c r="R1480" i="40"/>
  <c r="R1487" i="40" s="1"/>
  <c r="G570" i="40"/>
  <c r="G410" i="40"/>
  <c r="G938" i="40"/>
  <c r="R367" i="40"/>
  <c r="R368" i="40" s="1"/>
  <c r="Q370" i="40" s="1"/>
  <c r="F4" i="40" s="1"/>
  <c r="W133" i="40" s="1"/>
  <c r="D73" i="39" s="1"/>
  <c r="S360" i="40"/>
  <c r="G407" i="40"/>
  <c r="S660" i="40"/>
  <c r="S668" i="40"/>
  <c r="G402" i="40"/>
  <c r="G394" i="40"/>
  <c r="G91" i="40"/>
  <c r="G99" i="40"/>
  <c r="G713" i="40"/>
  <c r="G702" i="40"/>
  <c r="G94" i="40"/>
  <c r="S671" i="40"/>
  <c r="G712" i="40"/>
  <c r="S354" i="40"/>
  <c r="S362" i="40"/>
  <c r="R644" i="40"/>
  <c r="S644" i="40" s="1"/>
  <c r="F1348" i="40"/>
  <c r="G1348" i="40" s="1"/>
  <c r="G837" i="40"/>
  <c r="G1151" i="40"/>
  <c r="F367" i="40"/>
  <c r="F368" i="40" s="1"/>
  <c r="E382" i="40" s="1"/>
  <c r="F382" i="40" s="1"/>
  <c r="F385" i="40" s="1"/>
  <c r="G846" i="40"/>
  <c r="G928" i="40"/>
  <c r="G357" i="40"/>
  <c r="G573" i="40"/>
  <c r="G841" i="40"/>
  <c r="M1232" i="40"/>
  <c r="M619" i="40"/>
  <c r="F1159" i="40"/>
  <c r="F1160" i="40" s="1"/>
  <c r="E1175" i="40" s="1"/>
  <c r="M1245" i="40"/>
  <c r="R776" i="40"/>
  <c r="S776" i="40" s="1"/>
  <c r="G583" i="40"/>
  <c r="M627" i="40"/>
  <c r="G834" i="40"/>
  <c r="G1142" i="40"/>
  <c r="G1147" i="40"/>
  <c r="G362" i="40"/>
  <c r="G584" i="40"/>
  <c r="G574" i="40"/>
  <c r="S669" i="40"/>
  <c r="G708" i="40"/>
  <c r="G716" i="40"/>
  <c r="M1239" i="40"/>
  <c r="G397" i="40"/>
  <c r="L116" i="40"/>
  <c r="M116" i="40" s="1"/>
  <c r="S314" i="40"/>
  <c r="M621" i="40"/>
  <c r="M629" i="40"/>
  <c r="M622" i="40"/>
  <c r="M620" i="40"/>
  <c r="M630" i="40"/>
  <c r="G933" i="40"/>
  <c r="G492" i="40"/>
  <c r="M626" i="40"/>
  <c r="M624" i="40"/>
  <c r="L631" i="40"/>
  <c r="L632" i="40" s="1"/>
  <c r="K647" i="40" s="1"/>
  <c r="G485" i="40"/>
  <c r="G937" i="40"/>
  <c r="S319" i="40"/>
  <c r="S306" i="40"/>
  <c r="S317" i="40"/>
  <c r="M623" i="40"/>
  <c r="M614" i="40"/>
  <c r="G361" i="40"/>
  <c r="G498" i="40"/>
  <c r="M617" i="40"/>
  <c r="M625" i="40"/>
  <c r="G1188" i="40"/>
  <c r="M616" i="40"/>
  <c r="G1202" i="40"/>
  <c r="G489" i="40"/>
  <c r="G1199" i="40"/>
  <c r="G494" i="40"/>
  <c r="M842" i="40"/>
  <c r="L851" i="40"/>
  <c r="L852" i="40" s="1"/>
  <c r="M852" i="40" s="1"/>
  <c r="S923" i="40"/>
  <c r="M1104" i="40"/>
  <c r="G1232" i="40"/>
  <c r="S762" i="40"/>
  <c r="M838" i="40"/>
  <c r="M849" i="40"/>
  <c r="G175" i="40"/>
  <c r="M86" i="40"/>
  <c r="M94" i="40"/>
  <c r="M139" i="40"/>
  <c r="Z191" i="40"/>
  <c r="Z196" i="40"/>
  <c r="L455" i="40"/>
  <c r="L456" i="40" s="1"/>
  <c r="K472" i="40" s="1"/>
  <c r="S801" i="40"/>
  <c r="M834" i="40"/>
  <c r="M840" i="40"/>
  <c r="M844" i="40"/>
  <c r="L1027" i="40"/>
  <c r="L1028" i="40" s="1"/>
  <c r="K1044" i="40" s="1"/>
  <c r="S894" i="40"/>
  <c r="M1111" i="40"/>
  <c r="S1143" i="40"/>
  <c r="S1147" i="40"/>
  <c r="M1152" i="40"/>
  <c r="M1321" i="40"/>
  <c r="M1329" i="40"/>
  <c r="M1114" i="40"/>
  <c r="M1334" i="40"/>
  <c r="L103" i="40"/>
  <c r="L104" i="40" s="1"/>
  <c r="K106" i="40" s="1"/>
  <c r="I29" i="40" s="1"/>
  <c r="W185" i="40" s="1"/>
  <c r="D125" i="39" s="1"/>
  <c r="G1246" i="40"/>
  <c r="M1328" i="40"/>
  <c r="D131" i="39"/>
  <c r="G185" i="40"/>
  <c r="S489" i="40"/>
  <c r="S931" i="40"/>
  <c r="X196" i="40"/>
  <c r="M446" i="40"/>
  <c r="M438" i="40"/>
  <c r="M847" i="40"/>
  <c r="M130" i="40"/>
  <c r="S749" i="40"/>
  <c r="S705" i="40"/>
  <c r="S711" i="40"/>
  <c r="S1148" i="40"/>
  <c r="S1195" i="40"/>
  <c r="M706" i="40"/>
  <c r="M101" i="40"/>
  <c r="S757" i="40"/>
  <c r="G1240" i="40"/>
  <c r="S710" i="40"/>
  <c r="M841" i="40"/>
  <c r="M400" i="40"/>
  <c r="M449" i="40"/>
  <c r="M453" i="40"/>
  <c r="M447" i="40"/>
  <c r="M843" i="40"/>
  <c r="S932" i="40"/>
  <c r="G187" i="40"/>
  <c r="M364" i="40"/>
  <c r="R455" i="40"/>
  <c r="R456" i="40" s="1"/>
  <c r="Q470" i="40" s="1"/>
  <c r="R470" i="40" s="1"/>
  <c r="R473" i="40" s="1"/>
  <c r="M836" i="40"/>
  <c r="M846" i="40"/>
  <c r="M1144" i="40"/>
  <c r="S1149" i="40"/>
  <c r="S1153" i="40"/>
  <c r="S1190" i="40"/>
  <c r="G1237" i="40"/>
  <c r="M1323" i="40"/>
  <c r="M1331" i="40"/>
  <c r="Q1438" i="40"/>
  <c r="R1438" i="40" s="1"/>
  <c r="R1441" i="40" s="1"/>
  <c r="L1335" i="40"/>
  <c r="L1336" i="40" s="1"/>
  <c r="K1350" i="40" s="1"/>
  <c r="L1350" i="40" s="1"/>
  <c r="L1353" i="40" s="1"/>
  <c r="R1159" i="40"/>
  <c r="R1160" i="40" s="1"/>
  <c r="Q1162" i="40" s="1"/>
  <c r="M1322" i="40"/>
  <c r="M1330" i="40"/>
  <c r="G174" i="40"/>
  <c r="S497" i="40"/>
  <c r="M444" i="40"/>
  <c r="S444" i="40"/>
  <c r="M1021" i="40"/>
  <c r="G445" i="40"/>
  <c r="S702" i="40"/>
  <c r="S1146" i="40"/>
  <c r="G1236" i="40"/>
  <c r="M91" i="40"/>
  <c r="M710" i="40"/>
  <c r="M835" i="40"/>
  <c r="M451" i="40"/>
  <c r="M452" i="40"/>
  <c r="M450" i="40"/>
  <c r="G667" i="40"/>
  <c r="M754" i="40"/>
  <c r="G670" i="40"/>
  <c r="G663" i="40"/>
  <c r="G49" i="40"/>
  <c r="G43" i="40"/>
  <c r="M136" i="40"/>
  <c r="G177" i="40"/>
  <c r="S1192" i="40"/>
  <c r="G53" i="40"/>
  <c r="G47" i="40"/>
  <c r="G55" i="40"/>
  <c r="M145" i="40"/>
  <c r="G183" i="40"/>
  <c r="M131" i="40"/>
  <c r="F191" i="40"/>
  <c r="F192" i="40" s="1"/>
  <c r="E208" i="40" s="1"/>
  <c r="L147" i="40"/>
  <c r="L148" i="40" s="1"/>
  <c r="K164" i="40" s="1"/>
  <c r="R763" i="40"/>
  <c r="R764" i="40" s="1"/>
  <c r="Q779" i="40" s="1"/>
  <c r="R939" i="40"/>
  <c r="R940" i="40" s="1"/>
  <c r="Q955" i="40" s="1"/>
  <c r="S718" i="40"/>
  <c r="M1026" i="40"/>
  <c r="M1100" i="40"/>
  <c r="M1103" i="40"/>
  <c r="M1109" i="40"/>
  <c r="S1188" i="40"/>
  <c r="S1196" i="40"/>
  <c r="G1231" i="40"/>
  <c r="G1243" i="40"/>
  <c r="G58" i="40"/>
  <c r="F1247" i="40"/>
  <c r="F1248" i="40" s="1"/>
  <c r="G1248" i="40" s="1"/>
  <c r="S884" i="40"/>
  <c r="G50" i="40"/>
  <c r="M138" i="40"/>
  <c r="M140" i="40"/>
  <c r="G180" i="40"/>
  <c r="G188" i="40"/>
  <c r="S483" i="40"/>
  <c r="S495" i="40"/>
  <c r="S752" i="40"/>
  <c r="S760" i="40"/>
  <c r="S929" i="40"/>
  <c r="S935" i="40"/>
  <c r="M1012" i="40"/>
  <c r="M143" i="40"/>
  <c r="S440" i="40"/>
  <c r="S451" i="40"/>
  <c r="M1019" i="40"/>
  <c r="M1101" i="40"/>
  <c r="M144" i="40"/>
  <c r="M132" i="40"/>
  <c r="S443" i="40"/>
  <c r="S484" i="40"/>
  <c r="M704" i="40"/>
  <c r="S713" i="40"/>
  <c r="S704" i="40"/>
  <c r="S1201" i="40"/>
  <c r="S1189" i="40"/>
  <c r="S930" i="40"/>
  <c r="M705" i="40"/>
  <c r="M709" i="40"/>
  <c r="M713" i="40"/>
  <c r="M717" i="40"/>
  <c r="G1242" i="40"/>
  <c r="S490" i="40"/>
  <c r="S755" i="40"/>
  <c r="G1234" i="40"/>
  <c r="M1018" i="40"/>
  <c r="M1020" i="40"/>
  <c r="M1011" i="40"/>
  <c r="S1197" i="40"/>
  <c r="S442" i="40"/>
  <c r="G42" i="40"/>
  <c r="S883" i="40"/>
  <c r="M1105" i="40"/>
  <c r="S1186" i="40"/>
  <c r="G1233" i="40"/>
  <c r="G1239" i="40"/>
  <c r="L1115" i="40"/>
  <c r="L1116" i="40" s="1"/>
  <c r="K1118" i="40" s="1"/>
  <c r="C9" i="40" s="1"/>
  <c r="W111" i="40" s="1"/>
  <c r="D51" i="39" s="1"/>
  <c r="S1202" i="40"/>
  <c r="G46" i="40"/>
  <c r="G54" i="40"/>
  <c r="G189" i="40"/>
  <c r="G176" i="40"/>
  <c r="G184" i="40"/>
  <c r="S485" i="40"/>
  <c r="S491" i="40"/>
  <c r="S748" i="40"/>
  <c r="S756" i="40"/>
  <c r="S925" i="40"/>
  <c r="S937" i="40"/>
  <c r="S448" i="40"/>
  <c r="M1015" i="40"/>
  <c r="M1023" i="40"/>
  <c r="M1110" i="40"/>
  <c r="M137" i="40"/>
  <c r="S447" i="40"/>
  <c r="S439" i="40"/>
  <c r="S751" i="40"/>
  <c r="S717" i="40"/>
  <c r="S709" i="40"/>
  <c r="S1193" i="40"/>
  <c r="G1244" i="40"/>
  <c r="M703" i="40"/>
  <c r="S926" i="40"/>
  <c r="S934" i="40"/>
  <c r="M707" i="40"/>
  <c r="M711" i="40"/>
  <c r="M715" i="40"/>
  <c r="M1108" i="40"/>
  <c r="S494" i="40"/>
  <c r="S747" i="40"/>
  <c r="S759" i="40"/>
  <c r="M1013" i="40"/>
  <c r="S712" i="40"/>
  <c r="S706" i="40"/>
  <c r="M1016" i="40"/>
  <c r="S452" i="40"/>
  <c r="S446" i="40"/>
  <c r="G57" i="40"/>
  <c r="G52" i="40"/>
  <c r="G51" i="40"/>
  <c r="M141" i="40"/>
  <c r="R499" i="40"/>
  <c r="R500" i="40" s="1"/>
  <c r="Q514" i="40" s="1"/>
  <c r="R514" i="40" s="1"/>
  <c r="R517" i="40" s="1"/>
  <c r="S454" i="40"/>
  <c r="L719" i="40"/>
  <c r="L720" i="40" s="1"/>
  <c r="K735" i="40" s="1"/>
  <c r="M1098" i="40"/>
  <c r="S879" i="40"/>
  <c r="M1113" i="40"/>
  <c r="S1200" i="40"/>
  <c r="G45" i="40"/>
  <c r="M142" i="40"/>
  <c r="G179" i="40"/>
  <c r="G190" i="40"/>
  <c r="M146" i="40"/>
  <c r="S498" i="40"/>
  <c r="R719" i="40"/>
  <c r="R720" i="40" s="1"/>
  <c r="Q734" i="40" s="1"/>
  <c r="R734" i="40" s="1"/>
  <c r="R737" i="40" s="1"/>
  <c r="S891" i="40"/>
  <c r="M1099" i="40"/>
  <c r="M1107" i="40"/>
  <c r="S1194" i="40"/>
  <c r="G1230" i="40"/>
  <c r="G1235" i="40"/>
  <c r="G1241" i="40"/>
  <c r="F59" i="40"/>
  <c r="F60" i="40" s="1"/>
  <c r="E74" i="40" s="1"/>
  <c r="F74" i="40" s="1"/>
  <c r="F77" i="40" s="1"/>
  <c r="R1203" i="40"/>
  <c r="R1204" i="40" s="1"/>
  <c r="S1204" i="40" s="1"/>
  <c r="G48" i="40"/>
  <c r="G56" i="40"/>
  <c r="M134" i="40"/>
  <c r="G178" i="40"/>
  <c r="G186" i="40"/>
  <c r="S487" i="40"/>
  <c r="S493" i="40"/>
  <c r="S750" i="40"/>
  <c r="S758" i="40"/>
  <c r="S927" i="40"/>
  <c r="S933" i="40"/>
  <c r="S890" i="40"/>
  <c r="S449" i="40"/>
  <c r="M1017" i="40"/>
  <c r="M1025" i="40"/>
  <c r="S445" i="40"/>
  <c r="S438" i="40"/>
  <c r="S703" i="40"/>
  <c r="S1191" i="40"/>
  <c r="S715" i="40"/>
  <c r="S707" i="40"/>
  <c r="S1187" i="40"/>
  <c r="S928" i="40"/>
  <c r="S936" i="40"/>
  <c r="M708" i="40"/>
  <c r="M712" i="40"/>
  <c r="M716" i="40"/>
  <c r="M1112" i="40"/>
  <c r="S488" i="40"/>
  <c r="S496" i="40"/>
  <c r="S753" i="40"/>
  <c r="S761" i="40"/>
  <c r="S716" i="40"/>
  <c r="S714" i="40"/>
  <c r="M1014" i="40"/>
  <c r="M1024" i="40"/>
  <c r="G1283" i="40"/>
  <c r="F1291" i="40"/>
  <c r="F1292" i="40" s="1"/>
  <c r="E1306" i="40" s="1"/>
  <c r="F1306" i="40" s="1"/>
  <c r="F1309" i="40" s="1"/>
  <c r="S1016" i="40"/>
  <c r="G1289" i="40"/>
  <c r="G1276" i="40"/>
  <c r="S98" i="40"/>
  <c r="M490" i="40"/>
  <c r="M1191" i="40"/>
  <c r="G1274" i="40"/>
  <c r="G1281" i="40"/>
  <c r="S396" i="40"/>
  <c r="F204" i="40"/>
  <c r="G204" i="40" s="1"/>
  <c r="Y143" i="40" s="1"/>
  <c r="G760" i="40"/>
  <c r="M407" i="40"/>
  <c r="G451" i="40"/>
  <c r="M55" i="40"/>
  <c r="M49" i="40"/>
  <c r="L1172" i="40"/>
  <c r="M1172" i="40" s="1"/>
  <c r="M53" i="40"/>
  <c r="G438" i="40"/>
  <c r="G450" i="40"/>
  <c r="S185" i="40"/>
  <c r="G752" i="40"/>
  <c r="S176" i="40"/>
  <c r="S840" i="40"/>
  <c r="M52" i="40"/>
  <c r="M57" i="40"/>
  <c r="F1216" i="40"/>
  <c r="G1216" i="40" s="1"/>
  <c r="R1436" i="40"/>
  <c r="S1436" i="40" s="1"/>
  <c r="R864" i="40"/>
  <c r="S864" i="40" s="1"/>
  <c r="R292" i="40"/>
  <c r="S292" i="40" s="1"/>
  <c r="L512" i="40"/>
  <c r="M512" i="40" s="1"/>
  <c r="S537" i="40"/>
  <c r="S533" i="40"/>
  <c r="S541" i="40"/>
  <c r="F1436" i="40"/>
  <c r="F1443" i="40" s="1"/>
  <c r="R336" i="40"/>
  <c r="S336" i="40" s="1"/>
  <c r="S410" i="40"/>
  <c r="G1287" i="40"/>
  <c r="M749" i="40"/>
  <c r="G668" i="40"/>
  <c r="G672" i="40"/>
  <c r="G1279" i="40"/>
  <c r="S1022" i="40"/>
  <c r="L600" i="40"/>
  <c r="M600" i="40" s="1"/>
  <c r="R556" i="40"/>
  <c r="S556" i="40" s="1"/>
  <c r="R411" i="40"/>
  <c r="R412" i="40" s="1"/>
  <c r="Q427" i="40" s="1"/>
  <c r="S1239" i="40"/>
  <c r="G1275" i="40"/>
  <c r="G1284" i="40"/>
  <c r="S800" i="40"/>
  <c r="S794" i="40"/>
  <c r="G1282" i="40"/>
  <c r="G1285" i="40"/>
  <c r="R807" i="40"/>
  <c r="R808" i="40" s="1"/>
  <c r="S808" i="40" s="1"/>
  <c r="S982" i="40"/>
  <c r="G662" i="40"/>
  <c r="G666" i="40"/>
  <c r="G1280" i="40"/>
  <c r="S404" i="40"/>
  <c r="G1288" i="40"/>
  <c r="M752" i="40"/>
  <c r="S1024" i="40"/>
  <c r="M658" i="40"/>
  <c r="G661" i="40"/>
  <c r="G665" i="40"/>
  <c r="F675" i="40"/>
  <c r="F676" i="40" s="1"/>
  <c r="E691" i="40" s="1"/>
  <c r="G1286" i="40"/>
  <c r="G1277" i="40"/>
  <c r="S802" i="40"/>
  <c r="G1290" i="40"/>
  <c r="S100" i="40"/>
  <c r="G660" i="40"/>
  <c r="G664" i="40"/>
  <c r="M667" i="40"/>
  <c r="G659" i="40"/>
  <c r="G673" i="40"/>
  <c r="G671" i="40"/>
  <c r="S1015" i="40"/>
  <c r="G669" i="40"/>
  <c r="S407" i="40"/>
  <c r="M582" i="40"/>
  <c r="M938" i="40"/>
  <c r="S1026" i="40"/>
  <c r="M747" i="40"/>
  <c r="M751" i="40"/>
  <c r="M761" i="40"/>
  <c r="S86" i="40"/>
  <c r="M937" i="40"/>
  <c r="S408" i="40"/>
  <c r="S400" i="40"/>
  <c r="G1015" i="40"/>
  <c r="S1020" i="40"/>
  <c r="S1010" i="40"/>
  <c r="M495" i="40"/>
  <c r="M748" i="40"/>
  <c r="S1018" i="40"/>
  <c r="S1023" i="40"/>
  <c r="S399" i="40"/>
  <c r="S403" i="40"/>
  <c r="L688" i="40"/>
  <c r="M688" i="40" s="1"/>
  <c r="R1392" i="40"/>
  <c r="S1392" i="40" s="1"/>
  <c r="L1216" i="40"/>
  <c r="M1216" i="40" s="1"/>
  <c r="R103" i="40"/>
  <c r="R104" i="40" s="1"/>
  <c r="Q118" i="40" s="1"/>
  <c r="R118" i="40" s="1"/>
  <c r="R121" i="40" s="1"/>
  <c r="M762" i="40"/>
  <c r="M1186" i="40"/>
  <c r="S90" i="40"/>
  <c r="M755" i="40"/>
  <c r="M759" i="40"/>
  <c r="M930" i="40"/>
  <c r="S1011" i="40"/>
  <c r="M485" i="40"/>
  <c r="S397" i="40"/>
  <c r="S405" i="40"/>
  <c r="M659" i="40"/>
  <c r="M750" i="40"/>
  <c r="M1198" i="40"/>
  <c r="S406" i="40"/>
  <c r="S398" i="40"/>
  <c r="S1025" i="40"/>
  <c r="S1017" i="40"/>
  <c r="S1242" i="40"/>
  <c r="M670" i="40"/>
  <c r="M746" i="40"/>
  <c r="G1022" i="40"/>
  <c r="M672" i="40"/>
  <c r="M498" i="40"/>
  <c r="M574" i="40"/>
  <c r="R1027" i="40"/>
  <c r="R1028" i="40" s="1"/>
  <c r="Q1042" i="40" s="1"/>
  <c r="R1042" i="40" s="1"/>
  <c r="R1045" i="40" s="1"/>
  <c r="M1199" i="40"/>
  <c r="S1231" i="40"/>
  <c r="M577" i="40"/>
  <c r="M753" i="40"/>
  <c r="M757" i="40"/>
  <c r="S1013" i="40"/>
  <c r="S92" i="40"/>
  <c r="S401" i="40"/>
  <c r="S409" i="40"/>
  <c r="M758" i="40"/>
  <c r="S402" i="40"/>
  <c r="S394" i="40"/>
  <c r="M931" i="40"/>
  <c r="G1023" i="40"/>
  <c r="S1021" i="40"/>
  <c r="S1012" i="40"/>
  <c r="M756" i="40"/>
  <c r="M1192" i="40"/>
  <c r="S1019" i="40"/>
  <c r="M353" i="40"/>
  <c r="M359" i="40"/>
  <c r="R116" i="40"/>
  <c r="S116" i="40" s="1"/>
  <c r="Y122" i="40" s="1"/>
  <c r="G529" i="40"/>
  <c r="L1260" i="40"/>
  <c r="M1260" i="40" s="1"/>
  <c r="F1084" i="40"/>
  <c r="G1084" i="40" s="1"/>
  <c r="F468" i="40"/>
  <c r="G468" i="40" s="1"/>
  <c r="Y153" i="40" s="1"/>
  <c r="F732" i="40"/>
  <c r="G732" i="40" s="1"/>
  <c r="S539" i="40"/>
  <c r="S797" i="40"/>
  <c r="S793" i="40"/>
  <c r="S790" i="40"/>
  <c r="S796" i="40"/>
  <c r="S967" i="40"/>
  <c r="S535" i="40"/>
  <c r="S805" i="40"/>
  <c r="S975" i="40"/>
  <c r="S804" i="40"/>
  <c r="S538" i="40"/>
  <c r="S542" i="40"/>
  <c r="S791" i="40"/>
  <c r="R1084" i="40"/>
  <c r="S1084" i="40" s="1"/>
  <c r="G978" i="40"/>
  <c r="G530" i="40"/>
  <c r="G979" i="40"/>
  <c r="G1108" i="40"/>
  <c r="L732" i="40"/>
  <c r="M732" i="40" s="1"/>
  <c r="L1128" i="40"/>
  <c r="M1128" i="40" s="1"/>
  <c r="L820" i="40"/>
  <c r="M820" i="40" s="1"/>
  <c r="F820" i="40"/>
  <c r="G820" i="40" s="1"/>
  <c r="L644" i="40"/>
  <c r="M644" i="40" s="1"/>
  <c r="L776" i="40"/>
  <c r="M776" i="40" s="1"/>
  <c r="G577" i="40"/>
  <c r="G581" i="40"/>
  <c r="G845" i="40"/>
  <c r="G849" i="40"/>
  <c r="S885" i="40"/>
  <c r="S893" i="40"/>
  <c r="R895" i="40"/>
  <c r="R896" i="40" s="1"/>
  <c r="S896" i="40" s="1"/>
  <c r="G1155" i="40"/>
  <c r="G1186" i="40"/>
  <c r="G1192" i="40"/>
  <c r="G1196" i="40"/>
  <c r="M1230" i="40"/>
  <c r="M1240" i="40"/>
  <c r="M1244" i="40"/>
  <c r="G229" i="40"/>
  <c r="G366" i="40"/>
  <c r="G233" i="40"/>
  <c r="G1158" i="40"/>
  <c r="F1203" i="40"/>
  <c r="F1204" i="40" s="1"/>
  <c r="E1206" i="40" s="1"/>
  <c r="C15" i="40" s="1"/>
  <c r="W117" i="40" s="1"/>
  <c r="D57" i="39" s="1"/>
  <c r="S888" i="40"/>
  <c r="G493" i="40"/>
  <c r="G497" i="40"/>
  <c r="G923" i="40"/>
  <c r="G927" i="40"/>
  <c r="S315" i="40"/>
  <c r="G578" i="40"/>
  <c r="G840" i="40"/>
  <c r="G1156" i="40"/>
  <c r="G1197" i="40"/>
  <c r="S311" i="40"/>
  <c r="G576" i="40"/>
  <c r="G838" i="40"/>
  <c r="G486" i="40"/>
  <c r="G926" i="40"/>
  <c r="G936" i="40"/>
  <c r="G1148" i="40"/>
  <c r="G496" i="40"/>
  <c r="G490" i="40"/>
  <c r="G932" i="40"/>
  <c r="G1146" i="40"/>
  <c r="G1150" i="40"/>
  <c r="G360" i="40"/>
  <c r="S321" i="40"/>
  <c r="M1231" i="40"/>
  <c r="G924" i="40"/>
  <c r="G1193" i="40"/>
  <c r="G1201" i="40"/>
  <c r="L1436" i="40"/>
  <c r="M1436" i="40" s="1"/>
  <c r="F1172" i="40"/>
  <c r="G1172" i="40" s="1"/>
  <c r="L1480" i="40"/>
  <c r="M1480" i="40" s="1"/>
  <c r="R996" i="40"/>
  <c r="S996" i="40" s="1"/>
  <c r="F996" i="40"/>
  <c r="G996" i="40" s="1"/>
  <c r="G351" i="40"/>
  <c r="G223" i="40"/>
  <c r="S310" i="40"/>
  <c r="S318" i="40"/>
  <c r="G359" i="40"/>
  <c r="G363" i="40"/>
  <c r="G571" i="40"/>
  <c r="G585" i="40"/>
  <c r="G792" i="40"/>
  <c r="G835" i="40"/>
  <c r="G839" i="40"/>
  <c r="S887" i="40"/>
  <c r="G1098" i="40"/>
  <c r="G1145" i="40"/>
  <c r="G1149" i="40"/>
  <c r="G1190" i="40"/>
  <c r="G1200" i="40"/>
  <c r="M1234" i="40"/>
  <c r="M1238" i="40"/>
  <c r="G224" i="40"/>
  <c r="S322" i="40"/>
  <c r="G538" i="40"/>
  <c r="M1246" i="40"/>
  <c r="F851" i="40"/>
  <c r="F852" i="40" s="1"/>
  <c r="E866" i="40" s="1"/>
  <c r="F866" i="40" s="1"/>
  <c r="F869" i="40" s="1"/>
  <c r="S892" i="40"/>
  <c r="G358" i="40"/>
  <c r="G483" i="40"/>
  <c r="G487" i="40"/>
  <c r="G931" i="40"/>
  <c r="G935" i="40"/>
  <c r="S882" i="40"/>
  <c r="S309" i="40"/>
  <c r="M1237" i="40"/>
  <c r="G842" i="40"/>
  <c r="G1154" i="40"/>
  <c r="G1189" i="40"/>
  <c r="G1101" i="40"/>
  <c r="G930" i="40"/>
  <c r="G1152" i="40"/>
  <c r="G1195" i="40"/>
  <c r="G364" i="40"/>
  <c r="G356" i="40"/>
  <c r="G352" i="40"/>
  <c r="G484" i="40"/>
  <c r="M1243" i="40"/>
  <c r="F116" i="40"/>
  <c r="G116" i="40" s="1"/>
  <c r="Y124" i="40" s="1"/>
  <c r="G219" i="40"/>
  <c r="S312" i="40"/>
  <c r="S320" i="40"/>
  <c r="G355" i="40"/>
  <c r="G365" i="40"/>
  <c r="G232" i="40"/>
  <c r="S308" i="40"/>
  <c r="S316" i="40"/>
  <c r="G350" i="40"/>
  <c r="G353" i="40"/>
  <c r="F499" i="40"/>
  <c r="F500" i="40" s="1"/>
  <c r="E502" i="40" s="1"/>
  <c r="C6" i="40" s="1"/>
  <c r="W108" i="40" s="1"/>
  <c r="D48" i="39" s="1"/>
  <c r="G218" i="40"/>
  <c r="G575" i="40"/>
  <c r="G579" i="40"/>
  <c r="F939" i="40"/>
  <c r="F940" i="40" s="1"/>
  <c r="E942" i="40" s="1"/>
  <c r="O4" i="40" s="1"/>
  <c r="W214" i="40" s="1"/>
  <c r="D154" i="39" s="1"/>
  <c r="G843" i="40"/>
  <c r="G847" i="40"/>
  <c r="S881" i="40"/>
  <c r="S889" i="40"/>
  <c r="G1143" i="40"/>
  <c r="G1153" i="40"/>
  <c r="G1157" i="40"/>
  <c r="G1194" i="40"/>
  <c r="G1198" i="40"/>
  <c r="M1242" i="40"/>
  <c r="G222" i="40"/>
  <c r="R323" i="40"/>
  <c r="R324" i="40" s="1"/>
  <c r="Q340" i="40" s="1"/>
  <c r="F235" i="40"/>
  <c r="F236" i="40" s="1"/>
  <c r="G236" i="40" s="1"/>
  <c r="L1247" i="40"/>
  <c r="L1248" i="40" s="1"/>
  <c r="K1262" i="40" s="1"/>
  <c r="L1262" i="40" s="1"/>
  <c r="L1265" i="40" s="1"/>
  <c r="F587" i="40"/>
  <c r="F588" i="40" s="1"/>
  <c r="G588" i="40" s="1"/>
  <c r="G850" i="40"/>
  <c r="S878" i="40"/>
  <c r="G491" i="40"/>
  <c r="G495" i="40"/>
  <c r="G925" i="40"/>
  <c r="G929" i="40"/>
  <c r="S886" i="40"/>
  <c r="S307" i="40"/>
  <c r="M1241" i="40"/>
  <c r="G1187" i="40"/>
  <c r="G582" i="40"/>
  <c r="G848" i="40"/>
  <c r="G934" i="40"/>
  <c r="G488" i="40"/>
  <c r="M1233" i="40"/>
  <c r="G580" i="40"/>
  <c r="G844" i="40"/>
  <c r="R1260" i="40"/>
  <c r="S1260" i="40" s="1"/>
  <c r="F908" i="40"/>
  <c r="G908" i="40" s="1"/>
  <c r="L468" i="40"/>
  <c r="M468" i="40" s="1"/>
  <c r="R72" i="40"/>
  <c r="S72" i="40" s="1"/>
  <c r="Y121" i="40" s="1"/>
  <c r="F1260" i="40"/>
  <c r="G1260" i="40" s="1"/>
  <c r="R1040" i="40"/>
  <c r="S1040" i="40" s="1"/>
  <c r="R380" i="40"/>
  <c r="S380" i="40" s="1"/>
  <c r="L336" i="40"/>
  <c r="M336" i="40" s="1"/>
  <c r="R248" i="40"/>
  <c r="S248" i="40" s="1"/>
  <c r="R820" i="40"/>
  <c r="S820" i="40" s="1"/>
  <c r="L908" i="40"/>
  <c r="M908" i="40" s="1"/>
  <c r="L1392" i="40"/>
  <c r="M1392" i="40" s="1"/>
  <c r="R1216" i="40"/>
  <c r="S1216" i="40" s="1"/>
  <c r="R600" i="40"/>
  <c r="S600" i="40" s="1"/>
  <c r="F644" i="40"/>
  <c r="G644" i="40" s="1"/>
  <c r="R1304" i="40"/>
  <c r="S1304" i="40" s="1"/>
  <c r="L424" i="40"/>
  <c r="M424" i="40" s="1"/>
  <c r="F776" i="40"/>
  <c r="G776" i="40" s="1"/>
  <c r="R204" i="40"/>
  <c r="S204" i="40" s="1"/>
  <c r="R688" i="40"/>
  <c r="S688" i="40" s="1"/>
  <c r="R1172" i="40"/>
  <c r="S1172" i="40" s="1"/>
  <c r="L380" i="40"/>
  <c r="M380" i="40" s="1"/>
  <c r="M58" i="40"/>
  <c r="S179" i="40"/>
  <c r="S187" i="40"/>
  <c r="R191" i="40"/>
  <c r="R192" i="40" s="1"/>
  <c r="Q194" i="40" s="1"/>
  <c r="I21" i="40" s="1"/>
  <c r="W177" i="40" s="1"/>
  <c r="D117" i="39" s="1"/>
  <c r="M354" i="40"/>
  <c r="M362" i="40"/>
  <c r="S834" i="40"/>
  <c r="S839" i="40"/>
  <c r="S847" i="40"/>
  <c r="S1101" i="40"/>
  <c r="S1108" i="40"/>
  <c r="S1112" i="40"/>
  <c r="M1150" i="40"/>
  <c r="M1158" i="40"/>
  <c r="S227" i="40"/>
  <c r="R851" i="40"/>
  <c r="R852" i="40" s="1"/>
  <c r="Q866" i="40" s="1"/>
  <c r="R866" i="40" s="1"/>
  <c r="R869" i="40" s="1"/>
  <c r="R1115" i="40"/>
  <c r="R1116" i="40" s="1"/>
  <c r="Q1130" i="40" s="1"/>
  <c r="R1130" i="40" s="1"/>
  <c r="R1133" i="40" s="1"/>
  <c r="S189" i="40"/>
  <c r="G750" i="40"/>
  <c r="G758" i="40"/>
  <c r="M56" i="40"/>
  <c r="M405" i="40"/>
  <c r="M397" i="40"/>
  <c r="G446" i="40"/>
  <c r="M1151" i="40"/>
  <c r="M54" i="40"/>
  <c r="M46" i="40"/>
  <c r="S188" i="40"/>
  <c r="S177" i="40"/>
  <c r="G443" i="40"/>
  <c r="G747" i="40"/>
  <c r="S844" i="40"/>
  <c r="S1113" i="40"/>
  <c r="M1143" i="40"/>
  <c r="G749" i="40"/>
  <c r="M1157" i="40"/>
  <c r="M361" i="40"/>
  <c r="M404" i="40"/>
  <c r="G440" i="40"/>
  <c r="M402" i="40"/>
  <c r="L59" i="40"/>
  <c r="L60" i="40" s="1"/>
  <c r="K74" i="40" s="1"/>
  <c r="L74" i="40" s="1"/>
  <c r="L77" i="40" s="1"/>
  <c r="S225" i="40"/>
  <c r="S222" i="40"/>
  <c r="M350" i="40"/>
  <c r="M352" i="40"/>
  <c r="M360" i="40"/>
  <c r="M410" i="40"/>
  <c r="F455" i="40"/>
  <c r="F456" i="40" s="1"/>
  <c r="E471" i="40" s="1"/>
  <c r="F763" i="40"/>
  <c r="F764" i="40" s="1"/>
  <c r="E766" i="40" s="1"/>
  <c r="C8" i="40" s="1"/>
  <c r="W110" i="40" s="1"/>
  <c r="D50" i="39" s="1"/>
  <c r="S837" i="40"/>
  <c r="S845" i="40"/>
  <c r="S1098" i="40"/>
  <c r="S1100" i="40"/>
  <c r="S1102" i="40"/>
  <c r="S1106" i="40"/>
  <c r="M1148" i="40"/>
  <c r="M1156" i="40"/>
  <c r="G793" i="40"/>
  <c r="L1159" i="40"/>
  <c r="L1160" i="40" s="1"/>
  <c r="K1162" i="40" s="1"/>
  <c r="M366" i="40"/>
  <c r="S850" i="40"/>
  <c r="G748" i="40"/>
  <c r="G756" i="40"/>
  <c r="M45" i="40"/>
  <c r="M403" i="40"/>
  <c r="M395" i="40"/>
  <c r="G453" i="40"/>
  <c r="M1155" i="40"/>
  <c r="M51" i="40"/>
  <c r="M43" i="40"/>
  <c r="S184" i="40"/>
  <c r="G449" i="40"/>
  <c r="G441" i="40"/>
  <c r="M1149" i="40"/>
  <c r="S1099" i="40"/>
  <c r="S842" i="40"/>
  <c r="S1107" i="40"/>
  <c r="S1111" i="40"/>
  <c r="G755" i="40"/>
  <c r="G753" i="40"/>
  <c r="G757" i="40"/>
  <c r="M365" i="40"/>
  <c r="M363" i="40"/>
  <c r="M408" i="40"/>
  <c r="G444" i="40"/>
  <c r="M406" i="40"/>
  <c r="F1304" i="40"/>
  <c r="G1304" i="40" s="1"/>
  <c r="L160" i="40"/>
  <c r="M160" i="40" s="1"/>
  <c r="R468" i="40"/>
  <c r="S468" i="40" s="1"/>
  <c r="S183" i="40"/>
  <c r="M358" i="40"/>
  <c r="L411" i="40"/>
  <c r="L412" i="40" s="1"/>
  <c r="K426" i="40" s="1"/>
  <c r="L426" i="40" s="1"/>
  <c r="L429" i="40" s="1"/>
  <c r="G454" i="40"/>
  <c r="G762" i="40"/>
  <c r="G526" i="40"/>
  <c r="S835" i="40"/>
  <c r="S843" i="40"/>
  <c r="G790" i="40"/>
  <c r="S1110" i="40"/>
  <c r="M1146" i="40"/>
  <c r="M1154" i="40"/>
  <c r="S233" i="40"/>
  <c r="L367" i="40"/>
  <c r="L368" i="40" s="1"/>
  <c r="K383" i="40" s="1"/>
  <c r="S234" i="40"/>
  <c r="F1115" i="40"/>
  <c r="F1116" i="40" s="1"/>
  <c r="E1131" i="40" s="1"/>
  <c r="S181" i="40"/>
  <c r="S175" i="40"/>
  <c r="S174" i="40"/>
  <c r="G754" i="40"/>
  <c r="M48" i="40"/>
  <c r="S178" i="40"/>
  <c r="M409" i="40"/>
  <c r="M401" i="40"/>
  <c r="M394" i="40"/>
  <c r="G442" i="40"/>
  <c r="M50" i="40"/>
  <c r="M42" i="40"/>
  <c r="S180" i="40"/>
  <c r="G447" i="40"/>
  <c r="G439" i="40"/>
  <c r="S838" i="40"/>
  <c r="S848" i="40"/>
  <c r="S1109" i="40"/>
  <c r="S836" i="40"/>
  <c r="S1105" i="40"/>
  <c r="M1153" i="40"/>
  <c r="G751" i="40"/>
  <c r="M1145" i="40"/>
  <c r="G759" i="40"/>
  <c r="G761" i="40"/>
  <c r="M351" i="40"/>
  <c r="G448" i="40"/>
  <c r="M357" i="40"/>
  <c r="R512" i="40"/>
  <c r="S512" i="40" s="1"/>
  <c r="L1304" i="40"/>
  <c r="M1304" i="40" s="1"/>
  <c r="F1128" i="40"/>
  <c r="G1128" i="40" s="1"/>
  <c r="R908" i="40"/>
  <c r="S908" i="40" s="1"/>
  <c r="F512" i="40"/>
  <c r="G512" i="40" s="1"/>
  <c r="Y107" i="40" s="1"/>
  <c r="R424" i="40"/>
  <c r="S424" i="40" s="1"/>
  <c r="L248" i="40"/>
  <c r="M248" i="40" s="1"/>
  <c r="L1348" i="40"/>
  <c r="M1348" i="40" s="1"/>
  <c r="F1040" i="40"/>
  <c r="G1040" i="40" s="1"/>
  <c r="F380" i="40"/>
  <c r="G380" i="40" s="1"/>
  <c r="Y148" i="40" s="1"/>
  <c r="F336" i="40"/>
  <c r="G336" i="40" s="1"/>
  <c r="Y146" i="40" s="1"/>
  <c r="F248" i="40"/>
  <c r="G248" i="40" s="1"/>
  <c r="Y167" i="40" s="1"/>
  <c r="L864" i="40"/>
  <c r="M864" i="40" s="1"/>
  <c r="F292" i="40"/>
  <c r="G292" i="40" s="1"/>
  <c r="Y169" i="40" s="1"/>
  <c r="R732" i="40"/>
  <c r="S732" i="40" s="1"/>
  <c r="R1348" i="40"/>
  <c r="S1348" i="40" s="1"/>
  <c r="R160" i="40"/>
  <c r="S160" i="40" s="1"/>
  <c r="F1480" i="40"/>
  <c r="F1487" i="40" s="1"/>
  <c r="L1040" i="40"/>
  <c r="M1040" i="40" s="1"/>
  <c r="F424" i="40"/>
  <c r="G424" i="40" s="1"/>
  <c r="Y129" i="40" s="1"/>
  <c r="L499" i="40"/>
  <c r="L500" i="40" s="1"/>
  <c r="K516" i="40" s="1"/>
  <c r="M1189" i="40"/>
  <c r="F807" i="40"/>
  <c r="F808" i="40" s="1"/>
  <c r="G808" i="40" s="1"/>
  <c r="R1247" i="40"/>
  <c r="R1248" i="40" s="1"/>
  <c r="Q1264" i="40" s="1"/>
  <c r="S93" i="40"/>
  <c r="S101" i="40"/>
  <c r="M488" i="40"/>
  <c r="M496" i="40"/>
  <c r="M581" i="40"/>
  <c r="M928" i="40"/>
  <c r="M936" i="40"/>
  <c r="S99" i="40"/>
  <c r="S91" i="40"/>
  <c r="M497" i="40"/>
  <c r="M482" i="40"/>
  <c r="M665" i="40"/>
  <c r="M673" i="40"/>
  <c r="M925" i="40"/>
  <c r="M491" i="40"/>
  <c r="G1020" i="40"/>
  <c r="G1010" i="40"/>
  <c r="M487" i="40"/>
  <c r="M666" i="40"/>
  <c r="M927" i="40"/>
  <c r="G1111" i="40"/>
  <c r="G1099" i="40"/>
  <c r="S1234" i="40"/>
  <c r="M1188" i="40"/>
  <c r="G1014" i="40"/>
  <c r="G1017" i="40"/>
  <c r="G1025" i="40"/>
  <c r="M1200" i="40"/>
  <c r="F1392" i="40"/>
  <c r="G1392" i="40" s="1"/>
  <c r="R1128" i="40"/>
  <c r="L996" i="40"/>
  <c r="M996" i="40" s="1"/>
  <c r="L556" i="40"/>
  <c r="M556" i="40" s="1"/>
  <c r="M572" i="40"/>
  <c r="M580" i="40"/>
  <c r="G1106" i="40"/>
  <c r="S1245" i="40"/>
  <c r="Q1439" i="40"/>
  <c r="M1202" i="40"/>
  <c r="M578" i="40"/>
  <c r="M674" i="40"/>
  <c r="G796" i="40"/>
  <c r="F1027" i="40"/>
  <c r="F1028" i="40" s="1"/>
  <c r="E1043" i="40" s="1"/>
  <c r="G791" i="40"/>
  <c r="G1104" i="40"/>
  <c r="G1112" i="40"/>
  <c r="M1187" i="40"/>
  <c r="M1195" i="40"/>
  <c r="S1230" i="40"/>
  <c r="S1235" i="40"/>
  <c r="S1243" i="40"/>
  <c r="S1424" i="40"/>
  <c r="S231" i="40"/>
  <c r="G528" i="40"/>
  <c r="M586" i="40"/>
  <c r="G527" i="40"/>
  <c r="F543" i="40"/>
  <c r="F544" i="40" s="1"/>
  <c r="E559" i="40" s="1"/>
  <c r="L1203" i="40"/>
  <c r="L1204" i="40" s="1"/>
  <c r="K1220" i="40" s="1"/>
  <c r="S1246" i="40"/>
  <c r="S94" i="40"/>
  <c r="M486" i="40"/>
  <c r="M494" i="40"/>
  <c r="M585" i="40"/>
  <c r="M926" i="40"/>
  <c r="M934" i="40"/>
  <c r="S96" i="40"/>
  <c r="S88" i="40"/>
  <c r="M493" i="40"/>
  <c r="M663" i="40"/>
  <c r="M671" i="40"/>
  <c r="M929" i="40"/>
  <c r="M668" i="40"/>
  <c r="G1019" i="40"/>
  <c r="S1236" i="40"/>
  <c r="M662" i="40"/>
  <c r="M922" i="40"/>
  <c r="G1109" i="40"/>
  <c r="S1232" i="40"/>
  <c r="G1018" i="40"/>
  <c r="M1196" i="40"/>
  <c r="G1113" i="40"/>
  <c r="S1238" i="40"/>
  <c r="M571" i="40"/>
  <c r="M575" i="40"/>
  <c r="S102" i="40"/>
  <c r="M570" i="40"/>
  <c r="L939" i="40"/>
  <c r="L940" i="40" s="1"/>
  <c r="K956" i="40" s="1"/>
  <c r="M1197" i="40"/>
  <c r="S1237" i="40"/>
  <c r="G795" i="40"/>
  <c r="G804" i="40"/>
  <c r="M576" i="40"/>
  <c r="M584" i="40"/>
  <c r="L675" i="40"/>
  <c r="L676" i="40" s="1"/>
  <c r="K690" i="40" s="1"/>
  <c r="L690" i="40" s="1"/>
  <c r="L693" i="40" s="1"/>
  <c r="L695" i="40" s="1"/>
  <c r="G1026" i="40"/>
  <c r="G1100" i="40"/>
  <c r="G1110" i="40"/>
  <c r="M1193" i="40"/>
  <c r="M1201" i="40"/>
  <c r="S1233" i="40"/>
  <c r="S1241" i="40"/>
  <c r="Q1426" i="40"/>
  <c r="L10" i="40" s="1"/>
  <c r="W193" i="40" s="1"/>
  <c r="D133" i="39" s="1"/>
  <c r="G534" i="40"/>
  <c r="L587" i="40"/>
  <c r="L588" i="40" s="1"/>
  <c r="K604" i="40" s="1"/>
  <c r="S534" i="40"/>
  <c r="S224" i="40"/>
  <c r="S530" i="40"/>
  <c r="G975" i="40"/>
  <c r="G1114" i="40"/>
  <c r="S89" i="40"/>
  <c r="S97" i="40"/>
  <c r="M484" i="40"/>
  <c r="M492" i="40"/>
  <c r="M924" i="40"/>
  <c r="M932" i="40"/>
  <c r="G1011" i="40"/>
  <c r="S95" i="40"/>
  <c r="M489" i="40"/>
  <c r="M661" i="40"/>
  <c r="M669" i="40"/>
  <c r="M933" i="40"/>
  <c r="M1194" i="40"/>
  <c r="G1024" i="40"/>
  <c r="G1016" i="40"/>
  <c r="G1107" i="40"/>
  <c r="S1240" i="40"/>
  <c r="M660" i="40"/>
  <c r="G1103" i="40"/>
  <c r="G1012" i="40"/>
  <c r="G1021" i="40"/>
  <c r="M579" i="40"/>
  <c r="M583" i="40"/>
  <c r="G970" i="40"/>
  <c r="G980" i="40"/>
  <c r="S58" i="40"/>
  <c r="G981" i="40"/>
  <c r="S54" i="40"/>
  <c r="G966" i="40"/>
  <c r="F983" i="40"/>
  <c r="F984" i="40" s="1"/>
  <c r="E999" i="40" s="1"/>
  <c r="S52" i="40"/>
  <c r="S46" i="40"/>
  <c r="G974" i="40"/>
  <c r="G976" i="40"/>
  <c r="G973" i="40"/>
  <c r="G969" i="40"/>
  <c r="S44" i="40"/>
  <c r="G1105" i="40"/>
  <c r="M968" i="40"/>
  <c r="S1065" i="40"/>
  <c r="S42" i="40"/>
  <c r="S43" i="40"/>
  <c r="S45" i="40"/>
  <c r="S47" i="40"/>
  <c r="S49" i="40"/>
  <c r="S51" i="40"/>
  <c r="S53" i="40"/>
  <c r="S55" i="40"/>
  <c r="S57" i="40"/>
  <c r="G225" i="40"/>
  <c r="G230" i="40"/>
  <c r="G221" i="40"/>
  <c r="G228" i="40"/>
  <c r="M273" i="40"/>
  <c r="S799" i="40"/>
  <c r="S803" i="40"/>
  <c r="S968" i="40"/>
  <c r="S972" i="40"/>
  <c r="S974" i="40"/>
  <c r="S976" i="40"/>
  <c r="S978" i="40"/>
  <c r="S980" i="40"/>
  <c r="G967" i="40"/>
  <c r="G971" i="40"/>
  <c r="S966" i="40"/>
  <c r="R59" i="40"/>
  <c r="R60" i="40" s="1"/>
  <c r="Q76" i="40" s="1"/>
  <c r="G234" i="40"/>
  <c r="S798" i="40"/>
  <c r="G972" i="40"/>
  <c r="G977" i="40"/>
  <c r="S806" i="40"/>
  <c r="G982" i="40"/>
  <c r="G227" i="40"/>
  <c r="G231" i="40"/>
  <c r="G220" i="40"/>
  <c r="S795" i="40"/>
  <c r="S970" i="40"/>
  <c r="S973" i="40"/>
  <c r="S977" i="40"/>
  <c r="S56" i="40"/>
  <c r="S48" i="40"/>
  <c r="S226" i="40"/>
  <c r="S230" i="40"/>
  <c r="S219" i="40"/>
  <c r="S221" i="40"/>
  <c r="S223" i="40"/>
  <c r="S228" i="40"/>
  <c r="S232" i="40"/>
  <c r="S220" i="40"/>
  <c r="S528" i="40"/>
  <c r="S532" i="40"/>
  <c r="G535" i="40"/>
  <c r="G537" i="40"/>
  <c r="G539" i="40"/>
  <c r="G541" i="40"/>
  <c r="S218" i="40"/>
  <c r="S527" i="40"/>
  <c r="S531" i="40"/>
  <c r="G797" i="40"/>
  <c r="G799" i="40"/>
  <c r="G801" i="40"/>
  <c r="G803" i="40"/>
  <c r="G805" i="40"/>
  <c r="S526" i="40"/>
  <c r="G532" i="40"/>
  <c r="S536" i="40"/>
  <c r="G540" i="40"/>
  <c r="G531" i="40"/>
  <c r="G800" i="40"/>
  <c r="G542" i="40"/>
  <c r="S229" i="40"/>
  <c r="G536" i="40"/>
  <c r="S540" i="40"/>
  <c r="S529" i="40"/>
  <c r="G794" i="40"/>
  <c r="G798" i="40"/>
  <c r="G802" i="40"/>
  <c r="M262" i="40"/>
  <c r="G132" i="40"/>
  <c r="M263" i="40"/>
  <c r="M276" i="40"/>
  <c r="M266" i="40"/>
  <c r="M269" i="40"/>
  <c r="M277" i="40"/>
  <c r="S969" i="40"/>
  <c r="M972" i="40"/>
  <c r="S1059" i="40"/>
  <c r="L279" i="40"/>
  <c r="L280" i="40" s="1"/>
  <c r="K296" i="40" s="1"/>
  <c r="S981" i="40"/>
  <c r="S971" i="40"/>
  <c r="S979" i="40"/>
  <c r="M274" i="40"/>
  <c r="M268" i="40"/>
  <c r="M265" i="40"/>
  <c r="M267" i="40"/>
  <c r="M271" i="40"/>
  <c r="M275" i="40"/>
  <c r="M878" i="40"/>
  <c r="M1054" i="40"/>
  <c r="S1055" i="40"/>
  <c r="M278" i="40"/>
  <c r="M270" i="40"/>
  <c r="M272" i="40"/>
  <c r="M526" i="40"/>
  <c r="M530" i="40"/>
  <c r="M1058" i="40"/>
  <c r="G130" i="40"/>
  <c r="M218" i="40"/>
  <c r="G1318" i="40"/>
  <c r="M528" i="40"/>
  <c r="R147" i="40"/>
  <c r="R148" i="40" s="1"/>
  <c r="S146" i="40"/>
  <c r="S135" i="40"/>
  <c r="S138" i="40"/>
  <c r="S143" i="40"/>
  <c r="S133" i="40"/>
  <c r="S137" i="40"/>
  <c r="S140" i="40"/>
  <c r="S144" i="40"/>
  <c r="S145" i="40"/>
  <c r="S141" i="40"/>
  <c r="S136" i="40"/>
  <c r="S142" i="40"/>
  <c r="S131" i="40"/>
  <c r="S139" i="40"/>
  <c r="S134" i="40"/>
  <c r="S278" i="40"/>
  <c r="R279" i="40"/>
  <c r="R280" i="40" s="1"/>
  <c r="S263" i="40"/>
  <c r="S268" i="40"/>
  <c r="S270" i="40"/>
  <c r="S272" i="40"/>
  <c r="S274" i="40"/>
  <c r="S276" i="40"/>
  <c r="S271" i="40"/>
  <c r="S275" i="40"/>
  <c r="S265" i="40"/>
  <c r="S267" i="40"/>
  <c r="S269" i="40"/>
  <c r="S273" i="40"/>
  <c r="S277" i="40"/>
  <c r="F1071" i="40"/>
  <c r="F1072" i="40" s="1"/>
  <c r="G1070" i="40"/>
  <c r="G1058" i="40"/>
  <c r="G1063" i="40"/>
  <c r="G1064" i="40"/>
  <c r="G1067" i="40"/>
  <c r="G1069" i="40"/>
  <c r="G1056" i="40"/>
  <c r="G1061" i="40"/>
  <c r="G1065" i="40"/>
  <c r="G1060" i="40"/>
  <c r="G1062" i="40"/>
  <c r="G1066" i="40"/>
  <c r="G1068" i="40"/>
  <c r="G1054" i="40"/>
  <c r="K1307" i="40"/>
  <c r="K1308" i="40"/>
  <c r="K1294" i="40"/>
  <c r="F28" i="40" s="1"/>
  <c r="W157" i="40" s="1"/>
  <c r="D97" i="39" s="1"/>
  <c r="M1292" i="40"/>
  <c r="K1306" i="40"/>
  <c r="L1306" i="40" s="1"/>
  <c r="L1309" i="40" s="1"/>
  <c r="K1395" i="40"/>
  <c r="K1394" i="40"/>
  <c r="L1394" i="40" s="1"/>
  <c r="L1397" i="40" s="1"/>
  <c r="K1396" i="40"/>
  <c r="M1380" i="40"/>
  <c r="K1382" i="40"/>
  <c r="L6" i="40" s="1"/>
  <c r="W189" i="40" s="1"/>
  <c r="D129" i="39" s="1"/>
  <c r="F631" i="40"/>
  <c r="F632" i="40" s="1"/>
  <c r="G630" i="40"/>
  <c r="G619" i="40"/>
  <c r="G622" i="40"/>
  <c r="G624" i="40"/>
  <c r="G626" i="40"/>
  <c r="G628" i="40"/>
  <c r="G617" i="40"/>
  <c r="G621" i="40"/>
  <c r="G625" i="40"/>
  <c r="G629" i="40"/>
  <c r="G615" i="40"/>
  <c r="G623" i="40"/>
  <c r="G627" i="40"/>
  <c r="L807" i="40"/>
  <c r="L808" i="40" s="1"/>
  <c r="M806" i="40"/>
  <c r="M793" i="40"/>
  <c r="M795" i="40"/>
  <c r="M798" i="40"/>
  <c r="M800" i="40"/>
  <c r="M802" i="40"/>
  <c r="M804" i="40"/>
  <c r="M791" i="40"/>
  <c r="M801" i="40"/>
  <c r="M803" i="40"/>
  <c r="M805" i="40"/>
  <c r="M797" i="40"/>
  <c r="M799" i="40"/>
  <c r="G1059" i="40"/>
  <c r="S1290" i="40"/>
  <c r="R1291" i="40"/>
  <c r="R1292" i="40" s="1"/>
  <c r="S1274" i="40"/>
  <c r="S1278" i="40"/>
  <c r="S1287" i="40"/>
  <c r="S1289" i="40"/>
  <c r="S1280" i="40"/>
  <c r="S1282" i="40"/>
  <c r="S1285" i="40"/>
  <c r="S1286" i="40"/>
  <c r="S1288" i="40"/>
  <c r="S1276" i="40"/>
  <c r="S1284" i="40"/>
  <c r="S1279" i="40"/>
  <c r="R1335" i="40"/>
  <c r="R1336" i="40" s="1"/>
  <c r="S1334" i="40"/>
  <c r="S1319" i="40"/>
  <c r="S1320" i="40"/>
  <c r="S1322" i="40"/>
  <c r="S1324" i="40"/>
  <c r="S1326" i="40"/>
  <c r="S1328" i="40"/>
  <c r="S1330" i="40"/>
  <c r="S1332" i="40"/>
  <c r="S1323" i="40"/>
  <c r="S1325" i="40"/>
  <c r="S1327" i="40"/>
  <c r="S1333" i="40"/>
  <c r="S1321" i="40"/>
  <c r="S1329" i="40"/>
  <c r="S1331" i="40"/>
  <c r="G278" i="40"/>
  <c r="F279" i="40"/>
  <c r="F280" i="40" s="1"/>
  <c r="G265" i="40"/>
  <c r="G268" i="40"/>
  <c r="G270" i="40"/>
  <c r="G272" i="40"/>
  <c r="G274" i="40"/>
  <c r="G276" i="40"/>
  <c r="G263" i="40"/>
  <c r="G273" i="40"/>
  <c r="G277" i="40"/>
  <c r="G267" i="40"/>
  <c r="G269" i="40"/>
  <c r="G271" i="40"/>
  <c r="G275" i="40"/>
  <c r="G266" i="40"/>
  <c r="Q252" i="40"/>
  <c r="Q250" i="40"/>
  <c r="R250" i="40" s="1"/>
  <c r="R253" i="40" s="1"/>
  <c r="S236" i="40"/>
  <c r="Q251" i="40"/>
  <c r="Q238" i="40"/>
  <c r="I26" i="40" s="1"/>
  <c r="W182" i="40" s="1"/>
  <c r="D122" i="39" s="1"/>
  <c r="G618" i="40"/>
  <c r="Q559" i="40"/>
  <c r="S544" i="40"/>
  <c r="Q558" i="40"/>
  <c r="R558" i="40" s="1"/>
  <c r="R561" i="40" s="1"/>
  <c r="Q560" i="40"/>
  <c r="Q546" i="40"/>
  <c r="C18" i="40" s="1"/>
  <c r="W120" i="40" s="1"/>
  <c r="D60" i="39" s="1"/>
  <c r="M794" i="40"/>
  <c r="G1055" i="40"/>
  <c r="Q999" i="40"/>
  <c r="S984" i="40"/>
  <c r="Q1000" i="40"/>
  <c r="Q986" i="40"/>
  <c r="L3" i="40" s="1"/>
  <c r="W186" i="40" s="1"/>
  <c r="D126" i="39" s="1"/>
  <c r="Q998" i="40"/>
  <c r="R998" i="40" s="1"/>
  <c r="R1001" i="40" s="1"/>
  <c r="S1275" i="40"/>
  <c r="M952" i="40"/>
  <c r="M190" i="40"/>
  <c r="L191" i="40"/>
  <c r="L192" i="40" s="1"/>
  <c r="M181" i="40"/>
  <c r="M185" i="40"/>
  <c r="M189" i="40"/>
  <c r="M176" i="40"/>
  <c r="M180" i="40"/>
  <c r="M184" i="40"/>
  <c r="M188" i="40"/>
  <c r="M183" i="40"/>
  <c r="M178" i="40"/>
  <c r="M182" i="40"/>
  <c r="M179" i="40"/>
  <c r="M187" i="40"/>
  <c r="M174" i="40"/>
  <c r="M186" i="40"/>
  <c r="S130" i="40"/>
  <c r="S132" i="40"/>
  <c r="M175" i="40"/>
  <c r="L235" i="40"/>
  <c r="L236" i="40" s="1"/>
  <c r="M234" i="40"/>
  <c r="M229" i="40"/>
  <c r="M233" i="40"/>
  <c r="M224" i="40"/>
  <c r="M227" i="40"/>
  <c r="M231" i="40"/>
  <c r="M225" i="40"/>
  <c r="M230" i="40"/>
  <c r="M220" i="40"/>
  <c r="M222" i="40"/>
  <c r="M228" i="40"/>
  <c r="M219" i="40"/>
  <c r="M221" i="40"/>
  <c r="M223" i="40"/>
  <c r="M232" i="40"/>
  <c r="S262" i="40"/>
  <c r="G264" i="40"/>
  <c r="S266" i="40"/>
  <c r="L543" i="40"/>
  <c r="L544" i="40" s="1"/>
  <c r="M542" i="40"/>
  <c r="M534" i="40"/>
  <c r="M527" i="40"/>
  <c r="M531" i="40"/>
  <c r="M536" i="40"/>
  <c r="M538" i="40"/>
  <c r="M540" i="40"/>
  <c r="M533" i="40"/>
  <c r="M539" i="40"/>
  <c r="M529" i="40"/>
  <c r="M535" i="40"/>
  <c r="M537" i="40"/>
  <c r="M541" i="40"/>
  <c r="R631" i="40"/>
  <c r="R632" i="40" s="1"/>
  <c r="S630" i="40"/>
  <c r="S615" i="40"/>
  <c r="S616" i="40"/>
  <c r="S619" i="40"/>
  <c r="S620" i="40"/>
  <c r="S622" i="40"/>
  <c r="S624" i="40"/>
  <c r="S626" i="40"/>
  <c r="S628" i="40"/>
  <c r="S618" i="40"/>
  <c r="S623" i="40"/>
  <c r="S627" i="40"/>
  <c r="S617" i="40"/>
  <c r="S621" i="40"/>
  <c r="S625" i="40"/>
  <c r="S629" i="40"/>
  <c r="G620" i="40"/>
  <c r="M792" i="40"/>
  <c r="M796" i="40"/>
  <c r="L895" i="40"/>
  <c r="L896" i="40" s="1"/>
  <c r="M894" i="40"/>
  <c r="M882" i="40"/>
  <c r="M884" i="40"/>
  <c r="M886" i="40"/>
  <c r="M888" i="40"/>
  <c r="M890" i="40"/>
  <c r="M892" i="40"/>
  <c r="M879" i="40"/>
  <c r="M881" i="40"/>
  <c r="M883" i="40"/>
  <c r="M885" i="40"/>
  <c r="M887" i="40"/>
  <c r="M889" i="40"/>
  <c r="M891" i="40"/>
  <c r="M893" i="40"/>
  <c r="L1071" i="40"/>
  <c r="L1072" i="40" s="1"/>
  <c r="M1070" i="40"/>
  <c r="M1055" i="40"/>
  <c r="M1059" i="40"/>
  <c r="M1061" i="40"/>
  <c r="M1062" i="40"/>
  <c r="M1065" i="40"/>
  <c r="M1066" i="40"/>
  <c r="M1068" i="40"/>
  <c r="M1067" i="40"/>
  <c r="M1057" i="40"/>
  <c r="M1063" i="40"/>
  <c r="M1064" i="40"/>
  <c r="M1069" i="40"/>
  <c r="G1057" i="40"/>
  <c r="F895" i="40"/>
  <c r="F896" i="40" s="1"/>
  <c r="G894" i="40"/>
  <c r="G880" i="40"/>
  <c r="G881" i="40"/>
  <c r="G883" i="40"/>
  <c r="G885" i="40"/>
  <c r="G887" i="40"/>
  <c r="G889" i="40"/>
  <c r="G891" i="40"/>
  <c r="G893" i="40"/>
  <c r="G878" i="40"/>
  <c r="G882" i="40"/>
  <c r="G884" i="40"/>
  <c r="G886" i="40"/>
  <c r="G888" i="40"/>
  <c r="G890" i="40"/>
  <c r="G892" i="40"/>
  <c r="R1071" i="40"/>
  <c r="R1072" i="40" s="1"/>
  <c r="S1070" i="40"/>
  <c r="S1056" i="40"/>
  <c r="S1060" i="40"/>
  <c r="S1064" i="40"/>
  <c r="S1067" i="40"/>
  <c r="S1069" i="40"/>
  <c r="S1058" i="40"/>
  <c r="S1062" i="40"/>
  <c r="S1068" i="40"/>
  <c r="S1054" i="40"/>
  <c r="S1066" i="40"/>
  <c r="E1396" i="40"/>
  <c r="E1394" i="40"/>
  <c r="F1394" i="40" s="1"/>
  <c r="F1397" i="40" s="1"/>
  <c r="E1382" i="40"/>
  <c r="L5" i="40" s="1"/>
  <c r="W188" i="40" s="1"/>
  <c r="D128" i="39" s="1"/>
  <c r="G1380" i="40"/>
  <c r="E1395" i="40"/>
  <c r="Q1396" i="40"/>
  <c r="Q1394" i="40"/>
  <c r="R1394" i="40" s="1"/>
  <c r="R1397" i="40" s="1"/>
  <c r="Q1382" i="40"/>
  <c r="L7" i="40" s="1"/>
  <c r="W190" i="40" s="1"/>
  <c r="D130" i="39" s="1"/>
  <c r="S1380" i="40"/>
  <c r="Q1395" i="40"/>
  <c r="S1281" i="40"/>
  <c r="F1335" i="40"/>
  <c r="F1336" i="40" s="1"/>
  <c r="G1334" i="40"/>
  <c r="G1322" i="40"/>
  <c r="G1324" i="40"/>
  <c r="G1326" i="40"/>
  <c r="G1328" i="40"/>
  <c r="G1330" i="40"/>
  <c r="G1332" i="40"/>
  <c r="G1321" i="40"/>
  <c r="G1327" i="40"/>
  <c r="G1329" i="40"/>
  <c r="G1331" i="40"/>
  <c r="G1319" i="40"/>
  <c r="G1323" i="40"/>
  <c r="G1325" i="40"/>
  <c r="G1333" i="40"/>
  <c r="L1423" i="40"/>
  <c r="L1424" i="40" s="1"/>
  <c r="M1422" i="40"/>
  <c r="M1407" i="40"/>
  <c r="M1411" i="40"/>
  <c r="M1415" i="40"/>
  <c r="M1412" i="40"/>
  <c r="M1421" i="40"/>
  <c r="M1417" i="40"/>
  <c r="M1418" i="40"/>
  <c r="M1409" i="40"/>
  <c r="M1413" i="40"/>
  <c r="M1419" i="40"/>
  <c r="M1420" i="40"/>
  <c r="M1408" i="40"/>
  <c r="M1416" i="40"/>
  <c r="M1410" i="40"/>
  <c r="M1414" i="40"/>
  <c r="L1467" i="40"/>
  <c r="L1468" i="40" s="1"/>
  <c r="M1466" i="40"/>
  <c r="M1452" i="40"/>
  <c r="M1454" i="40"/>
  <c r="M1456" i="40"/>
  <c r="M1458" i="40"/>
  <c r="M1460" i="40"/>
  <c r="M1462" i="40"/>
  <c r="M1464" i="40"/>
  <c r="M1453" i="40"/>
  <c r="M1459" i="40"/>
  <c r="M1463" i="40"/>
  <c r="M1451" i="40"/>
  <c r="M1455" i="40"/>
  <c r="M1457" i="40"/>
  <c r="M1461" i="40"/>
  <c r="M1465" i="40"/>
  <c r="G614" i="40"/>
  <c r="M790" i="40"/>
  <c r="M1056" i="40"/>
  <c r="S1063" i="40"/>
  <c r="S1318" i="40"/>
  <c r="F147" i="40"/>
  <c r="F148" i="40" s="1"/>
  <c r="G146" i="40"/>
  <c r="G135" i="40"/>
  <c r="G138" i="40"/>
  <c r="G143" i="40"/>
  <c r="G133" i="40"/>
  <c r="G137" i="40"/>
  <c r="G140" i="40"/>
  <c r="G144" i="40"/>
  <c r="G136" i="40"/>
  <c r="G142" i="40"/>
  <c r="G145" i="40"/>
  <c r="G131" i="40"/>
  <c r="G139" i="40"/>
  <c r="G141" i="40"/>
  <c r="G262" i="40"/>
  <c r="S264" i="40"/>
  <c r="G879" i="40"/>
  <c r="L983" i="40"/>
  <c r="L984" i="40" s="1"/>
  <c r="M982" i="40"/>
  <c r="M967" i="40"/>
  <c r="M971" i="40"/>
  <c r="M973" i="40"/>
  <c r="M975" i="40"/>
  <c r="M977" i="40"/>
  <c r="M979" i="40"/>
  <c r="M981" i="40"/>
  <c r="M969" i="40"/>
  <c r="M974" i="40"/>
  <c r="M978" i="40"/>
  <c r="M980" i="40"/>
  <c r="M976" i="40"/>
  <c r="M970" i="40"/>
  <c r="S1057" i="40"/>
  <c r="S1283" i="40"/>
  <c r="K779" i="40" l="1"/>
  <c r="K778" i="40"/>
  <c r="L778" i="40" s="1"/>
  <c r="L781" i="40" s="1"/>
  <c r="K766" i="40"/>
  <c r="C7" i="40" s="1"/>
  <c r="W109" i="40" s="1"/>
  <c r="D49" i="39" s="1"/>
  <c r="E118" i="40"/>
  <c r="F118" i="40" s="1"/>
  <c r="F121" i="40" s="1"/>
  <c r="F123" i="40" s="1"/>
  <c r="G123" i="40" s="1"/>
  <c r="S1480" i="40"/>
  <c r="G368" i="40"/>
  <c r="E384" i="40"/>
  <c r="F79" i="40"/>
  <c r="G79" i="40" s="1"/>
  <c r="Q590" i="40"/>
  <c r="I24" i="40" s="1"/>
  <c r="W180" i="40" s="1"/>
  <c r="D120" i="39" s="1"/>
  <c r="K120" i="40"/>
  <c r="Q690" i="40"/>
  <c r="R690" i="40" s="1"/>
  <c r="R693" i="40" s="1"/>
  <c r="R695" i="40" s="1"/>
  <c r="E1250" i="40"/>
  <c r="I20" i="40" s="1"/>
  <c r="W176" i="40" s="1"/>
  <c r="D116" i="39" s="1"/>
  <c r="Q603" i="40"/>
  <c r="Q604" i="40"/>
  <c r="S588" i="40"/>
  <c r="K326" i="40"/>
  <c r="F3" i="40" s="1"/>
  <c r="W132" i="40" s="1"/>
  <c r="D72" i="39" s="1"/>
  <c r="Q692" i="40"/>
  <c r="S676" i="40"/>
  <c r="E1308" i="40"/>
  <c r="K1030" i="40"/>
  <c r="I28" i="40" s="1"/>
  <c r="W184" i="40" s="1"/>
  <c r="D124" i="39" s="1"/>
  <c r="Q678" i="40"/>
  <c r="F15" i="40" s="1"/>
  <c r="W144" i="40" s="1"/>
  <c r="D84" i="39" s="1"/>
  <c r="K867" i="40"/>
  <c r="Q515" i="40"/>
  <c r="K866" i="40"/>
  <c r="L866" i="40" s="1"/>
  <c r="L869" i="40" s="1"/>
  <c r="L871" i="40" s="1"/>
  <c r="K1351" i="40"/>
  <c r="K338" i="40"/>
  <c r="L338" i="40" s="1"/>
  <c r="L341" i="40" s="1"/>
  <c r="L343" i="40" s="1"/>
  <c r="Q778" i="40"/>
  <c r="R778" i="40" s="1"/>
  <c r="R781" i="40" s="1"/>
  <c r="R783" i="40" s="1"/>
  <c r="R785" i="40" s="1"/>
  <c r="L79" i="40"/>
  <c r="M79" i="40" s="1"/>
  <c r="E1262" i="40"/>
  <c r="F1262" i="40" s="1"/>
  <c r="F1265" i="40" s="1"/>
  <c r="F1267" i="40" s="1"/>
  <c r="G1267" i="40" s="1"/>
  <c r="E1264" i="40"/>
  <c r="K339" i="40"/>
  <c r="K340" i="40"/>
  <c r="K458" i="40"/>
  <c r="I7" i="40" s="1"/>
  <c r="W163" i="40" s="1"/>
  <c r="D103" i="39" s="1"/>
  <c r="E1263" i="40"/>
  <c r="M104" i="40"/>
  <c r="K471" i="40"/>
  <c r="Q382" i="40"/>
  <c r="R382" i="40" s="1"/>
  <c r="R385" i="40" s="1"/>
  <c r="R387" i="40" s="1"/>
  <c r="R389" i="40" s="1"/>
  <c r="K1352" i="40"/>
  <c r="E722" i="40"/>
  <c r="F17" i="40" s="1"/>
  <c r="W146" i="40" s="1"/>
  <c r="D86" i="39" s="1"/>
  <c r="G412" i="40"/>
  <c r="E1162" i="40"/>
  <c r="F16" i="40" s="1"/>
  <c r="W145" i="40" s="1"/>
  <c r="D85" i="39" s="1"/>
  <c r="Q458" i="40"/>
  <c r="F7" i="40" s="1"/>
  <c r="W136" i="40" s="1"/>
  <c r="D76" i="39" s="1"/>
  <c r="K646" i="40"/>
  <c r="L646" i="40" s="1"/>
  <c r="L649" i="40" s="1"/>
  <c r="L651" i="40" s="1"/>
  <c r="E1174" i="40"/>
  <c r="F1174" i="40" s="1"/>
  <c r="F1177" i="40" s="1"/>
  <c r="F1179" i="40" s="1"/>
  <c r="S368" i="40"/>
  <c r="Q384" i="40"/>
  <c r="M1336" i="40"/>
  <c r="Q736" i="40"/>
  <c r="E734" i="40"/>
  <c r="F734" i="40" s="1"/>
  <c r="F737" i="40" s="1"/>
  <c r="F739" i="40" s="1"/>
  <c r="F741" i="40" s="1"/>
  <c r="Q472" i="40"/>
  <c r="K648" i="40"/>
  <c r="E414" i="40"/>
  <c r="F6" i="40" s="1"/>
  <c r="W135" i="40" s="1"/>
  <c r="D75" i="39" s="1"/>
  <c r="E427" i="40"/>
  <c r="E1176" i="40"/>
  <c r="Q383" i="40"/>
  <c r="K1338" i="40"/>
  <c r="F24" i="40" s="1"/>
  <c r="W153" i="40" s="1"/>
  <c r="D93" i="39" s="1"/>
  <c r="G720" i="40"/>
  <c r="E736" i="40"/>
  <c r="Q471" i="40"/>
  <c r="E426" i="40"/>
  <c r="F426" i="40" s="1"/>
  <c r="F429" i="40" s="1"/>
  <c r="F431" i="40" s="1"/>
  <c r="F433" i="40" s="1"/>
  <c r="G1160" i="40"/>
  <c r="S456" i="40"/>
  <c r="K634" i="40"/>
  <c r="F10" i="40" s="1"/>
  <c r="W139" i="40" s="1"/>
  <c r="D79" i="39" s="1"/>
  <c r="R1443" i="40"/>
  <c r="R1445" i="40" s="1"/>
  <c r="F871" i="40"/>
  <c r="G871" i="40" s="1"/>
  <c r="Q766" i="40"/>
  <c r="C12" i="40" s="1"/>
  <c r="W114" i="40" s="1"/>
  <c r="D54" i="39" s="1"/>
  <c r="K118" i="40"/>
  <c r="L118" i="40" s="1"/>
  <c r="L121" i="40" s="1"/>
  <c r="L123" i="40" s="1"/>
  <c r="K1131" i="40"/>
  <c r="S764" i="40"/>
  <c r="Q780" i="40"/>
  <c r="K470" i="40"/>
  <c r="L470" i="40" s="1"/>
  <c r="L473" i="40" s="1"/>
  <c r="L475" i="40" s="1"/>
  <c r="L477" i="40" s="1"/>
  <c r="Z193" i="40"/>
  <c r="K119" i="40"/>
  <c r="K1132" i="40"/>
  <c r="M456" i="40"/>
  <c r="M632" i="40"/>
  <c r="K1206" i="40"/>
  <c r="C16" i="40" s="1"/>
  <c r="W118" i="40" s="1"/>
  <c r="D58" i="39" s="1"/>
  <c r="S324" i="40"/>
  <c r="Q326" i="40"/>
  <c r="C22" i="40" s="1"/>
  <c r="W124" i="40" s="1"/>
  <c r="D64" i="39" s="1"/>
  <c r="Q339" i="40"/>
  <c r="G940" i="40"/>
  <c r="Q1043" i="40"/>
  <c r="M500" i="40"/>
  <c r="Q338" i="40"/>
  <c r="R338" i="40" s="1"/>
  <c r="R341" i="40" s="1"/>
  <c r="R343" i="40" s="1"/>
  <c r="R345" i="40" s="1"/>
  <c r="E956" i="40"/>
  <c r="G500" i="40"/>
  <c r="M676" i="40"/>
  <c r="E516" i="40"/>
  <c r="G1292" i="40"/>
  <c r="K1042" i="40"/>
  <c r="L1042" i="40" s="1"/>
  <c r="L1045" i="40" s="1"/>
  <c r="L1047" i="40" s="1"/>
  <c r="L1049" i="40" s="1"/>
  <c r="K1043" i="40"/>
  <c r="Q954" i="40"/>
  <c r="R954" i="40" s="1"/>
  <c r="R957" i="40" s="1"/>
  <c r="R959" i="40" s="1"/>
  <c r="R961" i="40" s="1"/>
  <c r="K854" i="40"/>
  <c r="F26" i="40" s="1"/>
  <c r="W155" i="40" s="1"/>
  <c r="D95" i="39" s="1"/>
  <c r="E1307" i="40"/>
  <c r="M1028" i="40"/>
  <c r="S500" i="40"/>
  <c r="K868" i="40"/>
  <c r="R871" i="40"/>
  <c r="S871" i="40" s="1"/>
  <c r="R1399" i="40"/>
  <c r="R1401" i="40" s="1"/>
  <c r="Q942" i="40"/>
  <c r="O5" i="40" s="1"/>
  <c r="W215" i="40" s="1"/>
  <c r="D155" i="39" s="1"/>
  <c r="Q516" i="40"/>
  <c r="R563" i="40"/>
  <c r="R565" i="40" s="1"/>
  <c r="K780" i="40"/>
  <c r="E383" i="40"/>
  <c r="E119" i="40"/>
  <c r="E370" i="40"/>
  <c r="F29" i="40" s="1"/>
  <c r="W158" i="40" s="1"/>
  <c r="D98" i="39" s="1"/>
  <c r="G104" i="40"/>
  <c r="E120" i="40"/>
  <c r="G852" i="40"/>
  <c r="Q1219" i="40"/>
  <c r="M1204" i="40"/>
  <c r="F1399" i="40"/>
  <c r="G1399" i="40" s="1"/>
  <c r="E954" i="40"/>
  <c r="F954" i="40" s="1"/>
  <c r="F957" i="40" s="1"/>
  <c r="F959" i="40" s="1"/>
  <c r="G959" i="40" s="1"/>
  <c r="K691" i="40"/>
  <c r="K692" i="40"/>
  <c r="E514" i="40"/>
  <c r="F514" i="40" s="1"/>
  <c r="F517" i="40" s="1"/>
  <c r="F519" i="40" s="1"/>
  <c r="G519" i="40" s="1"/>
  <c r="K1130" i="40"/>
  <c r="L1130" i="40" s="1"/>
  <c r="L1133" i="40" s="1"/>
  <c r="L1135" i="40" s="1"/>
  <c r="L1137" i="40" s="1"/>
  <c r="S1028" i="40"/>
  <c r="Q1044" i="40"/>
  <c r="K514" i="40"/>
  <c r="L514" i="40" s="1"/>
  <c r="L517" i="40" s="1"/>
  <c r="L519" i="40" s="1"/>
  <c r="M519" i="40" s="1"/>
  <c r="K515" i="40"/>
  <c r="K1218" i="40"/>
  <c r="L1218" i="40" s="1"/>
  <c r="L1221" i="40" s="1"/>
  <c r="L1223" i="40" s="1"/>
  <c r="X193" i="40"/>
  <c r="E955" i="40"/>
  <c r="K678" i="40"/>
  <c r="F14" i="40" s="1"/>
  <c r="W143" i="40" s="1"/>
  <c r="D83" i="39" s="1"/>
  <c r="E515" i="40"/>
  <c r="M1116" i="40"/>
  <c r="L1399" i="40"/>
  <c r="M1399" i="40" s="1"/>
  <c r="Q1030" i="40"/>
  <c r="I13" i="40" s="1"/>
  <c r="W169" i="40" s="1"/>
  <c r="D109" i="39" s="1"/>
  <c r="K502" i="40"/>
  <c r="C28" i="40" s="1"/>
  <c r="W130" i="40" s="1"/>
  <c r="D70" i="39" s="1"/>
  <c r="K1219" i="40"/>
  <c r="L1267" i="40"/>
  <c r="M1267" i="40" s="1"/>
  <c r="R1003" i="40"/>
  <c r="S1003" i="40" s="1"/>
  <c r="R519" i="40"/>
  <c r="S519" i="40" s="1"/>
  <c r="Q1174" i="40"/>
  <c r="R1174" i="40" s="1"/>
  <c r="R1177" i="40" s="1"/>
  <c r="R1179" i="40" s="1"/>
  <c r="S1179" i="40" s="1"/>
  <c r="E590" i="40"/>
  <c r="I10" i="40" s="1"/>
  <c r="W166" i="40" s="1"/>
  <c r="D106" i="39" s="1"/>
  <c r="Q120" i="40"/>
  <c r="Q1206" i="40"/>
  <c r="C29" i="40" s="1"/>
  <c r="W131" i="40" s="1"/>
  <c r="D71" i="39" s="1"/>
  <c r="K722" i="40"/>
  <c r="F23" i="40" s="1"/>
  <c r="W152" i="40" s="1"/>
  <c r="D92" i="39" s="1"/>
  <c r="K150" i="40"/>
  <c r="F19" i="40" s="1"/>
  <c r="W148" i="40" s="1"/>
  <c r="D88" i="39" s="1"/>
  <c r="S1160" i="40"/>
  <c r="Q1176" i="40"/>
  <c r="E867" i="40"/>
  <c r="E602" i="40"/>
  <c r="F602" i="40" s="1"/>
  <c r="F605" i="40" s="1"/>
  <c r="F607" i="40" s="1"/>
  <c r="G607" i="40" s="1"/>
  <c r="Q1220" i="40"/>
  <c r="K734" i="40"/>
  <c r="L734" i="40" s="1"/>
  <c r="L737" i="40" s="1"/>
  <c r="L739" i="40" s="1"/>
  <c r="L741" i="40" s="1"/>
  <c r="K162" i="40"/>
  <c r="L162" i="40" s="1"/>
  <c r="L165" i="40" s="1"/>
  <c r="L167" i="40" s="1"/>
  <c r="M167" i="40" s="1"/>
  <c r="E868" i="40"/>
  <c r="S104" i="40"/>
  <c r="Q1218" i="40"/>
  <c r="R1218" i="40" s="1"/>
  <c r="R1221" i="40" s="1"/>
  <c r="R1223" i="40" s="1"/>
  <c r="R1225" i="40" s="1"/>
  <c r="K736" i="40"/>
  <c r="K163" i="40"/>
  <c r="Q1175" i="40"/>
  <c r="Q1250" i="40"/>
  <c r="C14" i="40" s="1"/>
  <c r="W116" i="40" s="1"/>
  <c r="D56" i="39" s="1"/>
  <c r="Q119" i="40"/>
  <c r="M720" i="40"/>
  <c r="M148" i="40"/>
  <c r="K1174" i="40"/>
  <c r="L1174" i="40" s="1"/>
  <c r="L1177" i="40" s="1"/>
  <c r="L1179" i="40" s="1"/>
  <c r="L1181" i="40" s="1"/>
  <c r="E998" i="40"/>
  <c r="F998" i="40" s="1"/>
  <c r="F1001" i="40" s="1"/>
  <c r="F1003" i="40" s="1"/>
  <c r="F1005" i="40" s="1"/>
  <c r="K954" i="40"/>
  <c r="L954" i="40" s="1"/>
  <c r="L957" i="40" s="1"/>
  <c r="L959" i="40" s="1"/>
  <c r="M959" i="40" s="1"/>
  <c r="K1263" i="40"/>
  <c r="Q822" i="40"/>
  <c r="R822" i="40" s="1"/>
  <c r="R825" i="40" s="1"/>
  <c r="R827" i="40" s="1"/>
  <c r="S827" i="40" s="1"/>
  <c r="G60" i="40"/>
  <c r="S940" i="40"/>
  <c r="Q956" i="40"/>
  <c r="Q502" i="40"/>
  <c r="C21" i="40" s="1"/>
  <c r="W123" i="40" s="1"/>
  <c r="D63" i="39" s="1"/>
  <c r="K370" i="40"/>
  <c r="C10" i="40" s="1"/>
  <c r="W112" i="40" s="1"/>
  <c r="D52" i="39" s="1"/>
  <c r="K955" i="40"/>
  <c r="M1248" i="40"/>
  <c r="E1294" i="40"/>
  <c r="I5" i="40" s="1"/>
  <c r="W161" i="40" s="1"/>
  <c r="D101" i="39" s="1"/>
  <c r="Q854" i="40"/>
  <c r="I18" i="40" s="1"/>
  <c r="W174" i="40" s="1"/>
  <c r="D114" i="39" s="1"/>
  <c r="Q823" i="40"/>
  <c r="E76" i="40"/>
  <c r="Q910" i="40"/>
  <c r="R910" i="40" s="1"/>
  <c r="R913" i="40" s="1"/>
  <c r="R915" i="40" s="1"/>
  <c r="R917" i="40" s="1"/>
  <c r="S720" i="40"/>
  <c r="E250" i="40"/>
  <c r="F250" i="40" s="1"/>
  <c r="F253" i="40" s="1"/>
  <c r="F255" i="40" s="1"/>
  <c r="F257" i="40" s="1"/>
  <c r="E1030" i="40"/>
  <c r="I4" i="40" s="1"/>
  <c r="W160" i="40" s="1"/>
  <c r="D100" i="39" s="1"/>
  <c r="E824" i="40"/>
  <c r="Q911" i="40"/>
  <c r="E690" i="40"/>
  <c r="F690" i="40" s="1"/>
  <c r="F693" i="40" s="1"/>
  <c r="F695" i="40" s="1"/>
  <c r="F697" i="40" s="1"/>
  <c r="G192" i="40"/>
  <c r="E1218" i="40"/>
  <c r="F1218" i="40" s="1"/>
  <c r="F1221" i="40" s="1"/>
  <c r="F1223" i="40" s="1"/>
  <c r="G1223" i="40" s="1"/>
  <c r="Q426" i="40"/>
  <c r="R426" i="40" s="1"/>
  <c r="R429" i="40" s="1"/>
  <c r="R431" i="40" s="1"/>
  <c r="S431" i="40" s="1"/>
  <c r="Q735" i="40"/>
  <c r="E692" i="40"/>
  <c r="E472" i="40"/>
  <c r="G1204" i="40"/>
  <c r="Q428" i="40"/>
  <c r="E194" i="40"/>
  <c r="F21" i="40" s="1"/>
  <c r="W150" i="40" s="1"/>
  <c r="D90" i="39" s="1"/>
  <c r="Q868" i="40"/>
  <c r="K1250" i="40"/>
  <c r="F8" i="40" s="1"/>
  <c r="W137" i="40" s="1"/>
  <c r="D77" i="39" s="1"/>
  <c r="Q810" i="40"/>
  <c r="I11" i="40" s="1"/>
  <c r="W167" i="40" s="1"/>
  <c r="D107" i="39" s="1"/>
  <c r="K590" i="40"/>
  <c r="I22" i="40" s="1"/>
  <c r="W178" i="40" s="1"/>
  <c r="D118" i="39" s="1"/>
  <c r="Q898" i="40"/>
  <c r="O8" i="40" s="1"/>
  <c r="W218" i="40" s="1"/>
  <c r="D158" i="39" s="1"/>
  <c r="K1264" i="40"/>
  <c r="Q912" i="40"/>
  <c r="Q722" i="40"/>
  <c r="C17" i="40" s="1"/>
  <c r="W119" i="40" s="1"/>
  <c r="D59" i="39" s="1"/>
  <c r="G676" i="40"/>
  <c r="S192" i="40"/>
  <c r="E1220" i="40"/>
  <c r="E1219" i="40"/>
  <c r="Q75" i="40"/>
  <c r="S412" i="40"/>
  <c r="E206" i="40"/>
  <c r="F206" i="40" s="1"/>
  <c r="F209" i="40" s="1"/>
  <c r="F211" i="40" s="1"/>
  <c r="F213" i="40" s="1"/>
  <c r="E207" i="40"/>
  <c r="E75" i="40"/>
  <c r="Q824" i="40"/>
  <c r="E62" i="40"/>
  <c r="I15" i="40" s="1"/>
  <c r="W171" i="40" s="1"/>
  <c r="D111" i="39" s="1"/>
  <c r="S852" i="40"/>
  <c r="E678" i="40"/>
  <c r="F12" i="40" s="1"/>
  <c r="W141" i="40" s="1"/>
  <c r="D81" i="39" s="1"/>
  <c r="Q414" i="40"/>
  <c r="I9" i="40" s="1"/>
  <c r="W165" i="40" s="1"/>
  <c r="D105" i="39" s="1"/>
  <c r="R123" i="40"/>
  <c r="R125" i="40" s="1"/>
  <c r="Q1132" i="40"/>
  <c r="E854" i="40"/>
  <c r="C26" i="40" s="1"/>
  <c r="W128" i="40" s="1"/>
  <c r="D68" i="39" s="1"/>
  <c r="E603" i="40"/>
  <c r="E604" i="40"/>
  <c r="L783" i="40"/>
  <c r="M783" i="40" s="1"/>
  <c r="Q106" i="40"/>
  <c r="C25" i="40" s="1"/>
  <c r="W127" i="40" s="1"/>
  <c r="D67" i="39" s="1"/>
  <c r="E1130" i="40"/>
  <c r="F1130" i="40" s="1"/>
  <c r="F1133" i="40" s="1"/>
  <c r="F1135" i="40" s="1"/>
  <c r="G1135" i="40" s="1"/>
  <c r="E546" i="40"/>
  <c r="C20" i="40" s="1"/>
  <c r="W122" i="40" s="1"/>
  <c r="D62" i="39" s="1"/>
  <c r="G1436" i="40"/>
  <c r="K414" i="40"/>
  <c r="F5" i="40" s="1"/>
  <c r="W134" i="40" s="1"/>
  <c r="D74" i="39" s="1"/>
  <c r="L1355" i="40"/>
  <c r="M1355" i="40" s="1"/>
  <c r="K295" i="40"/>
  <c r="S1248" i="40"/>
  <c r="R475" i="40"/>
  <c r="R477" i="40" s="1"/>
  <c r="E778" i="40"/>
  <c r="F778" i="40" s="1"/>
  <c r="F781" i="40" s="1"/>
  <c r="F783" i="40" s="1"/>
  <c r="K76" i="40"/>
  <c r="Q1262" i="40"/>
  <c r="R1262" i="40" s="1"/>
  <c r="R1265" i="40" s="1"/>
  <c r="R1267" i="40" s="1"/>
  <c r="R1269" i="40" s="1"/>
  <c r="S1116" i="40"/>
  <c r="E1132" i="40"/>
  <c r="E558" i="40"/>
  <c r="F558" i="40" s="1"/>
  <c r="F561" i="40" s="1"/>
  <c r="F563" i="40" s="1"/>
  <c r="G563" i="40" s="1"/>
  <c r="G764" i="40"/>
  <c r="E780" i="40"/>
  <c r="M60" i="40"/>
  <c r="K75" i="40"/>
  <c r="Q1263" i="40"/>
  <c r="Q1118" i="40"/>
  <c r="F13" i="40" s="1"/>
  <c r="W142" i="40" s="1"/>
  <c r="D82" i="39" s="1"/>
  <c r="Q1131" i="40"/>
  <c r="G1116" i="40"/>
  <c r="G544" i="40"/>
  <c r="E779" i="40"/>
  <c r="K62" i="40"/>
  <c r="I14" i="40" s="1"/>
  <c r="W170" i="40" s="1"/>
  <c r="D110" i="39" s="1"/>
  <c r="M280" i="40"/>
  <c r="E1118" i="40"/>
  <c r="F9" i="40" s="1"/>
  <c r="W138" i="40" s="1"/>
  <c r="D78" i="39" s="1"/>
  <c r="E560" i="40"/>
  <c r="R1135" i="40"/>
  <c r="R1137" i="40" s="1"/>
  <c r="S1128" i="40"/>
  <c r="R255" i="40"/>
  <c r="S255" i="40" s="1"/>
  <c r="K382" i="40"/>
  <c r="L382" i="40" s="1"/>
  <c r="L385" i="40" s="1"/>
  <c r="L387" i="40" s="1"/>
  <c r="E251" i="40"/>
  <c r="E252" i="40"/>
  <c r="F387" i="40"/>
  <c r="F389" i="40" s="1"/>
  <c r="Q62" i="40"/>
  <c r="C24" i="40" s="1"/>
  <c r="W126" i="40" s="1"/>
  <c r="D66" i="39" s="1"/>
  <c r="L1311" i="40"/>
  <c r="L1313" i="40" s="1"/>
  <c r="E1042" i="40"/>
  <c r="F1042" i="40" s="1"/>
  <c r="F1045" i="40" s="1"/>
  <c r="F1047" i="40" s="1"/>
  <c r="F1049" i="40" s="1"/>
  <c r="M940" i="40"/>
  <c r="K1176" i="40"/>
  <c r="E1000" i="40"/>
  <c r="M1160" i="40"/>
  <c r="K1175" i="40"/>
  <c r="G984" i="40"/>
  <c r="K384" i="40"/>
  <c r="E238" i="40"/>
  <c r="I23" i="40" s="1"/>
  <c r="W179" i="40" s="1"/>
  <c r="D119" i="39" s="1"/>
  <c r="Q74" i="40"/>
  <c r="R74" i="40" s="1"/>
  <c r="R77" i="40" s="1"/>
  <c r="R79" i="40" s="1"/>
  <c r="S79" i="40" s="1"/>
  <c r="G1028" i="40"/>
  <c r="E1044" i="40"/>
  <c r="K942" i="40"/>
  <c r="O3" i="40" s="1"/>
  <c r="W213" i="40" s="1"/>
  <c r="D153" i="39" s="1"/>
  <c r="G1480" i="40"/>
  <c r="F1311" i="40"/>
  <c r="G1311" i="40" s="1"/>
  <c r="E986" i="40"/>
  <c r="O6" i="40" s="1"/>
  <c r="W216" i="40" s="1"/>
  <c r="D156" i="39" s="1"/>
  <c r="M368" i="40"/>
  <c r="S60" i="40"/>
  <c r="L431" i="40"/>
  <c r="L433" i="40" s="1"/>
  <c r="K602" i="40"/>
  <c r="L602" i="40" s="1"/>
  <c r="L605" i="40" s="1"/>
  <c r="L607" i="40" s="1"/>
  <c r="L609" i="40" s="1"/>
  <c r="E470" i="40"/>
  <c r="F470" i="40" s="1"/>
  <c r="F473" i="40" s="1"/>
  <c r="F475" i="40" s="1"/>
  <c r="F477" i="40" s="1"/>
  <c r="Q206" i="40"/>
  <c r="R206" i="40" s="1"/>
  <c r="R209" i="40" s="1"/>
  <c r="R211" i="40" s="1"/>
  <c r="R213" i="40" s="1"/>
  <c r="Q207" i="40"/>
  <c r="E810" i="40"/>
  <c r="I12" i="40" s="1"/>
  <c r="W168" i="40" s="1"/>
  <c r="D108" i="39" s="1"/>
  <c r="E823" i="40"/>
  <c r="K427" i="40"/>
  <c r="K428" i="40"/>
  <c r="Q867" i="40"/>
  <c r="R607" i="40"/>
  <c r="R609" i="40" s="1"/>
  <c r="M588" i="40"/>
  <c r="K603" i="40"/>
  <c r="R739" i="40"/>
  <c r="S739" i="40" s="1"/>
  <c r="E458" i="40"/>
  <c r="I8" i="40" s="1"/>
  <c r="W164" i="40" s="1"/>
  <c r="D104" i="39" s="1"/>
  <c r="Q208" i="40"/>
  <c r="E822" i="40"/>
  <c r="F822" i="40" s="1"/>
  <c r="F825" i="40" s="1"/>
  <c r="F827" i="40" s="1"/>
  <c r="F829" i="40" s="1"/>
  <c r="M412" i="40"/>
  <c r="G456" i="40"/>
  <c r="R1047" i="40"/>
  <c r="S1047" i="40" s="1"/>
  <c r="K294" i="40"/>
  <c r="L294" i="40" s="1"/>
  <c r="L297" i="40" s="1"/>
  <c r="L299" i="40" s="1"/>
  <c r="L301" i="40" s="1"/>
  <c r="K282" i="40"/>
  <c r="C3" i="40" s="1"/>
  <c r="W105" i="40" s="1"/>
  <c r="D45" i="39" s="1"/>
  <c r="L697" i="40"/>
  <c r="M695" i="40"/>
  <c r="R873" i="40"/>
  <c r="E150" i="40"/>
  <c r="G151" i="40" s="1"/>
  <c r="E163" i="40"/>
  <c r="E162" i="40"/>
  <c r="F162" i="40" s="1"/>
  <c r="F165" i="40" s="1"/>
  <c r="F167" i="40" s="1"/>
  <c r="E164" i="40"/>
  <c r="G148" i="40"/>
  <c r="C5" i="40"/>
  <c r="W107" i="40" s="1"/>
  <c r="D47" i="39" s="1"/>
  <c r="D164" i="39"/>
  <c r="L125" i="40"/>
  <c r="M123" i="40"/>
  <c r="K1438" i="40"/>
  <c r="L1438" i="40" s="1"/>
  <c r="L1441" i="40" s="1"/>
  <c r="L1443" i="40" s="1"/>
  <c r="K1426" i="40"/>
  <c r="L9" i="40" s="1"/>
  <c r="W192" i="40" s="1"/>
  <c r="D132" i="39" s="1"/>
  <c r="M1424" i="40"/>
  <c r="K1440" i="40"/>
  <c r="K1439" i="40"/>
  <c r="E1351" i="40"/>
  <c r="E1350" i="40"/>
  <c r="F1350" i="40" s="1"/>
  <c r="F1353" i="40" s="1"/>
  <c r="F1355" i="40" s="1"/>
  <c r="E1338" i="40"/>
  <c r="F27" i="40" s="1"/>
  <c r="W156" i="40" s="1"/>
  <c r="D96" i="39" s="1"/>
  <c r="G1336" i="40"/>
  <c r="E1352" i="40"/>
  <c r="X190" i="40"/>
  <c r="Z190" i="40"/>
  <c r="K1088" i="40"/>
  <c r="K1086" i="40"/>
  <c r="L1086" i="40" s="1"/>
  <c r="L1089" i="40" s="1"/>
  <c r="L1091" i="40" s="1"/>
  <c r="L1093" i="40" s="1"/>
  <c r="K1087" i="40"/>
  <c r="K1074" i="40"/>
  <c r="C23" i="40" s="1"/>
  <c r="W125" i="40" s="1"/>
  <c r="D65" i="39" s="1"/>
  <c r="K912" i="40"/>
  <c r="K910" i="40"/>
  <c r="L910" i="40" s="1"/>
  <c r="L913" i="40" s="1"/>
  <c r="L915" i="40" s="1"/>
  <c r="K898" i="40"/>
  <c r="O7" i="40" s="1"/>
  <c r="W217" i="40" s="1"/>
  <c r="D157" i="39" s="1"/>
  <c r="M896" i="40"/>
  <c r="K911" i="40"/>
  <c r="X109" i="40"/>
  <c r="Z109" i="40"/>
  <c r="X136" i="40"/>
  <c r="Z136" i="40"/>
  <c r="K251" i="40"/>
  <c r="K238" i="40"/>
  <c r="C11" i="40" s="1"/>
  <c r="W113" i="40" s="1"/>
  <c r="D53" i="39" s="1"/>
  <c r="M236" i="40"/>
  <c r="K250" i="40"/>
  <c r="L250" i="40" s="1"/>
  <c r="L253" i="40" s="1"/>
  <c r="L255" i="40" s="1"/>
  <c r="K252" i="40"/>
  <c r="S783" i="40"/>
  <c r="R1489" i="40"/>
  <c r="S1487" i="40"/>
  <c r="X117" i="40"/>
  <c r="Z117" i="40"/>
  <c r="E296" i="40"/>
  <c r="E294" i="40"/>
  <c r="F294" i="40" s="1"/>
  <c r="F297" i="40" s="1"/>
  <c r="F299" i="40" s="1"/>
  <c r="E282" i="40"/>
  <c r="I25" i="40" s="1"/>
  <c r="W181" i="40" s="1"/>
  <c r="D121" i="39" s="1"/>
  <c r="E295" i="40"/>
  <c r="G280" i="40"/>
  <c r="X185" i="40"/>
  <c r="Z185" i="40"/>
  <c r="Q1308" i="40"/>
  <c r="Q1306" i="40"/>
  <c r="R1306" i="40" s="1"/>
  <c r="R1309" i="40" s="1"/>
  <c r="R1311" i="40" s="1"/>
  <c r="Q1294" i="40"/>
  <c r="C13" i="40" s="1"/>
  <c r="W115" i="40" s="1"/>
  <c r="D55" i="39" s="1"/>
  <c r="Q1307" i="40"/>
  <c r="S1292" i="40"/>
  <c r="K824" i="40"/>
  <c r="K822" i="40"/>
  <c r="L822" i="40" s="1"/>
  <c r="L825" i="40" s="1"/>
  <c r="L827" i="40" s="1"/>
  <c r="K810" i="40"/>
  <c r="I6" i="40" s="1"/>
  <c r="W162" i="40" s="1"/>
  <c r="D102" i="39" s="1"/>
  <c r="M808" i="40"/>
  <c r="K823" i="40"/>
  <c r="L81" i="40"/>
  <c r="G1443" i="40"/>
  <c r="F1445" i="40"/>
  <c r="X157" i="40"/>
  <c r="Z157" i="40"/>
  <c r="Q296" i="40"/>
  <c r="Q294" i="40"/>
  <c r="R294" i="40" s="1"/>
  <c r="R297" i="40" s="1"/>
  <c r="R299" i="40" s="1"/>
  <c r="Q282" i="40"/>
  <c r="C4" i="40" s="1"/>
  <c r="W106" i="40" s="1"/>
  <c r="D46" i="39" s="1"/>
  <c r="Q295" i="40"/>
  <c r="S280" i="40"/>
  <c r="S1399" i="40"/>
  <c r="K1000" i="40"/>
  <c r="K998" i="40"/>
  <c r="L998" i="40" s="1"/>
  <c r="L1001" i="40" s="1"/>
  <c r="L1003" i="40" s="1"/>
  <c r="K986" i="40"/>
  <c r="I3" i="40" s="1"/>
  <c r="W159" i="40" s="1"/>
  <c r="D99" i="39" s="1"/>
  <c r="M984" i="40"/>
  <c r="K999" i="40"/>
  <c r="X180" i="40"/>
  <c r="X133" i="40"/>
  <c r="Z133" i="40"/>
  <c r="K1484" i="40"/>
  <c r="K1482" i="40"/>
  <c r="L1482" i="40" s="1"/>
  <c r="L1485" i="40" s="1"/>
  <c r="L1487" i="40" s="1"/>
  <c r="K1470" i="40"/>
  <c r="L12" i="40" s="1"/>
  <c r="W195" i="40" s="1"/>
  <c r="D135" i="39" s="1"/>
  <c r="M1468" i="40"/>
  <c r="K1483" i="40"/>
  <c r="X188" i="40"/>
  <c r="Z188" i="40"/>
  <c r="Q1087" i="40"/>
  <c r="Q1074" i="40"/>
  <c r="I17" i="40" s="1"/>
  <c r="W173" i="40" s="1"/>
  <c r="D113" i="39" s="1"/>
  <c r="Q1086" i="40"/>
  <c r="R1086" i="40" s="1"/>
  <c r="R1089" i="40" s="1"/>
  <c r="R1091" i="40" s="1"/>
  <c r="S1072" i="40"/>
  <c r="Q1088" i="40"/>
  <c r="E911" i="40"/>
  <c r="G896" i="40"/>
  <c r="E912" i="40"/>
  <c r="E910" i="40"/>
  <c r="F910" i="40" s="1"/>
  <c r="F913" i="40" s="1"/>
  <c r="F915" i="40" s="1"/>
  <c r="E898" i="40"/>
  <c r="I19" i="40" s="1"/>
  <c r="W175" i="40" s="1"/>
  <c r="D115" i="39" s="1"/>
  <c r="X214" i="40"/>
  <c r="Z214" i="40"/>
  <c r="Q648" i="40"/>
  <c r="Q646" i="40"/>
  <c r="R646" i="40" s="1"/>
  <c r="R649" i="40" s="1"/>
  <c r="R651" i="40" s="1"/>
  <c r="Q647" i="40"/>
  <c r="S632" i="40"/>
  <c r="Q634" i="40"/>
  <c r="F11" i="40" s="1"/>
  <c r="W140" i="40" s="1"/>
  <c r="D80" i="39" s="1"/>
  <c r="K560" i="40"/>
  <c r="K558" i="40"/>
  <c r="L558" i="40" s="1"/>
  <c r="L561" i="40" s="1"/>
  <c r="L563" i="40" s="1"/>
  <c r="K546" i="40"/>
  <c r="C19" i="40" s="1"/>
  <c r="W121" i="40" s="1"/>
  <c r="D61" i="39" s="1"/>
  <c r="M544" i="40"/>
  <c r="K559" i="40"/>
  <c r="X108" i="40"/>
  <c r="Z108" i="40"/>
  <c r="X177" i="40"/>
  <c r="Z177" i="40"/>
  <c r="K208" i="40"/>
  <c r="K206" i="40"/>
  <c r="L206" i="40" s="1"/>
  <c r="L209" i="40" s="1"/>
  <c r="L211" i="40" s="1"/>
  <c r="K207" i="40"/>
  <c r="K194" i="40"/>
  <c r="F22" i="40" s="1"/>
  <c r="W151" i="40" s="1"/>
  <c r="D91" i="39" s="1"/>
  <c r="M192" i="40"/>
  <c r="X186" i="40"/>
  <c r="Z186" i="40"/>
  <c r="Z139" i="40"/>
  <c r="X120" i="40"/>
  <c r="Z120" i="40"/>
  <c r="X182" i="40"/>
  <c r="Z182" i="40"/>
  <c r="Q1351" i="40"/>
  <c r="S1336" i="40"/>
  <c r="Q1350" i="40"/>
  <c r="R1350" i="40" s="1"/>
  <c r="R1353" i="40" s="1"/>
  <c r="R1355" i="40" s="1"/>
  <c r="Q1352" i="40"/>
  <c r="Q1338" i="40"/>
  <c r="L4" i="40" s="1"/>
  <c r="W187" i="40" s="1"/>
  <c r="D127" i="39" s="1"/>
  <c r="X111" i="40"/>
  <c r="Z111" i="40"/>
  <c r="E648" i="40"/>
  <c r="E647" i="40"/>
  <c r="G632" i="40"/>
  <c r="E646" i="40"/>
  <c r="F646" i="40" s="1"/>
  <c r="F649" i="40" s="1"/>
  <c r="F651" i="40" s="1"/>
  <c r="E634" i="40"/>
  <c r="X189" i="40"/>
  <c r="Z189" i="40"/>
  <c r="E1087" i="40"/>
  <c r="E1074" i="40"/>
  <c r="I16" i="40" s="1"/>
  <c r="W172" i="40" s="1"/>
  <c r="D112" i="39" s="1"/>
  <c r="G1072" i="40"/>
  <c r="E1086" i="40"/>
  <c r="F1086" i="40" s="1"/>
  <c r="F1089" i="40" s="1"/>
  <c r="F1091" i="40" s="1"/>
  <c r="E1088" i="40"/>
  <c r="X110" i="40"/>
  <c r="Z110" i="40"/>
  <c r="Q163" i="40"/>
  <c r="S148" i="40"/>
  <c r="Q164" i="40"/>
  <c r="Q162" i="40"/>
  <c r="R162" i="40" s="1"/>
  <c r="R165" i="40" s="1"/>
  <c r="R167" i="40" s="1"/>
  <c r="Q150" i="40"/>
  <c r="F20" i="40" s="1"/>
  <c r="W149" i="40" s="1"/>
  <c r="D89" i="39" s="1"/>
  <c r="X129" i="40"/>
  <c r="Z129" i="40"/>
  <c r="F1489" i="40"/>
  <c r="G1487" i="40"/>
  <c r="X163" i="40" l="1"/>
  <c r="X139" i="40"/>
  <c r="F81" i="40"/>
  <c r="L521" i="40"/>
  <c r="Z132" i="40"/>
  <c r="I27" i="40"/>
  <c r="W183" i="40" s="1"/>
  <c r="D123" i="39" s="1"/>
  <c r="X176" i="40"/>
  <c r="X118" i="40"/>
  <c r="Z118" i="40"/>
  <c r="X132" i="40"/>
  <c r="X144" i="40"/>
  <c r="Z180" i="40"/>
  <c r="S959" i="40"/>
  <c r="F306" i="40"/>
  <c r="Z145" i="40"/>
  <c r="Z153" i="40"/>
  <c r="X135" i="40"/>
  <c r="X145" i="40"/>
  <c r="S1443" i="40"/>
  <c r="X153" i="40"/>
  <c r="Z135" i="40"/>
  <c r="Z158" i="40"/>
  <c r="Z215" i="40"/>
  <c r="Z163" i="40"/>
  <c r="X158" i="40"/>
  <c r="Z176" i="40"/>
  <c r="Z114" i="40"/>
  <c r="X143" i="40"/>
  <c r="F521" i="40"/>
  <c r="Z124" i="40"/>
  <c r="L345" i="40"/>
  <c r="M343" i="40"/>
  <c r="M871" i="40"/>
  <c r="L873" i="40"/>
  <c r="Z146" i="40"/>
  <c r="X146" i="40"/>
  <c r="S343" i="40"/>
  <c r="S563" i="40"/>
  <c r="F873" i="40"/>
  <c r="X114" i="40"/>
  <c r="Z144" i="40"/>
  <c r="L1269" i="40"/>
  <c r="L1401" i="40"/>
  <c r="Z143" i="40"/>
  <c r="S695" i="40"/>
  <c r="R697" i="40"/>
  <c r="R1005" i="40"/>
  <c r="Z169" i="40"/>
  <c r="X215" i="40"/>
  <c r="F961" i="40"/>
  <c r="Z130" i="40"/>
  <c r="X130" i="40"/>
  <c r="X124" i="40"/>
  <c r="L653" i="40"/>
  <c r="M651" i="40"/>
  <c r="R521" i="40"/>
  <c r="F1181" i="40"/>
  <c r="G1179" i="40"/>
  <c r="X152" i="40"/>
  <c r="M1223" i="40"/>
  <c r="L1225" i="40"/>
  <c r="X169" i="40"/>
  <c r="Z155" i="40"/>
  <c r="F1401" i="40"/>
  <c r="X155" i="40"/>
  <c r="X148" i="40"/>
  <c r="F609" i="40"/>
  <c r="Z148" i="40"/>
  <c r="L961" i="40"/>
  <c r="Z123" i="40"/>
  <c r="R829" i="40"/>
  <c r="F1225" i="40"/>
  <c r="X123" i="40"/>
  <c r="Z161" i="40"/>
  <c r="Z131" i="40"/>
  <c r="Z116" i="40"/>
  <c r="M739" i="40"/>
  <c r="M1179" i="40"/>
  <c r="X161" i="40"/>
  <c r="X131" i="40"/>
  <c r="X116" i="40"/>
  <c r="Z112" i="40"/>
  <c r="X174" i="40"/>
  <c r="Z178" i="40"/>
  <c r="G695" i="40"/>
  <c r="Z166" i="40"/>
  <c r="X166" i="40"/>
  <c r="G211" i="40"/>
  <c r="X112" i="40"/>
  <c r="Z152" i="40"/>
  <c r="Z174" i="40"/>
  <c r="X168" i="40"/>
  <c r="X178" i="40"/>
  <c r="Z119" i="40"/>
  <c r="X119" i="40"/>
  <c r="X150" i="40"/>
  <c r="Z218" i="40"/>
  <c r="S1267" i="40"/>
  <c r="G1003" i="40"/>
  <c r="L1357" i="40"/>
  <c r="Z179" i="40"/>
  <c r="X160" i="40"/>
  <c r="Z137" i="40"/>
  <c r="S123" i="40"/>
  <c r="Z165" i="40"/>
  <c r="Z160" i="40"/>
  <c r="X137" i="40"/>
  <c r="L785" i="40"/>
  <c r="X218" i="40"/>
  <c r="Z171" i="40"/>
  <c r="X171" i="40"/>
  <c r="Z150" i="40"/>
  <c r="F1269" i="40"/>
  <c r="G1047" i="40"/>
  <c r="X179" i="40"/>
  <c r="F565" i="40"/>
  <c r="L169" i="40"/>
  <c r="Z213" i="40"/>
  <c r="M607" i="40"/>
  <c r="X165" i="40"/>
  <c r="Z170" i="40"/>
  <c r="F125" i="40"/>
  <c r="X170" i="40"/>
  <c r="S211" i="40"/>
  <c r="Z127" i="40"/>
  <c r="X126" i="40"/>
  <c r="X142" i="40"/>
  <c r="R741" i="40"/>
  <c r="G387" i="40"/>
  <c r="X128" i="40"/>
  <c r="S607" i="40"/>
  <c r="F1313" i="40"/>
  <c r="M1135" i="40"/>
  <c r="R257" i="40"/>
  <c r="F1137" i="40"/>
  <c r="Z128" i="40"/>
  <c r="Z141" i="40"/>
  <c r="S1135" i="40"/>
  <c r="X167" i="40"/>
  <c r="G739" i="40"/>
  <c r="X141" i="40"/>
  <c r="Z167" i="40"/>
  <c r="Z164" i="40"/>
  <c r="R1181" i="40"/>
  <c r="Z126" i="40"/>
  <c r="Z138" i="40"/>
  <c r="M1047" i="40"/>
  <c r="Z134" i="40"/>
  <c r="G827" i="40"/>
  <c r="X138" i="40"/>
  <c r="X134" i="40"/>
  <c r="X127" i="40"/>
  <c r="S475" i="40"/>
  <c r="S387" i="40"/>
  <c r="R1049" i="40"/>
  <c r="G475" i="40"/>
  <c r="G431" i="40"/>
  <c r="R81" i="40"/>
  <c r="S1223" i="40"/>
  <c r="M431" i="40"/>
  <c r="G255" i="40"/>
  <c r="X213" i="40"/>
  <c r="Z168" i="40"/>
  <c r="M475" i="40"/>
  <c r="X164" i="40"/>
  <c r="Z122" i="40"/>
  <c r="S915" i="40"/>
  <c r="M1311" i="40"/>
  <c r="X122" i="40"/>
  <c r="Z142" i="40"/>
  <c r="Z216" i="40"/>
  <c r="R433" i="40"/>
  <c r="F785" i="40"/>
  <c r="G783" i="40"/>
  <c r="X216" i="40"/>
  <c r="L389" i="40"/>
  <c r="M387" i="40"/>
  <c r="M299" i="40"/>
  <c r="Z105" i="40"/>
  <c r="X105" i="40"/>
  <c r="R169" i="40"/>
  <c r="S167" i="40"/>
  <c r="G651" i="40"/>
  <c r="F653" i="40"/>
  <c r="X187" i="40"/>
  <c r="Z187" i="40"/>
  <c r="R1357" i="40"/>
  <c r="S1355" i="40"/>
  <c r="X151" i="40"/>
  <c r="Z151" i="40"/>
  <c r="L213" i="40"/>
  <c r="M211" i="40"/>
  <c r="X121" i="40"/>
  <c r="Z121" i="40"/>
  <c r="S651" i="40"/>
  <c r="R653" i="40"/>
  <c r="X183" i="40"/>
  <c r="X175" i="40"/>
  <c r="Z175" i="40"/>
  <c r="X173" i="40"/>
  <c r="Z173" i="40"/>
  <c r="X195" i="40"/>
  <c r="Z195" i="40"/>
  <c r="L1005" i="40"/>
  <c r="M1003" i="40"/>
  <c r="X106" i="40"/>
  <c r="Z106" i="40"/>
  <c r="L829" i="40"/>
  <c r="M827" i="40"/>
  <c r="X115" i="40"/>
  <c r="Z115" i="40"/>
  <c r="G299" i="40"/>
  <c r="F301" i="40"/>
  <c r="L917" i="40"/>
  <c r="M915" i="40"/>
  <c r="X125" i="40"/>
  <c r="Z125" i="40"/>
  <c r="X156" i="40"/>
  <c r="Z156" i="40"/>
  <c r="X192" i="40"/>
  <c r="Z192" i="40"/>
  <c r="X224" i="40"/>
  <c r="Z224" i="40"/>
  <c r="X149" i="40"/>
  <c r="Z149" i="40"/>
  <c r="F1093" i="40"/>
  <c r="G1091" i="40"/>
  <c r="X172" i="40"/>
  <c r="Z172" i="40"/>
  <c r="L565" i="40"/>
  <c r="M563" i="40"/>
  <c r="X140" i="40"/>
  <c r="Z140" i="40"/>
  <c r="X184" i="40"/>
  <c r="Z184" i="40"/>
  <c r="F917" i="40"/>
  <c r="G915" i="40"/>
  <c r="S1091" i="40"/>
  <c r="R1093" i="40"/>
  <c r="L1489" i="40"/>
  <c r="M1487" i="40"/>
  <c r="X159" i="40"/>
  <c r="Z159" i="40"/>
  <c r="S299" i="40"/>
  <c r="R301" i="40"/>
  <c r="X162" i="40"/>
  <c r="Z162" i="40"/>
  <c r="S1311" i="40"/>
  <c r="R1313" i="40"/>
  <c r="X181" i="40"/>
  <c r="Z181" i="40"/>
  <c r="L257" i="40"/>
  <c r="M255" i="40"/>
  <c r="X113" i="40"/>
  <c r="Z113" i="40"/>
  <c r="X217" i="40"/>
  <c r="Z217" i="40"/>
  <c r="F1357" i="40"/>
  <c r="G1355" i="40"/>
  <c r="L1445" i="40"/>
  <c r="M1443" i="40"/>
  <c r="Z107" i="40"/>
  <c r="X107" i="40"/>
  <c r="F169" i="40"/>
  <c r="G167" i="40"/>
  <c r="G149" i="40"/>
  <c r="F18" i="40"/>
  <c r="W147" i="40" s="1"/>
  <c r="D87" i="39" s="1"/>
  <c r="G150" i="40"/>
  <c r="G152" i="40"/>
  <c r="Z183" i="40" l="1"/>
  <c r="F322" i="40"/>
  <c r="G306" i="40" s="1"/>
  <c r="X147" i="40"/>
  <c r="Z147" i="40"/>
  <c r="G315" i="40" l="1"/>
  <c r="G308" i="40"/>
  <c r="G317" i="40"/>
  <c r="G312" i="40"/>
  <c r="G321" i="40"/>
  <c r="G319" i="40"/>
  <c r="G309" i="40"/>
  <c r="G314" i="40"/>
  <c r="G313" i="40"/>
  <c r="G318" i="40"/>
  <c r="G316" i="40"/>
  <c r="G322" i="40"/>
  <c r="G307" i="40"/>
  <c r="F323" i="40"/>
  <c r="F324" i="40" s="1"/>
  <c r="G310" i="40"/>
  <c r="G311" i="40"/>
  <c r="G320" i="40"/>
  <c r="E340" i="40" l="1"/>
  <c r="E338" i="40"/>
  <c r="F338" i="40" s="1"/>
  <c r="F341" i="40" s="1"/>
  <c r="F343" i="40" s="1"/>
  <c r="G324" i="40"/>
  <c r="E326" i="40"/>
  <c r="F25" i="40" s="1"/>
  <c r="W154" i="40" s="1"/>
  <c r="E339" i="40"/>
  <c r="D94" i="39" l="1"/>
  <c r="X154" i="40"/>
  <c r="Z154" i="40"/>
  <c r="F345" i="40"/>
  <c r="G343" i="40"/>
  <c r="D31" i="39" l="1"/>
  <c r="D30" i="39"/>
  <c r="E29" i="39"/>
  <c r="E28" i="39"/>
  <c r="E27" i="39"/>
  <c r="E26" i="39"/>
  <c r="D26" i="39"/>
  <c r="E25" i="39"/>
  <c r="D25" i="39"/>
  <c r="E24" i="39"/>
  <c r="D24" i="39"/>
  <c r="D23" i="39"/>
  <c r="E22" i="39"/>
  <c r="D22" i="39"/>
  <c r="E21" i="39"/>
  <c r="D21" i="39"/>
  <c r="E20" i="39"/>
  <c r="E19" i="39"/>
  <c r="E18" i="39"/>
  <c r="D17" i="39"/>
  <c r="E16" i="39"/>
  <c r="D16" i="39"/>
  <c r="E15" i="39"/>
  <c r="D15" i="39"/>
  <c r="E14" i="39"/>
  <c r="E13" i="39"/>
  <c r="E12" i="39"/>
  <c r="D11" i="39"/>
  <c r="E10" i="39"/>
  <c r="D10" i="39"/>
  <c r="E9" i="39"/>
  <c r="D9" i="39"/>
  <c r="E8" i="39"/>
  <c r="E7" i="39"/>
  <c r="E6" i="39"/>
  <c r="J55" i="187" l="1"/>
  <c r="X55" i="187" s="1"/>
  <c r="J56" i="187"/>
  <c r="X56" i="187" s="1"/>
  <c r="J53" i="187"/>
  <c r="X53" i="187" s="1"/>
  <c r="J54" i="187"/>
  <c r="X54" i="187" s="1"/>
  <c r="J63" i="187"/>
  <c r="X63" i="187" s="1"/>
  <c r="J45" i="187"/>
  <c r="X45" i="187" s="1"/>
  <c r="J47" i="187"/>
  <c r="X47" i="187" s="1"/>
  <c r="J57" i="187"/>
  <c r="X57" i="187" s="1"/>
  <c r="J58" i="187"/>
  <c r="X58" i="187" s="1"/>
  <c r="J40" i="187"/>
  <c r="X40" i="187" s="1"/>
  <c r="J49" i="187"/>
  <c r="X49" i="187" s="1"/>
  <c r="J61" i="187"/>
  <c r="X61" i="187" s="1"/>
  <c r="J62" i="187"/>
  <c r="X62" i="187" s="1"/>
  <c r="J44" i="187"/>
  <c r="X44" i="187" s="1"/>
  <c r="J52" i="187"/>
  <c r="X52" i="187" s="1"/>
  <c r="J38" i="187"/>
  <c r="X38" i="187" s="1"/>
  <c r="J39" i="187"/>
  <c r="X39" i="187" s="1"/>
  <c r="J48" i="187"/>
  <c r="X48" i="187" s="1"/>
  <c r="J46" i="187"/>
  <c r="X46" i="187" s="1"/>
  <c r="J42" i="187"/>
  <c r="X42" i="187" s="1"/>
  <c r="J43" i="187"/>
  <c r="X43" i="187" s="1"/>
  <c r="J50" i="187"/>
  <c r="X50" i="187" s="1"/>
  <c r="J51" i="187"/>
  <c r="X51" i="187" s="1"/>
  <c r="J60" i="187"/>
  <c r="X60" i="187" s="1"/>
  <c r="J59" i="187"/>
  <c r="X59" i="187" s="1"/>
  <c r="J41" i="187"/>
  <c r="X41" i="187" s="1"/>
  <c r="J28" i="187"/>
  <c r="X28" i="187" s="1"/>
  <c r="J30" i="187"/>
  <c r="X30" i="187" s="1"/>
  <c r="J36" i="187"/>
  <c r="X36" i="187" s="1"/>
  <c r="J8" i="50"/>
  <c r="X8" i="50" s="1"/>
  <c r="J33" i="187"/>
  <c r="X33" i="187" s="1"/>
  <c r="J16" i="187"/>
  <c r="X16" i="187" s="1"/>
  <c r="J35" i="187"/>
  <c r="X35" i="187" s="1"/>
  <c r="J32" i="187"/>
  <c r="X32" i="187" s="1"/>
  <c r="J10" i="187"/>
  <c r="X10" i="187" s="1"/>
  <c r="J19" i="187"/>
  <c r="X19" i="187" s="1"/>
  <c r="J37" i="187"/>
  <c r="X37" i="187" s="1"/>
  <c r="J8" i="187"/>
  <c r="X8" i="187" s="1"/>
  <c r="J18" i="187"/>
  <c r="X18" i="187" s="1"/>
  <c r="J34" i="187"/>
  <c r="X34" i="187" s="1"/>
  <c r="J13" i="187"/>
  <c r="X13" i="187" s="1"/>
  <c r="J23" i="187"/>
  <c r="X23" i="187" s="1"/>
  <c r="J9" i="187"/>
  <c r="X9" i="187" s="1"/>
  <c r="J20" i="187"/>
  <c r="X20" i="187" s="1"/>
  <c r="J15" i="187"/>
  <c r="X15" i="187" s="1"/>
  <c r="J29" i="187"/>
  <c r="X29" i="187" s="1"/>
  <c r="J26" i="187"/>
  <c r="X26" i="187" s="1"/>
  <c r="J14" i="187"/>
  <c r="X14" i="187" s="1"/>
  <c r="J25" i="187"/>
  <c r="X25" i="187" s="1"/>
  <c r="J27" i="187"/>
  <c r="X27" i="187" s="1"/>
  <c r="J17" i="187"/>
  <c r="X17" i="187" s="1"/>
  <c r="J31" i="187"/>
  <c r="X31" i="187" s="1"/>
  <c r="J14" i="50"/>
  <c r="X14" i="50" s="1"/>
  <c r="J22" i="50"/>
  <c r="X22" i="50" s="1"/>
  <c r="J30" i="50"/>
  <c r="X30" i="50" s="1"/>
  <c r="J38" i="50"/>
  <c r="X38" i="50" s="1"/>
  <c r="J46" i="50"/>
  <c r="X46" i="50" s="1"/>
  <c r="J54" i="50"/>
  <c r="X54" i="50" s="1"/>
  <c r="J62" i="50"/>
  <c r="X62" i="50" s="1"/>
  <c r="J70" i="50"/>
  <c r="X70" i="50" s="1"/>
  <c r="J11" i="50"/>
  <c r="X11" i="50" s="1"/>
  <c r="J19" i="50"/>
  <c r="X19" i="50" s="1"/>
  <c r="J27" i="50"/>
  <c r="X27" i="50" s="1"/>
  <c r="J35" i="50"/>
  <c r="X35" i="50" s="1"/>
  <c r="J43" i="50"/>
  <c r="X43" i="50" s="1"/>
  <c r="J51" i="50"/>
  <c r="X51" i="50" s="1"/>
  <c r="J59" i="50"/>
  <c r="X59" i="50" s="1"/>
  <c r="J67" i="50"/>
  <c r="X67" i="50" s="1"/>
  <c r="J16" i="50"/>
  <c r="X16" i="50" s="1"/>
  <c r="J24" i="50"/>
  <c r="X24" i="50" s="1"/>
  <c r="J32" i="50"/>
  <c r="X32" i="50" s="1"/>
  <c r="J48" i="50"/>
  <c r="X48" i="50" s="1"/>
  <c r="J56" i="50"/>
  <c r="X56" i="50" s="1"/>
  <c r="J64" i="50"/>
  <c r="X64" i="50" s="1"/>
  <c r="J72" i="50"/>
  <c r="X72" i="50" s="1"/>
  <c r="J21" i="50"/>
  <c r="X21" i="50" s="1"/>
  <c r="J29" i="50"/>
  <c r="X29" i="50" s="1"/>
  <c r="J37" i="50"/>
  <c r="X37" i="50" s="1"/>
  <c r="J45" i="50"/>
  <c r="X45" i="50" s="1"/>
  <c r="J53" i="50"/>
  <c r="X53" i="50" s="1"/>
  <c r="J61" i="50"/>
  <c r="X61" i="50" s="1"/>
  <c r="J69" i="50"/>
  <c r="X69" i="50" s="1"/>
  <c r="J10" i="50"/>
  <c r="X10" i="50" s="1"/>
  <c r="J18" i="50"/>
  <c r="X18" i="50" s="1"/>
  <c r="J26" i="50"/>
  <c r="X26" i="50" s="1"/>
  <c r="J34" i="50"/>
  <c r="X34" i="50" s="1"/>
  <c r="J42" i="50"/>
  <c r="X42" i="50" s="1"/>
  <c r="J50" i="50"/>
  <c r="X50" i="50" s="1"/>
  <c r="J58" i="50"/>
  <c r="X58" i="50" s="1"/>
  <c r="J66" i="50"/>
  <c r="X66" i="50" s="1"/>
  <c r="J74" i="50"/>
  <c r="X74" i="50" s="1"/>
  <c r="J15" i="50"/>
  <c r="X15" i="50" s="1"/>
  <c r="J23" i="50"/>
  <c r="X23" i="50" s="1"/>
  <c r="J31" i="50"/>
  <c r="X31" i="50" s="1"/>
  <c r="J39" i="50"/>
  <c r="X39" i="50" s="1"/>
  <c r="J47" i="50"/>
  <c r="X47" i="50" s="1"/>
  <c r="J55" i="50"/>
  <c r="X55" i="50" s="1"/>
  <c r="J63" i="50"/>
  <c r="X63" i="50" s="1"/>
  <c r="J71" i="50"/>
  <c r="X71" i="50" s="1"/>
  <c r="J12" i="50"/>
  <c r="X12" i="50" s="1"/>
  <c r="J20" i="50"/>
  <c r="X20" i="50" s="1"/>
  <c r="J28" i="50"/>
  <c r="X28" i="50" s="1"/>
  <c r="J36" i="50"/>
  <c r="X36" i="50" s="1"/>
  <c r="J44" i="50"/>
  <c r="X44" i="50" s="1"/>
  <c r="J52" i="50"/>
  <c r="X52" i="50" s="1"/>
  <c r="J60" i="50"/>
  <c r="X60" i="50" s="1"/>
  <c r="J68" i="50"/>
  <c r="X68" i="50" s="1"/>
  <c r="J9" i="50"/>
  <c r="X9" i="50" s="1"/>
  <c r="J17" i="50"/>
  <c r="X17" i="50" s="1"/>
  <c r="J25" i="50"/>
  <c r="X25" i="50" s="1"/>
  <c r="J33" i="50"/>
  <c r="X33" i="50" s="1"/>
  <c r="J41" i="50"/>
  <c r="X41" i="50" s="1"/>
  <c r="J49" i="50"/>
  <c r="X49" i="50" s="1"/>
  <c r="J57" i="50"/>
  <c r="X57" i="50" s="1"/>
  <c r="J65" i="50"/>
  <c r="X65" i="50" s="1"/>
  <c r="J73" i="50"/>
  <c r="X73" i="50" s="1"/>
  <c r="J12" i="187"/>
  <c r="X12" i="187" s="1"/>
  <c r="J21" i="187"/>
  <c r="X21" i="187" s="1"/>
  <c r="J98" i="187"/>
  <c r="X98" i="187" s="1"/>
  <c r="J11" i="187"/>
  <c r="X11" i="187" s="1"/>
  <c r="J24" i="187"/>
  <c r="X24" i="187" s="1"/>
  <c r="J22" i="187"/>
  <c r="X22" i="187" s="1"/>
  <c r="J40" i="50"/>
  <c r="X40" i="50" s="1"/>
  <c r="J13" i="50"/>
  <c r="X13" i="50" s="1"/>
  <c r="D8" i="39"/>
  <c r="D19" i="39"/>
  <c r="D13" i="39"/>
  <c r="D7" i="39"/>
  <c r="D12" i="39"/>
  <c r="D14" i="39"/>
  <c r="D6" i="39"/>
  <c r="D18" i="39"/>
  <c r="D20" i="39"/>
  <c r="N56" i="187" l="1"/>
  <c r="L56" i="187"/>
  <c r="M56" i="187"/>
  <c r="P56" i="187"/>
  <c r="O56" i="187"/>
  <c r="T56" i="187"/>
  <c r="R56" i="187"/>
  <c r="N55" i="187"/>
  <c r="R55" i="187"/>
  <c r="P55" i="187"/>
  <c r="O55" i="187"/>
  <c r="L55" i="187"/>
  <c r="M55" i="187"/>
  <c r="T55" i="187"/>
  <c r="N59" i="187"/>
  <c r="O59" i="187"/>
  <c r="L59" i="187"/>
  <c r="M59" i="187"/>
  <c r="P59" i="187"/>
  <c r="M61" i="187"/>
  <c r="P61" i="187"/>
  <c r="L61" i="187"/>
  <c r="N61" i="187"/>
  <c r="O61" i="187"/>
  <c r="M60" i="187"/>
  <c r="O60" i="187"/>
  <c r="L60" i="187"/>
  <c r="N60" i="187"/>
  <c r="P60" i="187"/>
  <c r="P40" i="187"/>
  <c r="O40" i="187"/>
  <c r="N40" i="187"/>
  <c r="T40" i="187"/>
  <c r="R40" i="187"/>
  <c r="M40" i="187"/>
  <c r="L40" i="187"/>
  <c r="T59" i="187"/>
  <c r="R59" i="187"/>
  <c r="L39" i="187"/>
  <c r="N39" i="187"/>
  <c r="R39" i="187"/>
  <c r="M39" i="187"/>
  <c r="O39" i="187"/>
  <c r="T39" i="187"/>
  <c r="P39" i="187"/>
  <c r="R58" i="187"/>
  <c r="M58" i="187"/>
  <c r="N58" i="187"/>
  <c r="L58" i="187"/>
  <c r="P58" i="187"/>
  <c r="O58" i="187"/>
  <c r="T58" i="187"/>
  <c r="M48" i="187"/>
  <c r="L48" i="187"/>
  <c r="R48" i="187"/>
  <c r="P48" i="187"/>
  <c r="O48" i="187"/>
  <c r="T48" i="187"/>
  <c r="N48" i="187"/>
  <c r="T60" i="187"/>
  <c r="R60" i="187"/>
  <c r="T38" i="187"/>
  <c r="M38" i="187"/>
  <c r="O38" i="187"/>
  <c r="R38" i="187"/>
  <c r="P38" i="187"/>
  <c r="L38" i="187"/>
  <c r="N38" i="187"/>
  <c r="M57" i="187"/>
  <c r="P57" i="187"/>
  <c r="O57" i="187"/>
  <c r="T57" i="187"/>
  <c r="N57" i="187"/>
  <c r="L57" i="187"/>
  <c r="R57" i="187"/>
  <c r="O51" i="187"/>
  <c r="N51" i="187"/>
  <c r="T51" i="187"/>
  <c r="M51" i="187"/>
  <c r="R51" i="187"/>
  <c r="P51" i="187"/>
  <c r="L51" i="187"/>
  <c r="R52" i="187"/>
  <c r="O52" i="187"/>
  <c r="T52" i="187"/>
  <c r="N52" i="187"/>
  <c r="P52" i="187"/>
  <c r="M52" i="187"/>
  <c r="L52" i="187"/>
  <c r="T47" i="187"/>
  <c r="O47" i="187"/>
  <c r="M47" i="187"/>
  <c r="R47" i="187"/>
  <c r="N47" i="187"/>
  <c r="P47" i="187"/>
  <c r="L47" i="187"/>
  <c r="P41" i="187"/>
  <c r="N41" i="187"/>
  <c r="O41" i="187"/>
  <c r="R41" i="187"/>
  <c r="L41" i="187"/>
  <c r="M41" i="187"/>
  <c r="T41" i="187"/>
  <c r="R50" i="187"/>
  <c r="N50" i="187"/>
  <c r="O50" i="187"/>
  <c r="T50" i="187"/>
  <c r="L50" i="187"/>
  <c r="P50" i="187"/>
  <c r="M50" i="187"/>
  <c r="N44" i="187"/>
  <c r="T44" i="187"/>
  <c r="O44" i="187"/>
  <c r="L44" i="187"/>
  <c r="R44" i="187"/>
  <c r="M44" i="187"/>
  <c r="P44" i="187"/>
  <c r="O45" i="187"/>
  <c r="N45" i="187"/>
  <c r="R45" i="187"/>
  <c r="T45" i="187"/>
  <c r="M45" i="187"/>
  <c r="L45" i="187"/>
  <c r="P45" i="187"/>
  <c r="P43" i="187"/>
  <c r="O43" i="187"/>
  <c r="T43" i="187"/>
  <c r="L43" i="187"/>
  <c r="R43" i="187"/>
  <c r="M43" i="187"/>
  <c r="N43" i="187"/>
  <c r="T62" i="187"/>
  <c r="P62" i="187"/>
  <c r="L62" i="187"/>
  <c r="O62" i="187"/>
  <c r="M62" i="187"/>
  <c r="N62" i="187"/>
  <c r="R62" i="187"/>
  <c r="P63" i="187"/>
  <c r="O63" i="187"/>
  <c r="T63" i="187"/>
  <c r="L63" i="187"/>
  <c r="N63" i="187"/>
  <c r="R63" i="187"/>
  <c r="M63" i="187"/>
  <c r="R42" i="187"/>
  <c r="L42" i="187"/>
  <c r="O42" i="187"/>
  <c r="M42" i="187"/>
  <c r="T42" i="187"/>
  <c r="P42" i="187"/>
  <c r="N42" i="187"/>
  <c r="T61" i="187"/>
  <c r="R61" i="187"/>
  <c r="N54" i="187"/>
  <c r="R54" i="187"/>
  <c r="M54" i="187"/>
  <c r="T54" i="187"/>
  <c r="P54" i="187"/>
  <c r="L54" i="187"/>
  <c r="O54" i="187"/>
  <c r="O46" i="187"/>
  <c r="R46" i="187"/>
  <c r="T46" i="187"/>
  <c r="N46" i="187"/>
  <c r="P46" i="187"/>
  <c r="M46" i="187"/>
  <c r="L46" i="187"/>
  <c r="P49" i="187"/>
  <c r="L49" i="187"/>
  <c r="O49" i="187"/>
  <c r="N49" i="187"/>
  <c r="R49" i="187"/>
  <c r="M49" i="187"/>
  <c r="T49" i="187"/>
  <c r="P53" i="187"/>
  <c r="L53" i="187"/>
  <c r="N53" i="187"/>
  <c r="T53" i="187"/>
  <c r="O53" i="187"/>
  <c r="R53" i="187"/>
  <c r="M53" i="187"/>
  <c r="R36" i="187"/>
  <c r="T36" i="187"/>
  <c r="L36" i="187"/>
  <c r="N36" i="187"/>
  <c r="M36" i="187"/>
  <c r="P36" i="187"/>
  <c r="O36" i="187"/>
  <c r="T8" i="50"/>
  <c r="R8" i="50"/>
  <c r="M8" i="50"/>
  <c r="L8" i="50"/>
  <c r="O8" i="50"/>
  <c r="N8" i="50"/>
  <c r="P8" i="50"/>
  <c r="T30" i="187"/>
  <c r="R30" i="187"/>
  <c r="M30" i="187"/>
  <c r="N30" i="187"/>
  <c r="O30" i="187"/>
  <c r="L30" i="187"/>
  <c r="P30" i="187"/>
  <c r="T28" i="187"/>
  <c r="R28" i="187"/>
  <c r="M28" i="187"/>
  <c r="P28" i="187"/>
  <c r="N28" i="187"/>
  <c r="O28" i="187"/>
  <c r="L28" i="187"/>
  <c r="R49" i="50"/>
  <c r="T49" i="50"/>
  <c r="L49" i="50"/>
  <c r="P49" i="50"/>
  <c r="M49" i="50"/>
  <c r="O49" i="50"/>
  <c r="N49" i="50"/>
  <c r="R17" i="50"/>
  <c r="T17" i="50"/>
  <c r="O17" i="50"/>
  <c r="N17" i="50"/>
  <c r="L17" i="50"/>
  <c r="M17" i="50"/>
  <c r="P17" i="50"/>
  <c r="T60" i="50"/>
  <c r="R60" i="50"/>
  <c r="P60" i="50"/>
  <c r="L60" i="50"/>
  <c r="M60" i="50"/>
  <c r="N60" i="50"/>
  <c r="O60" i="50"/>
  <c r="R28" i="50"/>
  <c r="T28" i="50"/>
  <c r="P28" i="50"/>
  <c r="O28" i="50"/>
  <c r="L28" i="50"/>
  <c r="M28" i="50"/>
  <c r="N28" i="50"/>
  <c r="T71" i="50"/>
  <c r="R71" i="50"/>
  <c r="P71" i="50"/>
  <c r="O71" i="50"/>
  <c r="L71" i="50"/>
  <c r="M71" i="50"/>
  <c r="N71" i="50"/>
  <c r="T39" i="50"/>
  <c r="R39" i="50"/>
  <c r="O39" i="50"/>
  <c r="M39" i="50"/>
  <c r="P39" i="50"/>
  <c r="N39" i="50"/>
  <c r="L39" i="50"/>
  <c r="T58" i="50"/>
  <c r="R58" i="50"/>
  <c r="N58" i="50"/>
  <c r="P58" i="50"/>
  <c r="L58" i="50"/>
  <c r="M58" i="50"/>
  <c r="O58" i="50"/>
  <c r="T26" i="50"/>
  <c r="R26" i="50"/>
  <c r="N26" i="50"/>
  <c r="L26" i="50"/>
  <c r="M26" i="50"/>
  <c r="O26" i="50"/>
  <c r="P26" i="50"/>
  <c r="T53" i="50"/>
  <c r="R53" i="50"/>
  <c r="N53" i="50"/>
  <c r="O53" i="50"/>
  <c r="P53" i="50"/>
  <c r="M53" i="50"/>
  <c r="L53" i="50"/>
  <c r="T21" i="50"/>
  <c r="R21" i="50"/>
  <c r="O21" i="50"/>
  <c r="L21" i="50"/>
  <c r="P21" i="50"/>
  <c r="M21" i="50"/>
  <c r="N21" i="50"/>
  <c r="R56" i="50"/>
  <c r="T56" i="50"/>
  <c r="L56" i="50"/>
  <c r="O56" i="50"/>
  <c r="P56" i="50"/>
  <c r="M56" i="50"/>
  <c r="N56" i="50"/>
  <c r="R16" i="50"/>
  <c r="T16" i="50"/>
  <c r="N16" i="50"/>
  <c r="L16" i="50"/>
  <c r="M16" i="50"/>
  <c r="P16" i="50"/>
  <c r="O16" i="50"/>
  <c r="T43" i="50"/>
  <c r="R43" i="50"/>
  <c r="O43" i="50"/>
  <c r="N43" i="50"/>
  <c r="L43" i="50"/>
  <c r="M43" i="50"/>
  <c r="P43" i="50"/>
  <c r="R11" i="50"/>
  <c r="T11" i="50"/>
  <c r="L11" i="50"/>
  <c r="M11" i="50"/>
  <c r="P11" i="50"/>
  <c r="O11" i="50"/>
  <c r="N11" i="50"/>
  <c r="T54" i="50"/>
  <c r="R54" i="50"/>
  <c r="L54" i="50"/>
  <c r="M54" i="50"/>
  <c r="O54" i="50"/>
  <c r="N54" i="50"/>
  <c r="P54" i="50"/>
  <c r="R22" i="50"/>
  <c r="T22" i="50"/>
  <c r="L22" i="50"/>
  <c r="P22" i="50"/>
  <c r="N22" i="50"/>
  <c r="M22" i="50"/>
  <c r="O22" i="50"/>
  <c r="T31" i="187"/>
  <c r="R31" i="187"/>
  <c r="N31" i="187"/>
  <c r="O31" i="187"/>
  <c r="L31" i="187"/>
  <c r="M31" i="187"/>
  <c r="P31" i="187"/>
  <c r="T27" i="187"/>
  <c r="R27" i="187"/>
  <c r="P27" i="187"/>
  <c r="N27" i="187"/>
  <c r="O27" i="187"/>
  <c r="L27" i="187"/>
  <c r="M27" i="187"/>
  <c r="R25" i="187"/>
  <c r="T25" i="187"/>
  <c r="L25" i="187"/>
  <c r="O25" i="187"/>
  <c r="P25" i="187"/>
  <c r="M25" i="187"/>
  <c r="N25" i="187"/>
  <c r="R15" i="187"/>
  <c r="T15" i="187"/>
  <c r="M15" i="187"/>
  <c r="O15" i="187"/>
  <c r="L15" i="187"/>
  <c r="P15" i="187"/>
  <c r="N15" i="187"/>
  <c r="T19" i="187"/>
  <c r="R19" i="187"/>
  <c r="N19" i="187"/>
  <c r="P19" i="187"/>
  <c r="L19" i="187"/>
  <c r="O19" i="187"/>
  <c r="M19" i="187"/>
  <c r="T32" i="187"/>
  <c r="R32" i="187"/>
  <c r="O32" i="187"/>
  <c r="N32" i="187"/>
  <c r="P32" i="187"/>
  <c r="M32" i="187"/>
  <c r="L32" i="187"/>
  <c r="R35" i="187"/>
  <c r="T35" i="187"/>
  <c r="N35" i="187"/>
  <c r="M35" i="187"/>
  <c r="O35" i="187"/>
  <c r="P35" i="187"/>
  <c r="L35" i="187"/>
  <c r="T33" i="187"/>
  <c r="R33" i="187"/>
  <c r="L33" i="187"/>
  <c r="N33" i="187"/>
  <c r="M33" i="187"/>
  <c r="P33" i="187"/>
  <c r="O33" i="187"/>
  <c r="T40" i="50"/>
  <c r="R40" i="50"/>
  <c r="N40" i="50"/>
  <c r="P40" i="50"/>
  <c r="M40" i="50"/>
  <c r="O40" i="50"/>
  <c r="L40" i="50"/>
  <c r="T22" i="187"/>
  <c r="R22" i="187"/>
  <c r="L22" i="187"/>
  <c r="O22" i="187"/>
  <c r="P22" i="187"/>
  <c r="M22" i="187"/>
  <c r="N22" i="187"/>
  <c r="T11" i="187"/>
  <c r="R11" i="187"/>
  <c r="M11" i="187"/>
  <c r="N11" i="187"/>
  <c r="P11" i="187"/>
  <c r="L11" i="187"/>
  <c r="O11" i="187"/>
  <c r="R73" i="50"/>
  <c r="T73" i="50"/>
  <c r="P73" i="50"/>
  <c r="N73" i="50"/>
  <c r="L73" i="50"/>
  <c r="M73" i="50"/>
  <c r="O73" i="50"/>
  <c r="T41" i="50"/>
  <c r="R41" i="50"/>
  <c r="M41" i="50"/>
  <c r="O41" i="50"/>
  <c r="N41" i="50"/>
  <c r="P41" i="50"/>
  <c r="L41" i="50"/>
  <c r="R9" i="50"/>
  <c r="T9" i="50"/>
  <c r="O9" i="50"/>
  <c r="P9" i="50"/>
  <c r="M9" i="50"/>
  <c r="L9" i="50"/>
  <c r="N9" i="50"/>
  <c r="T52" i="50"/>
  <c r="R52" i="50"/>
  <c r="L52" i="50"/>
  <c r="N52" i="50"/>
  <c r="P52" i="50"/>
  <c r="M52" i="50"/>
  <c r="O52" i="50"/>
  <c r="R20" i="50"/>
  <c r="T20" i="50"/>
  <c r="P20" i="50"/>
  <c r="O20" i="50"/>
  <c r="N20" i="50"/>
  <c r="L20" i="50"/>
  <c r="M20" i="50"/>
  <c r="T63" i="50"/>
  <c r="R63" i="50"/>
  <c r="L63" i="50"/>
  <c r="O63" i="50"/>
  <c r="P63" i="50"/>
  <c r="N63" i="50"/>
  <c r="M63" i="50"/>
  <c r="T31" i="50"/>
  <c r="R31" i="50"/>
  <c r="O31" i="50"/>
  <c r="L31" i="50"/>
  <c r="M31" i="50"/>
  <c r="P31" i="50"/>
  <c r="N31" i="50"/>
  <c r="T50" i="50"/>
  <c r="R50" i="50"/>
  <c r="L50" i="50"/>
  <c r="O50" i="50"/>
  <c r="M50" i="50"/>
  <c r="P50" i="50"/>
  <c r="N50" i="50"/>
  <c r="T18" i="50"/>
  <c r="R18" i="50"/>
  <c r="L18" i="50"/>
  <c r="P18" i="50"/>
  <c r="N18" i="50"/>
  <c r="M18" i="50"/>
  <c r="O18" i="50"/>
  <c r="T45" i="50"/>
  <c r="R45" i="50"/>
  <c r="O45" i="50"/>
  <c r="M45" i="50"/>
  <c r="N45" i="50"/>
  <c r="P45" i="50"/>
  <c r="L45" i="50"/>
  <c r="R48" i="50"/>
  <c r="T48" i="50"/>
  <c r="O48" i="50"/>
  <c r="M48" i="50"/>
  <c r="N48" i="50"/>
  <c r="L48" i="50"/>
  <c r="P48" i="50"/>
  <c r="T67" i="50"/>
  <c r="R67" i="50"/>
  <c r="L67" i="50"/>
  <c r="P67" i="50"/>
  <c r="O67" i="50"/>
  <c r="M67" i="50"/>
  <c r="N67" i="50"/>
  <c r="T35" i="50"/>
  <c r="R35" i="50"/>
  <c r="L35" i="50"/>
  <c r="N35" i="50"/>
  <c r="O35" i="50"/>
  <c r="M35" i="50"/>
  <c r="P35" i="50"/>
  <c r="T46" i="50"/>
  <c r="R46" i="50"/>
  <c r="N46" i="50"/>
  <c r="M46" i="50"/>
  <c r="L46" i="50"/>
  <c r="O46" i="50"/>
  <c r="P46" i="50"/>
  <c r="R14" i="50"/>
  <c r="T14" i="50"/>
  <c r="O14" i="50"/>
  <c r="N14" i="50"/>
  <c r="M14" i="50"/>
  <c r="P14" i="50"/>
  <c r="L14" i="50"/>
  <c r="T17" i="187"/>
  <c r="R17" i="187"/>
  <c r="P17" i="187"/>
  <c r="O17" i="187"/>
  <c r="M17" i="187"/>
  <c r="L17" i="187"/>
  <c r="N17" i="187"/>
  <c r="T14" i="187"/>
  <c r="R14" i="187"/>
  <c r="M14" i="187"/>
  <c r="P14" i="187"/>
  <c r="L14" i="187"/>
  <c r="O14" i="187"/>
  <c r="N14" i="187"/>
  <c r="T20" i="187"/>
  <c r="R20" i="187"/>
  <c r="N20" i="187"/>
  <c r="L20" i="187"/>
  <c r="O20" i="187"/>
  <c r="P20" i="187"/>
  <c r="M20" i="187"/>
  <c r="T13" i="187"/>
  <c r="R13" i="187"/>
  <c r="P13" i="187"/>
  <c r="M13" i="187"/>
  <c r="L13" i="187"/>
  <c r="O13" i="187"/>
  <c r="N13" i="187"/>
  <c r="T34" i="187"/>
  <c r="R34" i="187"/>
  <c r="O34" i="187"/>
  <c r="N34" i="187"/>
  <c r="P34" i="187"/>
  <c r="M34" i="187"/>
  <c r="L34" i="187"/>
  <c r="T10" i="187"/>
  <c r="R10" i="187"/>
  <c r="O10" i="187"/>
  <c r="L10" i="187"/>
  <c r="N10" i="187"/>
  <c r="P10" i="187"/>
  <c r="M10" i="187"/>
  <c r="T16" i="187"/>
  <c r="R16" i="187"/>
  <c r="N16" i="187"/>
  <c r="M16" i="187"/>
  <c r="O16" i="187"/>
  <c r="L16" i="187"/>
  <c r="P16" i="187"/>
  <c r="R13" i="50"/>
  <c r="T13" i="50"/>
  <c r="P13" i="50"/>
  <c r="M13" i="50"/>
  <c r="O13" i="50"/>
  <c r="L13" i="50"/>
  <c r="N13" i="50"/>
  <c r="T98" i="187"/>
  <c r="R98" i="187"/>
  <c r="M98" i="187"/>
  <c r="O98" i="187"/>
  <c r="L98" i="187"/>
  <c r="P98" i="187"/>
  <c r="N98" i="187"/>
  <c r="R21" i="187"/>
  <c r="T21" i="187"/>
  <c r="P21" i="187"/>
  <c r="N21" i="187"/>
  <c r="L21" i="187"/>
  <c r="M21" i="187"/>
  <c r="O21" i="187"/>
  <c r="T12" i="187"/>
  <c r="R12" i="187"/>
  <c r="N12" i="187"/>
  <c r="L12" i="187"/>
  <c r="M12" i="187"/>
  <c r="O12" i="187"/>
  <c r="P12" i="187"/>
  <c r="R65" i="50"/>
  <c r="T65" i="50"/>
  <c r="N65" i="50"/>
  <c r="P65" i="50"/>
  <c r="M65" i="50"/>
  <c r="O65" i="50"/>
  <c r="L65" i="50"/>
  <c r="T33" i="50"/>
  <c r="R33" i="50"/>
  <c r="O33" i="50"/>
  <c r="P33" i="50"/>
  <c r="M33" i="50"/>
  <c r="N33" i="50"/>
  <c r="L33" i="50"/>
  <c r="T44" i="50"/>
  <c r="R44" i="50"/>
  <c r="P44" i="50"/>
  <c r="O44" i="50"/>
  <c r="N44" i="50"/>
  <c r="L44" i="50"/>
  <c r="M44" i="50"/>
  <c r="T12" i="50"/>
  <c r="R12" i="50"/>
  <c r="N12" i="50"/>
  <c r="L12" i="50"/>
  <c r="M12" i="50"/>
  <c r="P12" i="50"/>
  <c r="O12" i="50"/>
  <c r="T55" i="50"/>
  <c r="R55" i="50"/>
  <c r="L55" i="50"/>
  <c r="M55" i="50"/>
  <c r="N55" i="50"/>
  <c r="O55" i="50"/>
  <c r="P55" i="50"/>
  <c r="R23" i="50"/>
  <c r="T23" i="50"/>
  <c r="P23" i="50"/>
  <c r="O23" i="50"/>
  <c r="L23" i="50"/>
  <c r="M23" i="50"/>
  <c r="N23" i="50"/>
  <c r="R74" i="50"/>
  <c r="T74" i="50"/>
  <c r="L74" i="50"/>
  <c r="N74" i="50"/>
  <c r="M74" i="50"/>
  <c r="P74" i="50"/>
  <c r="O74" i="50"/>
  <c r="T42" i="50"/>
  <c r="R42" i="50"/>
  <c r="N42" i="50"/>
  <c r="O42" i="50"/>
  <c r="L42" i="50"/>
  <c r="M42" i="50"/>
  <c r="P42" i="50"/>
  <c r="R10" i="50"/>
  <c r="T10" i="50"/>
  <c r="L10" i="50"/>
  <c r="N10" i="50"/>
  <c r="M10" i="50"/>
  <c r="O10" i="50"/>
  <c r="P10" i="50"/>
  <c r="T69" i="50"/>
  <c r="R69" i="50"/>
  <c r="M69" i="50"/>
  <c r="O69" i="50"/>
  <c r="L69" i="50"/>
  <c r="P69" i="50"/>
  <c r="N69" i="50"/>
  <c r="R37" i="50"/>
  <c r="T37" i="50"/>
  <c r="O37" i="50"/>
  <c r="N37" i="50"/>
  <c r="M37" i="50"/>
  <c r="L37" i="50"/>
  <c r="P37" i="50"/>
  <c r="T72" i="50"/>
  <c r="R72" i="50"/>
  <c r="M72" i="50"/>
  <c r="O72" i="50"/>
  <c r="P72" i="50"/>
  <c r="L72" i="50"/>
  <c r="N72" i="50"/>
  <c r="R32" i="50"/>
  <c r="T32" i="50"/>
  <c r="P32" i="50"/>
  <c r="M32" i="50"/>
  <c r="O32" i="50"/>
  <c r="L32" i="50"/>
  <c r="N32" i="50"/>
  <c r="T59" i="50"/>
  <c r="R59" i="50"/>
  <c r="O59" i="50"/>
  <c r="M59" i="50"/>
  <c r="P59" i="50"/>
  <c r="L59" i="50"/>
  <c r="N59" i="50"/>
  <c r="T27" i="50"/>
  <c r="R27" i="50"/>
  <c r="M27" i="50"/>
  <c r="L27" i="50"/>
  <c r="N27" i="50"/>
  <c r="O27" i="50"/>
  <c r="P27" i="50"/>
  <c r="T70" i="50"/>
  <c r="R70" i="50"/>
  <c r="M70" i="50"/>
  <c r="L70" i="50"/>
  <c r="P70" i="50"/>
  <c r="N70" i="50"/>
  <c r="O70" i="50"/>
  <c r="T38" i="50"/>
  <c r="R38" i="50"/>
  <c r="P38" i="50"/>
  <c r="M38" i="50"/>
  <c r="O38" i="50"/>
  <c r="N38" i="50"/>
  <c r="L38" i="50"/>
  <c r="T26" i="187"/>
  <c r="R26" i="187"/>
  <c r="M26" i="187"/>
  <c r="O26" i="187"/>
  <c r="P26" i="187"/>
  <c r="N26" i="187"/>
  <c r="L26" i="187"/>
  <c r="T9" i="187"/>
  <c r="R9" i="187"/>
  <c r="L9" i="187"/>
  <c r="O9" i="187"/>
  <c r="P9" i="187"/>
  <c r="M9" i="187"/>
  <c r="N9" i="187"/>
  <c r="T23" i="187"/>
  <c r="R23" i="187"/>
  <c r="P23" i="187"/>
  <c r="O23" i="187"/>
  <c r="M23" i="187"/>
  <c r="L23" i="187"/>
  <c r="N23" i="187"/>
  <c r="T18" i="187"/>
  <c r="R18" i="187"/>
  <c r="P18" i="187"/>
  <c r="L18" i="187"/>
  <c r="M18" i="187"/>
  <c r="O18" i="187"/>
  <c r="N18" i="187"/>
  <c r="T24" i="187"/>
  <c r="N24" i="187"/>
  <c r="P24" i="187"/>
  <c r="R24" i="187"/>
  <c r="L24" i="187"/>
  <c r="M24" i="187"/>
  <c r="O24" i="187"/>
  <c r="R57" i="50"/>
  <c r="T57" i="50"/>
  <c r="N57" i="50"/>
  <c r="L57" i="50"/>
  <c r="P57" i="50"/>
  <c r="O57" i="50"/>
  <c r="M57" i="50"/>
  <c r="T25" i="50"/>
  <c r="R25" i="50"/>
  <c r="P25" i="50"/>
  <c r="M25" i="50"/>
  <c r="O25" i="50"/>
  <c r="L25" i="50"/>
  <c r="N25" i="50"/>
  <c r="T68" i="50"/>
  <c r="R68" i="50"/>
  <c r="P68" i="50"/>
  <c r="M68" i="50"/>
  <c r="N68" i="50"/>
  <c r="L68" i="50"/>
  <c r="O68" i="50"/>
  <c r="T36" i="50"/>
  <c r="R36" i="50"/>
  <c r="O36" i="50"/>
  <c r="L36" i="50"/>
  <c r="M36" i="50"/>
  <c r="N36" i="50"/>
  <c r="P36" i="50"/>
  <c r="T47" i="50"/>
  <c r="R47" i="50"/>
  <c r="M47" i="50"/>
  <c r="O47" i="50"/>
  <c r="L47" i="50"/>
  <c r="N47" i="50"/>
  <c r="P47" i="50"/>
  <c r="R15" i="50"/>
  <c r="T15" i="50"/>
  <c r="O15" i="50"/>
  <c r="M15" i="50"/>
  <c r="P15" i="50"/>
  <c r="N15" i="50"/>
  <c r="L15" i="50"/>
  <c r="T66" i="50"/>
  <c r="R66" i="50"/>
  <c r="O66" i="50"/>
  <c r="M66" i="50"/>
  <c r="P66" i="50"/>
  <c r="N66" i="50"/>
  <c r="L66" i="50"/>
  <c r="R34" i="50"/>
  <c r="T34" i="50"/>
  <c r="L34" i="50"/>
  <c r="P34" i="50"/>
  <c r="M34" i="50"/>
  <c r="N34" i="50"/>
  <c r="O34" i="50"/>
  <c r="T61" i="50"/>
  <c r="R61" i="50"/>
  <c r="M61" i="50"/>
  <c r="P61" i="50"/>
  <c r="L61" i="50"/>
  <c r="N61" i="50"/>
  <c r="O61" i="50"/>
  <c r="T29" i="50"/>
  <c r="R29" i="50"/>
  <c r="N29" i="50"/>
  <c r="P29" i="50"/>
  <c r="M29" i="50"/>
  <c r="O29" i="50"/>
  <c r="L29" i="50"/>
  <c r="R64" i="50"/>
  <c r="T64" i="50"/>
  <c r="N64" i="50"/>
  <c r="L64" i="50"/>
  <c r="O64" i="50"/>
  <c r="M64" i="50"/>
  <c r="P64" i="50"/>
  <c r="T24" i="50"/>
  <c r="R24" i="50"/>
  <c r="O24" i="50"/>
  <c r="N24" i="50"/>
  <c r="L24" i="50"/>
  <c r="M24" i="50"/>
  <c r="P24" i="50"/>
  <c r="T51" i="50"/>
  <c r="R51" i="50"/>
  <c r="P51" i="50"/>
  <c r="N51" i="50"/>
  <c r="O51" i="50"/>
  <c r="M51" i="50"/>
  <c r="L51" i="50"/>
  <c r="R19" i="50"/>
  <c r="T19" i="50"/>
  <c r="L19" i="50"/>
  <c r="M19" i="50"/>
  <c r="P19" i="50"/>
  <c r="O19" i="50"/>
  <c r="N19" i="50"/>
  <c r="T62" i="50"/>
  <c r="R62" i="50"/>
  <c r="N62" i="50"/>
  <c r="P62" i="50"/>
  <c r="O62" i="50"/>
  <c r="L62" i="50"/>
  <c r="M62" i="50"/>
  <c r="R30" i="50"/>
  <c r="T30" i="50"/>
  <c r="L30" i="50"/>
  <c r="N30" i="50"/>
  <c r="M30" i="50"/>
  <c r="O30" i="50"/>
  <c r="P30" i="50"/>
  <c r="T29" i="187"/>
  <c r="R29" i="187"/>
  <c r="P29" i="187"/>
  <c r="N29" i="187"/>
  <c r="O29" i="187"/>
  <c r="L29" i="187"/>
  <c r="M29" i="187"/>
  <c r="T8" i="187"/>
  <c r="R8" i="187"/>
  <c r="N8" i="187"/>
  <c r="P8" i="187"/>
  <c r="M8" i="187"/>
  <c r="O8" i="187"/>
  <c r="L8" i="187"/>
  <c r="T37" i="187"/>
  <c r="R37" i="187"/>
  <c r="M37" i="187"/>
  <c r="O37" i="187"/>
  <c r="P37" i="187"/>
  <c r="N37" i="187"/>
  <c r="L37" i="187"/>
  <c r="U55" i="187" l="1"/>
  <c r="U56" i="187"/>
  <c r="U60" i="187"/>
  <c r="V60" i="187" s="1"/>
  <c r="W60" i="187" s="1"/>
  <c r="U61" i="187"/>
  <c r="V61" i="187" s="1"/>
  <c r="W61" i="187" s="1"/>
  <c r="U59" i="187"/>
  <c r="V59" i="187" s="1"/>
  <c r="W59" i="187" s="1"/>
  <c r="U42" i="187"/>
  <c r="AC42" i="187" s="1"/>
  <c r="U45" i="187"/>
  <c r="V45" i="187" s="1"/>
  <c r="W45" i="187" s="1"/>
  <c r="U38" i="187"/>
  <c r="V38" i="187" s="1"/>
  <c r="W38" i="187" s="1"/>
  <c r="U44" i="187"/>
  <c r="U51" i="187"/>
  <c r="U57" i="187"/>
  <c r="U39" i="187"/>
  <c r="U40" i="187"/>
  <c r="U52" i="187"/>
  <c r="U48" i="187"/>
  <c r="U43" i="187"/>
  <c r="U47" i="187"/>
  <c r="U49" i="187"/>
  <c r="U53" i="187"/>
  <c r="U63" i="187"/>
  <c r="U62" i="187"/>
  <c r="U46" i="187"/>
  <c r="U54" i="187"/>
  <c r="U41" i="187"/>
  <c r="U50" i="187"/>
  <c r="U58" i="187"/>
  <c r="U28" i="187"/>
  <c r="AC28" i="187" s="1"/>
  <c r="U8" i="50"/>
  <c r="AC8" i="50" s="1"/>
  <c r="U36" i="187"/>
  <c r="AC36" i="187" s="1"/>
  <c r="U30" i="187"/>
  <c r="AC30" i="187" s="1"/>
  <c r="U36" i="50"/>
  <c r="U37" i="187"/>
  <c r="AC37" i="187" s="1"/>
  <c r="U62" i="50"/>
  <c r="V62" i="50" s="1"/>
  <c r="W62" i="50" s="1"/>
  <c r="U14" i="50"/>
  <c r="U48" i="50"/>
  <c r="AA48" i="50" s="1"/>
  <c r="U31" i="50"/>
  <c r="V31" i="50" s="1"/>
  <c r="W31" i="50" s="1"/>
  <c r="U41" i="50"/>
  <c r="U40" i="50"/>
  <c r="U35" i="187"/>
  <c r="U17" i="50"/>
  <c r="V17" i="50" s="1"/>
  <c r="W17" i="50" s="1"/>
  <c r="U15" i="50"/>
  <c r="U53" i="50"/>
  <c r="AA53" i="50" s="1"/>
  <c r="U39" i="50"/>
  <c r="U29" i="187"/>
  <c r="AC29" i="187" s="1"/>
  <c r="U37" i="50"/>
  <c r="AC37" i="50" s="1"/>
  <c r="U69" i="50"/>
  <c r="U12" i="50"/>
  <c r="AC12" i="50" s="1"/>
  <c r="U17" i="187"/>
  <c r="U56" i="50"/>
  <c r="O99" i="187"/>
  <c r="R99" i="187"/>
  <c r="U51" i="50"/>
  <c r="U18" i="187"/>
  <c r="AC18" i="187" s="1"/>
  <c r="U74" i="50"/>
  <c r="U46" i="50"/>
  <c r="U35" i="50"/>
  <c r="AC35" i="50" s="1"/>
  <c r="U45" i="50"/>
  <c r="AC45" i="50" s="1"/>
  <c r="N75" i="50"/>
  <c r="N5" i="35" s="1"/>
  <c r="O75" i="50"/>
  <c r="O5" i="35" s="1"/>
  <c r="U73" i="50"/>
  <c r="U32" i="187"/>
  <c r="AC32" i="187" s="1"/>
  <c r="U27" i="187"/>
  <c r="AC27" i="187" s="1"/>
  <c r="U22" i="50"/>
  <c r="AC22" i="50" s="1"/>
  <c r="U49" i="50"/>
  <c r="M99" i="187"/>
  <c r="T99" i="187"/>
  <c r="U19" i="50"/>
  <c r="AC19" i="50" s="1"/>
  <c r="U24" i="50"/>
  <c r="AC24" i="50" s="1"/>
  <c r="U64" i="50"/>
  <c r="U29" i="50"/>
  <c r="AC29" i="50" s="1"/>
  <c r="AA36" i="50"/>
  <c r="U25" i="50"/>
  <c r="AC25" i="50" s="1"/>
  <c r="U23" i="187"/>
  <c r="AC23" i="187" s="1"/>
  <c r="U9" i="187"/>
  <c r="AC9" i="187" s="1"/>
  <c r="U38" i="50"/>
  <c r="AC38" i="50" s="1"/>
  <c r="U72" i="50"/>
  <c r="U23" i="50"/>
  <c r="AC23" i="50" s="1"/>
  <c r="U44" i="50"/>
  <c r="AC44" i="50" s="1"/>
  <c r="U65" i="50"/>
  <c r="U12" i="187"/>
  <c r="AC12" i="187" s="1"/>
  <c r="U20" i="187"/>
  <c r="AC20" i="187" s="1"/>
  <c r="U52" i="50"/>
  <c r="U9" i="50"/>
  <c r="AC9" i="50" s="1"/>
  <c r="L75" i="50"/>
  <c r="L5" i="35" s="1"/>
  <c r="T75" i="50"/>
  <c r="R5" i="35" s="1"/>
  <c r="U15" i="187"/>
  <c r="AC15" i="187" s="1"/>
  <c r="U21" i="50"/>
  <c r="AC21" i="50" s="1"/>
  <c r="U58" i="50"/>
  <c r="U28" i="50"/>
  <c r="AC28" i="50" s="1"/>
  <c r="U60" i="50"/>
  <c r="P99" i="187"/>
  <c r="U61" i="50"/>
  <c r="U66" i="50"/>
  <c r="U47" i="50"/>
  <c r="U68" i="50"/>
  <c r="U57" i="50"/>
  <c r="U26" i="187"/>
  <c r="AC26" i="187" s="1"/>
  <c r="U27" i="50"/>
  <c r="AC27" i="50" s="1"/>
  <c r="U32" i="50"/>
  <c r="AC32" i="50" s="1"/>
  <c r="U10" i="50"/>
  <c r="AC10" i="50" s="1"/>
  <c r="U55" i="50"/>
  <c r="U33" i="50"/>
  <c r="AC33" i="50" s="1"/>
  <c r="U98" i="187"/>
  <c r="U13" i="50"/>
  <c r="AC13" i="50" s="1"/>
  <c r="U13" i="187"/>
  <c r="AC13" i="187" s="1"/>
  <c r="U50" i="50"/>
  <c r="M75" i="50"/>
  <c r="M5" i="35" s="1"/>
  <c r="R75" i="50"/>
  <c r="Q5" i="35" s="1"/>
  <c r="U11" i="187"/>
  <c r="AC11" i="187" s="1"/>
  <c r="U33" i="187"/>
  <c r="AC33" i="187" s="1"/>
  <c r="U25" i="187"/>
  <c r="AC25" i="187" s="1"/>
  <c r="U31" i="187"/>
  <c r="AC31" i="187" s="1"/>
  <c r="U11" i="50"/>
  <c r="AC11" i="50" s="1"/>
  <c r="U71" i="50"/>
  <c r="U8" i="187"/>
  <c r="AC8" i="187" s="1"/>
  <c r="L99" i="187"/>
  <c r="N99" i="187"/>
  <c r="AA29" i="187"/>
  <c r="U30" i="50"/>
  <c r="AC30" i="50" s="1"/>
  <c r="U34" i="50"/>
  <c r="AC34" i="50" s="1"/>
  <c r="U24" i="187"/>
  <c r="AC24" i="187" s="1"/>
  <c r="U70" i="50"/>
  <c r="U59" i="50"/>
  <c r="U42" i="50"/>
  <c r="AC42" i="50" s="1"/>
  <c r="U21" i="187"/>
  <c r="AC21" i="187" s="1"/>
  <c r="U16" i="187"/>
  <c r="AC16" i="187" s="1"/>
  <c r="U10" i="187"/>
  <c r="AC10" i="187" s="1"/>
  <c r="U34" i="187"/>
  <c r="AC34" i="187" s="1"/>
  <c r="U14" i="187"/>
  <c r="AC14" i="187" s="1"/>
  <c r="AA14" i="50"/>
  <c r="U67" i="50"/>
  <c r="V48" i="50"/>
  <c r="W48" i="50" s="1"/>
  <c r="U18" i="50"/>
  <c r="AC18" i="50" s="1"/>
  <c r="U63" i="50"/>
  <c r="U20" i="50"/>
  <c r="AC20" i="50" s="1"/>
  <c r="P75" i="50"/>
  <c r="P5" i="35" s="1"/>
  <c r="U22" i="187"/>
  <c r="AC22" i="187" s="1"/>
  <c r="U19" i="187"/>
  <c r="AC19" i="187" s="1"/>
  <c r="U54" i="50"/>
  <c r="U43" i="50"/>
  <c r="AC43" i="50" s="1"/>
  <c r="U16" i="50"/>
  <c r="AC16" i="50" s="1"/>
  <c r="U26" i="50"/>
  <c r="AC26" i="50" s="1"/>
  <c r="V5" i="35" l="1"/>
  <c r="V42" i="187"/>
  <c r="W42" i="187" s="1"/>
  <c r="AC61" i="187"/>
  <c r="AC45" i="187"/>
  <c r="AC56" i="187"/>
  <c r="V56" i="187"/>
  <c r="W56" i="187" s="1"/>
  <c r="V55" i="187"/>
  <c r="W55" i="187" s="1"/>
  <c r="AC55" i="187"/>
  <c r="AA31" i="50"/>
  <c r="AC31" i="50"/>
  <c r="AA39" i="50"/>
  <c r="AC39" i="50"/>
  <c r="V36" i="50"/>
  <c r="W36" i="50" s="1"/>
  <c r="AC36" i="50"/>
  <c r="AA41" i="50"/>
  <c r="AC41" i="50"/>
  <c r="V40" i="50"/>
  <c r="W40" i="50" s="1"/>
  <c r="AC40" i="50"/>
  <c r="V39" i="50"/>
  <c r="W39" i="50" s="1"/>
  <c r="V41" i="50"/>
  <c r="W41" i="50" s="1"/>
  <c r="AC38" i="187"/>
  <c r="V29" i="187"/>
  <c r="W29" i="187" s="1"/>
  <c r="AC46" i="187"/>
  <c r="V46" i="187"/>
  <c r="W46" i="187" s="1"/>
  <c r="AC40" i="187"/>
  <c r="V40" i="187"/>
  <c r="W40" i="187" s="1"/>
  <c r="AC62" i="187"/>
  <c r="V62" i="187"/>
  <c r="W62" i="187" s="1"/>
  <c r="AC59" i="187"/>
  <c r="V39" i="187"/>
  <c r="W39" i="187" s="1"/>
  <c r="AC39" i="187"/>
  <c r="AA62" i="50"/>
  <c r="AC63" i="187"/>
  <c r="V63" i="187"/>
  <c r="W63" i="187" s="1"/>
  <c r="AC48" i="187"/>
  <c r="V48" i="187"/>
  <c r="W48" i="187" s="1"/>
  <c r="AC60" i="187"/>
  <c r="AC54" i="187"/>
  <c r="V54" i="187"/>
  <c r="W54" i="187" s="1"/>
  <c r="AA40" i="50"/>
  <c r="AC53" i="187"/>
  <c r="V53" i="187"/>
  <c r="W53" i="187" s="1"/>
  <c r="V52" i="187"/>
  <c r="W52" i="187" s="1"/>
  <c r="AC52" i="187"/>
  <c r="AC57" i="187"/>
  <c r="V57" i="187"/>
  <c r="W57" i="187" s="1"/>
  <c r="V14" i="50"/>
  <c r="W14" i="50" s="1"/>
  <c r="AC14" i="50"/>
  <c r="AC58" i="187"/>
  <c r="V58" i="187"/>
  <c r="W58" i="187" s="1"/>
  <c r="AC49" i="187"/>
  <c r="V49" i="187"/>
  <c r="W49" i="187" s="1"/>
  <c r="AC51" i="187"/>
  <c r="V51" i="187"/>
  <c r="W51" i="187" s="1"/>
  <c r="V15" i="50"/>
  <c r="W15" i="50" s="1"/>
  <c r="AC15" i="50"/>
  <c r="AC50" i="187"/>
  <c r="V50" i="187"/>
  <c r="W50" i="187" s="1"/>
  <c r="AC47" i="187"/>
  <c r="V47" i="187"/>
  <c r="W47" i="187" s="1"/>
  <c r="AC44" i="187"/>
  <c r="V44" i="187"/>
  <c r="W44" i="187" s="1"/>
  <c r="AA17" i="50"/>
  <c r="AC17" i="50"/>
  <c r="AC41" i="187"/>
  <c r="V41" i="187"/>
  <c r="W41" i="187" s="1"/>
  <c r="AC43" i="187"/>
  <c r="V43" i="187"/>
  <c r="W43" i="187" s="1"/>
  <c r="AA17" i="187"/>
  <c r="AC17" i="187"/>
  <c r="V35" i="187"/>
  <c r="W35" i="187" s="1"/>
  <c r="AC35" i="187"/>
  <c r="AA36" i="187"/>
  <c r="V36" i="187"/>
  <c r="W36" i="187" s="1"/>
  <c r="AA8" i="50"/>
  <c r="V8" i="50"/>
  <c r="W8" i="50" s="1"/>
  <c r="V30" i="187"/>
  <c r="W30" i="187" s="1"/>
  <c r="AA30" i="187"/>
  <c r="V28" i="187"/>
  <c r="W28" i="187" s="1"/>
  <c r="AA28" i="187"/>
  <c r="V53" i="50"/>
  <c r="W53" i="50" s="1"/>
  <c r="AA35" i="187"/>
  <c r="AA15" i="50"/>
  <c r="AA12" i="50"/>
  <c r="V12" i="50"/>
  <c r="W12" i="50" s="1"/>
  <c r="V69" i="50"/>
  <c r="W69" i="50" s="1"/>
  <c r="AA69" i="50"/>
  <c r="V56" i="50"/>
  <c r="W56" i="50" s="1"/>
  <c r="AA56" i="50"/>
  <c r="AA37" i="50"/>
  <c r="V37" i="50"/>
  <c r="W37" i="50" s="1"/>
  <c r="AA37" i="187"/>
  <c r="V37" i="187"/>
  <c r="W37" i="187" s="1"/>
  <c r="V17" i="187"/>
  <c r="W17" i="187" s="1"/>
  <c r="V26" i="50"/>
  <c r="W26" i="50" s="1"/>
  <c r="AA26" i="50"/>
  <c r="AA19" i="187"/>
  <c r="V19" i="187"/>
  <c r="W19" i="187" s="1"/>
  <c r="AA34" i="187"/>
  <c r="V34" i="187"/>
  <c r="W34" i="187" s="1"/>
  <c r="AA16" i="187"/>
  <c r="V16" i="187"/>
  <c r="W16" i="187" s="1"/>
  <c r="V21" i="187"/>
  <c r="W21" i="187" s="1"/>
  <c r="AA21" i="187"/>
  <c r="V34" i="50"/>
  <c r="W34" i="50" s="1"/>
  <c r="AA34" i="50"/>
  <c r="V30" i="50"/>
  <c r="W30" i="50" s="1"/>
  <c r="AA30" i="50"/>
  <c r="N4" i="187"/>
  <c r="N4" i="35"/>
  <c r="V25" i="187"/>
  <c r="W25" i="187" s="1"/>
  <c r="AA25" i="187"/>
  <c r="V33" i="187"/>
  <c r="W33" i="187" s="1"/>
  <c r="AA33" i="187"/>
  <c r="M4" i="50"/>
  <c r="V13" i="50"/>
  <c r="W13" i="50" s="1"/>
  <c r="AA13" i="50"/>
  <c r="P4" i="187"/>
  <c r="P4" i="35"/>
  <c r="V28" i="50"/>
  <c r="W28" i="50" s="1"/>
  <c r="AA28" i="50"/>
  <c r="T4" i="50"/>
  <c r="V20" i="187"/>
  <c r="W20" i="187" s="1"/>
  <c r="AA20" i="187"/>
  <c r="AA12" i="187"/>
  <c r="V12" i="187"/>
  <c r="W12" i="187" s="1"/>
  <c r="AA44" i="50"/>
  <c r="V44" i="50"/>
  <c r="W44" i="50" s="1"/>
  <c r="V72" i="50"/>
  <c r="W72" i="50" s="1"/>
  <c r="AA72" i="50"/>
  <c r="V23" i="187"/>
  <c r="W23" i="187" s="1"/>
  <c r="AA23" i="187"/>
  <c r="V19" i="50"/>
  <c r="W19" i="50" s="1"/>
  <c r="AA19" i="50"/>
  <c r="T4" i="187"/>
  <c r="R4" i="35"/>
  <c r="V22" i="50"/>
  <c r="W22" i="50" s="1"/>
  <c r="AA22" i="50"/>
  <c r="AA27" i="187"/>
  <c r="V27" i="187"/>
  <c r="W27" i="187" s="1"/>
  <c r="V45" i="50"/>
  <c r="W45" i="50" s="1"/>
  <c r="AA45" i="50"/>
  <c r="V46" i="50"/>
  <c r="W46" i="50" s="1"/>
  <c r="AA46" i="50"/>
  <c r="V74" i="50"/>
  <c r="W74" i="50" s="1"/>
  <c r="AA74" i="50"/>
  <c r="V16" i="50"/>
  <c r="W16" i="50" s="1"/>
  <c r="AA16" i="50"/>
  <c r="AA22" i="187"/>
  <c r="V22" i="187"/>
  <c r="W22" i="187" s="1"/>
  <c r="V63" i="50"/>
  <c r="W63" i="50" s="1"/>
  <c r="AA63" i="50"/>
  <c r="AA18" i="50"/>
  <c r="V18" i="50"/>
  <c r="W18" i="50" s="1"/>
  <c r="L4" i="187"/>
  <c r="L4" i="35"/>
  <c r="V11" i="187"/>
  <c r="W11" i="187" s="1"/>
  <c r="AA11" i="187"/>
  <c r="V98" i="187"/>
  <c r="W98" i="187" s="1"/>
  <c r="AA98" i="187"/>
  <c r="V32" i="50"/>
  <c r="W32" i="50" s="1"/>
  <c r="AA32" i="50"/>
  <c r="V57" i="50"/>
  <c r="W57" i="50" s="1"/>
  <c r="AA57" i="50"/>
  <c r="V47" i="50"/>
  <c r="W47" i="50" s="1"/>
  <c r="AA47" i="50"/>
  <c r="AA21" i="50"/>
  <c r="V21" i="50"/>
  <c r="W21" i="50" s="1"/>
  <c r="L4" i="50"/>
  <c r="V23" i="50"/>
  <c r="W23" i="50" s="1"/>
  <c r="AA23" i="50"/>
  <c r="V38" i="50"/>
  <c r="W38" i="50" s="1"/>
  <c r="AA38" i="50"/>
  <c r="M4" i="187"/>
  <c r="M4" i="35"/>
  <c r="V32" i="187"/>
  <c r="W32" i="187" s="1"/>
  <c r="AA32" i="187"/>
  <c r="V73" i="50"/>
  <c r="W73" i="50" s="1"/>
  <c r="AA73" i="50"/>
  <c r="V35" i="50"/>
  <c r="W35" i="50" s="1"/>
  <c r="AA35" i="50"/>
  <c r="R4" i="187"/>
  <c r="Q4" i="35"/>
  <c r="V54" i="50"/>
  <c r="W54" i="50" s="1"/>
  <c r="AA54" i="50"/>
  <c r="P4" i="50"/>
  <c r="V20" i="50"/>
  <c r="W20" i="50" s="1"/>
  <c r="AA20" i="50"/>
  <c r="V42" i="50"/>
  <c r="W42" i="50" s="1"/>
  <c r="AA42" i="50"/>
  <c r="V8" i="187"/>
  <c r="AA8" i="187"/>
  <c r="U99" i="187"/>
  <c r="U4" i="187" s="1"/>
  <c r="V50" i="50"/>
  <c r="W50" i="50" s="1"/>
  <c r="AA50" i="50"/>
  <c r="V55" i="50"/>
  <c r="W55" i="50" s="1"/>
  <c r="AA55" i="50"/>
  <c r="V10" i="50"/>
  <c r="W10" i="50" s="1"/>
  <c r="AA10" i="50"/>
  <c r="V27" i="50"/>
  <c r="W27" i="50" s="1"/>
  <c r="AA27" i="50"/>
  <c r="V26" i="187"/>
  <c r="W26" i="187" s="1"/>
  <c r="AA26" i="187"/>
  <c r="AA66" i="50"/>
  <c r="V66" i="50"/>
  <c r="W66" i="50" s="1"/>
  <c r="V61" i="50"/>
  <c r="W61" i="50" s="1"/>
  <c r="AA61" i="50"/>
  <c r="AA15" i="187"/>
  <c r="V15" i="187"/>
  <c r="W15" i="187" s="1"/>
  <c r="AA9" i="50"/>
  <c r="V9" i="50"/>
  <c r="U75" i="50"/>
  <c r="U4" i="50" s="1"/>
  <c r="V52" i="50"/>
  <c r="W52" i="50" s="1"/>
  <c r="AA52" i="50"/>
  <c r="V65" i="50"/>
  <c r="W65" i="50" s="1"/>
  <c r="AA65" i="50"/>
  <c r="V64" i="50"/>
  <c r="W64" i="50" s="1"/>
  <c r="AA64" i="50"/>
  <c r="V49" i="50"/>
  <c r="W49" i="50" s="1"/>
  <c r="AA49" i="50"/>
  <c r="O4" i="50"/>
  <c r="V51" i="50"/>
  <c r="W51" i="50" s="1"/>
  <c r="AA51" i="50"/>
  <c r="O4" i="187"/>
  <c r="O4" i="35"/>
  <c r="V43" i="50"/>
  <c r="W43" i="50" s="1"/>
  <c r="AA43" i="50"/>
  <c r="V67" i="50"/>
  <c r="W67" i="50" s="1"/>
  <c r="AA67" i="50"/>
  <c r="V14" i="187"/>
  <c r="W14" i="187" s="1"/>
  <c r="AA14" i="187"/>
  <c r="AA10" i="187"/>
  <c r="V10" i="187"/>
  <c r="W10" i="187" s="1"/>
  <c r="V59" i="50"/>
  <c r="W59" i="50" s="1"/>
  <c r="AA59" i="50"/>
  <c r="V70" i="50"/>
  <c r="W70" i="50" s="1"/>
  <c r="AA70" i="50"/>
  <c r="V24" i="187"/>
  <c r="W24" i="187" s="1"/>
  <c r="AA24" i="187"/>
  <c r="V71" i="50"/>
  <c r="W71" i="50" s="1"/>
  <c r="AA71" i="50"/>
  <c r="V11" i="50"/>
  <c r="W11" i="50" s="1"/>
  <c r="AA11" i="50"/>
  <c r="AA31" i="187"/>
  <c r="V31" i="187"/>
  <c r="W31" i="187" s="1"/>
  <c r="R4" i="50"/>
  <c r="V13" i="187"/>
  <c r="W13" i="187" s="1"/>
  <c r="AA13" i="187"/>
  <c r="V33" i="50"/>
  <c r="W33" i="50" s="1"/>
  <c r="AA33" i="50"/>
  <c r="V68" i="50"/>
  <c r="W68" i="50" s="1"/>
  <c r="AA68" i="50"/>
  <c r="V60" i="50"/>
  <c r="W60" i="50" s="1"/>
  <c r="AA60" i="50"/>
  <c r="V58" i="50"/>
  <c r="W58" i="50" s="1"/>
  <c r="AA58" i="50"/>
  <c r="V9" i="187"/>
  <c r="W9" i="187" s="1"/>
  <c r="AA9" i="187"/>
  <c r="V25" i="50"/>
  <c r="W25" i="50" s="1"/>
  <c r="AA25" i="50"/>
  <c r="V29" i="50"/>
  <c r="W29" i="50" s="1"/>
  <c r="AA29" i="50"/>
  <c r="V24" i="50"/>
  <c r="W24" i="50" s="1"/>
  <c r="AA24" i="50"/>
  <c r="N4" i="50"/>
  <c r="V18" i="187"/>
  <c r="W18" i="187" s="1"/>
  <c r="AA18" i="187"/>
  <c r="G5" i="35" l="1"/>
  <c r="W5" i="35"/>
  <c r="X5" i="35" s="1"/>
  <c r="AA75" i="50"/>
  <c r="S5" i="35" s="1"/>
  <c r="AA99" i="187"/>
  <c r="AC75" i="50"/>
  <c r="T5" i="35" s="1"/>
  <c r="W8" i="187"/>
  <c r="V99" i="187"/>
  <c r="V4" i="187" s="1"/>
  <c r="W9" i="50"/>
  <c r="W75" i="50" s="1"/>
  <c r="V75" i="50"/>
  <c r="V4" i="50" s="1"/>
  <c r="AC99" i="187"/>
  <c r="T4" i="35" s="1"/>
  <c r="AJ5" i="35" l="1"/>
  <c r="AI5" i="35"/>
  <c r="W99" i="187"/>
  <c r="S4" i="35"/>
  <c r="AA100" i="187"/>
  <c r="AA76" i="50"/>
  <c r="C4" i="27" l="1"/>
  <c r="V6" i="35" l="1"/>
  <c r="W6" i="35" l="1"/>
  <c r="X6" i="35" s="1"/>
  <c r="AI6" i="35" s="1"/>
  <c r="G6" i="35"/>
  <c r="AB7" i="35"/>
  <c r="AE7" i="35"/>
  <c r="AF7" i="35"/>
  <c r="AC7" i="35"/>
  <c r="AJ6" i="35" l="1"/>
  <c r="Z7" i="35"/>
  <c r="AA7" i="35"/>
  <c r="AD7" i="35" l="1"/>
  <c r="Q7" i="35"/>
  <c r="R7" i="35"/>
  <c r="AG4" i="35"/>
  <c r="U7" i="35" l="1"/>
  <c r="AG7" i="35"/>
  <c r="AH4" i="35"/>
  <c r="T7" i="35" l="1"/>
  <c r="AH7" i="35"/>
  <c r="H7" i="35" l="1"/>
  <c r="V4" i="35" l="1"/>
  <c r="G4" i="35" s="1"/>
  <c r="W4" i="35" l="1"/>
  <c r="X4" i="35" l="1"/>
  <c r="AJ4" i="35" s="1"/>
  <c r="AJ7" i="35" s="1"/>
  <c r="AI4" i="35" l="1"/>
  <c r="L7" i="35" l="1"/>
  <c r="M7" i="35"/>
  <c r="N7" i="35"/>
  <c r="O7" i="35" l="1"/>
  <c r="P7" i="35"/>
  <c r="V7" i="35" l="1"/>
  <c r="G7" i="35" s="1"/>
  <c r="W7" i="35" l="1"/>
  <c r="S7" i="35"/>
  <c r="X7" i="35" l="1"/>
  <c r="AI7" i="35" l="1"/>
  <c r="AK5" i="35" s="1"/>
  <c r="AK4" i="35" l="1"/>
  <c r="AK7" i="35"/>
  <c r="AK6" i="35"/>
  <c r="AI8" i="35"/>
  <c r="AI9" i="35" s="1"/>
</calcChain>
</file>

<file path=xl/sharedStrings.xml><?xml version="1.0" encoding="utf-8"?>
<sst xmlns="http://schemas.openxmlformats.org/spreadsheetml/2006/main" count="6026" uniqueCount="508">
  <si>
    <t>M</t>
  </si>
  <si>
    <t>TOTAL</t>
  </si>
  <si>
    <t>Nº</t>
  </si>
  <si>
    <t>Cristales</t>
  </si>
  <si>
    <t>Baños</t>
  </si>
  <si>
    <t>Almacen</t>
  </si>
  <si>
    <t>Rendimiento</t>
  </si>
  <si>
    <t>Dias</t>
  </si>
  <si>
    <t>Despachos</t>
  </si>
  <si>
    <t>Sala de reuniones</t>
  </si>
  <si>
    <t>Taller</t>
  </si>
  <si>
    <t>Horas Semana</t>
  </si>
  <si>
    <t>Total Mensual</t>
  </si>
  <si>
    <t>Zona</t>
  </si>
  <si>
    <t>Freq</t>
  </si>
  <si>
    <t>Planta</t>
  </si>
  <si>
    <t>Superficie</t>
  </si>
  <si>
    <t>D/S</t>
  </si>
  <si>
    <t>M²</t>
  </si>
  <si>
    <t>H/V</t>
  </si>
  <si>
    <t>Diario 5/7</t>
  </si>
  <si>
    <t>Mesos</t>
  </si>
  <si>
    <t>Mitja hores mes</t>
  </si>
  <si>
    <t>Mitja Hores Setmana</t>
  </si>
  <si>
    <t>Inicio</t>
  </si>
  <si>
    <t>Frecuencia</t>
  </si>
  <si>
    <t>Tratamiento de Suelos</t>
  </si>
  <si>
    <t>Aplicación de emulsiones</t>
  </si>
  <si>
    <t>Office</t>
  </si>
  <si>
    <t>Escaleras</t>
  </si>
  <si>
    <t>Quincenal</t>
  </si>
  <si>
    <t>Dos veces semana</t>
  </si>
  <si>
    <t>TABLA DE FREQUENCIAS</t>
  </si>
  <si>
    <t>codigos</t>
  </si>
  <si>
    <t xml:space="preserve">Seis veces día 7/7 </t>
  </si>
  <si>
    <t xml:space="preserve">Cinco veces día 7/7 </t>
  </si>
  <si>
    <t xml:space="preserve">Cuatro veces día 7/7 </t>
  </si>
  <si>
    <t xml:space="preserve">Tres veces día 7/7 </t>
  </si>
  <si>
    <t xml:space="preserve">Dos veces día 7/7 </t>
  </si>
  <si>
    <t>Diario 7/7</t>
  </si>
  <si>
    <t>Seis veces día 6/7</t>
  </si>
  <si>
    <t xml:space="preserve">Cinco veces día 6/7 </t>
  </si>
  <si>
    <t xml:space="preserve">Cuatro veces día 6/7 </t>
  </si>
  <si>
    <t xml:space="preserve">Tres veces día 6/7 </t>
  </si>
  <si>
    <t>Dos veces día 6/7</t>
  </si>
  <si>
    <t>Diario 6/7</t>
  </si>
  <si>
    <t xml:space="preserve">Seis veces día 5/7 </t>
  </si>
  <si>
    <t xml:space="preserve">Cinco veces día 5/7 </t>
  </si>
  <si>
    <t xml:space="preserve">Cuatro veces día 5/7 </t>
  </si>
  <si>
    <t xml:space="preserve">Tres veces día 5/7 </t>
  </si>
  <si>
    <t>Dos veces día 5/7</t>
  </si>
  <si>
    <t>Cuatro veces semana</t>
  </si>
  <si>
    <t>Tres veces semana</t>
  </si>
  <si>
    <t>Alterno 5/7</t>
  </si>
  <si>
    <t xml:space="preserve">Alterno 6/7 </t>
  </si>
  <si>
    <t xml:space="preserve">Alterno 7/7 </t>
  </si>
  <si>
    <t>Semanal</t>
  </si>
  <si>
    <t>Una vez cada dos semanas</t>
  </si>
  <si>
    <t>Mensual</t>
  </si>
  <si>
    <t>Diez veces al año</t>
  </si>
  <si>
    <t>Bimensual</t>
  </si>
  <si>
    <t>Cinco veces al año</t>
  </si>
  <si>
    <t>Trimestral</t>
  </si>
  <si>
    <t>Cuatrimestral</t>
  </si>
  <si>
    <t>Semestral</t>
  </si>
  <si>
    <t>Anual</t>
  </si>
  <si>
    <t>Codig</t>
  </si>
  <si>
    <t>Rend</t>
  </si>
  <si>
    <t>Archivos</t>
  </si>
  <si>
    <t>Archivo Pasivo</t>
  </si>
  <si>
    <t>Ascensores</t>
  </si>
  <si>
    <t>Auditorio</t>
  </si>
  <si>
    <t>Aula Infantil</t>
  </si>
  <si>
    <t>Aula Taller</t>
  </si>
  <si>
    <t>Aulas</t>
  </si>
  <si>
    <t>Biblioteca</t>
  </si>
  <si>
    <t>Biblioteca con libros</t>
  </si>
  <si>
    <t>Cabinas de Control</t>
  </si>
  <si>
    <t>Call Center</t>
  </si>
  <si>
    <t>Camerino</t>
  </si>
  <si>
    <t>Capilla</t>
  </si>
  <si>
    <t>Cocinas completo</t>
  </si>
  <si>
    <t>Cocinas superficies</t>
  </si>
  <si>
    <t>Comedor completo</t>
  </si>
  <si>
    <t>Comedor de suelos</t>
  </si>
  <si>
    <t>Consultorio</t>
  </si>
  <si>
    <t>Control enfermeria</t>
  </si>
  <si>
    <t>Despachos Moqueta</t>
  </si>
  <si>
    <t>Duchas</t>
  </si>
  <si>
    <t>Entrada Exterior</t>
  </si>
  <si>
    <t>Estudio de Grabación</t>
  </si>
  <si>
    <t>Gimnasio</t>
  </si>
  <si>
    <t>Habitaciones con baño</t>
  </si>
  <si>
    <t>Habitaciones sin baño</t>
  </si>
  <si>
    <t>Habitaciones de guardia</t>
  </si>
  <si>
    <t>Laboratorios</t>
  </si>
  <si>
    <t>Locutorio</t>
  </si>
  <si>
    <t>Parking exterior P</t>
  </si>
  <si>
    <t>Parking exterior M</t>
  </si>
  <si>
    <t>Parking exterior G</t>
  </si>
  <si>
    <t>Parking exterior SG</t>
  </si>
  <si>
    <t>Parking interior P</t>
  </si>
  <si>
    <t>Parking interior M</t>
  </si>
  <si>
    <t>Parquing Interior G</t>
  </si>
  <si>
    <t>Parquing Interior SG</t>
  </si>
  <si>
    <t>Pasillos</t>
  </si>
  <si>
    <t>Pasillos M P</t>
  </si>
  <si>
    <t>Pasillos M M</t>
  </si>
  <si>
    <t>Pasillos M G</t>
  </si>
  <si>
    <t>Pasillos M SG</t>
  </si>
  <si>
    <t>Patio exterior</t>
  </si>
  <si>
    <t>Patio Gravilla</t>
  </si>
  <si>
    <t>Pista Deportiva</t>
  </si>
  <si>
    <t>Playa Piscina</t>
  </si>
  <si>
    <t>Porche</t>
  </si>
  <si>
    <t>Rack CPD</t>
  </si>
  <si>
    <t>Rehabilitacion</t>
  </si>
  <si>
    <t>Sala de Producción</t>
  </si>
  <si>
    <t>Sala de produccion Mecanico</t>
  </si>
  <si>
    <t>Sala tecnica</t>
  </si>
  <si>
    <t>Sala de ventas P</t>
  </si>
  <si>
    <t>Sala de ventas M</t>
  </si>
  <si>
    <t>Sala de ventas G</t>
  </si>
  <si>
    <t>Sala de ventas SG &gt; 2500</t>
  </si>
  <si>
    <t>Sala Gimnasia Diafana</t>
  </si>
  <si>
    <t>Salas Blancas</t>
  </si>
  <si>
    <t>Salas Blancas hospitalarias</t>
  </si>
  <si>
    <t>Salas de espera</t>
  </si>
  <si>
    <t>Salas de maquinas</t>
  </si>
  <si>
    <t>Salas de riesgo hospitalarias</t>
  </si>
  <si>
    <t>Salas exploración, Box</t>
  </si>
  <si>
    <t>Saunas Hielo</t>
  </si>
  <si>
    <t>Solarium</t>
  </si>
  <si>
    <t>Vestibulos</t>
  </si>
  <si>
    <t>Vestibulo fre M P</t>
  </si>
  <si>
    <t>Vestibulos fre M M</t>
  </si>
  <si>
    <t>Vestibulo fre M G</t>
  </si>
  <si>
    <t>Vestuarios Taquillas</t>
  </si>
  <si>
    <t>Vestuarios Completos</t>
  </si>
  <si>
    <t>Zona limpio</t>
  </si>
  <si>
    <t>Zona Sucio</t>
  </si>
  <si>
    <t>Zonas Administrativas</t>
  </si>
  <si>
    <t>Zonas administrativas Moqueta</t>
  </si>
  <si>
    <t>Vacio 1</t>
  </si>
  <si>
    <t>Vacio 2</t>
  </si>
  <si>
    <t>Vacio 3</t>
  </si>
  <si>
    <t>Vacio 4</t>
  </si>
  <si>
    <t>Vacio 5</t>
  </si>
  <si>
    <t>Vacio 6</t>
  </si>
  <si>
    <t>Vacio 7</t>
  </si>
  <si>
    <t>Vacio 8</t>
  </si>
  <si>
    <t>Vacio 9</t>
  </si>
  <si>
    <t>Vacio 10</t>
  </si>
  <si>
    <t>Cristales cocinas</t>
  </si>
  <si>
    <t>Cristales Obra</t>
  </si>
  <si>
    <t>Paredes Alicatadas</t>
  </si>
  <si>
    <t>Techos PVC</t>
  </si>
  <si>
    <t>Limpieza de Graderias exteriores</t>
  </si>
  <si>
    <t>Limpieza de Graderias interiores</t>
  </si>
  <si>
    <t>Vacio</t>
  </si>
  <si>
    <t>Aplicación de emulsiones, decapado</t>
  </si>
  <si>
    <t>Cristalizado de Suelos</t>
  </si>
  <si>
    <t>Decapado Cristalizado de Suelos</t>
  </si>
  <si>
    <t>Limpieza de Moquetas Champú</t>
  </si>
  <si>
    <t>Limpieza de Moquetas IE</t>
  </si>
  <si>
    <t>Mantenimiento altas</t>
  </si>
  <si>
    <t>Responsable edificio</t>
  </si>
  <si>
    <t>Mantenimiento zona</t>
  </si>
  <si>
    <t>Descanso Personal</t>
  </si>
  <si>
    <t>Cristales escaparates</t>
  </si>
  <si>
    <t>Aclarado</t>
  </si>
  <si>
    <t>Alfombras Adhesivas</t>
  </si>
  <si>
    <t>Aspiracion de agua</t>
  </si>
  <si>
    <t>Aspiracion de polvo en moquetas</t>
  </si>
  <si>
    <t>Aspirado alfombras Rack</t>
  </si>
  <si>
    <t>Aspirado Cepillado Moquetas</t>
  </si>
  <si>
    <t>Aspirado con barredora moquetas</t>
  </si>
  <si>
    <t>Aspirado entre lineas</t>
  </si>
  <si>
    <t>Aspirado paredes tapizadas</t>
  </si>
  <si>
    <t>Barrido de suelos</t>
  </si>
  <si>
    <t>Barrido Humedo 1,5 m</t>
  </si>
  <si>
    <t>Barrido Humedo 45 cm</t>
  </si>
  <si>
    <t>Barrido Humedo 75 cm</t>
  </si>
  <si>
    <t>Barrido Mec G</t>
  </si>
  <si>
    <t>Barrido Mec M</t>
  </si>
  <si>
    <t>Barrido Mec P</t>
  </si>
  <si>
    <t>Barrido Mec SG</t>
  </si>
  <si>
    <t>Camas acompañantes</t>
  </si>
  <si>
    <t>Cristalizado de suelos</t>
  </si>
  <si>
    <t>Descanso</t>
  </si>
  <si>
    <t>Desempolvado de mobiliario</t>
  </si>
  <si>
    <t>Desempolvado de paredes</t>
  </si>
  <si>
    <t>Desempolvado de paredes con mopsec</t>
  </si>
  <si>
    <t>Desempolvado de persionas con mopsec</t>
  </si>
  <si>
    <t>Desempolvado de puertas y marcos</t>
  </si>
  <si>
    <t>Desempolvado de puntos de luz</t>
  </si>
  <si>
    <t>Desempolvado de radiadores</t>
  </si>
  <si>
    <t>Desempolvado de techos</t>
  </si>
  <si>
    <t>Fregado a fondo de paredes</t>
  </si>
  <si>
    <t>Fregado con mocho domestico</t>
  </si>
  <si>
    <t>Fregado con mopa. Cubo doble</t>
  </si>
  <si>
    <t>Fregado con mopa. Cubo sencillo</t>
  </si>
  <si>
    <t>Fregado con sistema Bio</t>
  </si>
  <si>
    <t>Fregado con sistema pretratado</t>
  </si>
  <si>
    <t>Fregado mecanico de suelos Fregadora G</t>
  </si>
  <si>
    <t>Fregado mecanico de suelos Fregadora M</t>
  </si>
  <si>
    <t>Fregado mecanico de suelos Fregadora P</t>
  </si>
  <si>
    <t>Fregado mecanico de suelos Fregadora SG</t>
  </si>
  <si>
    <t>Fregado mecanico de suelos Rotativa</t>
  </si>
  <si>
    <t>Limpieza a fondo de bajos estantes en almacenes</t>
  </si>
  <si>
    <t>Limpieza a fondo de mobiliario</t>
  </si>
  <si>
    <t>Limpieza a fondo de persianas</t>
  </si>
  <si>
    <t>Limpieza alicatados baños habitaciones</t>
  </si>
  <si>
    <t>Limpieza de accesorios y dispensadores en aseos</t>
  </si>
  <si>
    <t>Limpieza de alicatados</t>
  </si>
  <si>
    <t>Limpieza de barandillas</t>
  </si>
  <si>
    <t>Limpieza de campana extractora</t>
  </si>
  <si>
    <t>Limpieza de carros</t>
  </si>
  <si>
    <t>Limpieza de cristales exteriores</t>
  </si>
  <si>
    <t>Limpieza de cristales interiores</t>
  </si>
  <si>
    <t>Limpieza de cuñas y bandejas</t>
  </si>
  <si>
    <t>Limpieza de espejos</t>
  </si>
  <si>
    <t>Limpieza de juguetes</t>
  </si>
  <si>
    <t>Limpieza de libros</t>
  </si>
  <si>
    <t>Limpieza de maquinaria</t>
  </si>
  <si>
    <t>Limpieza de Microondas</t>
  </si>
  <si>
    <t>Limpieza de mobiliario cocina</t>
  </si>
  <si>
    <t>Limpieza de moquetas con shampu</t>
  </si>
  <si>
    <t>Limpieza de moquetas Host</t>
  </si>
  <si>
    <t>Limpieza de neveras</t>
  </si>
  <si>
    <t xml:space="preserve">Limpieza de papeleras </t>
  </si>
  <si>
    <t>Limpieza de paredes con rastrillo</t>
  </si>
  <si>
    <t>Limpieza de picas consultas</t>
  </si>
  <si>
    <t>Limpieza de Pizarras</t>
  </si>
  <si>
    <t>Limpieza de puertas y marcos</t>
  </si>
  <si>
    <t>Limpieza de puntos de luz</t>
  </si>
  <si>
    <t>Limpieza de rejillas y sumideros</t>
  </si>
  <si>
    <t>Limpieza de rodapies, zocalos</t>
  </si>
  <si>
    <t>Limpieza de salas de ordenadores</t>
  </si>
  <si>
    <t>Limpieza de sanitarios Wc</t>
  </si>
  <si>
    <t>Limpieza elementos superficies verticales</t>
  </si>
  <si>
    <t>Limpieza humeda/desinfeccion de mobiliario</t>
  </si>
  <si>
    <t>Limpieza humeda/desinfeccion de paredes</t>
  </si>
  <si>
    <t>Limpieza humeda/desinfeccion de techos</t>
  </si>
  <si>
    <t xml:space="preserve">Limpieza Lavabos, picas </t>
  </si>
  <si>
    <t>Limpieza perimetral bajo maquinas</t>
  </si>
  <si>
    <t>Limpieza porche clase infantil</t>
  </si>
  <si>
    <t xml:space="preserve">Limpieza presión </t>
  </si>
  <si>
    <t>Mantenimiento de estantes accesibles, extintores rotulos</t>
  </si>
  <si>
    <t>Metodo spray con maquina de alta velocidad</t>
  </si>
  <si>
    <t>Neutralizado de suelos</t>
  </si>
  <si>
    <t>Pulverizado</t>
  </si>
  <si>
    <t>Recogida papeles exterior</t>
  </si>
  <si>
    <t>Repaso de cristales</t>
  </si>
  <si>
    <t>Repaso elementos superficies verticales</t>
  </si>
  <si>
    <t>Retirada de cartones</t>
  </si>
  <si>
    <t>Retirada papeles patios exteriores</t>
  </si>
  <si>
    <t>Tratamiento de suelos Aplicacion de emulsiones</t>
  </si>
  <si>
    <t>Vaciado contenedores basura</t>
  </si>
  <si>
    <t xml:space="preserve">Vaciado de papeleras </t>
  </si>
  <si>
    <t>Vaciado papeleras aparcamiento</t>
  </si>
  <si>
    <t>Menu General</t>
  </si>
  <si>
    <t>CALCULO DE RENDIMIENTOS POR ZONA</t>
  </si>
  <si>
    <t>% ocupación</t>
  </si>
  <si>
    <t>% limpiado</t>
  </si>
  <si>
    <t>Dosificacion producto</t>
  </si>
  <si>
    <t>Prestacion</t>
  </si>
  <si>
    <t>Horas 100 M2</t>
  </si>
  <si>
    <t>Materiales 100 M2</t>
  </si>
  <si>
    <t>Mano de obra 100 M2</t>
  </si>
  <si>
    <t>Tipo Producto</t>
  </si>
  <si>
    <t>ml / Agua</t>
  </si>
  <si>
    <t>% Dilución</t>
  </si>
  <si>
    <t>Producte ml</t>
  </si>
  <si>
    <t>Cubos</t>
  </si>
  <si>
    <t>Nivel suciedad</t>
  </si>
  <si>
    <t>precio</t>
  </si>
  <si>
    <t>coste 100 m2</t>
  </si>
  <si>
    <t>Detergente Suelos Mobiliario</t>
  </si>
  <si>
    <t>Desinfectante  mobiliario y baños</t>
  </si>
  <si>
    <t>Desinfectante  aldehido</t>
  </si>
  <si>
    <t>Desincrustante gres alicatados</t>
  </si>
  <si>
    <t>Captapolvo</t>
  </si>
  <si>
    <t>Limpiacristales secado rapido</t>
  </si>
  <si>
    <t>Desengrasante</t>
  </si>
  <si>
    <t>Decapante</t>
  </si>
  <si>
    <t>Limpiacristales mojador</t>
  </si>
  <si>
    <t>Limpiador jabonoso madera</t>
  </si>
  <si>
    <t>Alcalino maquinas antiespumante</t>
  </si>
  <si>
    <t>Neutro maquinas antiespumante</t>
  </si>
  <si>
    <t>Cristalizador</t>
  </si>
  <si>
    <t>Emulsión</t>
  </si>
  <si>
    <t>Habitacion sin aseo</t>
  </si>
  <si>
    <t>Desincrustante sanitarios</t>
  </si>
  <si>
    <t>Habitacion con lavamanos Cat 1 Y 2 *</t>
  </si>
  <si>
    <t>Moquetas Champu</t>
  </si>
  <si>
    <t>Habitacion con ducha Cat 1 Y 2 *</t>
  </si>
  <si>
    <t>Habitacion con Bañera Cat 1 Y 2 *</t>
  </si>
  <si>
    <t>Moquetas IE</t>
  </si>
  <si>
    <t>Habitacion pequeña Cat 3 *</t>
  </si>
  <si>
    <t>Neutralizante</t>
  </si>
  <si>
    <t>Habitacion simple Cat 3 *</t>
  </si>
  <si>
    <t>Utiles de limpieza</t>
  </si>
  <si>
    <t>Habitacion doble Cat 3 *</t>
  </si>
  <si>
    <t>Habitacion triple Cat 3 *</t>
  </si>
  <si>
    <t>Habitacion Grande Cat 3 *</t>
  </si>
  <si>
    <t>Habitacion Doble Cat 4 *</t>
  </si>
  <si>
    <t>Habitacion Triple Cat 4 *</t>
  </si>
  <si>
    <t>Suite Simple Cat 4 *</t>
  </si>
  <si>
    <t>Suite Doble Cat 4 *</t>
  </si>
  <si>
    <t>Suite Triple Cat 4 *</t>
  </si>
  <si>
    <r>
      <t>M</t>
    </r>
    <r>
      <rPr>
        <sz val="12"/>
        <rFont val="Calibri"/>
        <family val="2"/>
      </rPr>
      <t>²</t>
    </r>
  </si>
  <si>
    <t>CALCULO DE RENDIMIENTOS</t>
  </si>
  <si>
    <t>Tarea</t>
  </si>
  <si>
    <t>Frecuencia anual</t>
  </si>
  <si>
    <t>Media por operación</t>
  </si>
  <si>
    <t>Sala Producción</t>
  </si>
  <si>
    <t>Descansos, Perdidas de tiempo, desplazamientos, preparación maquinària, utiles y productos</t>
  </si>
  <si>
    <t>Rendimiento Medio Total</t>
  </si>
  <si>
    <t>Costes de Materiales</t>
  </si>
  <si>
    <t>Tipo de Producto</t>
  </si>
  <si>
    <t>Coste Litro/Envase</t>
  </si>
  <si>
    <t>Coste final</t>
  </si>
  <si>
    <t>Zona limpio sucio</t>
  </si>
  <si>
    <t>Costes de Mano de obra</t>
  </si>
  <si>
    <t>Coste de mano de obra</t>
  </si>
  <si>
    <t>Nocturnitat</t>
  </si>
  <si>
    <t>Festividad</t>
  </si>
  <si>
    <t>Coste Total 100 M²</t>
  </si>
  <si>
    <t>Precio M²</t>
  </si>
  <si>
    <t>Vacio 19</t>
  </si>
  <si>
    <t>Vacio 20</t>
  </si>
  <si>
    <t>Vacio 16</t>
  </si>
  <si>
    <t>Vacio 17</t>
  </si>
  <si>
    <t xml:space="preserve"> COSTES DE PERSONAL CON SEGURIDAD SOCIAL</t>
  </si>
  <si>
    <t>Vestibulo fre M SG</t>
  </si>
  <si>
    <t>tres veces semana</t>
  </si>
  <si>
    <t/>
  </si>
  <si>
    <t>Aplicación de Emulsiones</t>
  </si>
  <si>
    <t>Limpieza de Techos</t>
  </si>
  <si>
    <t>Limpieza de tapizados y moquetas</t>
  </si>
  <si>
    <t>Horas/mes</t>
  </si>
  <si>
    <t>Horas semana por turnos</t>
  </si>
  <si>
    <t>Secretaria</t>
  </si>
  <si>
    <t>Centres d'ensenyança</t>
  </si>
  <si>
    <t>Inici</t>
  </si>
  <si>
    <t>Magatzem</t>
  </si>
  <si>
    <t>Escales</t>
  </si>
  <si>
    <t>Frecuencia mes</t>
  </si>
  <si>
    <t>Instruccions d'ús Annex Tècnic</t>
  </si>
  <si>
    <t>Per a omplir l'Annex Tècnic haurem de posar el rendiment de neteja adequat a la columna G</t>
  </si>
  <si>
    <t>Aquest rendiment mitjà ha d'incloure les tasques de neteja diàries, periòdiques i a fons de les netejadores</t>
  </si>
  <si>
    <t>Hem de tenir en compte que el mateix tipus de sala pot tenir diferents rendiments segons el nivell de brutícia, ús o materials que el componen.</t>
  </si>
  <si>
    <t>Es valorarà el que es tinguin en compte en els estudis els nivells de brutícia, ús o materials.</t>
  </si>
  <si>
    <t>No seran valorats els estudis que tinguin una mitjana de rendiments iguals en totes les sales sense tenir en compte el tipus de sala ni la seva utilització.</t>
  </si>
  <si>
    <t>Els rendiments de les tasques d'especialistes s'ompliran a les caselles:</t>
  </si>
  <si>
    <t>En aquestes caselles posarem el rendiment mitjà de cada operació. El rendiment pot ser diferent en cada centre.</t>
  </si>
  <si>
    <t>A la Columna I tenim una informació dels torns de neteja, aquests torns són orientatius i poden tenir modificacions.</t>
  </si>
  <si>
    <t>En el full resum podrem veure el total d'hores previstes de cada centre.</t>
  </si>
  <si>
    <t>El fet de desbloquejar o modificar aquests fulls de càlcul seria raó suficient per excloure a l'empresa d'aquesta licitació.</t>
  </si>
  <si>
    <t>Edifici</t>
  </si>
  <si>
    <t>Tipus de paviments</t>
  </si>
  <si>
    <t>Passadissos</t>
  </si>
  <si>
    <t>Departament</t>
  </si>
  <si>
    <t>Població</t>
  </si>
  <si>
    <t>Centre</t>
  </si>
  <si>
    <t>Domicili</t>
  </si>
  <si>
    <t>Rendimient Mig M²</t>
  </si>
  <si>
    <t>Mesos Any</t>
  </si>
  <si>
    <t>Dies</t>
  </si>
  <si>
    <t>Dilluns</t>
  </si>
  <si>
    <t>Dimarts</t>
  </si>
  <si>
    <t>Dimecres</t>
  </si>
  <si>
    <t>Dijous</t>
  </si>
  <si>
    <t>Divendres</t>
  </si>
  <si>
    <t>Dissabte</t>
  </si>
  <si>
    <t>Diumenge</t>
  </si>
  <si>
    <t>Matí</t>
  </si>
  <si>
    <t>Tarda</t>
  </si>
  <si>
    <t>Nit</t>
  </si>
  <si>
    <t>Hores Setmana</t>
  </si>
  <si>
    <t>Hores Mes</t>
  </si>
  <si>
    <t>Hores any</t>
  </si>
  <si>
    <t>Vidres Interiors</t>
  </si>
  <si>
    <t>Vidres exteriors</t>
  </si>
  <si>
    <t>Punts de llum i aire</t>
  </si>
  <si>
    <t>Neteja de entapissats</t>
  </si>
  <si>
    <t>Neteja de sostres</t>
  </si>
  <si>
    <t>Tractaments de terres</t>
  </si>
  <si>
    <t>Aplicacio d'emulsions</t>
  </si>
  <si>
    <t>Total mes especialistes</t>
  </si>
  <si>
    <t>Total any especialistes</t>
  </si>
  <si>
    <t>Hores any Totals</t>
  </si>
  <si>
    <t>Freqüència</t>
  </si>
  <si>
    <t>Hores unitat</t>
  </si>
  <si>
    <t>T</t>
  </si>
  <si>
    <t>Hores Any</t>
  </si>
  <si>
    <t>Torn</t>
  </si>
  <si>
    <t>Mati</t>
  </si>
  <si>
    <t>Vidres interiors</t>
  </si>
  <si>
    <t>Vidres perimetre</t>
  </si>
  <si>
    <t>Hores/mes</t>
  </si>
  <si>
    <t>Punts de llum i difusors d'aire</t>
  </si>
  <si>
    <t>Tractament de terres</t>
  </si>
  <si>
    <t>Rendiment final</t>
  </si>
  <si>
    <t>Annex 4</t>
  </si>
  <si>
    <t>Terratzo</t>
  </si>
  <si>
    <r>
      <t>Metres</t>
    </r>
    <r>
      <rPr>
        <sz val="12"/>
        <color theme="1"/>
        <rFont val="Calibri"/>
        <family val="2"/>
      </rPr>
      <t>²</t>
    </r>
  </si>
  <si>
    <t>Hores any Totals sense 14 festius</t>
  </si>
  <si>
    <t>Annex 4  Estudi Técnic, Ajuntament de Sant Feliu de Codines</t>
  </si>
  <si>
    <t>Escola Primaria Jaume Balmes</t>
  </si>
  <si>
    <t>Escola Infantil Jaume Balmes</t>
  </si>
  <si>
    <t>Sant Feliu de Codines</t>
  </si>
  <si>
    <t>Av. Escoles, S/N</t>
  </si>
  <si>
    <t>Escola Jaume Balmes - Primaria</t>
  </si>
  <si>
    <t>P Baixa</t>
  </si>
  <si>
    <t>P Primera</t>
  </si>
  <si>
    <t>Tallavents</t>
  </si>
  <si>
    <t>Sala de professors</t>
  </si>
  <si>
    <t>Aseo Biblioteca</t>
  </si>
  <si>
    <t>Aseos professors</t>
  </si>
  <si>
    <t>Distribuidor</t>
  </si>
  <si>
    <t>Despatx direcció</t>
  </si>
  <si>
    <t>Sala de reunnions</t>
  </si>
  <si>
    <t>Aula 1er</t>
  </si>
  <si>
    <t>Aula 2n</t>
  </si>
  <si>
    <t>Aula audiovisuals-música</t>
  </si>
  <si>
    <t xml:space="preserve">Aseos nois </t>
  </si>
  <si>
    <t>Aseos noies</t>
  </si>
  <si>
    <t>Neteja</t>
  </si>
  <si>
    <t>Traster</t>
  </si>
  <si>
    <t>Pasadissos</t>
  </si>
  <si>
    <t>Ascensor</t>
  </si>
  <si>
    <t>Vestíbuls</t>
  </si>
  <si>
    <t>Escales exteriors</t>
  </si>
  <si>
    <t>Accés exterior</t>
  </si>
  <si>
    <t>Pati exterior sorra</t>
  </si>
  <si>
    <t>Aula artistica</t>
  </si>
  <si>
    <t>Aula de musica-escenari</t>
  </si>
  <si>
    <t>Aula</t>
  </si>
  <si>
    <t>Aula 3er</t>
  </si>
  <si>
    <t>Magatzem material</t>
  </si>
  <si>
    <t>Mediació artistica</t>
  </si>
  <si>
    <t>Aula 5e</t>
  </si>
  <si>
    <t>Aula 6e</t>
  </si>
  <si>
    <t>Psicopedagogo</t>
  </si>
  <si>
    <t>Aula Biblio</t>
  </si>
  <si>
    <t>Aseo + bugaderia</t>
  </si>
  <si>
    <t>Vinilic</t>
  </si>
  <si>
    <t>Gres</t>
  </si>
  <si>
    <t>Escola Jaume Balmes - Infantil</t>
  </si>
  <si>
    <t>Lavabo</t>
  </si>
  <si>
    <t>Passadís taller</t>
  </si>
  <si>
    <t>Sala migdiada</t>
  </si>
  <si>
    <t>Aula Petits Grups</t>
  </si>
  <si>
    <t>Bany magatzem</t>
  </si>
  <si>
    <t>Aula P3</t>
  </si>
  <si>
    <t>Lavabo P3</t>
  </si>
  <si>
    <t>Aula P4</t>
  </si>
  <si>
    <t>Lavabo P4</t>
  </si>
  <si>
    <t>Aula P5</t>
  </si>
  <si>
    <t>Lavabo P5</t>
  </si>
  <si>
    <t>Pati P5 ciment</t>
  </si>
  <si>
    <t>Pati P5 sorra</t>
  </si>
  <si>
    <t>Pati P4 ciment</t>
  </si>
  <si>
    <t>Pati P4 sorra</t>
  </si>
  <si>
    <t>Pati P3 ciment</t>
  </si>
  <si>
    <t>Pati P3 sorra</t>
  </si>
  <si>
    <t>Escala exterior</t>
  </si>
  <si>
    <t>Rampa interior</t>
  </si>
  <si>
    <t>Escala interior</t>
  </si>
  <si>
    <t>Zona de jocs passadís</t>
  </si>
  <si>
    <t>Ciment</t>
  </si>
  <si>
    <t>Resum Total Estudi Tecnic Ajuntament de Sant Feliu de Codines</t>
  </si>
  <si>
    <t>Estudi Tecnic Ajuntament de Sant Feliu de Codines</t>
  </si>
  <si>
    <t>Plaça Josep Umbert Ventura, 2, 08182, Sant Feliu de Codines – Tel. 938 662 768 – st.feliuc@diba.cat – https://www.santfeliudecodines.cat/</t>
  </si>
  <si>
    <t>Resum</t>
  </si>
  <si>
    <t>Vorera perimetral pati</t>
  </si>
  <si>
    <t>AH4-AK4-AN4-AQ4-AW4</t>
  </si>
  <si>
    <t>Magatzem biblioteca</t>
  </si>
  <si>
    <t>Escola Bressol Mestre Jane</t>
  </si>
  <si>
    <t>C. Conse de Cent, 5</t>
  </si>
  <si>
    <t>Escola bressol Mestre Jané</t>
  </si>
  <si>
    <t>Vestíbul principal</t>
  </si>
  <si>
    <t>Passadis</t>
  </si>
  <si>
    <t>Caldera</t>
  </si>
  <si>
    <t>Aula infantil I0</t>
  </si>
  <si>
    <t>Canviador aula I0</t>
  </si>
  <si>
    <t>Sala professors</t>
  </si>
  <si>
    <t>Aula I1</t>
  </si>
  <si>
    <t>Lavabo infantil canviador</t>
  </si>
  <si>
    <t>Aula I2</t>
  </si>
  <si>
    <t>Lavabo profes</t>
  </si>
  <si>
    <t>Vestuari</t>
  </si>
  <si>
    <t>Vestíbul lavabo</t>
  </si>
  <si>
    <t>Bugaderia</t>
  </si>
  <si>
    <t>Cuina</t>
  </si>
  <si>
    <t>Lavabo personal</t>
  </si>
  <si>
    <t>Aula polivalent</t>
  </si>
  <si>
    <t>Pati I0 cautxo</t>
  </si>
  <si>
    <t>Pati I1-I2</t>
  </si>
  <si>
    <t>Pati aula polivalent</t>
  </si>
  <si>
    <t>Pati exterior</t>
  </si>
  <si>
    <t>Llosa exterior</t>
  </si>
  <si>
    <t>Linoleum</t>
  </si>
  <si>
    <t>Cautxu</t>
  </si>
  <si>
    <t>Planta Baixa</t>
  </si>
  <si>
    <t>Menjador (vidres)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</si>
</sst>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0.0%"/>
    <numFmt numFmtId="167" formatCode="#,##0.00_ ;\-#,##0.00\ "/>
    <numFmt numFmtId="168" formatCode="#,##0_ ;\-#,##0\ "/>
    <numFmt numFmtId="169" formatCode="_-* #,##0\ _€_-;\-* #,##0\ _€_-;_-* &quot;-&quot;??\ _€_-;_-@_-"/>
    <numFmt numFmtId="170" formatCode="_-* #,##0\ _p_t_a_-;\-* #,##0\ _p_t_a_-;_-* &quot;-&quot;\ _p_t_a_-;_-@_-"/>
    <numFmt numFmtId="171" formatCode="_-* #,##0\ &quot;Pts&quot;_-;\-* #,##0\ &quot;Pts&quot;_-;_-* &quot;-&quot;\ &quot;Pts&quot;_-;_-@_-"/>
    <numFmt numFmtId="172" formatCode="[$-409]h:mm\ AM/PM;@"/>
    <numFmt numFmtId="173" formatCode="_-* #,##0.00\ _P_T_A_-;\-* #,##0.00\ _P_T_A_-;_-* &quot;-&quot;??\ _P_T_A_-;_-@_-"/>
    <numFmt numFmtId="174" formatCode="#,##0&quot; m²&quot;"/>
    <numFmt numFmtId="175" formatCode="#,##0.0000000"/>
    <numFmt numFmtId="176" formatCode="0.00&quot; m²&quot;"/>
    <numFmt numFmtId="177" formatCode="#,##0.00&quot; h&quot;"/>
    <numFmt numFmtId="178" formatCode="#,##0.0"/>
    <numFmt numFmtId="179" formatCode="#,##0&quot; m²/h&quot;"/>
    <numFmt numFmtId="180" formatCode="#,##0.00&quot; h/mes&quot;"/>
    <numFmt numFmtId="181" formatCode="#,##0.00&quot; m²&quot;"/>
    <numFmt numFmtId="182" formatCode="_-* #,##0.0\ _€_-;\-* #,##0.0\ _€_-;_-* &quot;-&quot;??\ _€_-;_-@_-"/>
    <numFmt numFmtId="183" formatCode="_-* #,##0\ _F_-;\-* #,##0\ _F_-;_-* &quot;-&quot;\ _F_-;_-@_-"/>
    <numFmt numFmtId="184" formatCode="General\ &quot;M2&quot;"/>
    <numFmt numFmtId="185" formatCode="General\ &quot;Dies&quot;"/>
    <numFmt numFmtId="186" formatCode="0.00\ &quot;hrs&quot;"/>
    <numFmt numFmtId="187" formatCode="0.00\ &quot;hores&quot;"/>
    <numFmt numFmtId="188" formatCode="h:mm;@"/>
    <numFmt numFmtId="189" formatCode="0.00\ &quot;horas&quot;"/>
    <numFmt numFmtId="190" formatCode="#,##0.00&quot; m²/h&quot;"/>
    <numFmt numFmtId="191" formatCode="_-* #,##0.000\ &quot;€&quot;_-;\-* #,##0.000\ &quot;€&quot;_-;_-* &quot;-&quot;??\ &quot;€&quot;_-;_-@_-"/>
    <numFmt numFmtId="192" formatCode="_-* #,##0.000\ _€_-;\-* #,##0.000\ _€_-;_-* &quot;-&quot;??\ _€_-;_-@_-"/>
  </numFmts>
  <fonts count="10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9.35"/>
      <color theme="10"/>
      <name val="Calibri"/>
      <family val="2"/>
    </font>
    <font>
      <u/>
      <sz val="11"/>
      <color theme="10"/>
      <name val="Calibri"/>
      <family val="2"/>
    </font>
    <font>
      <sz val="10"/>
      <color rgb="FFFF0000"/>
      <name val="Arial"/>
      <family val="2"/>
    </font>
    <font>
      <sz val="9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2060"/>
      <name val="Calibri"/>
      <family val="2"/>
      <scheme val="minor"/>
    </font>
    <font>
      <sz val="9"/>
      <color rgb="FF002060"/>
      <name val="Arial"/>
      <family val="2"/>
    </font>
    <font>
      <sz val="10"/>
      <color rgb="FF002060"/>
      <name val="Arial"/>
      <family val="2"/>
    </font>
    <font>
      <sz val="14"/>
      <color theme="0"/>
      <name val="Calibri"/>
      <family val="2"/>
      <scheme val="minor"/>
    </font>
    <font>
      <sz val="10"/>
      <name val="Courier"/>
      <family val="3"/>
    </font>
    <font>
      <sz val="8"/>
      <color rgb="FF002060"/>
      <name val="Arial"/>
      <family val="2"/>
    </font>
    <font>
      <sz val="11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rgb="FF0070C0"/>
      <name val="Arial"/>
      <family val="2"/>
    </font>
    <font>
      <u/>
      <sz val="10"/>
      <color indexed="12"/>
      <name val="Arial"/>
      <family val="2"/>
    </font>
    <font>
      <sz val="12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9"/>
      <color theme="1"/>
      <name val="Calibri"/>
      <family val="2"/>
      <scheme val="minor"/>
    </font>
    <font>
      <u/>
      <sz val="18"/>
      <color indexed="12"/>
      <name val="Arial"/>
      <family val="2"/>
    </font>
    <font>
      <b/>
      <sz val="22"/>
      <color rgb="FF0070C0"/>
      <name val="Calibri"/>
      <family val="2"/>
      <scheme val="minor"/>
    </font>
    <font>
      <b/>
      <sz val="24"/>
      <color rgb="FF006100"/>
      <name val="Calibri"/>
      <family val="2"/>
      <scheme val="minor"/>
    </font>
    <font>
      <b/>
      <sz val="28"/>
      <color rgb="FF006100"/>
      <name val="Calibri"/>
      <family val="2"/>
      <scheme val="minor"/>
    </font>
    <font>
      <sz val="28"/>
      <color theme="1"/>
      <name val="Calibri"/>
      <family val="2"/>
      <scheme val="minor"/>
    </font>
    <font>
      <sz val="8"/>
      <color rgb="FF000099"/>
      <name val="Arial"/>
      <family val="2"/>
    </font>
    <font>
      <sz val="7"/>
      <color rgb="FF000099"/>
      <name val="Arial"/>
      <family val="2"/>
    </font>
    <font>
      <sz val="8"/>
      <color rgb="FF002060"/>
      <name val="Myriad Web Pro"/>
      <family val="2"/>
    </font>
    <font>
      <sz val="9"/>
      <color rgb="FF002060"/>
      <name val="Calibri"/>
      <family val="2"/>
      <scheme val="minor"/>
    </font>
    <font>
      <b/>
      <sz val="28"/>
      <color rgb="FF0070C0"/>
      <name val="Calibri"/>
      <family val="2"/>
      <scheme val="minor"/>
    </font>
    <font>
      <sz val="12"/>
      <color theme="0"/>
      <name val="Times New Roman"/>
      <family val="2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Times New Roman"/>
      <family val="2"/>
    </font>
    <font>
      <u/>
      <sz val="10"/>
      <color theme="10"/>
      <name val="Arial"/>
      <family val="2"/>
    </font>
    <font>
      <sz val="7"/>
      <color rgb="FF002060"/>
      <name val="Arial"/>
      <family val="2"/>
    </font>
    <font>
      <sz val="11"/>
      <color rgb="FFFA7D00"/>
      <name val="Calibri"/>
      <family val="2"/>
      <scheme val="minor"/>
    </font>
    <font>
      <b/>
      <sz val="24"/>
      <color rgb="FF000099"/>
      <name val="Calibri"/>
      <family val="2"/>
      <scheme val="minor"/>
    </font>
    <font>
      <b/>
      <sz val="24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2"/>
      <color rgb="FF002060"/>
      <name val="Calibri"/>
      <family val="2"/>
      <scheme val="minor"/>
    </font>
    <font>
      <sz val="12"/>
      <color rgb="FF000099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1F497D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2"/>
      <name val="Calibri"/>
      <family val="2"/>
    </font>
    <font>
      <b/>
      <sz val="18"/>
      <color rgb="FF000099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1"/>
      <name val="Arial"/>
      <family val="2"/>
    </font>
    <font>
      <b/>
      <sz val="18"/>
      <color rgb="FFFF000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u/>
      <sz val="16"/>
      <color indexed="12"/>
      <name val="Arial"/>
      <family val="2"/>
    </font>
    <font>
      <sz val="9"/>
      <color rgb="FF7030A0"/>
      <name val="Calibri"/>
      <family val="2"/>
      <scheme val="minor"/>
    </font>
    <font>
      <sz val="9"/>
      <color rgb="FF0070C0"/>
      <name val="Arial"/>
      <family val="2"/>
    </font>
    <font>
      <sz val="14"/>
      <color theme="1"/>
      <name val="Calibri"/>
      <family val="2"/>
      <scheme val="minor"/>
    </font>
    <font>
      <sz val="10"/>
      <color rgb="FF0070C0"/>
      <name val="Arial"/>
      <family val="2"/>
    </font>
    <font>
      <sz val="16"/>
      <color rgb="FF7030A0"/>
      <name val="Calibri"/>
      <family val="2"/>
      <scheme val="minor"/>
    </font>
    <font>
      <b/>
      <sz val="14"/>
      <name val="Arial"/>
      <family val="2"/>
    </font>
    <font>
      <b/>
      <sz val="12"/>
      <color rgb="FFFF0000"/>
      <name val="Arial"/>
      <family val="2"/>
    </font>
    <font>
      <sz val="10.5"/>
      <name val="Calibri"/>
      <family val="2"/>
    </font>
    <font>
      <b/>
      <sz val="28"/>
      <color rgb="FF0070C0"/>
      <name val="Arial"/>
      <family val="2"/>
    </font>
    <font>
      <b/>
      <sz val="24"/>
      <color indexed="12"/>
      <name val="Arial"/>
      <family val="2"/>
    </font>
    <font>
      <sz val="26"/>
      <color indexed="12"/>
      <name val="Arial"/>
      <family val="2"/>
    </font>
    <font>
      <sz val="11"/>
      <color indexed="12"/>
      <name val="Arial"/>
      <family val="2"/>
    </font>
    <font>
      <sz val="14"/>
      <color rgb="FF002060"/>
      <name val="Calibri"/>
      <family val="2"/>
      <scheme val="minor"/>
    </font>
    <font>
      <sz val="14"/>
      <color rgb="FF0070C0"/>
      <name val="Arial"/>
      <family val="2"/>
    </font>
    <font>
      <sz val="14"/>
      <color rgb="FFFF0000"/>
      <name val="Arial"/>
      <family val="2"/>
    </font>
    <font>
      <sz val="14"/>
      <color rgb="FF002060"/>
      <name val="Arial"/>
      <family val="2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4"/>
      <color rgb="FF002060"/>
      <name val="Arial"/>
      <family val="2"/>
    </font>
    <font>
      <b/>
      <sz val="22"/>
      <color theme="1"/>
      <name val="Calibri"/>
      <family val="2"/>
      <scheme val="minor"/>
    </font>
    <font>
      <b/>
      <u/>
      <sz val="18"/>
      <color indexed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</patternFill>
    </fill>
    <fill>
      <patternFill patternType="solid">
        <fgColor theme="6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theme="8"/>
      </patternFill>
    </fill>
    <fill>
      <patternFill patternType="solid">
        <fgColor theme="4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</pattern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</fills>
  <borders count="16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8" tint="0.39985351115451523"/>
      </left>
      <right style="thin">
        <color theme="8" tint="0.39985351115451523"/>
      </right>
      <top style="medium">
        <color theme="8" tint="0.39985351115451523"/>
      </top>
      <bottom/>
      <diagonal/>
    </border>
    <border>
      <left/>
      <right/>
      <top/>
      <bottom style="double">
        <color rgb="FFFF800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theme="8" tint="0.39982299264503923"/>
      </left>
      <right/>
      <top style="medium">
        <color theme="8" tint="0.39982299264503923"/>
      </top>
      <bottom style="medium">
        <color theme="8" tint="0.39982299264503923"/>
      </bottom>
      <diagonal/>
    </border>
    <border>
      <left/>
      <right/>
      <top style="medium">
        <color theme="8" tint="0.39982299264503923"/>
      </top>
      <bottom style="medium">
        <color theme="8" tint="0.39982299264503923"/>
      </bottom>
      <diagonal/>
    </border>
    <border>
      <left/>
      <right/>
      <top style="medium">
        <color theme="8" tint="0.39982299264503923"/>
      </top>
      <bottom/>
      <diagonal/>
    </border>
    <border>
      <left/>
      <right style="medium">
        <color theme="8" tint="0.39982299264503923"/>
      </right>
      <top style="medium">
        <color theme="8" tint="0.39982299264503923"/>
      </top>
      <bottom style="medium">
        <color theme="8" tint="0.39982299264503923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/>
      <top style="thin">
        <color theme="8" tint="0.59996337778862885"/>
      </top>
      <bottom style="thin">
        <color theme="8" tint="0.59996337778862885"/>
      </bottom>
      <diagonal/>
    </border>
    <border>
      <left/>
      <right style="medium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/>
      <right/>
      <top style="thin">
        <color theme="8" tint="0.59996337778862885"/>
      </top>
      <bottom style="thin">
        <color theme="8" tint="0.59996337778862885"/>
      </bottom>
      <diagonal/>
    </border>
    <border>
      <left style="medium">
        <color theme="8" tint="-0.24994659260841701"/>
      </left>
      <right style="medium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medium">
        <color theme="8" tint="0.59996337778862885"/>
      </left>
      <right style="medium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medium">
        <color theme="8" tint="0.59996337778862885"/>
      </left>
      <right style="medium">
        <color theme="8" tint="-0.24994659260841701"/>
      </right>
      <top style="thin">
        <color theme="8" tint="0.59996337778862885"/>
      </top>
      <bottom style="thin">
        <color theme="8" tint="0.59996337778862885"/>
      </bottom>
      <diagonal/>
    </border>
    <border>
      <left style="medium">
        <color theme="8" tint="-0.24994659260841701"/>
      </left>
      <right style="medium">
        <color theme="8" tint="-0.24994659260841701"/>
      </right>
      <top/>
      <bottom style="thin">
        <color theme="8" tint="0.59996337778862885"/>
      </bottom>
      <diagonal/>
    </border>
    <border>
      <left style="medium">
        <color theme="8" tint="-0.24994659260841701"/>
      </left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 style="thin">
        <color theme="8" tint="0.59996337778862885"/>
      </left>
      <right style="medium">
        <color theme="8" tint="-0.24994659260841701"/>
      </right>
      <top style="thin">
        <color theme="8" tint="0.59996337778862885"/>
      </top>
      <bottom style="thin">
        <color theme="8" tint="0.59996337778862885"/>
      </bottom>
      <diagonal/>
    </border>
    <border>
      <left style="medium">
        <color theme="8" tint="0.39985351115451523"/>
      </left>
      <right style="medium">
        <color theme="8" tint="0.59996337778862885"/>
      </right>
      <top style="medium">
        <color theme="8" tint="0.39982299264503923"/>
      </top>
      <bottom style="medium">
        <color theme="8" tint="0.39985351115451523"/>
      </bottom>
      <diagonal/>
    </border>
    <border>
      <left style="medium">
        <color theme="8" tint="0.59996337778862885"/>
      </left>
      <right style="medium">
        <color theme="8" tint="0.59996337778862885"/>
      </right>
      <top style="medium">
        <color theme="8" tint="0.39982299264503923"/>
      </top>
      <bottom style="medium">
        <color theme="8" tint="0.39985351115451523"/>
      </bottom>
      <diagonal/>
    </border>
    <border>
      <left style="medium">
        <color theme="8" tint="0.59996337778862885"/>
      </left>
      <right/>
      <top style="medium">
        <color theme="8" tint="0.39982299264503923"/>
      </top>
      <bottom style="medium">
        <color theme="8" tint="0.39985351115451523"/>
      </bottom>
      <diagonal/>
    </border>
    <border>
      <left style="medium">
        <color theme="8" tint="0.59996337778862885"/>
      </left>
      <right style="medium">
        <color theme="8" tint="0.59996337778862885"/>
      </right>
      <top/>
      <bottom style="medium">
        <color theme="8" tint="0.59996337778862885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theme="8" tint="0.59996337778862885"/>
      </left>
      <right/>
      <top style="medium">
        <color theme="8" tint="0.59996337778862885"/>
      </top>
      <bottom style="medium">
        <color theme="8" tint="0.59996337778862885"/>
      </bottom>
      <diagonal/>
    </border>
    <border>
      <left/>
      <right/>
      <top style="medium">
        <color theme="8" tint="0.59996337778862885"/>
      </top>
      <bottom style="medium">
        <color theme="8" tint="0.59996337778862885"/>
      </bottom>
      <diagonal/>
    </border>
    <border>
      <left/>
      <right style="medium">
        <color theme="8" tint="0.59996337778862885"/>
      </right>
      <top style="medium">
        <color theme="8" tint="0.59996337778862885"/>
      </top>
      <bottom style="medium">
        <color theme="8" tint="0.59996337778862885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 style="medium">
        <color theme="8" tint="-0.24994659260841701"/>
      </right>
      <top style="thick">
        <color indexed="64"/>
      </top>
      <bottom style="medium">
        <color theme="8" tint="-0.24994659260841701"/>
      </bottom>
      <diagonal/>
    </border>
    <border>
      <left style="medium">
        <color theme="8" tint="0.59996337778862885"/>
      </left>
      <right style="medium">
        <color theme="8" tint="0.59996337778862885"/>
      </right>
      <top style="medium">
        <color theme="8" tint="0.59996337778862885"/>
      </top>
      <bottom style="medium">
        <color theme="8" tint="0.59996337778862885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theme="8" tint="0.39985351115451523"/>
      </left>
      <right style="thin">
        <color theme="8" tint="0.39985351115451523"/>
      </right>
      <top style="medium">
        <color theme="8" tint="0.39985351115451523"/>
      </top>
      <bottom/>
      <diagonal/>
    </border>
    <border>
      <left/>
      <right style="thin">
        <color theme="8" tint="0.39985351115451523"/>
      </right>
      <top style="medium">
        <color theme="8" tint="0.39985351115451523"/>
      </top>
      <bottom/>
      <diagonal/>
    </border>
    <border>
      <left style="thin">
        <color theme="8" tint="0.39985351115451523"/>
      </left>
      <right style="thin">
        <color theme="8" tint="0.39985351115451523"/>
      </right>
      <top style="medium">
        <color theme="8" tint="0.39985351115451523"/>
      </top>
      <bottom style="thin">
        <color theme="8" tint="0.39985351115451523"/>
      </bottom>
      <diagonal/>
    </border>
    <border>
      <left style="thin">
        <color theme="8" tint="0.39985351115451523"/>
      </left>
      <right style="medium">
        <color theme="8" tint="0.39985351115451523"/>
      </right>
      <top style="medium">
        <color theme="8" tint="0.39985351115451523"/>
      </top>
      <bottom/>
      <diagonal/>
    </border>
    <border>
      <left style="medium">
        <color theme="8" tint="0.39979247413556324"/>
      </left>
      <right style="medium">
        <color theme="8" tint="0.39982299264503923"/>
      </right>
      <top style="medium">
        <color theme="8" tint="0.39979247413556324"/>
      </top>
      <bottom style="thin">
        <color theme="8" tint="0.39985351115451523"/>
      </bottom>
      <diagonal/>
    </border>
    <border>
      <left style="medium">
        <color theme="8" tint="0.39982299264503923"/>
      </left>
      <right style="thin">
        <color theme="8" tint="0.39982299264503923"/>
      </right>
      <top style="medium">
        <color theme="8" tint="0.39979247413556324"/>
      </top>
      <bottom style="thin">
        <color theme="8" tint="0.39979247413556324"/>
      </bottom>
      <diagonal/>
    </border>
    <border>
      <left style="thin">
        <color theme="8" tint="0.39982299264503923"/>
      </left>
      <right style="thin">
        <color theme="8" tint="0.39982299264503923"/>
      </right>
      <top style="thin">
        <color theme="8" tint="0.39982299264503923"/>
      </top>
      <bottom style="thin">
        <color theme="8" tint="0.39982299264503923"/>
      </bottom>
      <diagonal/>
    </border>
    <border>
      <left style="thin">
        <color theme="8" tint="0.39982299264503923"/>
      </left>
      <right/>
      <top style="medium">
        <color theme="8" tint="0.39979247413556324"/>
      </top>
      <bottom style="thin">
        <color theme="8" tint="0.39982299264503923"/>
      </bottom>
      <diagonal/>
    </border>
    <border>
      <left style="medium">
        <color theme="8" tint="0.39976195562608724"/>
      </left>
      <right style="medium">
        <color theme="8" tint="0.39976195562608724"/>
      </right>
      <top style="medium">
        <color theme="8" tint="0.39979247413556324"/>
      </top>
      <bottom style="thin">
        <color theme="8" tint="0.39976195562608724"/>
      </bottom>
      <diagonal/>
    </border>
    <border>
      <left style="medium">
        <color theme="8" tint="0.39976195562608724"/>
      </left>
      <right style="medium">
        <color theme="8" tint="0.39979247413556324"/>
      </right>
      <top style="medium">
        <color theme="8" tint="0.39979247413556324"/>
      </top>
      <bottom style="thin">
        <color theme="8" tint="0.39976195562608724"/>
      </bottom>
      <diagonal/>
    </border>
    <border>
      <left/>
      <right/>
      <top style="thin">
        <color theme="8" tint="0.39985351115451523"/>
      </top>
      <bottom style="thin">
        <color theme="8" tint="0.39985351115451523"/>
      </bottom>
      <diagonal/>
    </border>
    <border>
      <left style="medium">
        <color theme="8" tint="0.39979247413556324"/>
      </left>
      <right style="thin">
        <color theme="8" tint="0.39982299264503923"/>
      </right>
      <top style="medium">
        <color theme="8" tint="0.39979247413556324"/>
      </top>
      <bottom style="thin">
        <color theme="8" tint="0.39982299264503923"/>
      </bottom>
      <diagonal/>
    </border>
    <border>
      <left style="medium">
        <color theme="8" tint="0.39976195562608724"/>
      </left>
      <right style="thin">
        <color theme="8" tint="0.39985351115451523"/>
      </right>
      <top style="medium">
        <color theme="8" tint="0.39976195562608724"/>
      </top>
      <bottom style="thin">
        <color theme="8" tint="0.39982299264503923"/>
      </bottom>
      <diagonal/>
    </border>
    <border>
      <left style="thin">
        <color theme="8" tint="0.39985351115451523"/>
      </left>
      <right style="medium">
        <color theme="8" tint="0.39976195562608724"/>
      </right>
      <top style="medium">
        <color theme="8" tint="0.39976195562608724"/>
      </top>
      <bottom style="thin">
        <color theme="8" tint="0.39982299264503923"/>
      </bottom>
      <diagonal/>
    </border>
    <border>
      <left style="thin">
        <color theme="8" tint="0.39982299264503923"/>
      </left>
      <right style="thin">
        <color theme="8" tint="0.39982299264503923"/>
      </right>
      <top/>
      <bottom style="thin">
        <color theme="8" tint="0.39982299264503923"/>
      </bottom>
      <diagonal/>
    </border>
    <border>
      <left style="thin">
        <color theme="8" tint="0.39985351115451523"/>
      </left>
      <right style="medium">
        <color theme="8" tint="0.39976195562608724"/>
      </right>
      <top style="thin">
        <color theme="8" tint="0.39982299264503923"/>
      </top>
      <bottom style="thin">
        <color theme="8" tint="0.39982299264503923"/>
      </bottom>
      <diagonal/>
    </border>
    <border>
      <left style="medium">
        <color theme="8" tint="0.39982299264503923"/>
      </left>
      <right style="thin">
        <color theme="8" tint="0.39985351115451523"/>
      </right>
      <top style="medium">
        <color theme="8" tint="0.39982299264503923"/>
      </top>
      <bottom style="medium">
        <color theme="8" tint="0.39982299264503923"/>
      </bottom>
      <diagonal/>
    </border>
    <border>
      <left style="thin">
        <color theme="8" tint="0.39985351115451523"/>
      </left>
      <right style="medium">
        <color theme="8" tint="0.39982299264503923"/>
      </right>
      <top style="medium">
        <color theme="8" tint="0.39982299264503923"/>
      </top>
      <bottom style="medium">
        <color theme="8" tint="0.39982299264503923"/>
      </bottom>
      <diagonal/>
    </border>
    <border>
      <left/>
      <right style="thin">
        <color theme="8" tint="0.39982299264503923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/>
      <bottom/>
      <diagonal/>
    </border>
    <border>
      <left style="medium">
        <color rgb="FF0070C0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medium">
        <color indexed="64"/>
      </top>
      <bottom/>
      <diagonal/>
    </border>
    <border>
      <left/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/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0070C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rgb="FF0070C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8" tint="0.39979247413556324"/>
      </top>
      <bottom/>
      <diagonal/>
    </border>
    <border>
      <left style="thin">
        <color theme="8" tint="0.59996337778862885"/>
      </left>
      <right/>
      <top style="thin">
        <color theme="8" tint="0.59996337778862885"/>
      </top>
      <bottom/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/>
      <top/>
      <bottom style="thin">
        <color theme="8" tint="0.59996337778862885"/>
      </bottom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medium">
        <color theme="8" tint="0.39976195562608724"/>
      </top>
      <bottom style="thin">
        <color theme="8" tint="0.39982299264503923"/>
      </bottom>
      <diagonal/>
    </border>
  </borders>
  <cellStyleXfs count="93">
    <xf numFmtId="0" fontId="0" fillId="0" borderId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" fillId="3" borderId="0" applyNumberFormat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9" fillId="0" borderId="0"/>
    <xf numFmtId="0" fontId="17" fillId="0" borderId="0"/>
    <xf numFmtId="0" fontId="17" fillId="0" borderId="0"/>
    <xf numFmtId="0" fontId="8" fillId="0" borderId="0"/>
    <xf numFmtId="9" fontId="1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71" fontId="9" fillId="0" borderId="0" applyFont="0" applyFill="0" applyBorder="0" applyAlignment="0" applyProtection="0"/>
    <xf numFmtId="0" fontId="9" fillId="0" borderId="0"/>
    <xf numFmtId="0" fontId="8" fillId="0" borderId="0"/>
    <xf numFmtId="0" fontId="15" fillId="5" borderId="0" applyNumberFormat="0" applyBorder="0" applyAlignment="0" applyProtection="0"/>
    <xf numFmtId="0" fontId="23" fillId="7" borderId="28" applyNumberFormat="0" applyAlignment="0" applyProtection="0"/>
    <xf numFmtId="172" fontId="9" fillId="0" borderId="0"/>
    <xf numFmtId="172" fontId="15" fillId="3" borderId="0" applyNumberFormat="0" applyBorder="0" applyAlignment="0" applyProtection="0"/>
    <xf numFmtId="172" fontId="15" fillId="5" borderId="0" applyNumberFormat="0" applyBorder="0" applyAlignment="0" applyProtection="0"/>
    <xf numFmtId="172" fontId="24" fillId="7" borderId="27" applyNumberFormat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1" fillId="0" borderId="0"/>
    <xf numFmtId="172" fontId="9" fillId="8" borderId="29" applyNumberFormat="0" applyFont="0" applyAlignment="0" applyProtection="0"/>
    <xf numFmtId="0" fontId="15" fillId="10" borderId="0" applyNumberFormat="0" applyBorder="0" applyAlignment="0" applyProtection="0"/>
    <xf numFmtId="0" fontId="37" fillId="13" borderId="0" applyNumberFormat="0" applyBorder="0" applyAlignment="0" applyProtection="0"/>
    <xf numFmtId="0" fontId="15" fillId="14" borderId="0" applyNumberFormat="0" applyBorder="0" applyAlignment="0" applyProtection="0"/>
    <xf numFmtId="0" fontId="6" fillId="0" borderId="0"/>
    <xf numFmtId="172" fontId="40" fillId="0" borderId="0" applyNumberFormat="0" applyFill="0" applyBorder="0" applyAlignment="0" applyProtection="0">
      <alignment vertical="top"/>
      <protection locked="0"/>
    </xf>
    <xf numFmtId="0" fontId="6" fillId="8" borderId="29" applyNumberFormat="0" applyFont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12" borderId="0" applyNumberFormat="0" applyBorder="0" applyAlignment="0" applyProtection="0"/>
    <xf numFmtId="0" fontId="54" fillId="11" borderId="0" applyNumberFormat="0" applyBorder="0" applyAlignment="0" applyProtection="0"/>
    <xf numFmtId="172" fontId="55" fillId="0" borderId="0"/>
    <xf numFmtId="0" fontId="5" fillId="12" borderId="0" applyNumberFormat="0" applyBorder="0" applyAlignment="0" applyProtection="0"/>
    <xf numFmtId="172" fontId="55" fillId="0" borderId="0"/>
    <xf numFmtId="172" fontId="5" fillId="24" borderId="0" applyNumberFormat="0" applyBorder="0" applyAlignment="0" applyProtection="0"/>
    <xf numFmtId="172" fontId="5" fillId="22" borderId="0" applyNumberFormat="0" applyBorder="0" applyAlignment="0" applyProtection="0"/>
    <xf numFmtId="172" fontId="37" fillId="13" borderId="0" applyNumberFormat="0" applyBorder="0" applyAlignment="0" applyProtection="0"/>
    <xf numFmtId="0" fontId="15" fillId="3" borderId="0" applyNumberFormat="0" applyBorder="0" applyAlignment="0" applyProtection="0"/>
    <xf numFmtId="172" fontId="9" fillId="0" borderId="0" applyFont="0" applyFill="0" applyBorder="0" applyAlignment="0" applyProtection="0"/>
    <xf numFmtId="172" fontId="59" fillId="0" borderId="0" applyNumberFormat="0" applyFill="0" applyBorder="0" applyAlignment="0" applyProtection="0">
      <alignment vertical="top"/>
      <protection locked="0"/>
    </xf>
    <xf numFmtId="18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172" fontId="57" fillId="20" borderId="0" applyNumberFormat="0" applyBorder="0" applyAlignment="0" applyProtection="0"/>
    <xf numFmtId="0" fontId="9" fillId="0" borderId="0"/>
    <xf numFmtId="0" fontId="5" fillId="0" borderId="0"/>
    <xf numFmtId="172" fontId="56" fillId="0" borderId="84" applyNumberFormat="0" applyFill="0" applyAlignment="0" applyProtection="0"/>
    <xf numFmtId="172" fontId="55" fillId="0" borderId="0"/>
    <xf numFmtId="0" fontId="9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21" borderId="0" applyNumberFormat="0" applyBorder="0" applyAlignment="0" applyProtection="0"/>
    <xf numFmtId="172" fontId="5" fillId="24" borderId="0" applyNumberFormat="0" applyBorder="0" applyAlignment="0" applyProtection="0"/>
    <xf numFmtId="172" fontId="5" fillId="22" borderId="0" applyNumberFormat="0" applyBorder="0" applyAlignment="0" applyProtection="0"/>
    <xf numFmtId="0" fontId="5" fillId="23" borderId="0" applyNumberFormat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172" fontId="55" fillId="0" borderId="0"/>
    <xf numFmtId="0" fontId="58" fillId="25" borderId="0" applyNumberFormat="0" applyBorder="0" applyAlignment="0" applyProtection="0"/>
    <xf numFmtId="172" fontId="55" fillId="0" borderId="0"/>
    <xf numFmtId="0" fontId="24" fillId="7" borderId="27" applyNumberFormat="0" applyAlignment="0" applyProtection="0"/>
    <xf numFmtId="0" fontId="57" fillId="20" borderId="0" applyNumberFormat="0" applyBorder="0" applyAlignment="0" applyProtection="0"/>
    <xf numFmtId="0" fontId="56" fillId="0" borderId="84" applyNumberFormat="0" applyFill="0" applyAlignment="0" applyProtection="0"/>
    <xf numFmtId="0" fontId="5" fillId="12" borderId="0" applyNumberFormat="0" applyBorder="0" applyAlignment="0" applyProtection="0"/>
    <xf numFmtId="0" fontId="61" fillId="0" borderId="31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172" fontId="9" fillId="0" borderId="0"/>
    <xf numFmtId="0" fontId="1" fillId="0" borderId="0"/>
    <xf numFmtId="170" fontId="18" fillId="0" borderId="0" applyFont="0" applyFill="0" applyBorder="0" applyAlignment="0" applyProtection="0"/>
  </cellStyleXfs>
  <cellXfs count="470">
    <xf numFmtId="0" fontId="0" fillId="0" borderId="0" xfId="0"/>
    <xf numFmtId="0" fontId="6" fillId="6" borderId="0" xfId="38" applyFill="1"/>
    <xf numFmtId="0" fontId="6" fillId="0" borderId="0" xfId="38"/>
    <xf numFmtId="0" fontId="6" fillId="0" borderId="0" xfId="38" applyAlignment="1">
      <alignment vertical="center"/>
    </xf>
    <xf numFmtId="0" fontId="42" fillId="0" borderId="0" xfId="38" applyFont="1" applyAlignment="1">
      <alignment vertical="center" wrapText="1"/>
    </xf>
    <xf numFmtId="0" fontId="43" fillId="0" borderId="0" xfId="38" applyFont="1"/>
    <xf numFmtId="0" fontId="6" fillId="0" borderId="0" xfId="38" applyAlignment="1">
      <alignment horizontal="center" vertical="center"/>
    </xf>
    <xf numFmtId="0" fontId="6" fillId="6" borderId="0" xfId="38" applyFill="1" applyAlignment="1">
      <alignment vertical="center"/>
    </xf>
    <xf numFmtId="174" fontId="45" fillId="6" borderId="24" xfId="36" applyNumberFormat="1" applyFont="1" applyFill="1" applyBorder="1" applyAlignment="1" applyProtection="1">
      <alignment vertical="center"/>
    </xf>
    <xf numFmtId="174" fontId="46" fillId="6" borderId="26" xfId="36" applyNumberFormat="1" applyFont="1" applyFill="1" applyBorder="1" applyAlignment="1" applyProtection="1">
      <alignment vertical="center"/>
    </xf>
    <xf numFmtId="172" fontId="40" fillId="6" borderId="0" xfId="39" applyFill="1" applyAlignment="1" applyProtection="1">
      <alignment horizontal="center" vertical="center"/>
    </xf>
    <xf numFmtId="0" fontId="6" fillId="6" borderId="0" xfId="38" applyFill="1" applyAlignment="1">
      <alignment horizontal="center" vertical="center"/>
    </xf>
    <xf numFmtId="4" fontId="6" fillId="6" borderId="0" xfId="38" applyNumberFormat="1" applyFill="1" applyAlignment="1">
      <alignment horizontal="center" vertical="center"/>
    </xf>
    <xf numFmtId="0" fontId="48" fillId="6" borderId="0" xfId="38" applyFont="1" applyFill="1" applyAlignment="1">
      <alignment horizontal="center" vertical="center"/>
    </xf>
    <xf numFmtId="174" fontId="47" fillId="6" borderId="0" xfId="36" applyNumberFormat="1" applyFont="1" applyFill="1" applyBorder="1" applyAlignment="1" applyProtection="1">
      <alignment vertical="center"/>
    </xf>
    <xf numFmtId="2" fontId="6" fillId="6" borderId="0" xfId="38" applyNumberFormat="1" applyFill="1" applyAlignment="1">
      <alignment horizontal="center" vertical="center"/>
    </xf>
    <xf numFmtId="175" fontId="6" fillId="6" borderId="0" xfId="38" applyNumberFormat="1" applyFill="1" applyAlignment="1">
      <alignment horizontal="center" vertical="center"/>
    </xf>
    <xf numFmtId="2" fontId="15" fillId="3" borderId="32" xfId="5" applyNumberFormat="1" applyBorder="1" applyAlignment="1" applyProtection="1">
      <alignment horizontal="center" vertical="center" wrapText="1"/>
      <protection hidden="1"/>
    </xf>
    <xf numFmtId="0" fontId="9" fillId="17" borderId="19" xfId="38" applyFont="1" applyFill="1" applyBorder="1" applyAlignment="1">
      <alignment horizontal="center" vertical="center"/>
    </xf>
    <xf numFmtId="177" fontId="10" fillId="17" borderId="26" xfId="38" applyNumberFormat="1" applyFont="1" applyFill="1" applyBorder="1" applyAlignment="1">
      <alignment horizontal="center" vertical="center"/>
    </xf>
    <xf numFmtId="178" fontId="14" fillId="4" borderId="19" xfId="38" applyNumberFormat="1" applyFont="1" applyFill="1" applyBorder="1" applyAlignment="1">
      <alignment horizontal="center" vertical="center"/>
    </xf>
    <xf numFmtId="3" fontId="14" fillId="4" borderId="0" xfId="38" applyNumberFormat="1" applyFont="1" applyFill="1" applyAlignment="1">
      <alignment horizontal="center" vertical="center"/>
    </xf>
    <xf numFmtId="0" fontId="29" fillId="0" borderId="0" xfId="38" applyFont="1" applyAlignment="1">
      <alignment vertical="center"/>
    </xf>
    <xf numFmtId="176" fontId="22" fillId="5" borderId="37" xfId="23" applyNumberFormat="1" applyFont="1" applyBorder="1" applyAlignment="1" applyProtection="1">
      <alignment horizontal="center" vertical="center" wrapText="1"/>
      <protection hidden="1"/>
    </xf>
    <xf numFmtId="179" fontId="22" fillId="5" borderId="32" xfId="23" applyNumberFormat="1" applyFont="1" applyBorder="1" applyAlignment="1" applyProtection="1">
      <alignment horizontal="center" vertical="center"/>
    </xf>
    <xf numFmtId="0" fontId="22" fillId="5" borderId="32" xfId="23" applyFont="1" applyBorder="1" applyAlignment="1" applyProtection="1">
      <alignment vertical="center"/>
    </xf>
    <xf numFmtId="2" fontId="15" fillId="5" borderId="38" xfId="23" applyNumberFormat="1" applyBorder="1" applyAlignment="1" applyProtection="1">
      <alignment horizontal="center" vertical="center" wrapText="1"/>
      <protection hidden="1"/>
    </xf>
    <xf numFmtId="176" fontId="22" fillId="5" borderId="0" xfId="23" applyNumberFormat="1" applyFont="1" applyBorder="1" applyAlignment="1" applyProtection="1">
      <alignment horizontal="center" vertical="center" wrapText="1"/>
      <protection locked="0"/>
    </xf>
    <xf numFmtId="179" fontId="22" fillId="5" borderId="0" xfId="23" applyNumberFormat="1" applyFont="1" applyBorder="1" applyAlignment="1" applyProtection="1">
      <alignment horizontal="center" vertical="center"/>
      <protection locked="0"/>
    </xf>
    <xf numFmtId="0" fontId="22" fillId="5" borderId="39" xfId="23" applyFont="1" applyBorder="1" applyAlignment="1" applyProtection="1">
      <alignment vertical="center"/>
      <protection locked="0"/>
    </xf>
    <xf numFmtId="0" fontId="29" fillId="0" borderId="0" xfId="38" applyFont="1" applyAlignment="1">
      <alignment horizontal="center" vertical="center"/>
    </xf>
    <xf numFmtId="0" fontId="49" fillId="6" borderId="41" xfId="38" applyFont="1" applyFill="1" applyBorder="1" applyAlignment="1">
      <alignment horizontal="left" vertical="center"/>
    </xf>
    <xf numFmtId="0" fontId="50" fillId="0" borderId="41" xfId="38" applyFont="1" applyBorder="1" applyAlignment="1">
      <alignment horizontal="center" vertical="center"/>
    </xf>
    <xf numFmtId="181" fontId="51" fillId="0" borderId="41" xfId="38" applyNumberFormat="1" applyFont="1" applyBorder="1" applyAlignment="1">
      <alignment horizontal="right" vertical="center"/>
    </xf>
    <xf numFmtId="4" fontId="49" fillId="17" borderId="42" xfId="38" applyNumberFormat="1" applyFont="1" applyFill="1" applyBorder="1" applyAlignment="1" applyProtection="1">
      <alignment horizontal="center" vertical="center"/>
      <protection hidden="1"/>
    </xf>
    <xf numFmtId="4" fontId="32" fillId="17" borderId="43" xfId="38" applyNumberFormat="1" applyFont="1" applyFill="1" applyBorder="1" applyAlignment="1" applyProtection="1">
      <alignment horizontal="center" vertical="center"/>
      <protection hidden="1"/>
    </xf>
    <xf numFmtId="9" fontId="49" fillId="6" borderId="43" xfId="41" applyFont="1" applyFill="1" applyBorder="1" applyAlignment="1" applyProtection="1">
      <alignment horizontal="center" vertical="center"/>
      <protection hidden="1"/>
    </xf>
    <xf numFmtId="4" fontId="49" fillId="17" borderId="43" xfId="38" applyNumberFormat="1" applyFont="1" applyFill="1" applyBorder="1" applyAlignment="1" applyProtection="1">
      <alignment horizontal="center" vertical="center"/>
      <protection hidden="1"/>
    </xf>
    <xf numFmtId="4" fontId="49" fillId="17" borderId="44" xfId="38" applyNumberFormat="1" applyFont="1" applyFill="1" applyBorder="1" applyAlignment="1" applyProtection="1">
      <alignment horizontal="center" vertical="center"/>
      <protection hidden="1"/>
    </xf>
    <xf numFmtId="177" fontId="49" fillId="17" borderId="45" xfId="38" applyNumberFormat="1" applyFont="1" applyFill="1" applyBorder="1" applyAlignment="1" applyProtection="1">
      <alignment horizontal="center" vertical="center"/>
      <protection hidden="1"/>
    </xf>
    <xf numFmtId="177" fontId="49" fillId="17" borderId="46" xfId="38" applyNumberFormat="1" applyFont="1" applyFill="1" applyBorder="1" applyAlignment="1" applyProtection="1">
      <alignment horizontal="center" vertical="center"/>
      <protection hidden="1"/>
    </xf>
    <xf numFmtId="177" fontId="49" fillId="17" borderId="47" xfId="38" applyNumberFormat="1" applyFont="1" applyFill="1" applyBorder="1" applyAlignment="1" applyProtection="1">
      <alignment horizontal="center" vertical="center"/>
      <protection hidden="1"/>
    </xf>
    <xf numFmtId="4" fontId="49" fillId="17" borderId="48" xfId="38" applyNumberFormat="1" applyFont="1" applyFill="1" applyBorder="1" applyAlignment="1" applyProtection="1">
      <alignment horizontal="center" vertical="center"/>
      <protection hidden="1"/>
    </xf>
    <xf numFmtId="4" fontId="32" fillId="0" borderId="49" xfId="38" applyNumberFormat="1" applyFont="1" applyBorder="1" applyAlignment="1">
      <alignment horizontal="center" vertical="center"/>
    </xf>
    <xf numFmtId="165" fontId="49" fillId="17" borderId="47" xfId="42" applyFont="1" applyFill="1" applyBorder="1" applyAlignment="1" applyProtection="1">
      <alignment horizontal="center" vertical="center"/>
      <protection hidden="1"/>
    </xf>
    <xf numFmtId="181" fontId="52" fillId="18" borderId="50" xfId="35" applyNumberFormat="1" applyFont="1" applyFill="1" applyBorder="1" applyAlignment="1" applyProtection="1">
      <alignment horizontal="center" vertical="center"/>
    </xf>
    <xf numFmtId="177" fontId="10" fillId="0" borderId="40" xfId="38" applyNumberFormat="1" applyFont="1" applyBorder="1" applyAlignment="1">
      <alignment horizontal="center" vertical="center"/>
    </xf>
    <xf numFmtId="177" fontId="10" fillId="0" borderId="51" xfId="38" applyNumberFormat="1" applyFont="1" applyBorder="1" applyAlignment="1">
      <alignment horizontal="center" vertical="center"/>
    </xf>
    <xf numFmtId="4" fontId="15" fillId="3" borderId="0" xfId="5" applyNumberFormat="1" applyAlignment="1" applyProtection="1">
      <alignment horizontal="center"/>
    </xf>
    <xf numFmtId="181" fontId="13" fillId="0" borderId="0" xfId="38" applyNumberFormat="1" applyFont="1" applyAlignment="1" applyProtection="1">
      <alignment horizontal="center" vertical="center"/>
      <protection hidden="1"/>
    </xf>
    <xf numFmtId="177" fontId="13" fillId="17" borderId="52" xfId="38" applyNumberFormat="1" applyFont="1" applyFill="1" applyBorder="1" applyAlignment="1" applyProtection="1">
      <alignment horizontal="center" vertical="center"/>
      <protection hidden="1"/>
    </xf>
    <xf numFmtId="177" fontId="13" fillId="17" borderId="53" xfId="38" applyNumberFormat="1" applyFont="1" applyFill="1" applyBorder="1" applyAlignment="1" applyProtection="1">
      <alignment horizontal="center" vertical="center"/>
      <protection hidden="1"/>
    </xf>
    <xf numFmtId="177" fontId="13" fillId="17" borderId="54" xfId="38" applyNumberFormat="1" applyFont="1" applyFill="1" applyBorder="1" applyAlignment="1" applyProtection="1">
      <alignment horizontal="center" vertical="center"/>
      <protection hidden="1"/>
    </xf>
    <xf numFmtId="177" fontId="13" fillId="17" borderId="55" xfId="38" applyNumberFormat="1" applyFont="1" applyFill="1" applyBorder="1" applyAlignment="1" applyProtection="1">
      <alignment horizontal="center" vertical="center"/>
      <protection hidden="1"/>
    </xf>
    <xf numFmtId="174" fontId="10" fillId="17" borderId="0" xfId="38" applyNumberFormat="1" applyFont="1" applyFill="1" applyAlignment="1" applyProtection="1">
      <alignment horizontal="center" vertical="center"/>
      <protection hidden="1"/>
    </xf>
    <xf numFmtId="180" fontId="10" fillId="17" borderId="0" xfId="38" applyNumberFormat="1" applyFont="1" applyFill="1" applyAlignment="1" applyProtection="1">
      <alignment horizontal="center" vertical="center"/>
      <protection hidden="1"/>
    </xf>
    <xf numFmtId="177" fontId="13" fillId="17" borderId="56" xfId="38" applyNumberFormat="1" applyFont="1" applyFill="1" applyBorder="1" applyAlignment="1" applyProtection="1">
      <alignment horizontal="center" vertical="center"/>
      <protection hidden="1"/>
    </xf>
    <xf numFmtId="2" fontId="6" fillId="0" borderId="0" xfId="38" applyNumberFormat="1"/>
    <xf numFmtId="0" fontId="9" fillId="0" borderId="19" xfId="38" applyFont="1" applyBorder="1" applyAlignment="1">
      <alignment horizontal="center" vertical="center"/>
    </xf>
    <xf numFmtId="2" fontId="15" fillId="5" borderId="0" xfId="23" applyNumberFormat="1" applyBorder="1" applyAlignment="1" applyProtection="1">
      <alignment horizontal="center" vertical="center" wrapText="1"/>
      <protection hidden="1"/>
    </xf>
    <xf numFmtId="177" fontId="13" fillId="17" borderId="63" xfId="38" applyNumberFormat="1" applyFont="1" applyFill="1" applyBorder="1" applyAlignment="1" applyProtection="1">
      <alignment horizontal="center" vertical="center"/>
      <protection hidden="1"/>
    </xf>
    <xf numFmtId="174" fontId="46" fillId="6" borderId="25" xfId="36" applyNumberFormat="1" applyFont="1" applyFill="1" applyBorder="1" applyAlignment="1" applyProtection="1">
      <alignment vertical="center"/>
    </xf>
    <xf numFmtId="0" fontId="21" fillId="6" borderId="0" xfId="38" applyFont="1" applyFill="1" applyAlignment="1">
      <alignment horizontal="center" vertical="center"/>
    </xf>
    <xf numFmtId="4" fontId="12" fillId="17" borderId="55" xfId="38" applyNumberFormat="1" applyFont="1" applyFill="1" applyBorder="1" applyAlignment="1">
      <alignment horizontal="center" vertical="center"/>
    </xf>
    <xf numFmtId="0" fontId="41" fillId="6" borderId="0" xfId="38" applyFont="1" applyFill="1" applyAlignment="1">
      <alignment vertical="center"/>
    </xf>
    <xf numFmtId="4" fontId="32" fillId="2" borderId="41" xfId="38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 applyProtection="1">
      <alignment horizontal="left" vertical="center"/>
      <protection hidden="1"/>
    </xf>
    <xf numFmtId="0" fontId="9" fillId="2" borderId="9" xfId="0" applyFont="1" applyFill="1" applyBorder="1" applyAlignment="1" applyProtection="1">
      <alignment horizontal="left" vertical="center"/>
      <protection hidden="1"/>
    </xf>
    <xf numFmtId="0" fontId="0" fillId="2" borderId="9" xfId="0" applyFill="1" applyBorder="1" applyAlignment="1" applyProtection="1">
      <alignment horizontal="left" vertical="center"/>
      <protection hidden="1"/>
    </xf>
    <xf numFmtId="4" fontId="25" fillId="6" borderId="8" xfId="0" applyNumberFormat="1" applyFont="1" applyFill="1" applyBorder="1" applyAlignment="1">
      <alignment horizontal="center" wrapText="1"/>
    </xf>
    <xf numFmtId="179" fontId="60" fillId="0" borderId="41" xfId="38" applyNumberFormat="1" applyFont="1" applyBorder="1" applyAlignment="1">
      <alignment horizontal="left" vertical="center"/>
    </xf>
    <xf numFmtId="0" fontId="0" fillId="2" borderId="10" xfId="0" applyFill="1" applyBorder="1" applyAlignment="1" applyProtection="1">
      <alignment horizontal="center" vertical="center"/>
      <protection hidden="1"/>
    </xf>
    <xf numFmtId="4" fontId="0" fillId="2" borderId="8" xfId="0" applyNumberFormat="1" applyFill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center" vertical="center"/>
      <protection hidden="1"/>
    </xf>
    <xf numFmtId="179" fontId="49" fillId="26" borderId="41" xfId="0" applyNumberFormat="1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/>
      <protection hidden="1"/>
    </xf>
    <xf numFmtId="0" fontId="9" fillId="2" borderId="7" xfId="0" applyFont="1" applyFill="1" applyBorder="1" applyAlignment="1" applyProtection="1">
      <alignment horizontal="center" vertical="center"/>
      <protection hidden="1"/>
    </xf>
    <xf numFmtId="3" fontId="35" fillId="6" borderId="41" xfId="66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hidden="1"/>
    </xf>
    <xf numFmtId="165" fontId="0" fillId="0" borderId="8" xfId="2" applyFont="1" applyBorder="1"/>
    <xf numFmtId="4" fontId="25" fillId="0" borderId="8" xfId="29" applyNumberFormat="1" applyFont="1" applyBorder="1" applyAlignment="1"/>
    <xf numFmtId="1" fontId="15" fillId="3" borderId="21" xfId="26" applyNumberFormat="1" applyBorder="1" applyAlignment="1" applyProtection="1">
      <alignment horizontal="center" vertical="center"/>
      <protection hidden="1"/>
    </xf>
    <xf numFmtId="1" fontId="15" fillId="3" borderId="13" xfId="26" applyNumberFormat="1" applyBorder="1" applyAlignment="1" applyProtection="1">
      <alignment horizontal="center" vertical="center"/>
      <protection hidden="1"/>
    </xf>
    <xf numFmtId="172" fontId="15" fillId="3" borderId="8" xfId="26" applyBorder="1" applyAlignment="1" applyProtection="1">
      <alignment horizontal="center" vertical="center"/>
      <protection hidden="1"/>
    </xf>
    <xf numFmtId="172" fontId="15" fillId="3" borderId="8" xfId="26" applyBorder="1" applyAlignment="1" applyProtection="1">
      <alignment horizontal="right" vertical="center"/>
      <protection hidden="1"/>
    </xf>
    <xf numFmtId="3" fontId="15" fillId="5" borderId="14" xfId="27" applyNumberFormat="1" applyBorder="1" applyAlignment="1">
      <alignment horizontal="right" wrapText="1"/>
    </xf>
    <xf numFmtId="4" fontId="15" fillId="5" borderId="14" xfId="27" applyNumberFormat="1" applyBorder="1" applyAlignment="1"/>
    <xf numFmtId="172" fontId="9" fillId="6" borderId="0" xfId="25" applyFill="1" applyAlignment="1">
      <alignment vertical="center"/>
    </xf>
    <xf numFmtId="172" fontId="9" fillId="0" borderId="0" xfId="25" applyAlignment="1">
      <alignment vertical="center"/>
    </xf>
    <xf numFmtId="172" fontId="64" fillId="0" borderId="0" xfId="25" applyFont="1" applyAlignment="1">
      <alignment vertical="center"/>
    </xf>
    <xf numFmtId="172" fontId="9" fillId="0" borderId="0" xfId="25" applyAlignment="1">
      <alignment horizontal="center" vertical="center"/>
    </xf>
    <xf numFmtId="172" fontId="9" fillId="9" borderId="0" xfId="25" applyFill="1" applyAlignment="1">
      <alignment vertical="center"/>
    </xf>
    <xf numFmtId="172" fontId="65" fillId="9" borderId="0" xfId="25" applyFont="1" applyFill="1" applyAlignment="1">
      <alignment horizontal="center" vertical="center"/>
    </xf>
    <xf numFmtId="172" fontId="64" fillId="9" borderId="0" xfId="25" applyFont="1" applyFill="1" applyAlignment="1">
      <alignment vertical="center"/>
    </xf>
    <xf numFmtId="4" fontId="66" fillId="28" borderId="31" xfId="84" applyNumberFormat="1" applyFont="1" applyFill="1" applyAlignment="1" applyProtection="1">
      <alignment vertical="center"/>
    </xf>
    <xf numFmtId="4" fontId="66" fillId="0" borderId="31" xfId="84" applyNumberFormat="1" applyFont="1" applyFill="1" applyAlignment="1" applyProtection="1">
      <alignment vertical="center"/>
    </xf>
    <xf numFmtId="4" fontId="67" fillId="28" borderId="31" xfId="84" applyNumberFormat="1" applyFont="1" applyFill="1" applyAlignment="1" applyProtection="1">
      <alignment vertical="center"/>
    </xf>
    <xf numFmtId="4" fontId="67" fillId="0" borderId="31" xfId="84" applyNumberFormat="1" applyFont="1" applyFill="1" applyAlignment="1" applyProtection="1">
      <alignment vertical="center"/>
    </xf>
    <xf numFmtId="172" fontId="64" fillId="6" borderId="0" xfId="25" applyFont="1" applyFill="1" applyAlignment="1">
      <alignment vertical="center"/>
    </xf>
    <xf numFmtId="172" fontId="64" fillId="0" borderId="0" xfId="25" applyFont="1" applyAlignment="1">
      <alignment horizontal="center" vertical="center"/>
    </xf>
    <xf numFmtId="172" fontId="68" fillId="9" borderId="0" xfId="25" applyFont="1" applyFill="1" applyAlignment="1">
      <alignment vertical="center"/>
    </xf>
    <xf numFmtId="172" fontId="68" fillId="6" borderId="0" xfId="25" applyFont="1" applyFill="1" applyAlignment="1">
      <alignment vertical="center"/>
    </xf>
    <xf numFmtId="172" fontId="68" fillId="0" borderId="0" xfId="25" applyFont="1" applyAlignment="1">
      <alignment vertical="center"/>
    </xf>
    <xf numFmtId="172" fontId="68" fillId="0" borderId="0" xfId="25" applyFont="1" applyAlignment="1">
      <alignment horizontal="center" vertical="center"/>
    </xf>
    <xf numFmtId="172" fontId="26" fillId="3" borderId="8" xfId="26" applyFont="1" applyBorder="1" applyAlignment="1" applyProtection="1">
      <alignment horizontal="center" vertical="center"/>
      <protection hidden="1"/>
    </xf>
    <xf numFmtId="172" fontId="26" fillId="3" borderId="0" xfId="26" applyFont="1" applyBorder="1" applyAlignment="1" applyProtection="1">
      <alignment horizontal="center" vertical="center"/>
      <protection hidden="1"/>
    </xf>
    <xf numFmtId="172" fontId="68" fillId="0" borderId="0" xfId="79" applyFont="1"/>
    <xf numFmtId="0" fontId="26" fillId="3" borderId="12" xfId="26" applyNumberFormat="1" applyFont="1" applyBorder="1" applyAlignment="1">
      <alignment horizontal="center" vertical="center" wrapText="1"/>
    </xf>
    <xf numFmtId="172" fontId="26" fillId="3" borderId="12" xfId="26" applyFont="1" applyBorder="1" applyAlignment="1">
      <alignment horizontal="center"/>
    </xf>
    <xf numFmtId="3" fontId="26" fillId="3" borderId="8" xfId="26" applyNumberFormat="1" applyFont="1" applyBorder="1" applyAlignment="1">
      <alignment horizontal="center" vertical="center"/>
    </xf>
    <xf numFmtId="1" fontId="68" fillId="6" borderId="8" xfId="25" applyNumberFormat="1" applyFont="1" applyFill="1" applyBorder="1" applyAlignment="1">
      <alignment horizontal="center" vertical="center" wrapText="1"/>
    </xf>
    <xf numFmtId="3" fontId="26" fillId="5" borderId="8" xfId="27" applyNumberFormat="1" applyFont="1" applyBorder="1" applyAlignment="1">
      <alignment horizontal="right" vertical="center" wrapText="1"/>
    </xf>
    <xf numFmtId="3" fontId="26" fillId="5" borderId="0" xfId="27" applyNumberFormat="1" applyFont="1" applyBorder="1" applyAlignment="1">
      <alignment horizontal="right" vertical="center" wrapText="1"/>
    </xf>
    <xf numFmtId="172" fontId="68" fillId="0" borderId="90" xfId="79" applyFont="1" applyBorder="1"/>
    <xf numFmtId="0" fontId="69" fillId="7" borderId="90" xfId="24" applyFont="1" applyBorder="1" applyAlignment="1">
      <alignment horizontal="center" vertical="center" wrapText="1"/>
    </xf>
    <xf numFmtId="1" fontId="68" fillId="0" borderId="90" xfId="25" applyNumberFormat="1" applyFont="1" applyBorder="1" applyAlignment="1">
      <alignment horizontal="center" vertical="center"/>
    </xf>
    <xf numFmtId="172" fontId="68" fillId="0" borderId="90" xfId="25" applyFont="1" applyBorder="1" applyAlignment="1">
      <alignment vertical="center"/>
    </xf>
    <xf numFmtId="172" fontId="68" fillId="6" borderId="8" xfId="25" applyFont="1" applyFill="1" applyBorder="1" applyAlignment="1">
      <alignment vertical="center"/>
    </xf>
    <xf numFmtId="169" fontId="26" fillId="5" borderId="8" xfId="27" applyNumberFormat="1" applyFont="1" applyBorder="1" applyAlignment="1">
      <alignment vertical="center"/>
    </xf>
    <xf numFmtId="169" fontId="26" fillId="5" borderId="0" xfId="27" applyNumberFormat="1" applyFont="1" applyBorder="1" applyAlignment="1">
      <alignment vertical="center"/>
    </xf>
    <xf numFmtId="172" fontId="70" fillId="29" borderId="90" xfId="25" applyFont="1" applyFill="1" applyBorder="1" applyAlignment="1">
      <alignment horizontal="left" vertical="center"/>
    </xf>
    <xf numFmtId="172" fontId="66" fillId="7" borderId="90" xfId="28" applyFont="1" applyBorder="1" applyAlignment="1" applyProtection="1">
      <alignment horizontal="left" vertical="center"/>
      <protection locked="0"/>
    </xf>
    <xf numFmtId="165" fontId="66" fillId="0" borderId="90" xfId="2" applyFont="1" applyBorder="1" applyProtection="1">
      <protection locked="0"/>
    </xf>
    <xf numFmtId="166" fontId="66" fillId="7" borderId="90" xfId="28" applyNumberFormat="1" applyFont="1" applyBorder="1" applyAlignment="1" applyProtection="1">
      <alignment horizontal="center" vertical="center"/>
      <protection locked="0"/>
    </xf>
    <xf numFmtId="9" fontId="66" fillId="7" borderId="90" xfId="28" applyNumberFormat="1" applyFont="1" applyBorder="1" applyAlignment="1" applyProtection="1">
      <alignment horizontal="center" vertical="center"/>
      <protection locked="0"/>
    </xf>
    <xf numFmtId="44" fontId="66" fillId="0" borderId="90" xfId="3" quotePrefix="1" applyFont="1" applyBorder="1" applyAlignment="1">
      <alignment horizontal="center" vertical="center"/>
    </xf>
    <xf numFmtId="44" fontId="66" fillId="0" borderId="90" xfId="3" applyFont="1" applyBorder="1" applyAlignment="1">
      <alignment horizontal="center" vertical="center"/>
    </xf>
    <xf numFmtId="165" fontId="68" fillId="0" borderId="0" xfId="2" applyFont="1" applyAlignment="1">
      <alignment vertical="center"/>
    </xf>
    <xf numFmtId="44" fontId="66" fillId="0" borderId="90" xfId="3" applyFont="1" applyFill="1" applyBorder="1" applyAlignment="1">
      <alignment horizontal="center" vertical="center"/>
    </xf>
    <xf numFmtId="2" fontId="68" fillId="0" borderId="90" xfId="25" applyNumberFormat="1" applyFont="1" applyBorder="1" applyAlignment="1">
      <alignment horizontal="center" vertical="center"/>
    </xf>
    <xf numFmtId="10" fontId="68" fillId="0" borderId="0" xfId="4" applyNumberFormat="1" applyFont="1" applyAlignment="1">
      <alignment vertical="center"/>
    </xf>
    <xf numFmtId="2" fontId="66" fillId="7" borderId="90" xfId="28" applyNumberFormat="1" applyFont="1" applyBorder="1" applyAlignment="1" applyProtection="1">
      <alignment horizontal="left" vertical="center"/>
      <protection locked="0"/>
    </xf>
    <xf numFmtId="2" fontId="71" fillId="0" borderId="90" xfId="79" applyNumberFormat="1" applyFont="1" applyBorder="1"/>
    <xf numFmtId="2" fontId="66" fillId="7" borderId="90" xfId="28" applyNumberFormat="1" applyFont="1" applyBorder="1" applyAlignment="1" applyProtection="1">
      <alignment horizontal="right" vertical="center"/>
      <protection locked="0"/>
    </xf>
    <xf numFmtId="2" fontId="66" fillId="0" borderId="90" xfId="29" applyNumberFormat="1" applyFont="1" applyBorder="1" applyAlignment="1" applyProtection="1">
      <alignment vertical="center"/>
      <protection locked="0"/>
    </xf>
    <xf numFmtId="2" fontId="66" fillId="0" borderId="90" xfId="4" applyNumberFormat="1" applyFont="1" applyBorder="1" applyAlignment="1" applyProtection="1">
      <alignment horizontal="center" vertical="center"/>
      <protection locked="0"/>
    </xf>
    <xf numFmtId="2" fontId="66" fillId="0" borderId="90" xfId="3" applyNumberFormat="1" applyFont="1" applyBorder="1" applyAlignment="1">
      <alignment horizontal="center" vertical="center"/>
    </xf>
    <xf numFmtId="4" fontId="72" fillId="28" borderId="31" xfId="84" applyNumberFormat="1" applyFont="1" applyFill="1" applyAlignment="1" applyProtection="1">
      <alignment vertical="center"/>
    </xf>
    <xf numFmtId="3" fontId="15" fillId="3" borderId="8" xfId="26" applyNumberFormat="1" applyBorder="1" applyAlignment="1">
      <alignment horizontal="center" vertical="center"/>
    </xf>
    <xf numFmtId="169" fontId="15" fillId="5" borderId="8" xfId="27" applyNumberFormat="1" applyBorder="1" applyAlignment="1">
      <alignment vertical="center"/>
    </xf>
    <xf numFmtId="169" fontId="15" fillId="5" borderId="0" xfId="27" applyNumberFormat="1" applyBorder="1" applyAlignment="1">
      <alignment vertical="center"/>
    </xf>
    <xf numFmtId="2" fontId="73" fillId="0" borderId="90" xfId="79" applyNumberFormat="1" applyFont="1" applyBorder="1"/>
    <xf numFmtId="2" fontId="27" fillId="7" borderId="90" xfId="28" applyNumberFormat="1" applyFont="1" applyBorder="1" applyAlignment="1" applyProtection="1">
      <alignment horizontal="left" vertical="center"/>
      <protection locked="0"/>
    </xf>
    <xf numFmtId="2" fontId="9" fillId="0" borderId="90" xfId="25" applyNumberFormat="1" applyBorder="1" applyAlignment="1">
      <alignment horizontal="center" vertical="center"/>
    </xf>
    <xf numFmtId="2" fontId="52" fillId="7" borderId="90" xfId="28" applyNumberFormat="1" applyFont="1" applyBorder="1" applyAlignment="1" applyProtection="1">
      <alignment horizontal="right" vertical="center"/>
      <protection locked="0"/>
    </xf>
    <xf numFmtId="2" fontId="28" fillId="0" borderId="90" xfId="29" applyNumberFormat="1" applyFont="1" applyBorder="1" applyAlignment="1" applyProtection="1">
      <alignment vertical="center"/>
      <protection locked="0"/>
    </xf>
    <xf numFmtId="2" fontId="28" fillId="0" borderId="90" xfId="4" applyNumberFormat="1" applyFont="1" applyBorder="1" applyAlignment="1" applyProtection="1">
      <alignment horizontal="center" vertical="center"/>
      <protection locked="0"/>
    </xf>
    <xf numFmtId="4" fontId="9" fillId="6" borderId="0" xfId="25" applyNumberFormat="1" applyFill="1" applyAlignment="1">
      <alignment vertical="center"/>
    </xf>
    <xf numFmtId="4" fontId="74" fillId="7" borderId="27" xfId="28" applyNumberFormat="1" applyFont="1" applyAlignment="1">
      <alignment horizontal="center" vertical="center" wrapText="1"/>
    </xf>
    <xf numFmtId="184" fontId="74" fillId="7" borderId="27" xfId="28" applyNumberFormat="1" applyFont="1" applyAlignment="1">
      <alignment horizontal="center" vertical="center" wrapText="1"/>
    </xf>
    <xf numFmtId="4" fontId="77" fillId="7" borderId="92" xfId="28" applyNumberFormat="1" applyFont="1" applyBorder="1" applyAlignment="1">
      <alignment vertical="center" wrapText="1"/>
    </xf>
    <xf numFmtId="172" fontId="15" fillId="3" borderId="96" xfId="26" applyBorder="1" applyAlignment="1">
      <alignment horizontal="center" vertical="center" wrapText="1"/>
    </xf>
    <xf numFmtId="4" fontId="77" fillId="7" borderId="97" xfId="28" applyNumberFormat="1" applyFont="1" applyBorder="1" applyAlignment="1">
      <alignment vertical="center" wrapText="1"/>
    </xf>
    <xf numFmtId="172" fontId="15" fillId="3" borderId="17" xfId="26" applyBorder="1" applyAlignment="1">
      <alignment horizontal="center" vertical="center" wrapText="1"/>
    </xf>
    <xf numFmtId="185" fontId="15" fillId="3" borderId="100" xfId="26" applyNumberFormat="1" applyBorder="1" applyAlignment="1">
      <alignment horizontal="center" vertical="center" wrapText="1"/>
    </xf>
    <xf numFmtId="172" fontId="15" fillId="3" borderId="101" xfId="26" applyBorder="1" applyAlignment="1">
      <alignment horizontal="center" vertical="center" wrapText="1"/>
    </xf>
    <xf numFmtId="172" fontId="15" fillId="3" borderId="102" xfId="26" applyBorder="1" applyAlignment="1">
      <alignment horizontal="center" vertical="center" wrapText="1"/>
    </xf>
    <xf numFmtId="172" fontId="15" fillId="3" borderId="103" xfId="26" applyBorder="1" applyAlignment="1">
      <alignment horizontal="center" vertical="center" wrapText="1"/>
    </xf>
    <xf numFmtId="172" fontId="15" fillId="3" borderId="104" xfId="26" applyBorder="1" applyAlignment="1">
      <alignment horizontal="center" vertical="center" wrapText="1"/>
    </xf>
    <xf numFmtId="1" fontId="15" fillId="3" borderId="23" xfId="26" applyNumberFormat="1" applyBorder="1" applyAlignment="1">
      <alignment vertical="center"/>
    </xf>
    <xf numFmtId="4" fontId="9" fillId="0" borderId="105" xfId="25" applyNumberFormat="1" applyBorder="1" applyAlignment="1">
      <alignment horizontal="right" vertical="center"/>
    </xf>
    <xf numFmtId="172" fontId="15" fillId="3" borderId="11" xfId="26" applyBorder="1" applyAlignment="1">
      <alignment vertical="center"/>
    </xf>
    <xf numFmtId="3" fontId="78" fillId="0" borderId="105" xfId="25" applyNumberFormat="1" applyFont="1" applyBorder="1" applyAlignment="1">
      <alignment horizontal="right" vertical="center"/>
    </xf>
    <xf numFmtId="186" fontId="9" fillId="0" borderId="106" xfId="29" applyNumberFormat="1" applyFont="1" applyBorder="1" applyAlignment="1">
      <alignment vertical="center"/>
    </xf>
    <xf numFmtId="10" fontId="29" fillId="0" borderId="107" xfId="4" applyNumberFormat="1" applyFont="1" applyBorder="1" applyAlignment="1">
      <alignment vertical="center"/>
    </xf>
    <xf numFmtId="1" fontId="15" fillId="3" borderId="20" xfId="26" applyNumberFormat="1" applyBorder="1" applyAlignment="1">
      <alignment vertical="center"/>
    </xf>
    <xf numFmtId="4" fontId="9" fillId="0" borderId="108" xfId="25" applyNumberFormat="1" applyBorder="1" applyAlignment="1">
      <alignment horizontal="right" vertical="center"/>
    </xf>
    <xf numFmtId="3" fontId="78" fillId="0" borderId="108" xfId="25" applyNumberFormat="1" applyFont="1" applyBorder="1" applyAlignment="1">
      <alignment horizontal="right" vertical="center"/>
    </xf>
    <xf numFmtId="186" fontId="9" fillId="0" borderId="109" xfId="29" applyNumberFormat="1" applyFont="1" applyBorder="1" applyAlignment="1">
      <alignment vertical="center"/>
    </xf>
    <xf numFmtId="10" fontId="29" fillId="0" borderId="110" xfId="4" applyNumberFormat="1" applyFont="1" applyBorder="1" applyAlignment="1">
      <alignment vertical="center"/>
    </xf>
    <xf numFmtId="1" fontId="15" fillId="3" borderId="9" xfId="26" applyNumberFormat="1" applyBorder="1" applyAlignment="1">
      <alignment vertical="center"/>
    </xf>
    <xf numFmtId="4" fontId="9" fillId="0" borderId="102" xfId="25" applyNumberFormat="1" applyBorder="1" applyAlignment="1">
      <alignment horizontal="right" vertical="center"/>
    </xf>
    <xf numFmtId="3" fontId="78" fillId="0" borderId="102" xfId="25" applyNumberFormat="1" applyFont="1" applyBorder="1" applyAlignment="1">
      <alignment horizontal="right" vertical="center"/>
    </xf>
    <xf numFmtId="186" fontId="9" fillId="0" borderId="111" xfId="29" applyNumberFormat="1" applyFont="1" applyBorder="1" applyAlignment="1">
      <alignment vertical="center"/>
    </xf>
    <xf numFmtId="10" fontId="29" fillId="0" borderId="112" xfId="4" applyNumberFormat="1" applyFont="1" applyBorder="1" applyAlignment="1">
      <alignment vertical="center"/>
    </xf>
    <xf numFmtId="186" fontId="9" fillId="0" borderId="113" xfId="29" applyNumberFormat="1" applyFont="1" applyBorder="1" applyAlignment="1">
      <alignment vertical="center"/>
    </xf>
    <xf numFmtId="10" fontId="29" fillId="0" borderId="114" xfId="4" applyNumberFormat="1" applyFont="1" applyBorder="1" applyAlignment="1">
      <alignment vertical="center"/>
    </xf>
    <xf numFmtId="172" fontId="15" fillId="3" borderId="8" xfId="26" applyBorder="1" applyAlignment="1">
      <alignment vertical="center"/>
    </xf>
    <xf numFmtId="172" fontId="9" fillId="0" borderId="15" xfId="25" applyBorder="1" applyAlignment="1">
      <alignment vertical="center"/>
    </xf>
    <xf numFmtId="4" fontId="9" fillId="0" borderId="0" xfId="25" applyNumberFormat="1" applyAlignment="1">
      <alignment vertical="center"/>
    </xf>
    <xf numFmtId="187" fontId="9" fillId="0" borderId="105" xfId="29" applyNumberFormat="1" applyFont="1" applyBorder="1" applyAlignment="1">
      <alignment vertical="center"/>
    </xf>
    <xf numFmtId="10" fontId="29" fillId="0" borderId="56" xfId="4" applyNumberFormat="1" applyFont="1" applyBorder="1" applyAlignment="1">
      <alignment vertical="center"/>
    </xf>
    <xf numFmtId="4" fontId="79" fillId="27" borderId="31" xfId="84" applyNumberFormat="1" applyFont="1" applyFill="1" applyAlignment="1" applyProtection="1">
      <alignment horizontal="center" vertical="center"/>
    </xf>
    <xf numFmtId="187" fontId="0" fillId="0" borderId="0" xfId="29" applyNumberFormat="1" applyFont="1" applyBorder="1" applyAlignment="1">
      <alignment vertical="center"/>
    </xf>
    <xf numFmtId="10" fontId="29" fillId="0" borderId="115" xfId="4" applyNumberFormat="1" applyFont="1" applyBorder="1" applyAlignment="1">
      <alignment vertical="center"/>
    </xf>
    <xf numFmtId="9" fontId="9" fillId="0" borderId="111" xfId="4" applyFont="1" applyBorder="1" applyAlignment="1">
      <alignment horizontal="center" vertical="center"/>
    </xf>
    <xf numFmtId="187" fontId="9" fillId="0" borderId="102" xfId="29" applyNumberFormat="1" applyFont="1" applyBorder="1" applyAlignment="1">
      <alignment vertical="center"/>
    </xf>
    <xf numFmtId="188" fontId="9" fillId="0" borderId="0" xfId="25" applyNumberFormat="1" applyAlignment="1">
      <alignment vertical="center"/>
    </xf>
    <xf numFmtId="189" fontId="0" fillId="0" borderId="0" xfId="29" applyNumberFormat="1" applyFont="1" applyBorder="1" applyAlignment="1">
      <alignment vertical="center"/>
    </xf>
    <xf numFmtId="172" fontId="9" fillId="0" borderId="18" xfId="25" applyBorder="1" applyAlignment="1">
      <alignment vertical="center"/>
    </xf>
    <xf numFmtId="182" fontId="15" fillId="5" borderId="8" xfId="27" applyNumberFormat="1" applyBorder="1" applyAlignment="1">
      <alignment vertical="center"/>
    </xf>
    <xf numFmtId="172" fontId="80" fillId="3" borderId="15" xfId="26" applyFont="1" applyBorder="1" applyAlignment="1">
      <alignment vertical="center"/>
    </xf>
    <xf numFmtId="172" fontId="80" fillId="3" borderId="0" xfId="26" applyFont="1" applyBorder="1" applyAlignment="1">
      <alignment vertical="center"/>
    </xf>
    <xf numFmtId="172" fontId="64" fillId="0" borderId="8" xfId="25" applyFont="1" applyBorder="1" applyAlignment="1">
      <alignment vertical="center"/>
    </xf>
    <xf numFmtId="4" fontId="15" fillId="3" borderId="118" xfId="26" applyNumberFormat="1" applyBorder="1" applyAlignment="1">
      <alignment horizontal="center" vertical="center" wrapText="1"/>
    </xf>
    <xf numFmtId="4" fontId="15" fillId="3" borderId="119" xfId="26" applyNumberFormat="1" applyBorder="1" applyAlignment="1">
      <alignment horizontal="center" vertical="center" wrapText="1"/>
    </xf>
    <xf numFmtId="172" fontId="15" fillId="3" borderId="120" xfId="26" applyBorder="1" applyAlignment="1">
      <alignment horizontal="center" vertical="center" wrapText="1"/>
    </xf>
    <xf numFmtId="4" fontId="15" fillId="3" borderId="118" xfId="26" applyNumberFormat="1" applyBorder="1" applyAlignment="1">
      <alignment vertical="center"/>
    </xf>
    <xf numFmtId="165" fontId="64" fillId="0" borderId="119" xfId="2" applyFont="1" applyBorder="1" applyAlignment="1">
      <alignment horizontal="center" vertical="center"/>
    </xf>
    <xf numFmtId="44" fontId="78" fillId="26" borderId="119" xfId="30" applyFont="1" applyFill="1" applyBorder="1" applyAlignment="1" applyProtection="1">
      <alignment vertical="center"/>
    </xf>
    <xf numFmtId="44" fontId="64" fillId="26" borderId="120" xfId="3" applyFont="1" applyFill="1" applyBorder="1" applyAlignment="1" applyProtection="1">
      <alignment horizontal="center" vertical="center"/>
    </xf>
    <xf numFmtId="4" fontId="64" fillId="0" borderId="119" xfId="25" applyNumberFormat="1" applyFont="1" applyBorder="1" applyAlignment="1">
      <alignment horizontal="center" vertical="center"/>
    </xf>
    <xf numFmtId="4" fontId="9" fillId="0" borderId="15" xfId="25" applyNumberFormat="1" applyBorder="1" applyAlignment="1">
      <alignment vertical="center"/>
    </xf>
    <xf numFmtId="4" fontId="9" fillId="0" borderId="0" xfId="25" applyNumberFormat="1" applyAlignment="1">
      <alignment horizontal="center" vertical="center"/>
    </xf>
    <xf numFmtId="44" fontId="11" fillId="26" borderId="105" xfId="3" applyFont="1" applyFill="1" applyBorder="1" applyAlignment="1">
      <alignment horizontal="center" vertical="center"/>
    </xf>
    <xf numFmtId="165" fontId="9" fillId="0" borderId="0" xfId="2" applyFont="1" applyAlignment="1">
      <alignment vertical="center"/>
    </xf>
    <xf numFmtId="44" fontId="11" fillId="26" borderId="121" xfId="3" applyFont="1" applyFill="1" applyBorder="1" applyAlignment="1">
      <alignment horizontal="center" vertical="center"/>
    </xf>
    <xf numFmtId="172" fontId="15" fillId="3" borderId="15" xfId="26" applyBorder="1" applyAlignment="1">
      <alignment vertical="center"/>
    </xf>
    <xf numFmtId="172" fontId="15" fillId="3" borderId="0" xfId="26" applyBorder="1" applyAlignment="1">
      <alignment vertical="center"/>
    </xf>
    <xf numFmtId="172" fontId="15" fillId="3" borderId="18" xfId="26" applyBorder="1" applyAlignment="1">
      <alignment vertical="center"/>
    </xf>
    <xf numFmtId="4" fontId="15" fillId="3" borderId="122" xfId="26" applyNumberFormat="1" applyBorder="1" applyAlignment="1">
      <alignment vertical="center"/>
    </xf>
    <xf numFmtId="4" fontId="9" fillId="0" borderId="29" xfId="25" applyNumberFormat="1" applyBorder="1" applyAlignment="1">
      <alignment horizontal="center" vertical="center"/>
    </xf>
    <xf numFmtId="44" fontId="9" fillId="26" borderId="29" xfId="30" applyFont="1" applyFill="1" applyBorder="1" applyAlignment="1">
      <alignment vertical="center"/>
    </xf>
    <xf numFmtId="187" fontId="9" fillId="26" borderId="102" xfId="29" applyNumberFormat="1" applyFont="1" applyFill="1" applyBorder="1" applyAlignment="1">
      <alignment vertical="center"/>
    </xf>
    <xf numFmtId="44" fontId="64" fillId="26" borderId="117" xfId="30" applyFont="1" applyFill="1" applyBorder="1" applyAlignment="1">
      <alignment vertical="center"/>
    </xf>
    <xf numFmtId="165" fontId="64" fillId="0" borderId="123" xfId="2" applyFont="1" applyFill="1" applyBorder="1" applyAlignment="1">
      <alignment vertical="center"/>
    </xf>
    <xf numFmtId="44" fontId="64" fillId="26" borderId="124" xfId="30" applyFont="1" applyFill="1" applyBorder="1" applyAlignment="1">
      <alignment vertical="center"/>
    </xf>
    <xf numFmtId="44" fontId="11" fillId="26" borderId="117" xfId="25" applyNumberFormat="1" applyFont="1" applyFill="1" applyBorder="1" applyAlignment="1">
      <alignment vertical="center"/>
    </xf>
    <xf numFmtId="165" fontId="11" fillId="0" borderId="0" xfId="2" applyFont="1" applyFill="1" applyBorder="1" applyAlignment="1">
      <alignment vertical="center"/>
    </xf>
    <xf numFmtId="44" fontId="11" fillId="26" borderId="124" xfId="25" applyNumberFormat="1" applyFont="1" applyFill="1" applyBorder="1" applyAlignment="1">
      <alignment vertical="center"/>
    </xf>
    <xf numFmtId="165" fontId="9" fillId="0" borderId="0" xfId="2" applyFont="1" applyFill="1" applyBorder="1" applyAlignment="1">
      <alignment vertical="center"/>
    </xf>
    <xf numFmtId="44" fontId="81" fillId="26" borderId="124" xfId="25" applyNumberFormat="1" applyFont="1" applyFill="1" applyBorder="1" applyAlignment="1">
      <alignment vertical="center"/>
    </xf>
    <xf numFmtId="4" fontId="15" fillId="3" borderId="125" xfId="26" applyNumberFormat="1" applyBorder="1" applyAlignment="1">
      <alignment vertical="center"/>
    </xf>
    <xf numFmtId="4" fontId="15" fillId="3" borderId="123" xfId="26" applyNumberFormat="1" applyBorder="1" applyAlignment="1">
      <alignment vertical="center"/>
    </xf>
    <xf numFmtId="4" fontId="15" fillId="3" borderId="126" xfId="26" applyNumberFormat="1" applyBorder="1" applyAlignment="1">
      <alignment vertical="center"/>
    </xf>
    <xf numFmtId="44" fontId="81" fillId="26" borderId="117" xfId="25" applyNumberFormat="1" applyFont="1" applyFill="1" applyBorder="1" applyAlignment="1">
      <alignment vertical="center"/>
    </xf>
    <xf numFmtId="191" fontId="82" fillId="5" borderId="8" xfId="27" applyNumberFormat="1" applyFont="1" applyBorder="1" applyAlignment="1">
      <alignment vertical="center"/>
    </xf>
    <xf numFmtId="172" fontId="15" fillId="3" borderId="125" xfId="26" applyBorder="1" applyAlignment="1">
      <alignment vertical="center"/>
    </xf>
    <xf numFmtId="172" fontId="15" fillId="3" borderId="123" xfId="26" applyBorder="1" applyAlignment="1">
      <alignment vertical="center"/>
    </xf>
    <xf numFmtId="172" fontId="15" fillId="3" borderId="126" xfId="26" applyBorder="1" applyAlignment="1">
      <alignment vertical="center"/>
    </xf>
    <xf numFmtId="191" fontId="82" fillId="5" borderId="16" xfId="27" applyNumberFormat="1" applyFont="1" applyBorder="1" applyAlignment="1">
      <alignment vertical="center"/>
    </xf>
    <xf numFmtId="4" fontId="9" fillId="0" borderId="2" xfId="25" applyNumberFormat="1" applyBorder="1" applyAlignment="1">
      <alignment vertical="center"/>
    </xf>
    <xf numFmtId="4" fontId="9" fillId="0" borderId="3" xfId="25" applyNumberFormat="1" applyBorder="1" applyAlignment="1">
      <alignment vertical="center"/>
    </xf>
    <xf numFmtId="172" fontId="9" fillId="0" borderId="3" xfId="25" applyBorder="1" applyAlignment="1">
      <alignment vertical="center"/>
    </xf>
    <xf numFmtId="172" fontId="9" fillId="0" borderId="1" xfId="25" applyBorder="1" applyAlignment="1">
      <alignment vertical="center"/>
    </xf>
    <xf numFmtId="4" fontId="77" fillId="7" borderId="127" xfId="28" applyNumberFormat="1" applyFont="1" applyBorder="1" applyAlignment="1">
      <alignment vertical="center" wrapText="1"/>
    </xf>
    <xf numFmtId="172" fontId="77" fillId="30" borderId="131" xfId="28" applyFont="1" applyFill="1" applyBorder="1" applyAlignment="1">
      <alignment horizontal="center" vertical="center" wrapText="1"/>
    </xf>
    <xf numFmtId="4" fontId="77" fillId="7" borderId="132" xfId="28" applyNumberFormat="1" applyFont="1" applyBorder="1" applyAlignment="1">
      <alignment vertical="center" wrapText="1"/>
    </xf>
    <xf numFmtId="172" fontId="77" fillId="30" borderId="134" xfId="28" applyFont="1" applyFill="1" applyBorder="1" applyAlignment="1">
      <alignment horizontal="center" vertical="center" wrapText="1"/>
    </xf>
    <xf numFmtId="172" fontId="77" fillId="7" borderId="132" xfId="28" applyFont="1" applyBorder="1" applyAlignment="1">
      <alignment vertical="center" wrapText="1"/>
    </xf>
    <xf numFmtId="172" fontId="77" fillId="30" borderId="136" xfId="28" applyFont="1" applyFill="1" applyBorder="1" applyAlignment="1">
      <alignment horizontal="center" vertical="center" wrapText="1"/>
    </xf>
    <xf numFmtId="172" fontId="15" fillId="3" borderId="137" xfId="26" applyBorder="1" applyAlignment="1">
      <alignment horizontal="center" vertical="center"/>
    </xf>
    <xf numFmtId="4" fontId="15" fillId="3" borderId="105" xfId="26" applyNumberFormat="1" applyBorder="1" applyAlignment="1">
      <alignment horizontal="center" vertical="center"/>
    </xf>
    <xf numFmtId="172" fontId="15" fillId="3" borderId="105" xfId="26" applyBorder="1" applyAlignment="1">
      <alignment horizontal="center" vertical="center"/>
    </xf>
    <xf numFmtId="172" fontId="15" fillId="3" borderId="105" xfId="26" applyBorder="1" applyAlignment="1">
      <alignment horizontal="center" vertical="center" wrapText="1"/>
    </xf>
    <xf numFmtId="172" fontId="15" fillId="3" borderId="121" xfId="26" applyBorder="1" applyAlignment="1">
      <alignment horizontal="center" vertical="center" wrapText="1"/>
    </xf>
    <xf numFmtId="172" fontId="15" fillId="3" borderId="106" xfId="26" applyBorder="1" applyAlignment="1">
      <alignment horizontal="center" vertical="center" wrapText="1"/>
    </xf>
    <xf numFmtId="186" fontId="9" fillId="0" borderId="121" xfId="29" applyNumberFormat="1" applyFont="1" applyBorder="1" applyAlignment="1">
      <alignment vertical="center"/>
    </xf>
    <xf numFmtId="169" fontId="30" fillId="5" borderId="8" xfId="27" applyNumberFormat="1" applyFont="1" applyBorder="1" applyAlignment="1">
      <alignment vertical="center"/>
    </xf>
    <xf numFmtId="188" fontId="9" fillId="0" borderId="0" xfId="2" applyNumberFormat="1" applyFont="1" applyAlignment="1">
      <alignment vertical="center"/>
    </xf>
    <xf numFmtId="192" fontId="9" fillId="0" borderId="0" xfId="2" applyNumberFormat="1" applyFont="1" applyAlignment="1">
      <alignment vertical="center"/>
    </xf>
    <xf numFmtId="44" fontId="9" fillId="0" borderId="0" xfId="3" applyFont="1" applyAlignment="1">
      <alignment vertical="center"/>
    </xf>
    <xf numFmtId="44" fontId="11" fillId="26" borderId="106" xfId="3" applyFont="1" applyFill="1" applyBorder="1" applyAlignment="1">
      <alignment horizontal="center" vertical="center"/>
    </xf>
    <xf numFmtId="191" fontId="82" fillId="5" borderId="13" xfId="27" applyNumberFormat="1" applyFont="1" applyBorder="1" applyAlignment="1">
      <alignment vertical="center"/>
    </xf>
    <xf numFmtId="172" fontId="77" fillId="0" borderId="134" xfId="28" applyFont="1" applyFill="1" applyBorder="1" applyAlignment="1">
      <alignment horizontal="center" vertical="center" wrapText="1"/>
    </xf>
    <xf numFmtId="172" fontId="83" fillId="30" borderId="136" xfId="28" applyFont="1" applyFill="1" applyBorder="1" applyAlignment="1">
      <alignment horizontal="center" vertical="center" wrapText="1"/>
    </xf>
    <xf numFmtId="4" fontId="77" fillId="7" borderId="141" xfId="28" applyNumberFormat="1" applyFont="1" applyBorder="1" applyAlignment="1">
      <alignment vertical="center" wrapText="1"/>
    </xf>
    <xf numFmtId="172" fontId="83" fillId="30" borderId="142" xfId="28" applyFont="1" applyFill="1" applyBorder="1" applyAlignment="1">
      <alignment horizontal="center" vertical="center" wrapText="1"/>
    </xf>
    <xf numFmtId="172" fontId="83" fillId="0" borderId="134" xfId="28" applyFont="1" applyFill="1" applyBorder="1" applyAlignment="1">
      <alignment horizontal="center" vertical="center" wrapText="1"/>
    </xf>
    <xf numFmtId="172" fontId="83" fillId="30" borderId="134" xfId="28" applyFont="1" applyFill="1" applyBorder="1" applyAlignment="1">
      <alignment horizontal="center" vertical="center" wrapText="1"/>
    </xf>
    <xf numFmtId="172" fontId="9" fillId="0" borderId="2" xfId="25" applyBorder="1" applyAlignment="1">
      <alignment vertical="center"/>
    </xf>
    <xf numFmtId="1" fontId="26" fillId="3" borderId="9" xfId="26" applyNumberFormat="1" applyFont="1" applyBorder="1" applyAlignment="1">
      <alignment vertical="center"/>
    </xf>
    <xf numFmtId="184" fontId="74" fillId="7" borderId="143" xfId="28" applyNumberFormat="1" applyFont="1" applyBorder="1" applyAlignment="1">
      <alignment horizontal="center" vertical="center" wrapText="1"/>
    </xf>
    <xf numFmtId="10" fontId="29" fillId="0" borderId="144" xfId="4" applyNumberFormat="1" applyFont="1" applyBorder="1" applyAlignment="1">
      <alignment vertical="center"/>
    </xf>
    <xf numFmtId="10" fontId="29" fillId="0" borderId="145" xfId="4" applyNumberFormat="1" applyFont="1" applyBorder="1" applyAlignment="1">
      <alignment vertical="center"/>
    </xf>
    <xf numFmtId="10" fontId="29" fillId="0" borderId="146" xfId="4" applyNumberFormat="1" applyFont="1" applyBorder="1" applyAlignment="1">
      <alignment vertical="center"/>
    </xf>
    <xf numFmtId="10" fontId="29" fillId="0" borderId="147" xfId="4" applyNumberFormat="1" applyFont="1" applyBorder="1" applyAlignment="1">
      <alignment vertical="center"/>
    </xf>
    <xf numFmtId="172" fontId="15" fillId="3" borderId="121" xfId="26" applyBorder="1" applyAlignment="1">
      <alignment horizontal="center" vertical="center"/>
    </xf>
    <xf numFmtId="172" fontId="15" fillId="3" borderId="148" xfId="26" applyBorder="1" applyAlignment="1">
      <alignment horizontal="center" vertical="center" wrapText="1"/>
    </xf>
    <xf numFmtId="172" fontId="15" fillId="3" borderId="16" xfId="26" applyBorder="1" applyAlignment="1">
      <alignment vertical="center"/>
    </xf>
    <xf numFmtId="3" fontId="78" fillId="0" borderId="149" xfId="25" applyNumberFormat="1" applyFont="1" applyBorder="1" applyAlignment="1">
      <alignment horizontal="right" vertical="center"/>
    </xf>
    <xf numFmtId="187" fontId="9" fillId="0" borderId="113" xfId="29" applyNumberFormat="1" applyFont="1" applyBorder="1" applyAlignment="1">
      <alignment vertical="center"/>
    </xf>
    <xf numFmtId="172" fontId="77" fillId="0" borderId="129" xfId="28" applyFont="1" applyFill="1" applyBorder="1" applyAlignment="1">
      <alignment horizontal="center" vertical="center" wrapText="1"/>
    </xf>
    <xf numFmtId="172" fontId="77" fillId="30" borderId="140" xfId="28" applyFont="1" applyFill="1" applyBorder="1" applyAlignment="1">
      <alignment horizontal="center" vertical="center" wrapText="1"/>
    </xf>
    <xf numFmtId="172" fontId="77" fillId="0" borderId="130" xfId="28" applyFont="1" applyFill="1" applyBorder="1" applyAlignment="1">
      <alignment horizontal="center" vertical="center" wrapText="1"/>
    </xf>
    <xf numFmtId="172" fontId="77" fillId="7" borderId="150" xfId="28" applyFont="1" applyBorder="1" applyAlignment="1">
      <alignment vertical="center" wrapText="1"/>
    </xf>
    <xf numFmtId="4" fontId="77" fillId="7" borderId="151" xfId="28" applyNumberFormat="1" applyFont="1" applyBorder="1" applyAlignment="1">
      <alignment vertical="center" wrapText="1"/>
    </xf>
    <xf numFmtId="186" fontId="0" fillId="0" borderId="0" xfId="29" applyNumberFormat="1" applyFont="1" applyFill="1" applyBorder="1" applyAlignment="1">
      <alignment vertical="center"/>
    </xf>
    <xf numFmtId="190" fontId="30" fillId="0" borderId="0" xfId="27" applyNumberFormat="1" applyFont="1" applyFill="1" applyBorder="1" applyAlignment="1" applyProtection="1">
      <alignment horizontal="center" vertical="center"/>
      <protection locked="0"/>
    </xf>
    <xf numFmtId="172" fontId="80" fillId="0" borderId="0" xfId="26" applyFont="1" applyFill="1" applyBorder="1" applyAlignment="1">
      <alignment horizontal="center" vertical="center"/>
    </xf>
    <xf numFmtId="172" fontId="15" fillId="0" borderId="152" xfId="26" applyFill="1" applyBorder="1" applyAlignment="1">
      <alignment horizontal="center" vertical="center" wrapText="1"/>
    </xf>
    <xf numFmtId="44" fontId="64" fillId="0" borderId="152" xfId="3" applyFont="1" applyFill="1" applyBorder="1" applyAlignment="1" applyProtection="1">
      <alignment horizontal="center" vertical="center"/>
    </xf>
    <xf numFmtId="44" fontId="11" fillId="0" borderId="0" xfId="3" applyFont="1" applyFill="1" applyBorder="1" applyAlignment="1">
      <alignment horizontal="center" vertical="center"/>
    </xf>
    <xf numFmtId="172" fontId="15" fillId="0" borderId="0" xfId="26" applyFill="1" applyBorder="1" applyAlignment="1">
      <alignment horizontal="center" vertical="center"/>
    </xf>
    <xf numFmtId="44" fontId="64" fillId="0" borderId="123" xfId="30" applyFont="1" applyFill="1" applyBorder="1" applyAlignment="1">
      <alignment vertical="center"/>
    </xf>
    <xf numFmtId="44" fontId="11" fillId="0" borderId="0" xfId="25" applyNumberFormat="1" applyFont="1" applyAlignment="1">
      <alignment vertical="center"/>
    </xf>
    <xf numFmtId="44" fontId="81" fillId="0" borderId="123" xfId="25" applyNumberFormat="1" applyFont="1" applyBorder="1" applyAlignment="1">
      <alignment vertical="center"/>
    </xf>
    <xf numFmtId="191" fontId="82" fillId="0" borderId="0" xfId="27" applyNumberFormat="1" applyFont="1" applyFill="1" applyBorder="1" applyAlignment="1">
      <alignment vertical="center"/>
    </xf>
    <xf numFmtId="172" fontId="15" fillId="3" borderId="6" xfId="26" applyBorder="1" applyAlignment="1">
      <alignment vertical="center"/>
    </xf>
    <xf numFmtId="4" fontId="9" fillId="0" borderId="111" xfId="25" applyNumberFormat="1" applyBorder="1" applyAlignment="1">
      <alignment horizontal="right" vertical="center"/>
    </xf>
    <xf numFmtId="172" fontId="15" fillId="3" borderId="145" xfId="26" applyBorder="1" applyAlignment="1">
      <alignment vertical="center"/>
    </xf>
    <xf numFmtId="0" fontId="84" fillId="0" borderId="0" xfId="38" applyFont="1" applyAlignment="1">
      <alignment horizontal="center" vertical="center"/>
    </xf>
    <xf numFmtId="0" fontId="0" fillId="0" borderId="0" xfId="0" applyAlignment="1">
      <alignment horizontal="left"/>
    </xf>
    <xf numFmtId="176" fontId="22" fillId="5" borderId="32" xfId="23" applyNumberFormat="1" applyFont="1" applyBorder="1" applyAlignment="1" applyProtection="1">
      <alignment horizontal="center" vertical="center" wrapText="1"/>
      <protection hidden="1"/>
    </xf>
    <xf numFmtId="0" fontId="38" fillId="6" borderId="0" xfId="38" applyFont="1" applyFill="1"/>
    <xf numFmtId="0" fontId="14" fillId="0" borderId="0" xfId="0" applyFont="1"/>
    <xf numFmtId="0" fontId="43" fillId="0" borderId="0" xfId="38" applyFont="1" applyAlignment="1">
      <alignment vertical="center"/>
    </xf>
    <xf numFmtId="0" fontId="86" fillId="0" borderId="0" xfId="38" applyFont="1" applyAlignment="1">
      <alignment horizontal="center" vertical="center"/>
    </xf>
    <xf numFmtId="0" fontId="43" fillId="6" borderId="0" xfId="38" applyFont="1" applyFill="1"/>
    <xf numFmtId="0" fontId="14" fillId="0" borderId="0" xfId="0" applyFont="1" applyAlignment="1">
      <alignment horizontal="left"/>
    </xf>
    <xf numFmtId="0" fontId="43" fillId="6" borderId="0" xfId="38" applyFont="1" applyFill="1" applyAlignment="1">
      <alignment horizontal="left"/>
    </xf>
    <xf numFmtId="0" fontId="87" fillId="0" borderId="0" xfId="38" applyFont="1" applyAlignment="1">
      <alignment horizontal="center" vertical="center"/>
    </xf>
    <xf numFmtId="4" fontId="29" fillId="6" borderId="81" xfId="40" applyNumberFormat="1" applyFont="1" applyFill="1" applyBorder="1" applyAlignment="1" applyProtection="1">
      <alignment horizontal="center" vertical="center" wrapText="1"/>
      <protection hidden="1"/>
    </xf>
    <xf numFmtId="167" fontId="35" fillId="12" borderId="69" xfId="2" applyNumberFormat="1" applyFont="1" applyFill="1" applyBorder="1" applyAlignment="1" applyProtection="1">
      <alignment horizontal="center" vertical="center" wrapText="1"/>
      <protection hidden="1"/>
    </xf>
    <xf numFmtId="174" fontId="85" fillId="16" borderId="0" xfId="39" applyNumberFormat="1" applyFont="1" applyFill="1" applyBorder="1" applyAlignment="1" applyProtection="1">
      <alignment horizontal="center" vertical="center"/>
      <protection locked="0"/>
    </xf>
    <xf numFmtId="4" fontId="25" fillId="0" borderId="8" xfId="29" applyNumberFormat="1" applyFont="1" applyBorder="1" applyAlignment="1">
      <alignment wrapText="1"/>
    </xf>
    <xf numFmtId="0" fontId="9" fillId="2" borderId="4" xfId="0" applyFont="1" applyFill="1" applyBorder="1" applyAlignment="1" applyProtection="1">
      <alignment horizontal="center" vertical="center"/>
      <protection hidden="1"/>
    </xf>
    <xf numFmtId="0" fontId="90" fillId="0" borderId="0" xfId="38" applyFont="1" applyAlignment="1">
      <alignment horizontal="center" vertical="center" wrapText="1"/>
    </xf>
    <xf numFmtId="0" fontId="91" fillId="0" borderId="0" xfId="10" applyFont="1" applyAlignment="1">
      <alignment horizontal="center"/>
    </xf>
    <xf numFmtId="0" fontId="9" fillId="0" borderId="0" xfId="10"/>
    <xf numFmtId="0" fontId="9" fillId="0" borderId="12" xfId="10" applyBorder="1"/>
    <xf numFmtId="0" fontId="11" fillId="0" borderId="153" xfId="10" applyFont="1" applyBorder="1" applyAlignment="1">
      <alignment vertical="center" wrapText="1"/>
    </xf>
    <xf numFmtId="0" fontId="93" fillId="0" borderId="153" xfId="10" applyFont="1" applyBorder="1" applyAlignment="1">
      <alignment vertical="center" wrapText="1"/>
    </xf>
    <xf numFmtId="0" fontId="64" fillId="0" borderId="153" xfId="10" applyFont="1" applyBorder="1" applyAlignment="1">
      <alignment vertical="center" wrapText="1"/>
    </xf>
    <xf numFmtId="0" fontId="92" fillId="0" borderId="153" xfId="10" applyFont="1" applyBorder="1" applyAlignment="1">
      <alignment horizontal="center" vertical="center" wrapText="1"/>
    </xf>
    <xf numFmtId="0" fontId="93" fillId="0" borderId="153" xfId="10" applyFont="1" applyBorder="1"/>
    <xf numFmtId="0" fontId="64" fillId="0" borderId="153" xfId="10" applyFont="1" applyBorder="1" applyAlignment="1">
      <alignment vertical="center"/>
    </xf>
    <xf numFmtId="0" fontId="9" fillId="0" borderId="11" xfId="10" applyBorder="1"/>
    <xf numFmtId="0" fontId="97" fillId="15" borderId="0" xfId="39" applyNumberFormat="1" applyFont="1" applyFill="1" applyBorder="1" applyAlignment="1" applyProtection="1">
      <alignment vertical="center" wrapText="1"/>
      <protection locked="0"/>
    </xf>
    <xf numFmtId="0" fontId="33" fillId="0" borderId="0" xfId="38" applyFont="1" applyAlignment="1">
      <alignment vertical="center"/>
    </xf>
    <xf numFmtId="0" fontId="88" fillId="0" borderId="0" xfId="38" applyFont="1" applyAlignment="1">
      <alignment vertical="center"/>
    </xf>
    <xf numFmtId="0" fontId="34" fillId="14" borderId="0" xfId="37" applyFont="1" applyAlignment="1" applyProtection="1">
      <alignment vertical="center"/>
    </xf>
    <xf numFmtId="0" fontId="15" fillId="14" borderId="0" xfId="37" applyAlignment="1" applyProtection="1">
      <alignment vertical="center"/>
    </xf>
    <xf numFmtId="0" fontId="41" fillId="0" borderId="0" xfId="38" applyFont="1" applyAlignment="1">
      <alignment horizontal="left" vertical="center"/>
    </xf>
    <xf numFmtId="0" fontId="89" fillId="19" borderId="31" xfId="39" applyNumberFormat="1" applyFont="1" applyFill="1" applyBorder="1" applyAlignment="1" applyProtection="1">
      <alignment horizontal="left" vertical="center" wrapText="1"/>
    </xf>
    <xf numFmtId="0" fontId="89" fillId="19" borderId="31" xfId="39" applyNumberFormat="1" applyFont="1" applyFill="1" applyBorder="1" applyAlignment="1" applyProtection="1">
      <alignment horizontal="center" vertical="center" wrapText="1"/>
    </xf>
    <xf numFmtId="0" fontId="89" fillId="6" borderId="31" xfId="39" applyNumberFormat="1" applyFont="1" applyFill="1" applyBorder="1" applyAlignment="1" applyProtection="1">
      <alignment horizontal="center" vertical="center" wrapText="1"/>
    </xf>
    <xf numFmtId="167" fontId="98" fillId="12" borderId="69" xfId="2" applyNumberFormat="1" applyFont="1" applyFill="1" applyBorder="1" applyAlignment="1" applyProtection="1">
      <alignment horizontal="right" vertical="center" wrapText="1"/>
      <protection hidden="1"/>
    </xf>
    <xf numFmtId="167" fontId="98" fillId="12" borderId="70" xfId="2" applyNumberFormat="1" applyFont="1" applyFill="1" applyBorder="1" applyAlignment="1" applyProtection="1">
      <alignment horizontal="right" vertical="center" wrapText="1"/>
      <protection hidden="1"/>
    </xf>
    <xf numFmtId="168" fontId="88" fillId="12" borderId="70" xfId="43" applyNumberFormat="1" applyFont="1" applyBorder="1" applyAlignment="1" applyProtection="1">
      <alignment horizontal="center" vertical="center" wrapText="1"/>
      <protection hidden="1"/>
    </xf>
    <xf numFmtId="168" fontId="99" fillId="6" borderId="71" xfId="42" applyNumberFormat="1" applyFont="1" applyFill="1" applyBorder="1" applyAlignment="1" applyProtection="1">
      <alignment horizontal="center" vertical="center" wrapText="1"/>
      <protection hidden="1"/>
    </xf>
    <xf numFmtId="168" fontId="100" fillId="6" borderId="83" xfId="42" applyNumberFormat="1" applyFont="1" applyFill="1" applyBorder="1" applyAlignment="1" applyProtection="1">
      <alignment horizontal="center" vertical="center" wrapText="1"/>
      <protection hidden="1"/>
    </xf>
    <xf numFmtId="165" fontId="88" fillId="12" borderId="70" xfId="2" applyFont="1" applyFill="1" applyBorder="1" applyAlignment="1" applyProtection="1">
      <alignment horizontal="center" vertical="center" wrapText="1"/>
      <protection hidden="1"/>
    </xf>
    <xf numFmtId="165" fontId="101" fillId="6" borderId="79" xfId="42" applyFont="1" applyFill="1" applyBorder="1" applyAlignment="1" applyProtection="1">
      <alignment horizontal="center" vertical="center" wrapText="1"/>
      <protection hidden="1"/>
    </xf>
    <xf numFmtId="165" fontId="88" fillId="12" borderId="73" xfId="43" applyNumberFormat="1" applyFont="1" applyBorder="1" applyAlignment="1" applyProtection="1">
      <alignment horizontal="center" vertical="center" wrapText="1"/>
      <protection hidden="1"/>
    </xf>
    <xf numFmtId="165" fontId="102" fillId="12" borderId="74" xfId="43" applyNumberFormat="1" applyFont="1" applyBorder="1" applyAlignment="1" applyProtection="1">
      <alignment horizontal="center" vertical="center" wrapText="1"/>
      <protection hidden="1"/>
    </xf>
    <xf numFmtId="165" fontId="102" fillId="14" borderId="75" xfId="37" applyNumberFormat="1" applyFont="1" applyBorder="1" applyAlignment="1" applyProtection="1">
      <alignment vertical="center"/>
    </xf>
    <xf numFmtId="2" fontId="98" fillId="12" borderId="76" xfId="43" applyNumberFormat="1" applyFont="1" applyBorder="1" applyAlignment="1" applyProtection="1">
      <alignment vertical="center" wrapText="1"/>
      <protection hidden="1"/>
    </xf>
    <xf numFmtId="2" fontId="98" fillId="12" borderId="72" xfId="43" applyNumberFormat="1" applyFont="1" applyBorder="1" applyAlignment="1" applyProtection="1">
      <alignment vertical="center" wrapText="1"/>
      <protection hidden="1"/>
    </xf>
    <xf numFmtId="4" fontId="101" fillId="6" borderId="77" xfId="40" applyNumberFormat="1" applyFont="1" applyFill="1" applyBorder="1" applyAlignment="1" applyProtection="1">
      <alignment horizontal="center" vertical="center" wrapText="1"/>
      <protection hidden="1"/>
    </xf>
    <xf numFmtId="10" fontId="101" fillId="6" borderId="78" xfId="41" applyNumberFormat="1" applyFont="1" applyFill="1" applyBorder="1" applyAlignment="1" applyProtection="1">
      <alignment horizontal="center" vertical="center" wrapText="1"/>
      <protection hidden="1"/>
    </xf>
    <xf numFmtId="168" fontId="101" fillId="6" borderId="83" xfId="42" applyNumberFormat="1" applyFont="1" applyFill="1" applyBorder="1" applyAlignment="1" applyProtection="1">
      <alignment horizontal="center" vertical="center" wrapText="1"/>
      <protection hidden="1"/>
    </xf>
    <xf numFmtId="165" fontId="30" fillId="14" borderId="75" xfId="37" applyNumberFormat="1" applyFont="1" applyBorder="1" applyAlignment="1" applyProtection="1">
      <alignment vertical="center"/>
    </xf>
    <xf numFmtId="10" fontId="101" fillId="6" borderId="80" xfId="41" applyNumberFormat="1" applyFont="1" applyFill="1" applyBorder="1" applyAlignment="1" applyProtection="1">
      <alignment horizontal="center" vertical="center" wrapText="1"/>
      <protection hidden="1"/>
    </xf>
    <xf numFmtId="165" fontId="88" fillId="0" borderId="0" xfId="2" applyFont="1" applyAlignment="1" applyProtection="1">
      <alignment vertical="center"/>
    </xf>
    <xf numFmtId="0" fontId="88" fillId="0" borderId="0" xfId="38" applyFont="1" applyAlignment="1">
      <alignment horizontal="center" vertical="center"/>
    </xf>
    <xf numFmtId="165" fontId="30" fillId="14" borderId="0" xfId="37" applyNumberFormat="1" applyFont="1" applyAlignment="1" applyProtection="1">
      <alignment vertical="center"/>
    </xf>
    <xf numFmtId="165" fontId="98" fillId="14" borderId="0" xfId="37" applyNumberFormat="1" applyFont="1" applyAlignment="1" applyProtection="1">
      <alignment vertical="center"/>
    </xf>
    <xf numFmtId="165" fontId="30" fillId="14" borderId="154" xfId="37" applyNumberFormat="1" applyFont="1" applyBorder="1" applyAlignment="1" applyProtection="1">
      <alignment vertical="center"/>
    </xf>
    <xf numFmtId="2" fontId="41" fillId="12" borderId="65" xfId="43" applyNumberFormat="1" applyFont="1" applyBorder="1" applyAlignment="1" applyProtection="1">
      <alignment horizontal="center" vertical="center" textRotation="45" wrapText="1"/>
      <protection hidden="1"/>
    </xf>
    <xf numFmtId="2" fontId="41" fillId="12" borderId="66" xfId="43" applyNumberFormat="1" applyFont="1" applyBorder="1" applyAlignment="1" applyProtection="1">
      <alignment horizontal="center" vertical="center" textRotation="45" wrapText="1"/>
      <protection hidden="1"/>
    </xf>
    <xf numFmtId="2" fontId="66" fillId="6" borderId="30" xfId="40" applyNumberFormat="1" applyFont="1" applyFill="1" applyBorder="1" applyAlignment="1" applyProtection="1">
      <alignment horizontal="center" vertical="center" textRotation="45" wrapText="1"/>
      <protection hidden="1"/>
    </xf>
    <xf numFmtId="2" fontId="64" fillId="12" borderId="30" xfId="43" applyNumberFormat="1" applyFont="1" applyBorder="1" applyAlignment="1" applyProtection="1">
      <alignment horizontal="center" vertical="center" textRotation="45" wrapText="1"/>
      <protection hidden="1"/>
    </xf>
    <xf numFmtId="2" fontId="66" fillId="8" borderId="67" xfId="40" applyNumberFormat="1" applyFont="1" applyBorder="1" applyAlignment="1" applyProtection="1">
      <alignment horizontal="center" vertical="center" textRotation="45" wrapText="1"/>
      <protection hidden="1"/>
    </xf>
    <xf numFmtId="176" fontId="66" fillId="6" borderId="30" xfId="5" applyNumberFormat="1" applyFont="1" applyFill="1" applyBorder="1" applyAlignment="1" applyProtection="1">
      <alignment horizontal="center" vertical="center" textRotation="45" wrapText="1"/>
      <protection hidden="1"/>
    </xf>
    <xf numFmtId="2" fontId="41" fillId="12" borderId="68" xfId="43" applyNumberFormat="1" applyFont="1" applyBorder="1" applyAlignment="1" applyProtection="1">
      <alignment horizontal="center" vertical="center" textRotation="45" wrapText="1"/>
      <protection hidden="1"/>
    </xf>
    <xf numFmtId="0" fontId="99" fillId="19" borderId="31" xfId="39" applyNumberFormat="1" applyFont="1" applyFill="1" applyBorder="1" applyAlignment="1" applyProtection="1">
      <alignment horizontal="left" vertical="center" wrapText="1"/>
    </xf>
    <xf numFmtId="0" fontId="49" fillId="6" borderId="155" xfId="38" applyFont="1" applyFill="1" applyBorder="1" applyAlignment="1">
      <alignment horizontal="left" vertical="center" wrapText="1"/>
    </xf>
    <xf numFmtId="0" fontId="49" fillId="6" borderId="156" xfId="38" applyFont="1" applyFill="1" applyBorder="1" applyAlignment="1">
      <alignment horizontal="left" vertical="center" wrapText="1"/>
    </xf>
    <xf numFmtId="0" fontId="49" fillId="6" borderId="157" xfId="38" applyFont="1" applyFill="1" applyBorder="1" applyAlignment="1">
      <alignment horizontal="left" vertical="center" wrapText="1"/>
    </xf>
    <xf numFmtId="0" fontId="49" fillId="6" borderId="158" xfId="38" applyFont="1" applyFill="1" applyBorder="1" applyAlignment="1">
      <alignment horizontal="left" vertical="center" wrapText="1"/>
    </xf>
    <xf numFmtId="167" fontId="88" fillId="12" borderId="70" xfId="43" applyNumberFormat="1" applyFont="1" applyBorder="1" applyAlignment="1" applyProtection="1">
      <alignment horizontal="center" vertical="center" wrapText="1"/>
      <protection hidden="1"/>
    </xf>
    <xf numFmtId="4" fontId="104" fillId="6" borderId="159" xfId="40" applyNumberFormat="1" applyFont="1" applyFill="1" applyBorder="1" applyAlignment="1" applyProtection="1">
      <alignment horizontal="center" vertical="center" wrapText="1"/>
      <protection hidden="1"/>
    </xf>
    <xf numFmtId="174" fontId="45" fillId="6" borderId="24" xfId="36" applyNumberFormat="1" applyFont="1" applyFill="1" applyBorder="1" applyAlignment="1" applyProtection="1">
      <alignment horizontal="left" vertical="center"/>
    </xf>
    <xf numFmtId="174" fontId="46" fillId="6" borderId="26" xfId="36" applyNumberFormat="1" applyFont="1" applyFill="1" applyBorder="1" applyAlignment="1" applyProtection="1">
      <alignment horizontal="left" vertical="center"/>
    </xf>
    <xf numFmtId="179" fontId="49" fillId="26" borderId="41" xfId="0" applyNumberFormat="1" applyFont="1" applyFill="1" applyBorder="1" applyAlignment="1">
      <alignment horizontal="center" vertical="center"/>
    </xf>
    <xf numFmtId="4" fontId="101" fillId="30" borderId="81" xfId="40" applyNumberFormat="1" applyFont="1" applyFill="1" applyBorder="1" applyAlignment="1" applyProtection="1">
      <alignment horizontal="center" vertical="center" wrapText="1"/>
      <protection hidden="1"/>
    </xf>
    <xf numFmtId="4" fontId="104" fillId="30" borderId="34" xfId="40" applyNumberFormat="1" applyFont="1" applyFill="1" applyBorder="1" applyAlignment="1" applyProtection="1">
      <alignment horizontal="center" vertical="center" wrapText="1"/>
      <protection hidden="1"/>
    </xf>
    <xf numFmtId="10" fontId="101" fillId="30" borderId="82" xfId="41" applyNumberFormat="1" applyFont="1" applyFill="1" applyBorder="1" applyAlignment="1" applyProtection="1">
      <alignment horizontal="center" vertical="center" wrapText="1"/>
      <protection hidden="1"/>
    </xf>
    <xf numFmtId="174" fontId="106" fillId="16" borderId="0" xfId="39" applyNumberFormat="1" applyFont="1" applyFill="1" applyAlignment="1">
      <alignment horizontal="center" vertical="center"/>
      <protection locked="0"/>
    </xf>
    <xf numFmtId="0" fontId="105" fillId="6" borderId="0" xfId="38" applyFont="1" applyFill="1" applyAlignment="1">
      <alignment horizontal="center"/>
    </xf>
    <xf numFmtId="0" fontId="39" fillId="0" borderId="0" xfId="38" applyFont="1" applyAlignment="1">
      <alignment horizontal="center" vertical="center"/>
    </xf>
    <xf numFmtId="0" fontId="40" fillId="16" borderId="0" xfId="39" applyNumberFormat="1" applyFill="1" applyBorder="1" applyAlignment="1" applyProtection="1">
      <alignment horizontal="center"/>
      <protection locked="0"/>
    </xf>
    <xf numFmtId="174" fontId="95" fillId="16" borderId="0" xfId="39" applyNumberFormat="1" applyFont="1" applyFill="1" applyBorder="1" applyAlignment="1" applyProtection="1">
      <alignment horizontal="center" vertical="center"/>
      <protection locked="0"/>
    </xf>
    <xf numFmtId="174" fontId="47" fillId="6" borderId="0" xfId="36" applyNumberFormat="1" applyFont="1" applyFill="1" applyBorder="1" applyAlignment="1" applyProtection="1">
      <alignment horizontal="center" vertical="center"/>
    </xf>
    <xf numFmtId="176" fontId="34" fillId="3" borderId="32" xfId="5" applyNumberFormat="1" applyFont="1" applyBorder="1" applyAlignment="1" applyProtection="1">
      <alignment horizontal="center" vertical="center" wrapText="1"/>
      <protection hidden="1"/>
    </xf>
    <xf numFmtId="176" fontId="15" fillId="3" borderId="32" xfId="5" applyNumberFormat="1" applyBorder="1" applyAlignment="1" applyProtection="1">
      <alignment horizontal="center" vertical="center" wrapText="1"/>
      <protection hidden="1"/>
    </xf>
    <xf numFmtId="176" fontId="22" fillId="5" borderId="32" xfId="23" applyNumberFormat="1" applyFont="1" applyBorder="1" applyAlignment="1" applyProtection="1">
      <alignment horizontal="center" vertical="center" wrapText="1"/>
      <protection hidden="1"/>
    </xf>
    <xf numFmtId="3" fontId="11" fillId="0" borderId="32" xfId="38" applyNumberFormat="1" applyFont="1" applyBorder="1" applyAlignment="1" applyProtection="1">
      <alignment horizontal="center" vertical="center" wrapText="1"/>
      <protection hidden="1"/>
    </xf>
    <xf numFmtId="179" fontId="36" fillId="6" borderId="32" xfId="23" applyNumberFormat="1" applyFont="1" applyFill="1" applyBorder="1" applyAlignment="1" applyProtection="1">
      <alignment horizontal="center" vertical="center"/>
      <protection locked="0"/>
    </xf>
    <xf numFmtId="180" fontId="12" fillId="17" borderId="32" xfId="38" applyNumberFormat="1" applyFont="1" applyFill="1" applyBorder="1" applyAlignment="1" applyProtection="1">
      <alignment horizontal="center" vertical="center"/>
      <protection hidden="1"/>
    </xf>
    <xf numFmtId="0" fontId="3" fillId="0" borderId="33" xfId="38" applyFont="1" applyBorder="1" applyAlignment="1">
      <alignment horizontal="center" vertical="center"/>
    </xf>
    <xf numFmtId="0" fontId="6" fillId="0" borderId="34" xfId="38" applyBorder="1" applyAlignment="1">
      <alignment horizontal="center" vertical="center"/>
    </xf>
    <xf numFmtId="0" fontId="6" fillId="0" borderId="35" xfId="38" applyBorder="1" applyAlignment="1">
      <alignment horizontal="center" vertical="center"/>
    </xf>
    <xf numFmtId="0" fontId="6" fillId="0" borderId="36" xfId="38" applyBorder="1" applyAlignment="1">
      <alignment horizontal="center" vertical="center"/>
    </xf>
    <xf numFmtId="177" fontId="10" fillId="0" borderId="0" xfId="38" applyNumberFormat="1" applyFont="1" applyAlignment="1">
      <alignment horizontal="center" vertical="center"/>
    </xf>
    <xf numFmtId="0" fontId="12" fillId="17" borderId="60" xfId="38" applyFont="1" applyFill="1" applyBorder="1" applyAlignment="1" applyProtection="1">
      <alignment horizontal="center" vertical="center" wrapText="1"/>
      <protection hidden="1"/>
    </xf>
    <xf numFmtId="0" fontId="12" fillId="17" borderId="62" xfId="38" applyFont="1" applyFill="1" applyBorder="1" applyAlignment="1" applyProtection="1">
      <alignment horizontal="center" vertical="center" wrapText="1"/>
      <protection hidden="1"/>
    </xf>
    <xf numFmtId="0" fontId="15" fillId="14" borderId="0" xfId="37" applyAlignment="1" applyProtection="1">
      <alignment horizontal="center"/>
    </xf>
    <xf numFmtId="0" fontId="15" fillId="14" borderId="61" xfId="37" applyBorder="1" applyAlignment="1" applyProtection="1">
      <alignment horizontal="center"/>
    </xf>
    <xf numFmtId="177" fontId="6" fillId="0" borderId="57" xfId="38" applyNumberFormat="1" applyBorder="1" applyAlignment="1">
      <alignment horizontal="center"/>
    </xf>
    <xf numFmtId="177" fontId="6" fillId="0" borderId="58" xfId="38" applyNumberFormat="1" applyBorder="1" applyAlignment="1">
      <alignment horizontal="center"/>
    </xf>
    <xf numFmtId="177" fontId="6" fillId="0" borderId="59" xfId="38" applyNumberFormat="1" applyBorder="1" applyAlignment="1">
      <alignment horizontal="center"/>
    </xf>
    <xf numFmtId="180" fontId="12" fillId="17" borderId="38" xfId="38" applyNumberFormat="1" applyFont="1" applyFill="1" applyBorder="1" applyAlignment="1" applyProtection="1">
      <alignment horizontal="center" vertical="center"/>
      <protection hidden="1"/>
    </xf>
    <xf numFmtId="180" fontId="12" fillId="17" borderId="64" xfId="38" applyNumberFormat="1" applyFont="1" applyFill="1" applyBorder="1" applyAlignment="1" applyProtection="1">
      <alignment horizontal="center" vertical="center"/>
      <protection hidden="1"/>
    </xf>
    <xf numFmtId="3" fontId="11" fillId="0" borderId="38" xfId="38" applyNumberFormat="1" applyFont="1" applyBorder="1" applyAlignment="1" applyProtection="1">
      <alignment horizontal="center" vertical="center" wrapText="1"/>
      <protection hidden="1"/>
    </xf>
    <xf numFmtId="3" fontId="11" fillId="0" borderId="64" xfId="38" applyNumberFormat="1" applyFont="1" applyBorder="1" applyAlignment="1" applyProtection="1">
      <alignment horizontal="center" vertical="center" wrapText="1"/>
      <protection hidden="1"/>
    </xf>
    <xf numFmtId="179" fontId="36" fillId="6" borderId="38" xfId="23" applyNumberFormat="1" applyFont="1" applyFill="1" applyBorder="1" applyAlignment="1" applyProtection="1">
      <alignment horizontal="center" vertical="center"/>
      <protection locked="0"/>
    </xf>
    <xf numFmtId="179" fontId="36" fillId="6" borderId="64" xfId="23" applyNumberFormat="1" applyFont="1" applyFill="1" applyBorder="1" applyAlignment="1" applyProtection="1">
      <alignment horizontal="center" vertical="center"/>
      <protection locked="0"/>
    </xf>
    <xf numFmtId="176" fontId="22" fillId="5" borderId="38" xfId="23" applyNumberFormat="1" applyFont="1" applyBorder="1" applyAlignment="1" applyProtection="1">
      <alignment horizontal="center" vertical="center" wrapText="1"/>
      <protection hidden="1"/>
    </xf>
    <xf numFmtId="176" fontId="22" fillId="5" borderId="64" xfId="23" applyNumberFormat="1" applyFont="1" applyBorder="1" applyAlignment="1" applyProtection="1">
      <alignment horizontal="center" vertical="center" wrapText="1"/>
      <protection hidden="1"/>
    </xf>
    <xf numFmtId="174" fontId="96" fillId="16" borderId="0" xfId="39" applyNumberFormat="1" applyFont="1" applyFill="1" applyBorder="1" applyAlignment="1" applyProtection="1">
      <alignment horizontal="center" vertical="center"/>
      <protection locked="0"/>
    </xf>
    <xf numFmtId="174" fontId="94" fillId="16" borderId="0" xfId="39" applyNumberFormat="1" applyFont="1" applyFill="1" applyBorder="1" applyAlignment="1" applyProtection="1">
      <alignment horizontal="center" vertical="center"/>
      <protection locked="0"/>
    </xf>
    <xf numFmtId="0" fontId="53" fillId="0" borderId="0" xfId="38" applyFont="1" applyAlignment="1">
      <alignment horizontal="center" vertical="center"/>
    </xf>
    <xf numFmtId="0" fontId="12" fillId="2" borderId="24" xfId="0" applyFont="1" applyFill="1" applyBorder="1" applyAlignment="1" applyProtection="1">
      <alignment horizontal="center" vertical="center"/>
      <protection hidden="1"/>
    </xf>
    <xf numFmtId="0" fontId="12" fillId="2" borderId="26" xfId="0" applyFont="1" applyFill="1" applyBorder="1" applyAlignment="1" applyProtection="1">
      <alignment horizontal="center" vertical="center"/>
      <protection hidden="1"/>
    </xf>
    <xf numFmtId="0" fontId="12" fillId="2" borderId="25" xfId="0" applyFont="1" applyFill="1" applyBorder="1" applyAlignment="1" applyProtection="1">
      <alignment horizontal="center" vertical="center"/>
      <protection hidden="1"/>
    </xf>
    <xf numFmtId="0" fontId="26" fillId="3" borderId="0" xfId="26" applyNumberFormat="1" applyFont="1" applyBorder="1" applyAlignment="1">
      <alignment horizontal="center" vertical="center" wrapText="1"/>
    </xf>
    <xf numFmtId="0" fontId="26" fillId="3" borderId="89" xfId="26" applyNumberFormat="1" applyFont="1" applyBorder="1" applyAlignment="1">
      <alignment horizontal="center" vertical="center" wrapText="1"/>
    </xf>
    <xf numFmtId="4" fontId="44" fillId="28" borderId="85" xfId="39" applyNumberFormat="1" applyFont="1" applyFill="1" applyBorder="1" applyAlignment="1" applyProtection="1">
      <alignment horizontal="center" vertical="center"/>
    </xf>
    <xf numFmtId="4" fontId="44" fillId="28" borderId="86" xfId="39" applyNumberFormat="1" applyFont="1" applyFill="1" applyBorder="1" applyAlignment="1" applyProtection="1">
      <alignment horizontal="center" vertical="center"/>
    </xf>
    <xf numFmtId="4" fontId="44" fillId="28" borderId="87" xfId="39" applyNumberFormat="1" applyFont="1" applyFill="1" applyBorder="1" applyAlignment="1" applyProtection="1">
      <alignment horizontal="center" vertical="center"/>
    </xf>
    <xf numFmtId="4" fontId="44" fillId="28" borderId="88" xfId="39" applyNumberFormat="1" applyFont="1" applyFill="1" applyBorder="1" applyAlignment="1" applyProtection="1">
      <alignment horizontal="center" vertical="center"/>
    </xf>
    <xf numFmtId="185" fontId="74" fillId="7" borderId="91" xfId="28" applyNumberFormat="1" applyFont="1" applyBorder="1" applyAlignment="1">
      <alignment horizontal="center" vertical="center" wrapText="1"/>
    </xf>
    <xf numFmtId="185" fontId="74" fillId="7" borderId="0" xfId="28" applyNumberFormat="1" applyFont="1" applyBorder="1" applyAlignment="1">
      <alignment horizontal="center" vertical="center" wrapText="1"/>
    </xf>
    <xf numFmtId="172" fontId="76" fillId="16" borderId="24" xfId="26" applyFont="1" applyFill="1" applyBorder="1" applyAlignment="1">
      <alignment horizontal="center" vertical="center" wrapText="1"/>
    </xf>
    <xf numFmtId="172" fontId="76" fillId="16" borderId="26" xfId="26" applyFont="1" applyFill="1" applyBorder="1" applyAlignment="1">
      <alignment horizontal="center" vertical="center" wrapText="1"/>
    </xf>
    <xf numFmtId="172" fontId="76" fillId="16" borderId="25" xfId="26" applyFont="1" applyFill="1" applyBorder="1" applyAlignment="1">
      <alignment horizontal="center" vertical="center" wrapText="1"/>
    </xf>
    <xf numFmtId="172" fontId="77" fillId="30" borderId="93" xfId="28" applyFont="1" applyFill="1" applyBorder="1" applyAlignment="1">
      <alignment horizontal="center" vertical="center" wrapText="1"/>
    </xf>
    <xf numFmtId="172" fontId="77" fillId="30" borderId="94" xfId="28" applyFont="1" applyFill="1" applyBorder="1" applyAlignment="1">
      <alignment horizontal="center" vertical="center" wrapText="1"/>
    </xf>
    <xf numFmtId="172" fontId="77" fillId="30" borderId="95" xfId="28" applyFont="1" applyFill="1" applyBorder="1" applyAlignment="1">
      <alignment horizontal="center" vertical="center" wrapText="1"/>
    </xf>
    <xf numFmtId="172" fontId="77" fillId="30" borderId="98" xfId="28" applyFont="1" applyFill="1" applyBorder="1" applyAlignment="1">
      <alignment horizontal="center" vertical="center" wrapText="1"/>
    </xf>
    <xf numFmtId="172" fontId="77" fillId="30" borderId="22" xfId="28" applyFont="1" applyFill="1" applyBorder="1" applyAlignment="1">
      <alignment horizontal="center" vertical="center" wrapText="1"/>
    </xf>
    <xf numFmtId="172" fontId="77" fillId="30" borderId="99" xfId="28" applyFont="1" applyFill="1" applyBorder="1" applyAlignment="1">
      <alignment horizontal="center" vertical="center" wrapText="1"/>
    </xf>
    <xf numFmtId="172" fontId="74" fillId="30" borderId="98" xfId="28" applyFont="1" applyFill="1" applyBorder="1" applyAlignment="1">
      <alignment horizontal="center" vertical="center" wrapText="1"/>
    </xf>
    <xf numFmtId="172" fontId="74" fillId="30" borderId="22" xfId="28" applyFont="1" applyFill="1" applyBorder="1" applyAlignment="1">
      <alignment horizontal="center" vertical="center" wrapText="1"/>
    </xf>
    <xf numFmtId="172" fontId="74" fillId="30" borderId="99" xfId="28" applyFont="1" applyFill="1" applyBorder="1" applyAlignment="1">
      <alignment horizontal="center" vertical="center" wrapText="1"/>
    </xf>
    <xf numFmtId="172" fontId="15" fillId="3" borderId="15" xfId="26" applyBorder="1" applyAlignment="1">
      <alignment horizontal="center" vertical="center" wrapText="1"/>
    </xf>
    <xf numFmtId="172" fontId="15" fillId="3" borderId="0" xfId="26" applyBorder="1" applyAlignment="1">
      <alignment horizontal="center" vertical="center" wrapText="1"/>
    </xf>
    <xf numFmtId="172" fontId="15" fillId="3" borderId="116" xfId="26" applyBorder="1" applyAlignment="1">
      <alignment horizontal="center" vertical="center" wrapText="1"/>
    </xf>
    <xf numFmtId="4" fontId="62" fillId="28" borderId="85" xfId="84" applyNumberFormat="1" applyFont="1" applyFill="1" applyBorder="1" applyAlignment="1" applyProtection="1">
      <alignment horizontal="center" vertical="center"/>
    </xf>
    <xf numFmtId="4" fontId="62" fillId="28" borderId="86" xfId="84" applyNumberFormat="1" applyFont="1" applyFill="1" applyBorder="1" applyAlignment="1" applyProtection="1">
      <alignment horizontal="center" vertical="center"/>
    </xf>
    <xf numFmtId="4" fontId="62" fillId="28" borderId="87" xfId="84" applyNumberFormat="1" applyFont="1" applyFill="1" applyBorder="1" applyAlignment="1" applyProtection="1">
      <alignment horizontal="center" vertical="center"/>
    </xf>
    <xf numFmtId="4" fontId="62" fillId="28" borderId="88" xfId="84" applyNumberFormat="1" applyFont="1" applyFill="1" applyBorder="1" applyAlignment="1" applyProtection="1">
      <alignment horizontal="center" vertical="center"/>
    </xf>
    <xf numFmtId="172" fontId="63" fillId="0" borderId="0" xfId="25" applyFont="1" applyAlignment="1">
      <alignment horizontal="center" vertical="center"/>
    </xf>
    <xf numFmtId="172" fontId="15" fillId="3" borderId="119" xfId="26" applyBorder="1" applyAlignment="1">
      <alignment horizontal="center" vertical="center" wrapText="1"/>
    </xf>
    <xf numFmtId="172" fontId="15" fillId="3" borderId="15" xfId="26" applyBorder="1" applyAlignment="1">
      <alignment horizontal="center" vertical="center"/>
    </xf>
    <xf numFmtId="172" fontId="15" fillId="3" borderId="0" xfId="26" applyBorder="1" applyAlignment="1">
      <alignment horizontal="center" vertical="center"/>
    </xf>
    <xf numFmtId="4" fontId="15" fillId="3" borderId="125" xfId="26" applyNumberFormat="1" applyBorder="1" applyAlignment="1">
      <alignment horizontal="center" vertical="center"/>
    </xf>
    <xf numFmtId="4" fontId="15" fillId="3" borderId="123" xfId="26" applyNumberFormat="1" applyBorder="1" applyAlignment="1">
      <alignment horizontal="center" vertical="center"/>
    </xf>
    <xf numFmtId="4" fontId="15" fillId="3" borderId="126" xfId="26" applyNumberFormat="1" applyBorder="1" applyAlignment="1">
      <alignment horizontal="center" vertical="center"/>
    </xf>
    <xf numFmtId="172" fontId="15" fillId="3" borderId="125" xfId="26" applyBorder="1" applyAlignment="1">
      <alignment horizontal="center" vertical="center"/>
    </xf>
    <xf numFmtId="172" fontId="15" fillId="3" borderId="123" xfId="26" applyBorder="1" applyAlignment="1">
      <alignment horizontal="center" vertical="center"/>
    </xf>
    <xf numFmtId="172" fontId="15" fillId="3" borderId="126" xfId="26" applyBorder="1" applyAlignment="1">
      <alignment horizontal="center" vertical="center"/>
    </xf>
    <xf numFmtId="190" fontId="30" fillId="5" borderId="29" xfId="27" applyNumberFormat="1" applyFont="1" applyBorder="1" applyAlignment="1" applyProtection="1">
      <alignment horizontal="center" vertical="center"/>
      <protection locked="0"/>
    </xf>
    <xf numFmtId="190" fontId="30" fillId="5" borderId="117" xfId="27" applyNumberFormat="1" applyFont="1" applyBorder="1" applyAlignment="1" applyProtection="1">
      <alignment horizontal="center" vertical="center"/>
      <protection locked="0"/>
    </xf>
    <xf numFmtId="172" fontId="80" fillId="3" borderId="15" xfId="26" applyFont="1" applyBorder="1" applyAlignment="1">
      <alignment horizontal="center" vertical="center"/>
    </xf>
    <xf numFmtId="172" fontId="80" fillId="3" borderId="0" xfId="26" applyFont="1" applyBorder="1" applyAlignment="1">
      <alignment horizontal="center" vertical="center"/>
    </xf>
    <xf numFmtId="172" fontId="80" fillId="3" borderId="18" xfId="26" applyFont="1" applyBorder="1" applyAlignment="1">
      <alignment horizontal="center" vertical="center"/>
    </xf>
    <xf numFmtId="172" fontId="77" fillId="30" borderId="128" xfId="28" applyFont="1" applyFill="1" applyBorder="1" applyAlignment="1">
      <alignment horizontal="center" vertical="center" wrapText="1"/>
    </xf>
    <xf numFmtId="172" fontId="77" fillId="30" borderId="129" xfId="28" applyFont="1" applyFill="1" applyBorder="1" applyAlignment="1">
      <alignment horizontal="center" vertical="center" wrapText="1"/>
    </xf>
    <xf numFmtId="172" fontId="77" fillId="30" borderId="130" xfId="28" applyFont="1" applyFill="1" applyBorder="1" applyAlignment="1">
      <alignment horizontal="center" vertical="center" wrapText="1"/>
    </xf>
    <xf numFmtId="172" fontId="77" fillId="30" borderId="133" xfId="28" applyFont="1" applyFill="1" applyBorder="1" applyAlignment="1">
      <alignment horizontal="center" vertical="center" wrapText="1"/>
    </xf>
    <xf numFmtId="172" fontId="77" fillId="30" borderId="134" xfId="28" applyFont="1" applyFill="1" applyBorder="1" applyAlignment="1">
      <alignment horizontal="center" vertical="center" wrapText="1"/>
    </xf>
    <xf numFmtId="172" fontId="77" fillId="30" borderId="135" xfId="28" applyFont="1" applyFill="1" applyBorder="1" applyAlignment="1">
      <alignment horizontal="center" vertical="center" wrapText="1"/>
    </xf>
    <xf numFmtId="172" fontId="15" fillId="3" borderId="18" xfId="26" applyBorder="1" applyAlignment="1">
      <alignment horizontal="center" vertical="center"/>
    </xf>
    <xf numFmtId="172" fontId="83" fillId="30" borderId="138" xfId="28" applyFont="1" applyFill="1" applyBorder="1" applyAlignment="1">
      <alignment horizontal="center" vertical="center" wrapText="1"/>
    </xf>
    <xf numFmtId="172" fontId="83" fillId="30" borderId="139" xfId="28" applyFont="1" applyFill="1" applyBorder="1" applyAlignment="1">
      <alignment horizontal="center" vertical="center" wrapText="1"/>
    </xf>
    <xf numFmtId="172" fontId="83" fillId="30" borderId="140" xfId="28" applyFont="1" applyFill="1" applyBorder="1" applyAlignment="1">
      <alignment horizontal="center" vertical="center" wrapText="1"/>
    </xf>
    <xf numFmtId="172" fontId="83" fillId="30" borderId="133" xfId="28" applyFont="1" applyFill="1" applyBorder="1" applyAlignment="1">
      <alignment horizontal="center" vertical="center" wrapText="1"/>
    </xf>
    <xf numFmtId="172" fontId="83" fillId="30" borderId="134" xfId="28" applyFont="1" applyFill="1" applyBorder="1" applyAlignment="1">
      <alignment horizontal="center" vertical="center" wrapText="1"/>
    </xf>
    <xf numFmtId="172" fontId="83" fillId="30" borderId="135" xfId="28" applyFont="1" applyFill="1" applyBorder="1" applyAlignment="1">
      <alignment horizontal="center" vertical="center" wrapText="1"/>
    </xf>
    <xf numFmtId="172" fontId="77" fillId="30" borderId="138" xfId="28" applyFont="1" applyFill="1" applyBorder="1" applyAlignment="1">
      <alignment horizontal="center" vertical="center" wrapText="1"/>
    </xf>
    <xf numFmtId="172" fontId="77" fillId="30" borderId="139" xfId="28" applyFont="1" applyFill="1" applyBorder="1" applyAlignment="1">
      <alignment horizontal="center" vertical="center" wrapText="1"/>
    </xf>
    <xf numFmtId="172" fontId="77" fillId="30" borderId="140" xfId="28" applyFont="1" applyFill="1" applyBorder="1" applyAlignment="1">
      <alignment horizontal="center" vertical="center" wrapText="1"/>
    </xf>
    <xf numFmtId="172" fontId="77" fillId="30" borderId="136" xfId="28" applyFont="1" applyFill="1" applyBorder="1" applyAlignment="1">
      <alignment horizontal="center" vertical="center" wrapText="1"/>
    </xf>
    <xf numFmtId="172" fontId="83" fillId="30" borderId="136" xfId="28" applyFont="1" applyFill="1" applyBorder="1" applyAlignment="1">
      <alignment horizontal="center" vertical="center" wrapText="1"/>
    </xf>
    <xf numFmtId="172" fontId="77" fillId="30" borderId="142" xfId="28" applyFont="1" applyFill="1" applyBorder="1" applyAlignment="1">
      <alignment horizontal="center" vertical="center" wrapText="1"/>
    </xf>
    <xf numFmtId="0" fontId="40" fillId="15" borderId="0" xfId="39" applyNumberFormat="1" applyFill="1" applyBorder="1" applyAlignment="1" applyProtection="1">
      <alignment vertical="center" wrapText="1"/>
      <protection locked="0"/>
    </xf>
    <xf numFmtId="172" fontId="49" fillId="6" borderId="41" xfId="38" applyNumberFormat="1" applyFont="1" applyFill="1" applyBorder="1" applyAlignment="1">
      <alignment horizontal="left" vertical="center"/>
    </xf>
  </cellXfs>
  <cellStyles count="93">
    <cellStyle name="%" xfId="17" xr:uid="{00000000-0005-0000-0000-000000000000}"/>
    <cellStyle name="20% - Énfasis1 2" xfId="43" xr:uid="{00000000-0005-0000-0000-000001000000}"/>
    <cellStyle name="20% - Énfasis1 2 2" xfId="66" xr:uid="{00000000-0005-0000-0000-000002000000}"/>
    <cellStyle name="20% - Énfasis1 3" xfId="83" xr:uid="{00000000-0005-0000-0000-000003000000}"/>
    <cellStyle name="20% - Énfasis1 4" xfId="46" xr:uid="{00000000-0005-0000-0000-000004000000}"/>
    <cellStyle name="20% - Énfasis2 2" xfId="67" xr:uid="{00000000-0005-0000-0000-000005000000}"/>
    <cellStyle name="20% - Énfasis5 2" xfId="68" xr:uid="{00000000-0005-0000-0000-000006000000}"/>
    <cellStyle name="20% - Énfasis5 3" xfId="48" xr:uid="{00000000-0005-0000-0000-000007000000}"/>
    <cellStyle name="40% - Énfasis2 2" xfId="69" xr:uid="{00000000-0005-0000-0000-000008000000}"/>
    <cellStyle name="40% - Énfasis2 3" xfId="49" xr:uid="{00000000-0005-0000-0000-000009000000}"/>
    <cellStyle name="40% - Énfasis4 2" xfId="70" xr:uid="{00000000-0005-0000-0000-00000A000000}"/>
    <cellStyle name="40% - Énfasis5 2" xfId="78" xr:uid="{00000000-0005-0000-0000-00000B000000}"/>
    <cellStyle name="Buena 2" xfId="50" xr:uid="{00000000-0005-0000-0000-00000D000000}"/>
    <cellStyle name="Bueno" xfId="36" builtinId="26"/>
    <cellStyle name="Cálculo 2" xfId="28" xr:uid="{00000000-0005-0000-0000-00000E000000}"/>
    <cellStyle name="Cálculo 3" xfId="80" xr:uid="{00000000-0005-0000-0000-00000F000000}"/>
    <cellStyle name="Celda vinculada" xfId="84" builtinId="24"/>
    <cellStyle name="Énfasis1" xfId="5" builtinId="29"/>
    <cellStyle name="Énfasis1 2" xfId="26" xr:uid="{00000000-0005-0000-0000-000012000000}"/>
    <cellStyle name="Énfasis1 2 2" xfId="51" xr:uid="{00000000-0005-0000-0000-000013000000}"/>
    <cellStyle name="Énfasis2" xfId="23" builtinId="33"/>
    <cellStyle name="Énfasis2 2" xfId="27" xr:uid="{00000000-0005-0000-0000-000015000000}"/>
    <cellStyle name="Énfasis3 2" xfId="44" xr:uid="{00000000-0005-0000-0000-000016000000}"/>
    <cellStyle name="Énfasis4" xfId="35" builtinId="41"/>
    <cellStyle name="Énfasis5" xfId="37" builtinId="45"/>
    <cellStyle name="Euro" xfId="1" xr:uid="{00000000-0005-0000-0000-000019000000}"/>
    <cellStyle name="Euro 2" xfId="52" xr:uid="{00000000-0005-0000-0000-00001A000000}"/>
    <cellStyle name="Hipervínculo" xfId="39" builtinId="8"/>
    <cellStyle name="Hipervínculo 2" xfId="18" xr:uid="{00000000-0005-0000-0000-00001C000000}"/>
    <cellStyle name="Hipervínculo 2 2" xfId="53" xr:uid="{00000000-0005-0000-0000-00001D000000}"/>
    <cellStyle name="Hipervínculo 3" xfId="19" xr:uid="{00000000-0005-0000-0000-00001E000000}"/>
    <cellStyle name="Millares" xfId="2" builtinId="3"/>
    <cellStyle name="Millares [0] 2" xfId="9" xr:uid="{00000000-0005-0000-0000-000020000000}"/>
    <cellStyle name="Millares [0] 2 2" xfId="55" xr:uid="{00000000-0005-0000-0000-000021000000}"/>
    <cellStyle name="Millares [0] 3" xfId="54" xr:uid="{00000000-0005-0000-0000-000022000000}"/>
    <cellStyle name="Millares [0] 4" xfId="92" xr:uid="{00000000-0005-0000-0000-000023000000}"/>
    <cellStyle name="Millares 2" xfId="8" xr:uid="{00000000-0005-0000-0000-000024000000}"/>
    <cellStyle name="Millares 2 2" xfId="29" xr:uid="{00000000-0005-0000-0000-000025000000}"/>
    <cellStyle name="Millares 3" xfId="31" xr:uid="{00000000-0005-0000-0000-000026000000}"/>
    <cellStyle name="Millares 4" xfId="42" xr:uid="{00000000-0005-0000-0000-000027000000}"/>
    <cellStyle name="Millares 4 2" xfId="73" xr:uid="{00000000-0005-0000-0000-000028000000}"/>
    <cellStyle name="Millares 5" xfId="72" xr:uid="{00000000-0005-0000-0000-000029000000}"/>
    <cellStyle name="Millares 6" xfId="86" xr:uid="{00000000-0005-0000-0000-00002A000000}"/>
    <cellStyle name="Millares 7" xfId="88" xr:uid="{00000000-0005-0000-0000-00002B000000}"/>
    <cellStyle name="Moneda" xfId="3" builtinId="4"/>
    <cellStyle name="Moneda [0] 2" xfId="20" xr:uid="{00000000-0005-0000-0000-00002D000000}"/>
    <cellStyle name="Moneda 2" xfId="7" xr:uid="{00000000-0005-0000-0000-00002E000000}"/>
    <cellStyle name="Moneda 2 2" xfId="30" xr:uid="{00000000-0005-0000-0000-00002F000000}"/>
    <cellStyle name="Moneda 3" xfId="32" xr:uid="{00000000-0005-0000-0000-000030000000}"/>
    <cellStyle name="Moneda 3 2" xfId="75" xr:uid="{00000000-0005-0000-0000-000031000000}"/>
    <cellStyle name="Moneda 3 3" xfId="56" xr:uid="{00000000-0005-0000-0000-000032000000}"/>
    <cellStyle name="Moneda 4" xfId="74" xr:uid="{00000000-0005-0000-0000-000033000000}"/>
    <cellStyle name="Moneda 5" xfId="71" xr:uid="{00000000-0005-0000-0000-000034000000}"/>
    <cellStyle name="Moneda 6" xfId="89" xr:uid="{00000000-0005-0000-0000-000035000000}"/>
    <cellStyle name="Neutral 2" xfId="81" xr:uid="{00000000-0005-0000-0000-000036000000}"/>
    <cellStyle name="Neutral 3" xfId="57" xr:uid="{00000000-0005-0000-0000-000037000000}"/>
    <cellStyle name="No-definido" xfId="33" xr:uid="{00000000-0005-0000-0000-000038000000}"/>
    <cellStyle name="Normal" xfId="0" builtinId="0"/>
    <cellStyle name="Normal 10" xfId="79" xr:uid="{00000000-0005-0000-0000-00003A000000}"/>
    <cellStyle name="Normal 11" xfId="77" xr:uid="{00000000-0005-0000-0000-00003B000000}"/>
    <cellStyle name="Normal 12" xfId="85" xr:uid="{00000000-0005-0000-0000-00003C000000}"/>
    <cellStyle name="Normal 13" xfId="87" xr:uid="{00000000-0005-0000-0000-00003D000000}"/>
    <cellStyle name="Normal 14" xfId="91" xr:uid="{00000000-0005-0000-0000-00003E000000}"/>
    <cellStyle name="Normal 2" xfId="6" xr:uid="{00000000-0005-0000-0000-00003F000000}"/>
    <cellStyle name="Normal 2 2" xfId="10" xr:uid="{00000000-0005-0000-0000-000040000000}"/>
    <cellStyle name="Normal 2 2 2" xfId="21" xr:uid="{00000000-0005-0000-0000-000041000000}"/>
    <cellStyle name="Normal 2 3" xfId="25" xr:uid="{00000000-0005-0000-0000-000042000000}"/>
    <cellStyle name="Normal 2 3 2" xfId="90" xr:uid="{00000000-0005-0000-0000-000043000000}"/>
    <cellStyle name="Normal 3" xfId="11" xr:uid="{00000000-0005-0000-0000-000044000000}"/>
    <cellStyle name="Normal 3 2" xfId="22" xr:uid="{00000000-0005-0000-0000-000045000000}"/>
    <cellStyle name="Normal 3 2 2" xfId="63" xr:uid="{00000000-0005-0000-0000-000046000000}"/>
    <cellStyle name="Normal 3 3" xfId="58" xr:uid="{00000000-0005-0000-0000-000047000000}"/>
    <cellStyle name="Normal 4" xfId="12" xr:uid="{00000000-0005-0000-0000-000048000000}"/>
    <cellStyle name="Normal 4 2" xfId="76" xr:uid="{00000000-0005-0000-0000-000049000000}"/>
    <cellStyle name="Normal 4 3" xfId="59" xr:uid="{00000000-0005-0000-0000-00004A000000}"/>
    <cellStyle name="Normal 5" xfId="13" xr:uid="{00000000-0005-0000-0000-00004B000000}"/>
    <cellStyle name="Normal 5 2" xfId="62" xr:uid="{00000000-0005-0000-0000-00004C000000}"/>
    <cellStyle name="Normal 6" xfId="38" xr:uid="{00000000-0005-0000-0000-00004D000000}"/>
    <cellStyle name="Normal 7" xfId="45" xr:uid="{00000000-0005-0000-0000-00004E000000}"/>
    <cellStyle name="Normal 8" xfId="61" xr:uid="{00000000-0005-0000-0000-00004F000000}"/>
    <cellStyle name="Normal 9" xfId="47" xr:uid="{00000000-0005-0000-0000-000050000000}"/>
    <cellStyle name="Notas 2" xfId="34" xr:uid="{00000000-0005-0000-0000-000051000000}"/>
    <cellStyle name="Notas 3" xfId="40" xr:uid="{00000000-0005-0000-0000-000052000000}"/>
    <cellStyle name="Porcentaje" xfId="4" builtinId="5"/>
    <cellStyle name="Porcentaje 2" xfId="16" xr:uid="{00000000-0005-0000-0000-000054000000}"/>
    <cellStyle name="Porcentaje 2 2" xfId="64" xr:uid="{00000000-0005-0000-0000-000055000000}"/>
    <cellStyle name="Porcentaje 3" xfId="41" xr:uid="{00000000-0005-0000-0000-000056000000}"/>
    <cellStyle name="Porcentual 2" xfId="14" xr:uid="{00000000-0005-0000-0000-000057000000}"/>
    <cellStyle name="Porcentual 3" xfId="15" xr:uid="{00000000-0005-0000-0000-000058000000}"/>
    <cellStyle name="Porcentual 3 2" xfId="65" xr:uid="{00000000-0005-0000-0000-000059000000}"/>
    <cellStyle name="Salida" xfId="24" builtinId="21"/>
    <cellStyle name="Título 2 2" xfId="82" xr:uid="{00000000-0005-0000-0000-00005B000000}"/>
    <cellStyle name="Título 2 3" xfId="60" xr:uid="{00000000-0005-0000-0000-00005C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oogle.es/imgres?um=1&amp;hl=es&amp;sa=N&amp;biw=1366&amp;bih=622&amp;tbm=isch&amp;tbnid=0HVkDbDubk5r2M:&amp;imgrefurl=http://www.pallapupas.org/es/centres/perevirgili.html&amp;docid=2owGLlAbUvjfQM&amp;imgurl=http://www.pallapupas.org/mm/parc%20sanitari%20pere%20virgili(1).jpg&amp;w=1000&amp;h=726&amp;ei=K4dUUdKVH4ejhgfHwYGgDw&amp;zoom=1&amp;ved=1t:3588,r:0,s:0,i:82&amp;iact=rc&amp;dur=546&amp;page=1&amp;tbnh=191&amp;tbnw=264&amp;start=0&amp;ndsp=16&amp;tx=134&amp;ty=11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596398</xdr:colOff>
      <xdr:row>0</xdr:row>
      <xdr:rowOff>381012</xdr:rowOff>
    </xdr:from>
    <xdr:to>
      <xdr:col>4</xdr:col>
      <xdr:colOff>1448509</xdr:colOff>
      <xdr:row>1</xdr:row>
      <xdr:rowOff>1323990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7C6140-DFEA-4C7D-B5A9-F8706557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2626" y="381012"/>
          <a:ext cx="852111" cy="1346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2" name="AutoShape 2" descr="data:image/jpeg;base64,/9j/4AAQSkZJRgABAQAAAQABAAD/2wCEAAkGBhQSERUTEhIVFBUWFxcXGBYYFBgYFxsYGBgVFhUYHxocHSYeFx4kGRgYHzAgJScpLCwtFx8xNTAqNSYrLCkBCQoKDgwOGg8PGiwlHyQsLC0vLi8sLCwwLSwsKSwsLC8sLywsLCwsLywsLCwsLCwsLCwsLCwsLCwsLCwsLCwsLP/AABEIAL8BCAMBIgACEQEDEQH/xAAcAAEAAgMBAQEAAAAAAAAAAAAABAYDBQcBAgj/xAA/EAACAQMDAgQEAgkEAQIHAAABAhEAAyEEEjEFQQYiUWETMnGBQpEHFFJiobHB0fAjcuHxM2OSFiRDU4LC4v/EABkBAQADAQEAAAAAAAAAAAAAAAABAgMEBf/EACcRAAICAgICAQQCAwAAAAAAAAABAhEDIRIxIkETBFFhkTKhFCNC/9oADAMBAAIRAxEAPwDuNKUoBSlKAUpSgFKUoBSlKAUpSgFKUoBSlKAUpULquv8AhJj5jhf7/agJtKq+j1l0tAuNAyZz/OrDpr5YZEVHJXRNasz0pSpIFKUoBSlKAUpSgFKUoBSlKAUpSgFKUoBSlKAUpSgFKUoBSlKAUpSgFKUoBSlKA+L14KpZsAZqp6zVG6+498Aeg7CrB1bRm4vz7QMxEye3etVptAVaSVJ7QT/UDNVlJRRKVmfRaWBH3P1qqdd/SOEZrenkkMP9QEZg5AWMjPqJj71cL+oS2h3uqTIBZgBPPf6fwrgWovNY1DKlz4mwwLirtUvOSA0yJwD3FYyUlH8vsibvo7g3jW2jWUuAbnt722mduQBAjIOT2wK2t7r1hbnwjdT4n7Jbg8xPExBjnI9a/PfU+oX7rKxDXCFVV2W1B2rwoW2AD64E/lVi0968gnUWmtvcO5luANuYqoZuBkkEwpYjus1aEm12RE7WNR6j+NZEug/2rlXTPET2v/HcKAcq532h7Tg2/vtq0aPxmhgX0Nv98ee2feRkfkfrVuTNKRcKVA02uDLuR1ZfUEEfnUmxqQ3HPpVlKyrVGalKVYgUpSgFKUoBSlKAUpSgFKUoBSlKAUpSgFKUoBSlKAUpXhNAe14zQJOK9rnniDxtGqewbgsG0xUb132bgIVgWIh7ZzyJGTzUN0SlZn8V+MGGvsaK2GCstx7jgONx+G7W0VgVJgjcdp52j1FbLQ3n+IAzPB3Yb4kcA/jsyfs8fWoA1zXbf+ogtWxBd96PbYdvhsMMD3JAIGIk1g0PWbTagLZs+Ubtzqu0ZETtECJjLfYcUU0tMfHJ7RVv0p9Tf9bW1uO1VVgpGCSHBI+ogfb2qk9S0xi22x5ePhwhJY8Qo7/au2dT6XZ1F1bly0rlPlLDj7d85g4rLqNQqCWMAcevHYd8VlOFvk3orxtms8M9FTT2hFso5ADFiGcx6kYH0Ec+tZuodStj/TIFySAVMFecg4IP05+la7X9aZ/KnlXjHzH0yP5D8zxUzpPhhjD3pRRBCD5jHE/sj/PLxVHk9QOhYlHcip6zpl61dj4bQWItlQe5wqw38Ecf7O1bL/4a1dtSyoJwSFdJPriAjH6qp/eNXXXXrVpGd4VOTiZ2+YQO5kSAO9Q+keI7N6AGKn/7bwGI7EZgyPQ49Kj5bdIpVaZStJ1b4d0C4ly24IJCFrbGOzW+WHrt310HpviTT3wNrAGYg9j6Ajg+xg+1edU0lq9CXbSsDJgrgRH4vwnIjMnPoar9/wAHPaYvpbnp5LvmGMgC584+8ip5qRNNF30usknkqO/v6T3/AMzUwXR61S+keKLu82L1oK6kAwymJGPl5EdiFNbUaneCSYzEjn6DtP049TidFJrRVpFipUDQ6p25Aj7/AOH/AD2mfWpQUpSgFKUoBSlKAUpSgFKUoBSlKAUpWu614hsaRQ199kzAgkmIkCPqPzpdAmarVLaRrjsFRQWYnsBkmvnQ65L1tblpgyNkMPy/nXKvHHjIapLfwyRbDGVI8xJEAmMCM4k8z2xH/R/126jsiNO8HAEjGZC9jE+tc/zedeit7Oq6/qwtnYg+Jc/YBgAdmY/gH8T2Bqr6/qxvXAgY3CPm2iLSfec/x/pXmpsH4Xm3KkksEndcPfc5yT65k1H6vbY6WenPFy03ntBQtwgDKhTkGYMg+b1NXfIbN107Um2CxuNtVthGT5o3bYPGO9Ufxb4NuXrr6jTMbxfztbY/6oP7o4dYgCMiIzWo6d4u1S3Gi6xY5ZbmRJgNu3QJAgZ9AMYrpNvTC9p0vEfBdhu2gzn1UjOf8NFKM/EtGdPRx2/1J7KXoDEqwi2dwhjIJKnIPr39+9XHoPi1QoU2gExlYBkjJI4P5zWy8S+C7+vuC4jqoVNsMJdmWfxYmZ7wAQPWufN8XSOUuoVIbIPI/L7fmKiPhK30WyZG0kjrXVbrJp7lxTBVCy4nIGKrPRNPd1CyZYncC7Se5x7/AEH8Oak9L8XWdVYurfZbKqNrEvypESo+ZjOIAPIre+G+o6ZrKrpjAidrYeCZBIk88/emRxnG/ROOTTtGs8N3i1wvZsE2gD/r3QVZ3kCLaHKrzLEZ4q1ad957g4mRnPpHP9O8Vo+v9cKhrVjz34EqJ3KGmGGIYjGJ7z7GR4c05sWnN69uZnVmLHAJgDJx9+8YEiso+b2tEynT0SPEa2vgE3QPhrFwzngMZMc4n2xjdkVSOr6V7zi7pSl227FRp5BY7SV+IobAtsADvUqADOe8vrfi9tUV0ljTu103MkNKKittZ2jnIbBgYEk8VaOk6O3ZUW0UqTAlsliMDIgY7KAAOAoFaSlrxRSK5dmLw70q5YtBbt1nML5Z3KpAyFYgM0nufy5J3NlIzxif+fb6/WJqPr9db09prt1oVeTEx2GO+cek4qm+LfHli5pnt2ncs8LIG3BInJzkTnvHbg1hjryl+i0ppKom66lcsW7tzU3HBCKnykyPLGYJmSYHeZjOa1+g8eaVtxcsip8nlJ3ACYAA8v39a5c/ULllGKMyhwbZgkSPxA+oK1i2E8GIyeeCM/ypz9oycrN507xDqiSRdeA/xGAZiJmc9iMnOKsOn/Svetl4tgqzzDs7FeN0NORgwOB2mqb1DqTJbQIfLlXhR9jPPEifb1rDo0a95bSlyCAQuSOSCI5GO1Y/I7sqmfoPoXiK3qbSuCFYjKEjcv29+xqeb+eK5h4AFk2izHdqAwKG4DsEqIKftGZUnkFeB3tHQ+s6k6prF2zutqsm9wAzQUUdnxM4kQJ5rqhPXl2aJMtgNe0pWoFKUoBSlKAUpSgFKx3r6oNzsFHqSAPzNcy/SJ48upfOnsOUVY3Op8zNzAPYDgx71WUkiGzeeLv0irpnazaUNcXBJ+VSRPA5jFcu6z1i7q2N26+5gIjbjaOIEY5P8axalzdYMSzu+WPPmP8AEme396tvhn9HbCH1bEDtaHlcjnzGfIPb5vpXFKcnLshJyejS9C8OXdR5EUbR8zxCr7E//qMmui9B8OWNJBVA7DlyAP8A2j8P8T71sLVoKoRFCqvCqIA+39a+4rFzp6OiGFLsxa7qVtm23ka2v4HBkfccf1+nNRNTpb+mdntWRelCFYNGeYYRO2BzM9s1tBZAEvgdh3P0H9a+3drnzHan8/7124ZTpuZnKNOkVPpFwLcuaq+y/wCptKi6if6ZIJgNk/tdx3rfXrJ1Oke7prwa4yt8NgJG5ZxDe42+0zVY8ReF/wBdun9Xvm2FBJsuCGZ13Qy5g7t3BiDmMmq10bxfq9CTYS2xAY3GV0JZQBDAx8onJ/29s1CmvXRnZrhqNZpLqM6vbe0XILKxG5vmaDgz3PsJqe3ir4psDWbNUgubmYyLiggKyAiAqwN3vHat2n6XrjWCpsobkfPMp9dsenvFNJ4s0N5I1miVmVRNxLay2CWYxtIOO1Iq9xkKNR1vwK203dEx1FqRAEG4m6SoKDspPpwZzmIVizq7Cf6k27awsvk2zKrCgHcpz25zzXT/AAj1HpyrGlK2i+SjMd2DAyzH1wAe9TPE/g6zrQN8q4/GvMekcH+lXUPfv+ieL9lNseJrGnspcDtee620PtJYsoIXcCdwQeUTxA4kAmL0Ky+ruuzXLXxCqC4QrbRklIRsu4CjkwIzPB1+s/Rpe05e5eJfTp8xttLlI8xAI8uB781pehay6t1tqOysxJO07hgqrBlyoAM4nj6VnT6fRC12dj6d0xLIIQHcxlnOXdvVjGT6DgdgBU/4IjOTB+mMH2/oPeqzo/FCWE/+YumSzKo8rMdpTEqZIBkcD3HY6Lxx45lVGjuEgi4tw7YADKIjdBkCcxjMQIBvHGoeUnbNJZLVI+/0leKUO7RgSZV2Pbj7/SeRBE8Ac0uXCrHupzPoYg/TP/dSb2mN4BlDF1Ekfu4gwMmvhiwjcrCexBHIMGPSsXk5eT/RkY9TaS6BJMrwfqRMduBz715eYiyzKTuEYjJGMj7QaX76qJIkARtGJ749MirH+jron6y51F8gW1aEsp8xKxJzkr2gSxM8DmOkTGLlpFY1aONMGdXCtw207GMjg8e31Bqx+DOgXLFxL+6Fe1I2mCC2w7YBmRngEY+1dafS23QgAFYjbA28cFThf4GtJ4Zt2dzpqbBt3GkLaKnYqKSFAYfMxCk7jjsCO84pL2bfFXR50++u7cyK0ZmACSTyYwx94B9auyOqAbiqye8KJOYHvVR6foDc1Di2p+CrRuZicq0FBjzY/KrLrOm27ro7ruKcZO3/ANvB/LsK6WnVoq39jY3LvYV7S1ajJ5pWhUy0pSgFKVH1uvt2UL3XVFH4mMCgJFU3xp4/GjKJZ+Hcck7xJO0CIwO5M9+1VjxP+k17y/D04ayCfnD+dlyIiPL2ODVFYFiABuYmAQJJP9TxXO86ukVssfijxfc1SWGuKqkC5wSA2QJAn7fY1C0PTL2vZFt2hCDa90mFGTEn1CwMSTW48Pfo2Jh9Ydq8iyPmP+4/gHtz9Kv+nsqiBLaqiLwqiAP7n3Oa55tJ2y8cbls1nQfDNrSAFfPdjN1hn/8AEfh+vPvW3Ar0Cslu1Iknao5Y/wBPWsdzdI6UlBHyikmAJNfZYKYHnf05A/ua8F0sCLflTux5P+egrxSFEJ927n+1dKhHFufZTk56R6RBlzub07D6/wBq+bl0nJNY2Me59KfD7uR9Ow/vWM5yyd9F1FRMZsB2DbQQDILCZj27/wAqzmwJJiCTJIwSfWRWBLj3cW4VJANxuJJAAHqSTGPz7VVdV4iuaLUvZYtetDaRvgXAHRXwY9SRtI7YrVYZcdGfONjxb4FW4jXdPbi9g+SAHE+aUwpaO4ie4rnDapkHwn3KVIBUr5hmfYiCK7b0zrVnULutuDHKnDL9R/grB1fw3Y1UG9aVivDEQ30kQY9v5Vm/syssae4nKunaZLhfk7flAwxgzIAPr29wKsPRfFOq0boLjPdtRlHPmgbhI3SVj0HOKl9U/R9uLvoHFu53tzNsg5O08pgcGR7gVWek9aJu27mom5bHlYQMDHcrHee5xSLnjeujNScHvZ17qCaneuo0txb1tkk2XwCNsqbbAYJnJJ798AYtJ1a25E6drd1l2ta8u5VDQSwB2hRGGOTwoOa1mo/SlpLZCIruolfKBAjAAn5sCece9ZLWqsalzf09wW7jhZD5V9oAE5BRgMSpH0avQu9ewiu+OfBpuMb9kN+8kz7SsCeO2AI5rnNgsSQVJ5G0gziMe5/nXch1FrZC31NskwCSCrH0V8Kx/dO1v3aj9Q8M6e+3xNu24Pxr5W+jDg/cVzTlNfyRZwUv4nFdPdb8W5TODxx2+1SOlfE1F8WVU3LjT5Rkx39lHvgCrD+lnQ3l2N8MfASAjqw8hOAsfMJOd34jM8VvP0U20saE3Ldq2dRdUnezGW87hVP7KgAGFiTPfNOKktlODujQ+O/0VmxpV1Cu1y+CqvbRZXaeCD83lg5gz6CsHhy2U0tkH5vOxzkS/wBiMD1HvPFdi6PqLRBUkm43z/EADsfT9kgZhREDtzWn8R+H7LOotJ5mmApxuHt+ECcsDAkYzVpxpI2xpJle0HiC4pAbzjAkkhwDA+aMjnkAek1ZlcllZjMKWj0Hpjk8THMfaqZ+p7bvqgutbDgErvBKkTGGJPcAn1biui6PQebe3cABf7/2/wCqw+NydJG6kkrZD8L6J/hi5dXY7AHaPKTIzvAO0meO/E5kCy2bUZPNeWbMZPNZq70qVHI9ilKVJApSvl1kEUBo+q+NdNp7gtu+TyVyq84JHBkcciuV+MuvjWObxOwKNotkk+WTDDHJkSP7Vl1/gm9+sPYQ/F2n/wAm4BVBgjecw0fhy3eMzVp6J4Ks2Id4vXRncwG1T+6nA+pk+kVyZcjTCjKRTfD3gu/qAHuf6Vo53MPOw9VSf4mB9eK6J4f8O6bS/wDjtQxEfEJLPxBz2n90D6VsNs19BYrm+Rp2joWJIyXdJGeR61jjsK+7WqK45HpUqxtglOf4/T2q8cayPxdEuTitkZwtvL5bsg/r6V8XAWIa79kGP+v500IG47vmPB9+/wB6y39MVPr710T/ANUfBGa83sxO884A7DAArGh3fL8p/F6/T1+vH1qra/r06/8AVrtr/SVSwBbFwnaVYjCsB5oQyCQZzETv1RrSNd0rbrKgs9hmIAAy2xuUPPlOKwWNy8n7LuSWjeAxhBJ7knH3NYbOl3y14zEkWgSBgEgseSMR5Qee9Y+kdZtahZtnIGUOGX6j09xip1y2Dz9jwRiJBGRiphLhLaIlHktMqGr8e3LkjT2xbVUO0xNzaLijcAYUA7cYM+0VrPEnT21mqt/qTJcb4arqJUi1bgDad4wG2wDbAOFHGTVh6l4SN2+ri78JNjrcNsbbzhn+Js3jCrPJAnA45raW1taa2tq0gUDCoo/wk955PPvWvyO/F3f9Gax1uRD6H4btaNdxO+5ENcIg+u1R+FfbJ9San2ke+cSlv9qJLZHA7jPPA9+ayW+nyDc1BXGQhPlEETuiZjGP+6++p9Tt27TObqL5WKEsmSoMbZO1jKjAIExMmtIY98pPZEp+kRtJ1bTMWsWXVmAkqMzGwmWPluEebMkezVxs69tzbl2gkyu2PLkFY/Dn+NR7XUblpw5dluc7wTMk5ae5ycz2rPY1Sbbr3VFyQeTEkmSZ7EnvzzWGSblHr2YkO26l9yghCxADEFo7SQMmP6Vj0xZL52ucPuVpIgTK/vD/APmvbmnQLKSBztJ4HviDUjp3SjdugJuJaAVEE+gjH9+1VlLlshnSuk+Km2/DvL8VD5cqssDwNo8jz+ysN6W25rawgT4mluSoMG0ZYCMsFbLWyoBOxgQIjatVzVaWzprLq91DfgAqXwgPKmA29iJBlWQTkGpXhK+LxvKpBc2WWCRMEFecyonEOy5Hlt8V1Y5NxXPsvFutkH9Ilm5qNKVXIW6GKjkqoeTEyzY9MZAiIMLpmkK6ewbZ2t8FMcD5TGe2XPOOK6WOi2ypVhuBM5OQexERBEnI9Y4xUHVeELRUfCJtsAM5ZTHdgTM+rAgn1NXcfsXX5NJourXNkupLKTAHlcCfKQZ9D9DVg1LtZt+VS19xzAklRgATAE8KMDJzkmvDpdy1dtrdQxvEMAWQ5kwQMGATBCk/v1eEQNDRmMSM5zx2qij5dFm9dmg8IeGDp033c3XJZl3SAWO4g/ttxnMHj1NstWYyea8s2YyeazVokoqkUFKUqQKUpQHKNd+kDU6kGxaBS4eBaVt8g5XnAIJ82I2j3rd+EunamxbcX7zNvAi2GJ2ep3g4J4hce9QvCfS7mmvXUe2VW5kMRyVJgSJABUzEnK1atlcN5ONotjUX2fCIAIAgDgDgV9haEV8lq5WdZ9E1jY16K9AoQfIFZLcgyK8ArwvS/sCS6rc9m/nWJNYy+Vxj/PzFYd1SFuBhD/n6V24896kYyx+0ajxJ0L43wbtlQz23gwYJtuCtwZGYkGPY4MwY/S7cG4jiJWTO0EQYmWOIDHPmiMQYA3vwmtGRkH8j/avq+VuAshVbgBALcA+8QYnuM11x8ejCSs48jPaugKStwPsWDDb923aPecR75HeuiabrNyztXWqEmALy5tyfwtHyNOPQ9sVUPHXhb4RTWI5u3VZTfPYwV2sAOAI2n2j0q2dP15JFq4N6MQnm5zOPN830OfrzWU4810WhKjZvqi5K2sx8zHCqOZJ7Y/zvUuxo0sgsxzBLO2DEsDExtEwZBk+nevi9rLWnsFzCW0WYUzA86djkyVEkFZ4nmqH1v9JQu2bttLEB1Kgl/wBrbuJAgHg5583IiDKUMemVlPkQvGfjcapEt2NyqHLGYG7jaw7jvzJ82TVQ6hfOGMx8vPoBA/PFYrYKgE9sR6jMR/P7199QeRbESgkmDyZwTXLOTeRFDMu02HBJ3EDbges+vuftWK0kqy442zHHEH6g19BCVIGcfYisml6ddZGYJ5BPnOEnJgtMbscc+1U4N3bIo23SvDO6NzBgYEAElp7du+PXinV9M+gv/DtMR5FNwq0lSTMbhlYwCScyRxzg6d4kbTKvwG88NuJVSFOB5QfbuR3j6667ed2LsxYvBcmSWPv6n60jFK7eyV+SV1uy967buNtb4iCCIWSspkTg45GCI9KndGXVaZTft2mO3Bn0OJgEGMDioXSujXr1zZbtuWWC0DtgS3G3J9uB712bp/R4RN5ghRIEcwJyMc+laY1KcrfolW2Uvwb4+1F/ULavbWU7gSEClSowxj3BFdJFasdARSWthQW58oBP1IGfvXiO9sx/A8fb/iuqCcVt2WRttvtUm1ZjJrHo0aJcAH09P+ak1ckUpSgFKUoBSlKAxvYB5FRrnTB2NTaUBpbulZe1YYrfkTUa9oAeMGs54oy7LKTRqtlCazXdIy+9YCK45/TyXRssifZ4TXkV7tr6ArnarTND5CV9ULVjY0JM9vUxg5X0rDe0cjcmR6d6x3boUFmIUASSTAAHJJPAqHoxd1WbZazYP/1Yi5cH/pgjyL/6hyfwj8VdWDJLr0YziuyXa2FXS4sq6lW/2kEMPXg1UPGV06JU+EWghdrnMxJJDCBIIUx33SBOa6Bf0YIAX5hHcnHqxOfucmtXf0CsdlxQUJ8ysoYZwWWflaO4/wCa7E7MGjkF3xDf+C1g3CbVwiVORhgwj9nI7Y/OtdaiDJOOBiT3/wA+lbnxb0NrOoZfh7VLFk2zshjI2tGQJj1xmq69gi9nIMlR7zn+JrknIzZl0xIJ3esD6ZH2nH2qYzgjbtUjEYEgexGee1fIAwce2PqTVs8KdHW8gdwFtp8zkRx+ET3PrwBn0nDcpWkVZrF6V8Kw165lCQu3IJnMAgz2zHtmTjRLegFR5RyF/COw8o78z9aldbugX3Fpi1oE7SeIJ3ETy3fNQtm5h2O2J9/6yI/j99pRaXH9lujzbuMHv69+O/8Ab3q0+CegPqLp4CgeZvTOIBGSe3/FYvCPhxtVfx5VSCzegMwPeYkCuxaHQJaQIggD8ye5PqTSGP5ataCVnuj0KWlCoIA/M+5Pc1nile13JJaRoIrNb0wwTyOPavq1ajJ5rLQClKUApSlAKUpQClKUApSlAKUpQHhFR72hVvY1JpQGnu6Jl96wGt+RUe9olaqShGXZKk10aUisGp1S2wJmSYVQJZj6KO5/lyYGa2d3Qlc8iolzTKWDfK4BAOJhoJExEEqpgjtXM/pt6ZqsprtB03412dWBghrdjm3iDuY8XnB7HyryAcNVl3Twcftc/ZR3Pv8AzqDorZki6Bj5SMBhxkHg5PBI/lWa/q/2T9/6D0q+scfIjcnoyXb4TA59Ofux7morXwRFzHo/p/u9Prx9Kx15WH+RLlfr7F/jVGDX9PS4ptXlFxJnbJ57MD2MHmqDr/Al1WLBd9oMSChJIGYDLEjHPbFXsW9hlQWXus8f7f7flFfWpvKLb3EuEBVY8GRAJ7dx6RW7Ucy0c84fc52vhhdsuGS1bG53AOFHbjzE+grF13xorWf1fTWglkrs82TDDMQY3ZGT3PtWuveJ9Uwa3dvOYmdxljI8yzkxzitGUCkbcgET37e/1rPHWO4rbM0uJ96TTduT3B/hj8s+9Wfw54Nuai5+woPnZlyB7D1I4/4qN4W6D+t3vhhgAASWxIWRP1ycD39q7N07p6Wba27YhQPufcnuaY4yyPfQSbPOm9Nt2LYt2lCqPzJ7knuT61KpXoFdqVGgAqTatR9aWrUfWslAKUpQClKUApSlAKUpQClKUApSlAKUpQClKUApSlAKwXtIrdqz0oDVXtARxxUYj1Fb6sN3Sq3aquKlpkp0aYCsbtU+904jiojL2I/Ouaf0y/5NVlfs03V/EVnTQLjeY5CgS0cT9Kp3inxqtxY04BRvK+4EMcbl8o4Ax5uZxHru/HvQxct/EAJuKAttQIyWBYuxxtC8LySTnFc6PTWDFbnl7Ec5Bg44FZxSg9vZnkyXpGAAncBk9vTgf91YPBvhz9avbWWQAC7EYUfh47mCIrB0Dob3ry27YgnBYgkKIOSAcDn69q6/4f8AD9vSWwiCWMb37sQOT7cwO1XjD5HfoxSskdN6TasLttIqjuQACfcnvUykV6BXYkkqRoAKk2rUfWlq1H1rJQClKUApSlAKUpQClKUApSlAKUpQClKUApSlAKUpQClKUApSlAKUpQCsV3ThuRWWlAay/wBNjj8qqXUfBQuXFIwC3mOOI7n8Xp2PFdAr4e0DWU8UZ9kNWaXpHQ7WmUrZXbMbjJJYjgkmthFZHskV8AVqklpEngFSrdqPrS3bivugFKUoBSlKAUpSgFKUoBSlKAUpSgFKUoD/2Q==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57200" y="3848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E684-6C16-474D-A00E-0EC4B8008E96}">
  <dimension ref="A1:C27"/>
  <sheetViews>
    <sheetView tabSelected="1" topLeftCell="A2" zoomScale="134" workbookViewId="0">
      <selection activeCell="A13" sqref="A13"/>
    </sheetView>
  </sheetViews>
  <sheetFormatPr baseColWidth="10" defaultRowHeight="13"/>
  <cols>
    <col min="1" max="1" width="169.1640625" customWidth="1"/>
    <col min="2" max="2" width="10" customWidth="1"/>
    <col min="3" max="3" width="6.5" customWidth="1"/>
  </cols>
  <sheetData>
    <row r="1" spans="1:3">
      <c r="A1" s="309"/>
      <c r="B1" s="309"/>
      <c r="C1" s="309"/>
    </row>
    <row r="2" spans="1:3" ht="23">
      <c r="A2" s="308" t="s">
        <v>349</v>
      </c>
      <c r="B2" s="369" t="s">
        <v>345</v>
      </c>
      <c r="C2" s="369"/>
    </row>
    <row r="3" spans="1:3">
      <c r="A3" s="309"/>
      <c r="B3" s="309"/>
      <c r="C3" s="309"/>
    </row>
    <row r="4" spans="1:3">
      <c r="A4" s="310"/>
      <c r="B4" s="309"/>
      <c r="C4" s="309"/>
    </row>
    <row r="5" spans="1:3" ht="17">
      <c r="A5" s="311" t="s">
        <v>350</v>
      </c>
      <c r="B5" s="309"/>
      <c r="C5" s="309"/>
    </row>
    <row r="6" spans="1:3" ht="15">
      <c r="A6" s="312"/>
      <c r="B6" s="309"/>
      <c r="C6" s="309"/>
    </row>
    <row r="7" spans="1:3" ht="17">
      <c r="A7" s="313" t="s">
        <v>351</v>
      </c>
      <c r="B7" s="309"/>
      <c r="C7" s="309"/>
    </row>
    <row r="8" spans="1:3" ht="15">
      <c r="A8" s="312"/>
      <c r="B8" s="309"/>
      <c r="C8" s="309"/>
    </row>
    <row r="9" spans="1:3" ht="17">
      <c r="A9" s="313" t="s">
        <v>352</v>
      </c>
      <c r="B9" s="309"/>
      <c r="C9" s="309"/>
    </row>
    <row r="10" spans="1:3" ht="15">
      <c r="A10" s="312"/>
      <c r="B10" s="309"/>
      <c r="C10" s="309"/>
    </row>
    <row r="11" spans="1:3" ht="17">
      <c r="A11" s="313" t="s">
        <v>353</v>
      </c>
      <c r="B11" s="309"/>
      <c r="C11" s="309"/>
    </row>
    <row r="12" spans="1:3" ht="15">
      <c r="A12" s="312"/>
      <c r="B12" s="309"/>
      <c r="C12" s="309"/>
    </row>
    <row r="13" spans="1:3" ht="17">
      <c r="A13" s="313" t="s">
        <v>354</v>
      </c>
      <c r="B13" s="309"/>
      <c r="C13" s="309"/>
    </row>
    <row r="14" spans="1:3" ht="15">
      <c r="A14" s="312"/>
      <c r="B14" s="309"/>
      <c r="C14" s="309"/>
    </row>
    <row r="15" spans="1:3" ht="15">
      <c r="A15" s="312"/>
      <c r="B15" s="309"/>
      <c r="C15" s="309"/>
    </row>
    <row r="16" spans="1:3" ht="17">
      <c r="A16" s="311" t="s">
        <v>355</v>
      </c>
      <c r="B16" s="309"/>
      <c r="C16" s="309"/>
    </row>
    <row r="17" spans="1:3" ht="15">
      <c r="A17" s="312"/>
      <c r="B17" s="309"/>
      <c r="C17" s="309"/>
    </row>
    <row r="18" spans="1:3" ht="17">
      <c r="A18" s="314" t="s">
        <v>478</v>
      </c>
      <c r="B18" s="309"/>
      <c r="C18" s="309"/>
    </row>
    <row r="19" spans="1:3" ht="15">
      <c r="A19" s="312"/>
      <c r="B19" s="309"/>
      <c r="C19" s="309"/>
    </row>
    <row r="20" spans="1:3" ht="17">
      <c r="A20" s="313" t="s">
        <v>356</v>
      </c>
      <c r="B20" s="309"/>
      <c r="C20" s="309"/>
    </row>
    <row r="21" spans="1:3" ht="15">
      <c r="A21" s="312"/>
      <c r="B21" s="309"/>
      <c r="C21" s="309"/>
    </row>
    <row r="22" spans="1:3" ht="17">
      <c r="A22" s="311" t="s">
        <v>357</v>
      </c>
      <c r="B22" s="309"/>
      <c r="C22" s="309"/>
    </row>
    <row r="23" spans="1:3" ht="17">
      <c r="A23" s="313" t="s">
        <v>358</v>
      </c>
      <c r="B23" s="309"/>
      <c r="C23" s="309"/>
    </row>
    <row r="24" spans="1:3" ht="15">
      <c r="A24" s="315"/>
      <c r="B24" s="309"/>
      <c r="C24" s="309"/>
    </row>
    <row r="25" spans="1:3" ht="16">
      <c r="A25" s="316" t="s">
        <v>359</v>
      </c>
      <c r="B25" s="309"/>
      <c r="C25" s="309"/>
    </row>
    <row r="26" spans="1:3">
      <c r="A26" s="317"/>
      <c r="B26" s="309"/>
      <c r="C26" s="309"/>
    </row>
    <row r="27" spans="1:3">
      <c r="A27" s="309"/>
      <c r="B27" s="309"/>
      <c r="C27" s="309"/>
    </row>
  </sheetData>
  <sheetProtection algorithmName="SHA-512" hashValue="T3Vf/kWL4P1NqXBOy1Dqmau43KvuS/ryPX6RZdbLze/KrnRACNFsd4wmK0W2qX16y+x6nPxPjIYhl3RfHPBVGw==" saltValue="RY+UivdCnkEXdfcDtQpsvQ==" spinCount="100000" sheet="1" objects="1" scenarios="1"/>
  <mergeCells count="1">
    <mergeCell ref="B2:C2"/>
  </mergeCells>
  <hyperlinks>
    <hyperlink ref="B2:C2" location="Inici!A1" display="Inici" xr:uid="{5555EDA6-45B2-4B22-B6E2-F6C2AA3468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2"/>
  <sheetViews>
    <sheetView showGridLines="0" zoomScale="167" zoomScaleNormal="130" workbookViewId="0">
      <pane ySplit="2" topLeftCell="A3" activePane="bottomLeft" state="frozen"/>
      <selection pane="bottomLeft" activeCell="C4" sqref="C4"/>
    </sheetView>
  </sheetViews>
  <sheetFormatPr baseColWidth="10" defaultColWidth="11.5" defaultRowHeight="15"/>
  <cols>
    <col min="1" max="1" width="7.5" style="2" bestFit="1" customWidth="1"/>
    <col min="2" max="2" width="3.33203125" style="2" customWidth="1"/>
    <col min="3" max="3" width="30.6640625" style="2" customWidth="1"/>
    <col min="4" max="4" width="5" style="2" customWidth="1"/>
    <col min="5" max="5" width="27.5" style="2" customWidth="1"/>
    <col min="6" max="6" width="6.5" style="2" customWidth="1"/>
    <col min="7" max="7" width="31.5" style="2" customWidth="1"/>
    <col min="8" max="8" width="0.5" style="2" hidden="1" customWidth="1"/>
    <col min="9" max="9" width="5.1640625" style="2" customWidth="1"/>
    <col min="10" max="10" width="5" style="2" customWidth="1"/>
    <col min="11" max="11" width="11.5" style="2"/>
    <col min="12" max="12" width="4.83203125" style="2" customWidth="1"/>
    <col min="13" max="16384" width="11.5" style="2"/>
  </cols>
  <sheetData>
    <row r="1" spans="1:11" ht="32.25" customHeight="1">
      <c r="A1" s="370" t="s">
        <v>409</v>
      </c>
      <c r="B1" s="370"/>
      <c r="C1" s="370"/>
      <c r="D1" s="370"/>
      <c r="E1" s="370"/>
      <c r="F1" s="370"/>
      <c r="G1" s="370"/>
      <c r="H1" s="370"/>
      <c r="I1" s="370"/>
      <c r="J1" s="294"/>
      <c r="K1"/>
    </row>
    <row r="2" spans="1:11" ht="113.25" customHeight="1">
      <c r="A2" s="1"/>
      <c r="B2"/>
      <c r="C2" s="1"/>
      <c r="D2" s="292"/>
      <c r="E2"/>
      <c r="F2"/>
      <c r="G2" s="371"/>
      <c r="H2" s="371"/>
    </row>
    <row r="3" spans="1:11" s="5" customFormat="1" ht="15" customHeight="1">
      <c r="A3" s="298"/>
      <c r="B3" s="295"/>
      <c r="C3" s="298"/>
      <c r="D3" s="299"/>
      <c r="F3" s="300"/>
      <c r="G3" s="301"/>
      <c r="H3" s="301"/>
    </row>
    <row r="4" spans="1:11" s="296" customFormat="1" ht="24.75" customHeight="1">
      <c r="B4" s="307">
        <v>1</v>
      </c>
      <c r="C4" s="318" t="str">
        <f>+'Resum Estudi'!E4</f>
        <v>Escola Primaria Jaume Balmes</v>
      </c>
      <c r="D4" s="307">
        <v>2</v>
      </c>
      <c r="E4" s="318" t="str">
        <f>+'Resum Estudi'!E5</f>
        <v>Escola Infantil Jaume Balmes</v>
      </c>
      <c r="F4" s="307">
        <v>3</v>
      </c>
      <c r="G4" s="468" t="str">
        <f>+'Resum Estudi'!E6</f>
        <v>Escola Bressol Mestre Jane</v>
      </c>
    </row>
    <row r="5" spans="1:11" s="296" customFormat="1" ht="12">
      <c r="A5" s="297"/>
      <c r="B5" s="297"/>
      <c r="C5" s="297"/>
      <c r="D5" s="297"/>
      <c r="E5" s="297"/>
      <c r="F5" s="297"/>
      <c r="G5" s="297"/>
      <c r="H5" s="297"/>
      <c r="I5" s="297"/>
    </row>
    <row r="6" spans="1:11" s="3" customFormat="1">
      <c r="C6" s="372" t="s">
        <v>476</v>
      </c>
      <c r="D6" s="372"/>
      <c r="E6" s="372"/>
      <c r="F6" s="372"/>
      <c r="G6" s="372"/>
      <c r="H6" s="372"/>
      <c r="I6" s="291"/>
    </row>
    <row r="7" spans="1:11" s="3" customFormat="1">
      <c r="C7" s="295" t="s">
        <v>475</v>
      </c>
      <c r="I7" s="291"/>
    </row>
    <row r="8" spans="1:11" s="3" customFormat="1">
      <c r="I8" s="291"/>
    </row>
    <row r="9" spans="1:11">
      <c r="A9" s="3"/>
      <c r="B9"/>
      <c r="J9" s="3"/>
    </row>
    <row r="10" spans="1:11" ht="21.75" customHeight="1">
      <c r="B10" s="5"/>
    </row>
    <row r="11" spans="1:11" ht="15" customHeight="1">
      <c r="B11" s="4"/>
      <c r="C11" s="4"/>
      <c r="D11" s="4"/>
      <c r="E11" s="4"/>
      <c r="F11" s="4"/>
      <c r="G11" s="4"/>
    </row>
    <row r="12" spans="1:11">
      <c r="D12" s="3"/>
      <c r="E12" s="6"/>
      <c r="F12" s="6"/>
    </row>
  </sheetData>
  <sheetProtection algorithmName="SHA-512" hashValue="sQIHau1ttve9It4IXDFE3gWOiVZqoJe1TwqxHhmfpGeUL2ZzNVp6V87/6iaQ6QKOjISUv+xGqF0qoe6yNV5icA==" saltValue="eFr6/Ys+NQ9UWDgphvd3+w==" spinCount="100000" sheet="1" selectLockedCells="1"/>
  <mergeCells count="3">
    <mergeCell ref="A1:I1"/>
    <mergeCell ref="G2:H2"/>
    <mergeCell ref="C6:H6"/>
  </mergeCells>
  <hyperlinks>
    <hyperlink ref="C6" location="RESUM!A1" display="Resum" xr:uid="{00000000-0004-0000-0100-000000000000}"/>
    <hyperlink ref="C4" location="'1'!A1" display="'1'!A1" xr:uid="{00000000-0004-0000-0100-000001000000}"/>
    <hyperlink ref="C6:E6" location="'Resum Estudi'!A1" display="Resum" xr:uid="{00000000-0004-0000-0100-000002000000}"/>
    <hyperlink ref="E4" location="'2'!A1" display="'2'!A1" xr:uid="{00000000-0004-0000-0100-000003000000}"/>
    <hyperlink ref="C6:G6" location="'Resumen Estudio'!A1" display="Resum" xr:uid="{00000000-0004-0000-0100-000004000000}"/>
    <hyperlink ref="C6:H6" location="'Resum Estudi'!A1" display="Resum" xr:uid="{00000000-0004-0000-0100-000006000000}"/>
    <hyperlink ref="G4" location="'3'!A1" display="'3'!A1" xr:uid="{3786DA98-D3FF-004F-8EFC-FFFBB9D8AD2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103"/>
  <sheetViews>
    <sheetView zoomScale="137" zoomScaleNormal="100" workbookViewId="0">
      <pane xSplit="6" ySplit="7" topLeftCell="AM8" activePane="bottomRight" state="frozen"/>
      <selection activeCell="X8" sqref="X8"/>
      <selection pane="topRight" activeCell="X8" sqref="X8"/>
      <selection pane="bottomLeft" activeCell="X8" sqref="X8"/>
      <selection pane="bottomRight" activeCell="AH4" sqref="AH4:AH5"/>
    </sheetView>
  </sheetViews>
  <sheetFormatPr baseColWidth="10" defaultColWidth="11.5" defaultRowHeight="15"/>
  <cols>
    <col min="1" max="1" width="2.83203125" style="2" customWidth="1"/>
    <col min="2" max="2" width="26.5" style="2" customWidth="1"/>
    <col min="3" max="3" width="9.5" style="2" customWidth="1"/>
    <col min="4" max="4" width="22.5" style="2" bestFit="1" customWidth="1"/>
    <col min="5" max="5" width="16.5" style="2" customWidth="1"/>
    <col min="6" max="6" width="13.1640625" style="2" customWidth="1"/>
    <col min="7" max="7" width="10.33203125" style="2" bestFit="1" customWidth="1"/>
    <col min="8" max="8" width="12.5" style="2" bestFit="1" customWidth="1"/>
    <col min="9" max="9" width="6.33203125" style="2" hidden="1" customWidth="1"/>
    <col min="10" max="10" width="5.5" style="2" hidden="1" customWidth="1"/>
    <col min="11" max="11" width="7.1640625" style="2" bestFit="1" customWidth="1"/>
    <col min="12" max="12" width="8.1640625" style="2" bestFit="1" customWidth="1"/>
    <col min="13" max="15" width="8.5" style="2" customWidth="1"/>
    <col min="16" max="16" width="8.1640625" style="2" bestFit="1" customWidth="1"/>
    <col min="17" max="17" width="5.5" style="2" hidden="1" customWidth="1"/>
    <col min="18" max="18" width="8.5" style="2" hidden="1" customWidth="1"/>
    <col min="19" max="19" width="5.5" style="2" hidden="1" customWidth="1"/>
    <col min="20" max="20" width="8.5" style="2" hidden="1" customWidth="1"/>
    <col min="21" max="21" width="9.33203125" style="2" customWidth="1"/>
    <col min="22" max="22" width="9.1640625" style="2" bestFit="1" customWidth="1"/>
    <col min="23" max="23" width="11" style="2" bestFit="1" customWidth="1"/>
    <col min="24" max="24" width="7" style="2" customWidth="1"/>
    <col min="25" max="25" width="4.1640625" style="2" bestFit="1" customWidth="1"/>
    <col min="26" max="26" width="5" style="2" bestFit="1" customWidth="1"/>
    <col min="27" max="27" width="8.1640625" style="2" bestFit="1" customWidth="1"/>
    <col min="28" max="28" width="7.33203125" style="2" customWidth="1"/>
    <col min="29" max="29" width="8.5" style="2" bestFit="1" customWidth="1"/>
    <col min="30" max="30" width="7.33203125" style="2" customWidth="1"/>
    <col min="31" max="31" width="6.5" style="2" bestFit="1" customWidth="1"/>
    <col min="32" max="32" width="8.6640625" style="2" bestFit="1" customWidth="1"/>
    <col min="33" max="33" width="5.5" style="2" bestFit="1" customWidth="1"/>
    <col min="34" max="34" width="10.33203125" style="2" bestFit="1" customWidth="1"/>
    <col min="35" max="35" width="8.6640625" style="2" bestFit="1" customWidth="1"/>
    <col min="36" max="36" width="6.1640625" style="2" bestFit="1" customWidth="1"/>
    <col min="37" max="37" width="10.33203125" style="2" bestFit="1" customWidth="1"/>
    <col min="38" max="38" width="8.5" style="2" bestFit="1" customWidth="1"/>
    <col min="39" max="39" width="7" style="2" bestFit="1" customWidth="1"/>
    <col min="40" max="40" width="9" style="2" bestFit="1" customWidth="1"/>
    <col min="41" max="41" width="7.5" style="2" bestFit="1" customWidth="1"/>
    <col min="42" max="42" width="5.5" style="2" bestFit="1" customWidth="1"/>
    <col min="43" max="43" width="9" style="2" bestFit="1" customWidth="1"/>
    <col min="44" max="44" width="4.33203125" style="2" hidden="1" customWidth="1"/>
    <col min="45" max="45" width="5.5" style="2" hidden="1" customWidth="1"/>
    <col min="46" max="46" width="9" style="2" hidden="1" customWidth="1"/>
    <col min="47" max="47" width="8.1640625" style="2" customWidth="1"/>
    <col min="48" max="48" width="6.1640625" style="2" bestFit="1" customWidth="1"/>
    <col min="49" max="49" width="9" style="2" bestFit="1" customWidth="1"/>
    <col min="50" max="50" width="4.33203125" style="2" hidden="1" customWidth="1"/>
    <col min="51" max="51" width="5.5" style="2" hidden="1" customWidth="1"/>
    <col min="52" max="52" width="9" style="2" hidden="1" customWidth="1"/>
    <col min="53" max="53" width="13.1640625" style="2" bestFit="1" customWidth="1"/>
    <col min="54" max="16384" width="11.5" style="2"/>
  </cols>
  <sheetData>
    <row r="1" spans="1:53" ht="32" thickBot="1">
      <c r="A1" s="7"/>
      <c r="B1" s="373" t="s">
        <v>345</v>
      </c>
      <c r="C1" s="373"/>
      <c r="E1" s="363" t="s">
        <v>474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364" t="str">
        <f>+'Resum Estudi'!E4</f>
        <v>Escola Primaria Jaume Balmes</v>
      </c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6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6" thickBot="1">
      <c r="A2" s="7"/>
      <c r="B2" s="10"/>
      <c r="C2" s="11"/>
      <c r="D2" s="11"/>
      <c r="E2" s="1"/>
      <c r="F2" s="11"/>
      <c r="G2" s="11"/>
      <c r="H2" s="11"/>
      <c r="I2" s="11"/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1"/>
      <c r="X2" s="11"/>
      <c r="Y2" s="11"/>
      <c r="Z2" s="11"/>
      <c r="AA2" s="11"/>
      <c r="AB2" s="11"/>
      <c r="AC2" s="11"/>
      <c r="AD2" s="11"/>
      <c r="AE2" s="1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30.75" customHeight="1" thickBot="1">
      <c r="A3" s="7"/>
      <c r="B3" s="374" t="s">
        <v>405</v>
      </c>
      <c r="C3" s="374"/>
      <c r="D3" s="374"/>
      <c r="E3" s="13"/>
      <c r="F3" s="14"/>
      <c r="G3" s="14"/>
      <c r="H3" s="14"/>
      <c r="I3" s="14"/>
      <c r="J3" s="15"/>
      <c r="K3" s="12"/>
      <c r="L3" s="12"/>
      <c r="M3" s="12"/>
      <c r="N3" s="12"/>
      <c r="O3" s="12"/>
      <c r="P3" s="12"/>
      <c r="Q3" s="12"/>
      <c r="R3" s="12"/>
      <c r="S3" s="12"/>
      <c r="T3" s="12"/>
      <c r="U3" s="16"/>
      <c r="V3" s="12"/>
      <c r="W3" s="58" t="s">
        <v>21</v>
      </c>
      <c r="X3" s="62"/>
      <c r="Y3" s="62"/>
      <c r="Z3" s="62"/>
      <c r="AA3" s="62"/>
      <c r="AB3" s="62"/>
      <c r="AC3" s="62"/>
      <c r="AD3" s="62"/>
      <c r="AE3" s="62"/>
      <c r="AF3" s="375" t="s">
        <v>399</v>
      </c>
      <c r="AG3" s="375"/>
      <c r="AH3" s="375"/>
      <c r="AI3" s="375" t="s">
        <v>400</v>
      </c>
      <c r="AJ3" s="375"/>
      <c r="AK3" s="375"/>
      <c r="AL3" s="375" t="s">
        <v>402</v>
      </c>
      <c r="AM3" s="375"/>
      <c r="AN3" s="375"/>
      <c r="AO3" s="375" t="s">
        <v>340</v>
      </c>
      <c r="AP3" s="375"/>
      <c r="AQ3" s="375"/>
      <c r="AR3" s="375" t="s">
        <v>339</v>
      </c>
      <c r="AS3" s="375"/>
      <c r="AT3" s="375"/>
      <c r="AU3" s="375" t="s">
        <v>26</v>
      </c>
      <c r="AV3" s="375"/>
      <c r="AW3" s="375"/>
      <c r="AX3" s="376" t="s">
        <v>338</v>
      </c>
      <c r="AY3" s="376"/>
      <c r="AZ3" s="376"/>
      <c r="BA3" s="17" t="s">
        <v>12</v>
      </c>
    </row>
    <row r="4" spans="1:53" ht="15.75" customHeight="1" thickBot="1">
      <c r="A4" s="7"/>
      <c r="B4" s="10"/>
      <c r="C4" s="11"/>
      <c r="D4" s="11"/>
      <c r="E4" s="11"/>
      <c r="F4" s="11"/>
      <c r="G4" s="11"/>
      <c r="H4" s="11"/>
      <c r="I4" s="11"/>
      <c r="J4" s="6"/>
      <c r="K4" s="18" t="s">
        <v>1</v>
      </c>
      <c r="L4" s="19">
        <f t="shared" ref="L4:V4" si="0">+L99</f>
        <v>0</v>
      </c>
      <c r="M4" s="19">
        <f t="shared" si="0"/>
        <v>0</v>
      </c>
      <c r="N4" s="19">
        <f t="shared" si="0"/>
        <v>0</v>
      </c>
      <c r="O4" s="19">
        <f t="shared" si="0"/>
        <v>0</v>
      </c>
      <c r="P4" s="19">
        <f t="shared" si="0"/>
        <v>0</v>
      </c>
      <c r="Q4" s="19">
        <f t="shared" si="0"/>
        <v>0</v>
      </c>
      <c r="R4" s="19">
        <f t="shared" si="0"/>
        <v>0</v>
      </c>
      <c r="S4" s="19">
        <f t="shared" si="0"/>
        <v>0</v>
      </c>
      <c r="T4" s="19">
        <f t="shared" si="0"/>
        <v>0</v>
      </c>
      <c r="U4" s="19">
        <f t="shared" si="0"/>
        <v>0</v>
      </c>
      <c r="V4" s="19">
        <f t="shared" si="0"/>
        <v>0</v>
      </c>
      <c r="W4" s="20">
        <f>+'Resum Estudi'!I4</f>
        <v>11</v>
      </c>
      <c r="X4" s="21"/>
      <c r="Y4" s="21"/>
      <c r="Z4" s="21"/>
      <c r="AA4" s="21"/>
      <c r="AB4" s="21"/>
      <c r="AC4" s="21"/>
      <c r="AD4" s="21"/>
      <c r="AE4" s="21"/>
      <c r="AF4" s="377" t="s">
        <v>14</v>
      </c>
      <c r="AG4" s="378">
        <v>2</v>
      </c>
      <c r="AH4" s="379"/>
      <c r="AI4" s="377" t="s">
        <v>14</v>
      </c>
      <c r="AJ4" s="378">
        <v>2</v>
      </c>
      <c r="AK4" s="379"/>
      <c r="AL4" s="377" t="s">
        <v>14</v>
      </c>
      <c r="AM4" s="378">
        <v>1</v>
      </c>
      <c r="AN4" s="379"/>
      <c r="AO4" s="377" t="s">
        <v>14</v>
      </c>
      <c r="AP4" s="378">
        <v>1</v>
      </c>
      <c r="AQ4" s="379"/>
      <c r="AR4" s="377" t="s">
        <v>14</v>
      </c>
      <c r="AS4" s="378">
        <v>1</v>
      </c>
      <c r="AT4" s="379">
        <v>1000</v>
      </c>
      <c r="AU4" s="377" t="s">
        <v>14</v>
      </c>
      <c r="AV4" s="378">
        <v>1</v>
      </c>
      <c r="AW4" s="379"/>
      <c r="AX4" s="377" t="s">
        <v>14</v>
      </c>
      <c r="AY4" s="378">
        <v>1</v>
      </c>
      <c r="AZ4" s="379">
        <v>1000</v>
      </c>
      <c r="BA4" s="380" t="e">
        <f>BA99</f>
        <v>#DIV/0!</v>
      </c>
    </row>
    <row r="5" spans="1:53" ht="15.75" customHeight="1" thickBot="1">
      <c r="A5" s="7"/>
      <c r="B5" s="10"/>
      <c r="C5" s="11"/>
      <c r="D5" s="11"/>
      <c r="E5" s="11"/>
      <c r="F5" s="11"/>
      <c r="G5" s="11"/>
      <c r="H5" s="11"/>
      <c r="I5" s="11"/>
      <c r="J5" s="1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381" t="s">
        <v>342</v>
      </c>
      <c r="Y5" s="382"/>
      <c r="Z5" s="383"/>
      <c r="AA5" s="383"/>
      <c r="AB5" s="382"/>
      <c r="AC5" s="382"/>
      <c r="AD5" s="382"/>
      <c r="AE5" s="384"/>
      <c r="AF5" s="377"/>
      <c r="AG5" s="378"/>
      <c r="AH5" s="379"/>
      <c r="AI5" s="377"/>
      <c r="AJ5" s="378"/>
      <c r="AK5" s="379"/>
      <c r="AL5" s="377"/>
      <c r="AM5" s="378"/>
      <c r="AN5" s="379"/>
      <c r="AO5" s="377"/>
      <c r="AP5" s="378"/>
      <c r="AQ5" s="379"/>
      <c r="AR5" s="377"/>
      <c r="AS5" s="378"/>
      <c r="AT5" s="379"/>
      <c r="AU5" s="377"/>
      <c r="AV5" s="378"/>
      <c r="AW5" s="379"/>
      <c r="AX5" s="377"/>
      <c r="AY5" s="378"/>
      <c r="AZ5" s="379"/>
      <c r="BA5" s="380"/>
    </row>
    <row r="6" spans="1:53" ht="30.75" customHeight="1" thickBot="1">
      <c r="A6" s="22"/>
      <c r="B6" s="303" t="s">
        <v>360</v>
      </c>
      <c r="C6" s="303" t="s">
        <v>15</v>
      </c>
      <c r="D6" s="303" t="s">
        <v>13</v>
      </c>
      <c r="E6" s="303" t="s">
        <v>361</v>
      </c>
      <c r="F6" s="303" t="s">
        <v>16</v>
      </c>
      <c r="G6" s="303" t="s">
        <v>404</v>
      </c>
      <c r="H6" s="303" t="s">
        <v>393</v>
      </c>
      <c r="I6" s="303"/>
      <c r="J6" s="303"/>
      <c r="K6" s="303" t="s">
        <v>394</v>
      </c>
      <c r="L6" s="303" t="s">
        <v>370</v>
      </c>
      <c r="M6" s="303" t="s">
        <v>371</v>
      </c>
      <c r="N6" s="303" t="s">
        <v>372</v>
      </c>
      <c r="O6" s="303" t="s">
        <v>373</v>
      </c>
      <c r="P6" s="303" t="s">
        <v>374</v>
      </c>
      <c r="Q6" s="303"/>
      <c r="R6" s="303" t="s">
        <v>375</v>
      </c>
      <c r="S6" s="303"/>
      <c r="T6" s="303" t="s">
        <v>376</v>
      </c>
      <c r="U6" s="303" t="s">
        <v>380</v>
      </c>
      <c r="V6" s="303" t="s">
        <v>381</v>
      </c>
      <c r="W6" s="303" t="s">
        <v>396</v>
      </c>
      <c r="X6" s="303" t="s">
        <v>17</v>
      </c>
      <c r="Y6" s="303" t="s">
        <v>397</v>
      </c>
      <c r="Z6" s="303" t="s">
        <v>398</v>
      </c>
      <c r="AA6" s="303"/>
      <c r="AB6" s="303" t="s">
        <v>378</v>
      </c>
      <c r="AC6" s="303"/>
      <c r="AD6" s="303" t="s">
        <v>379</v>
      </c>
      <c r="AE6" s="303"/>
      <c r="AF6" s="23"/>
      <c r="AG6" s="24" t="s">
        <v>19</v>
      </c>
      <c r="AH6" s="25" t="s">
        <v>401</v>
      </c>
      <c r="AI6" s="293"/>
      <c r="AJ6" s="24" t="s">
        <v>19</v>
      </c>
      <c r="AK6" s="25" t="s">
        <v>401</v>
      </c>
      <c r="AL6" s="293"/>
      <c r="AM6" s="24" t="s">
        <v>19</v>
      </c>
      <c r="AN6" s="25" t="s">
        <v>401</v>
      </c>
      <c r="AO6" s="293"/>
      <c r="AP6" s="24" t="s">
        <v>19</v>
      </c>
      <c r="AQ6" s="25" t="s">
        <v>341</v>
      </c>
      <c r="AR6" s="293"/>
      <c r="AS6" s="24" t="s">
        <v>19</v>
      </c>
      <c r="AT6" s="25" t="s">
        <v>341</v>
      </c>
      <c r="AU6" s="293"/>
      <c r="AV6" s="24" t="s">
        <v>19</v>
      </c>
      <c r="AW6" s="25" t="s">
        <v>341</v>
      </c>
      <c r="AX6" s="293"/>
      <c r="AY6" s="24" t="s">
        <v>19</v>
      </c>
      <c r="AZ6" s="25" t="s">
        <v>341</v>
      </c>
      <c r="BA6" s="26" t="s">
        <v>12</v>
      </c>
    </row>
    <row r="7" spans="1:53">
      <c r="A7" s="22"/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27"/>
      <c r="AG7" s="28"/>
      <c r="AH7" s="29"/>
      <c r="AI7" s="27"/>
      <c r="AJ7" s="28"/>
      <c r="AK7" s="29"/>
      <c r="AL7" s="27"/>
      <c r="AM7" s="28"/>
      <c r="AN7" s="29"/>
      <c r="AO7" s="27"/>
      <c r="AP7" s="28"/>
      <c r="AQ7" s="29"/>
      <c r="AR7" s="27"/>
      <c r="AS7" s="28"/>
      <c r="AT7" s="29"/>
      <c r="AU7" s="27"/>
      <c r="AV7" s="28"/>
      <c r="AW7" s="29"/>
      <c r="AX7" s="27"/>
      <c r="AY7" s="28"/>
      <c r="AZ7" s="29"/>
      <c r="BA7" s="59"/>
    </row>
    <row r="8" spans="1:53">
      <c r="A8" s="30"/>
      <c r="B8" s="31" t="s">
        <v>414</v>
      </c>
      <c r="C8" s="31" t="s">
        <v>415</v>
      </c>
      <c r="D8" s="31" t="s">
        <v>417</v>
      </c>
      <c r="E8" s="32" t="s">
        <v>406</v>
      </c>
      <c r="F8" s="33">
        <v>8.4</v>
      </c>
      <c r="G8" s="74"/>
      <c r="H8" s="70" t="s">
        <v>20</v>
      </c>
      <c r="I8" s="77">
        <f>IF(H8=Tablas!$B$5,Tablas!$C$5,VLOOKUP(H8,Tablas!$B$5:$D$40,2,FALSE))</f>
        <v>19</v>
      </c>
      <c r="J8" s="65">
        <f>IF(I8=0,"",VLOOKUP(I8,Tablas!$C$5:$D$40,2,FALSE))</f>
        <v>21.726190476190478</v>
      </c>
      <c r="K8" s="34" t="str">
        <f>IF(G8=0,"0",F8/G8)</f>
        <v>0</v>
      </c>
      <c r="L8" s="35">
        <f t="shared" ref="L8:L39" si="1">IF($X8=3,$K8,0)+IF($X8=4,$K8,0)+IF($X8=5,$K8,0)+IF($X8=6,$K8,0)+IF($X8=7,$K8,0)+IF($X8=10,$K8*2,0)+IF($X8=12,$K8*2,0)+IF($X8=14,$K8*2,0)+IF($X8=21,$K8*3,0)+IF($X8&lt;=1,$K8*$J8/21.75,0)+IF($X8=15,$K8*3,0)</f>
        <v>0</v>
      </c>
      <c r="M8" s="35">
        <f t="shared" ref="M8:M39" si="2">IF($X8=2,$K8,0)+IF($X8=4,$K8,0)+IF($X8=5,$K8,0)+IF($X8=6,$K8,0)+IF($X8=7,$K8,0)+IF($X8=10,$K8*2,0)+IF($X8=12,$K8*2,0)+IF($X8=14,$K8*2,0)+IF($X8=15,$K8*3,0)+IF($X8=21,$K8*3,0)+IF($X8&lt;=1,$K8*$J8/21.75,0)</f>
        <v>0</v>
      </c>
      <c r="N8" s="35">
        <f t="shared" ref="N8:N39" si="3">IF($X8=3,$K8,0)+IF($X8=4,$K8,0)+IF($X8=5,$K8,0)+IF($X8=6,$K8,0)+IF($X8=7,$K8,0)+IF($X8=10,$K8*2,0)+IF($X8=12,$K8*2,0)+IF($X8=14,$K8*2,0)+IF($X8=21,$K8*3,0)+IF($X8&lt;=1,$K8*$J8/21.75,0)+IF($X8=15,$K8*3,0)</f>
        <v>0</v>
      </c>
      <c r="O8" s="35">
        <f t="shared" ref="O8:O39" si="4">IF($X8=2,$K8,0)+IF($X8=4,$K8,0)+IF($X8=5,$K8,0)+IF($X8=6,$K8,0)+IF($X8=7,$K8,0)+IF($X8=10,$K8*2,0)+IF($X8=12,$K8*2,0)+IF($X8=14,$K8*2,0)+IF($X8=15,$K8*3,0)+IF($X8=21,$K8*3,0)+IF($X8&lt;=1,$K8*$J8/21.75,0)</f>
        <v>0</v>
      </c>
      <c r="P8" s="35">
        <f t="shared" ref="P8:P39" si="5">IF($X8=3,$K8,0)+IF($X8=4,$K8,0)+IF($X8=5,$K8,0)+IF($X8=6,$K8,0)+IF($X8=7,$K8,0)+IF($X8=10,$K8*2,0)+IF($X8=12,$K8*2,0)+IF($X8=14,$K8*2,0)+IF($X8=21,$K8*3,0)+IF($X8&lt;=1,$K8*$J8/21.75,0)+IF($X8=15,$K8*3,0)</f>
        <v>0</v>
      </c>
      <c r="Q8" s="36">
        <v>0.75</v>
      </c>
      <c r="R8" s="37">
        <f t="shared" ref="R8:R39" si="6">(IF($X8=6,$K8,)+IF($X8=7,$K8,)+IF($X8=12,$K8*2,)+IF($X8=18,$K8*3,)+IF($X8=21,$K8*3,)+IF($X8=14,$K8*2,))*Q8</f>
        <v>0</v>
      </c>
      <c r="S8" s="36">
        <v>0.75</v>
      </c>
      <c r="T8" s="38">
        <f t="shared" ref="T8:T39" si="7">(IF($X8=7,$K8,)+IF($X8=21,$K8*3,)+IF($X8=14,$K8*2,))*S8</f>
        <v>0</v>
      </c>
      <c r="U8" s="39">
        <f t="shared" ref="U8:U39" si="8">SUM(+L8+M8+N8+O8+P8+R8+T8)</f>
        <v>0</v>
      </c>
      <c r="V8" s="40">
        <f t="shared" ref="V8:V98" si="9">+U8*4.345</f>
        <v>0</v>
      </c>
      <c r="W8" s="41">
        <f t="shared" ref="W8:W39" si="10">IF(V8="","",$W$4*V8)</f>
        <v>0</v>
      </c>
      <c r="X8" s="42">
        <f t="shared" ref="X8:X39" si="11">ROUND(J8/4.3452380952381,1)</f>
        <v>5</v>
      </c>
      <c r="Y8" s="43" t="s">
        <v>395</v>
      </c>
      <c r="Z8" s="36">
        <v>1</v>
      </c>
      <c r="AA8" s="44">
        <f t="shared" ref="AA8:AA39" si="12">+IF($Y8="M",$U8,IF($Y8="MT",$U8/2,IF(Y8="MN",$U8/2,IF($Y8="MTN",$U8/3,0))))*Z8</f>
        <v>0</v>
      </c>
      <c r="AB8" s="36">
        <v>1</v>
      </c>
      <c r="AC8" s="44">
        <f t="shared" ref="AC8:AC39" si="13">+IF($Y8="T",$U8,IF($Y8="MT",$U8/2,IF($Y8="TN",$U8/2,IF($Y8="MTN",$U8/3,0))))*AB8</f>
        <v>0</v>
      </c>
      <c r="AD8" s="36">
        <v>1</v>
      </c>
      <c r="AE8" s="44">
        <f t="shared" ref="AE8:AE39" si="14">+IF($Y8="N",$U8,IF($Y8="MN",$U8/2,IF($Y8="TN",$U8/2,IF($Y8="MTN",$U8/3,0))))*AD8</f>
        <v>0</v>
      </c>
      <c r="AF8" s="45">
        <v>5.2140000000000004</v>
      </c>
      <c r="AG8" s="46" t="e">
        <f t="shared" ref="AG8:AG98" si="15">+AF8/AH$4</f>
        <v>#DIV/0!</v>
      </c>
      <c r="AH8" s="47" t="e">
        <f t="shared" ref="AH8:AH98" si="16">AG8*AG$4/12</f>
        <v>#DIV/0!</v>
      </c>
      <c r="AI8" s="45">
        <v>5.21</v>
      </c>
      <c r="AJ8" s="46" t="e">
        <f t="shared" ref="AJ8:AJ98" si="17">+AI8/AK$4</f>
        <v>#DIV/0!</v>
      </c>
      <c r="AK8" s="47" t="e">
        <f t="shared" ref="AK8:AK98" si="18">AJ8*AJ$4/12</f>
        <v>#DIV/0!</v>
      </c>
      <c r="AL8" s="45">
        <v>8.4</v>
      </c>
      <c r="AM8" s="46" t="e">
        <f t="shared" ref="AM8:AM98" si="19">+AL8/AN$4</f>
        <v>#DIV/0!</v>
      </c>
      <c r="AN8" s="47" t="e">
        <f t="shared" ref="AN8:AN98" si="20">AM8*AM$4/12</f>
        <v>#DIV/0!</v>
      </c>
      <c r="AO8" s="45"/>
      <c r="AP8" s="46" t="e">
        <f t="shared" ref="AP8:AP98" si="21">+AO8/AQ$4</f>
        <v>#DIV/0!</v>
      </c>
      <c r="AQ8" s="47" t="e">
        <f t="shared" ref="AQ8:AQ98" si="22">AP8*AP$4/12</f>
        <v>#DIV/0!</v>
      </c>
      <c r="AR8" s="45"/>
      <c r="AS8" s="46">
        <f t="shared" ref="AS8:AS98" si="23">+AR8/AT$4</f>
        <v>0</v>
      </c>
      <c r="AT8" s="47">
        <f t="shared" ref="AT8:AT98" si="24">AS8*AS$4/12</f>
        <v>0</v>
      </c>
      <c r="AU8" s="45">
        <v>8.4</v>
      </c>
      <c r="AV8" s="46" t="e">
        <f t="shared" ref="AV8:AV98" si="25">+AU8/AW$4</f>
        <v>#DIV/0!</v>
      </c>
      <c r="AW8" s="47" t="e">
        <f t="shared" ref="AW8:AW98" si="26">AV8*AV$4/12</f>
        <v>#DIV/0!</v>
      </c>
      <c r="AX8" s="45"/>
      <c r="AY8" s="46">
        <f t="shared" ref="AY8:AY98" si="27">+AX8/AZ$4</f>
        <v>0</v>
      </c>
      <c r="AZ8" s="47">
        <f t="shared" ref="AZ8:AZ98" si="28">AY8*AY$4/12</f>
        <v>0</v>
      </c>
      <c r="BA8" s="48" t="e">
        <f t="shared" ref="BA8:BA98" si="29">+AH8+AK8+AN8+AQ8+AT8+AW8+AZ8</f>
        <v>#DIV/0!</v>
      </c>
    </row>
    <row r="9" spans="1:53">
      <c r="A9" s="30"/>
      <c r="B9" s="31" t="s">
        <v>414</v>
      </c>
      <c r="C9" s="31" t="s">
        <v>415</v>
      </c>
      <c r="D9" s="31" t="s">
        <v>343</v>
      </c>
      <c r="E9" s="32" t="s">
        <v>406</v>
      </c>
      <c r="F9" s="33">
        <v>27.45</v>
      </c>
      <c r="G9" s="74"/>
      <c r="H9" s="70" t="s">
        <v>20</v>
      </c>
      <c r="I9" s="77">
        <f>IF(H9=Tablas!$B$5,Tablas!$C$5,VLOOKUP(H9,Tablas!$B$5:$D$40,2,FALSE))</f>
        <v>19</v>
      </c>
      <c r="J9" s="65">
        <f>IF(I9=0,"",VLOOKUP(I9,Tablas!$C$5:$D$40,2,FALSE))</f>
        <v>21.726190476190478</v>
      </c>
      <c r="K9" s="34" t="str">
        <f t="shared" ref="K9:K98" si="30">IF(G9=0,"0",F9/G9)</f>
        <v>0</v>
      </c>
      <c r="L9" s="35">
        <f t="shared" si="1"/>
        <v>0</v>
      </c>
      <c r="M9" s="35">
        <f t="shared" si="2"/>
        <v>0</v>
      </c>
      <c r="N9" s="35">
        <f t="shared" si="3"/>
        <v>0</v>
      </c>
      <c r="O9" s="35">
        <f t="shared" si="4"/>
        <v>0</v>
      </c>
      <c r="P9" s="35">
        <f t="shared" si="5"/>
        <v>0</v>
      </c>
      <c r="Q9" s="36">
        <v>0.75</v>
      </c>
      <c r="R9" s="37">
        <f t="shared" si="6"/>
        <v>0</v>
      </c>
      <c r="S9" s="36">
        <v>0.75</v>
      </c>
      <c r="T9" s="38">
        <f t="shared" si="7"/>
        <v>0</v>
      </c>
      <c r="U9" s="39">
        <f t="shared" si="8"/>
        <v>0</v>
      </c>
      <c r="V9" s="40">
        <f t="shared" si="9"/>
        <v>0</v>
      </c>
      <c r="W9" s="41">
        <f t="shared" si="10"/>
        <v>0</v>
      </c>
      <c r="X9" s="42">
        <f t="shared" si="11"/>
        <v>5</v>
      </c>
      <c r="Y9" s="43" t="s">
        <v>395</v>
      </c>
      <c r="Z9" s="36">
        <v>1</v>
      </c>
      <c r="AA9" s="44">
        <f t="shared" si="12"/>
        <v>0</v>
      </c>
      <c r="AB9" s="36">
        <v>1</v>
      </c>
      <c r="AC9" s="44">
        <f t="shared" si="13"/>
        <v>0</v>
      </c>
      <c r="AD9" s="36">
        <v>1</v>
      </c>
      <c r="AE9" s="44">
        <f t="shared" si="14"/>
        <v>0</v>
      </c>
      <c r="AF9" s="45">
        <v>4</v>
      </c>
      <c r="AG9" s="46" t="e">
        <f t="shared" si="15"/>
        <v>#DIV/0!</v>
      </c>
      <c r="AH9" s="47" t="e">
        <f t="shared" si="16"/>
        <v>#DIV/0!</v>
      </c>
      <c r="AI9" s="45">
        <v>2.7</v>
      </c>
      <c r="AJ9" s="46" t="e">
        <f t="shared" si="17"/>
        <v>#DIV/0!</v>
      </c>
      <c r="AK9" s="47" t="e">
        <f t="shared" si="18"/>
        <v>#DIV/0!</v>
      </c>
      <c r="AL9" s="45">
        <v>27.45</v>
      </c>
      <c r="AM9" s="46" t="e">
        <f t="shared" si="19"/>
        <v>#DIV/0!</v>
      </c>
      <c r="AN9" s="47" t="e">
        <f t="shared" si="20"/>
        <v>#DIV/0!</v>
      </c>
      <c r="AO9" s="45"/>
      <c r="AP9" s="46" t="e">
        <f t="shared" si="21"/>
        <v>#DIV/0!</v>
      </c>
      <c r="AQ9" s="47" t="e">
        <f t="shared" si="22"/>
        <v>#DIV/0!</v>
      </c>
      <c r="AR9" s="45"/>
      <c r="AS9" s="46">
        <f t="shared" si="23"/>
        <v>0</v>
      </c>
      <c r="AT9" s="47">
        <f t="shared" si="24"/>
        <v>0</v>
      </c>
      <c r="AU9" s="45">
        <v>27.45</v>
      </c>
      <c r="AV9" s="46" t="e">
        <f t="shared" si="25"/>
        <v>#DIV/0!</v>
      </c>
      <c r="AW9" s="47" t="e">
        <f t="shared" si="26"/>
        <v>#DIV/0!</v>
      </c>
      <c r="AX9" s="45"/>
      <c r="AY9" s="46">
        <f t="shared" si="27"/>
        <v>0</v>
      </c>
      <c r="AZ9" s="47">
        <f t="shared" si="28"/>
        <v>0</v>
      </c>
      <c r="BA9" s="48" t="e">
        <f t="shared" si="29"/>
        <v>#DIV/0!</v>
      </c>
    </row>
    <row r="10" spans="1:53">
      <c r="A10" s="30"/>
      <c r="B10" s="31" t="s">
        <v>414</v>
      </c>
      <c r="C10" s="31" t="s">
        <v>415</v>
      </c>
      <c r="D10" s="31" t="s">
        <v>418</v>
      </c>
      <c r="E10" s="32" t="s">
        <v>406</v>
      </c>
      <c r="F10" s="33">
        <v>23.22</v>
      </c>
      <c r="G10" s="74"/>
      <c r="H10" s="70" t="s">
        <v>20</v>
      </c>
      <c r="I10" s="77">
        <f>IF(H10=Tablas!$B$5,Tablas!$C$5,VLOOKUP(H10,Tablas!$B$5:$D$40,2,FALSE))</f>
        <v>19</v>
      </c>
      <c r="J10" s="65">
        <f>IF(I10=0,"",VLOOKUP(I10,Tablas!$C$5:$D$40,2,FALSE))</f>
        <v>21.726190476190478</v>
      </c>
      <c r="K10" s="34" t="str">
        <f t="shared" si="30"/>
        <v>0</v>
      </c>
      <c r="L10" s="35">
        <f t="shared" si="1"/>
        <v>0</v>
      </c>
      <c r="M10" s="35">
        <f t="shared" si="2"/>
        <v>0</v>
      </c>
      <c r="N10" s="35">
        <f t="shared" si="3"/>
        <v>0</v>
      </c>
      <c r="O10" s="35">
        <f t="shared" si="4"/>
        <v>0</v>
      </c>
      <c r="P10" s="35">
        <f t="shared" si="5"/>
        <v>0</v>
      </c>
      <c r="Q10" s="36">
        <v>0.75</v>
      </c>
      <c r="R10" s="37">
        <f t="shared" si="6"/>
        <v>0</v>
      </c>
      <c r="S10" s="36">
        <v>0.75</v>
      </c>
      <c r="T10" s="38">
        <f t="shared" si="7"/>
        <v>0</v>
      </c>
      <c r="U10" s="39">
        <f t="shared" si="8"/>
        <v>0</v>
      </c>
      <c r="V10" s="40">
        <f t="shared" si="9"/>
        <v>0</v>
      </c>
      <c r="W10" s="41">
        <f t="shared" si="10"/>
        <v>0</v>
      </c>
      <c r="X10" s="42">
        <f t="shared" si="11"/>
        <v>5</v>
      </c>
      <c r="Y10" s="43" t="s">
        <v>395</v>
      </c>
      <c r="Z10" s="36">
        <v>1</v>
      </c>
      <c r="AA10" s="44">
        <f t="shared" si="12"/>
        <v>0</v>
      </c>
      <c r="AB10" s="36">
        <v>1</v>
      </c>
      <c r="AC10" s="44">
        <f t="shared" si="13"/>
        <v>0</v>
      </c>
      <c r="AD10" s="36">
        <v>1</v>
      </c>
      <c r="AE10" s="44">
        <f t="shared" si="14"/>
        <v>0</v>
      </c>
      <c r="AF10" s="45"/>
      <c r="AG10" s="46" t="e">
        <f t="shared" si="15"/>
        <v>#DIV/0!</v>
      </c>
      <c r="AH10" s="47" t="e">
        <f t="shared" si="16"/>
        <v>#DIV/0!</v>
      </c>
      <c r="AI10" s="45">
        <v>2.7</v>
      </c>
      <c r="AJ10" s="46" t="e">
        <f t="shared" si="17"/>
        <v>#DIV/0!</v>
      </c>
      <c r="AK10" s="47" t="e">
        <f t="shared" si="18"/>
        <v>#DIV/0!</v>
      </c>
      <c r="AL10" s="45">
        <v>23.22</v>
      </c>
      <c r="AM10" s="46" t="e">
        <f t="shared" si="19"/>
        <v>#DIV/0!</v>
      </c>
      <c r="AN10" s="47" t="e">
        <f t="shared" si="20"/>
        <v>#DIV/0!</v>
      </c>
      <c r="AO10" s="45"/>
      <c r="AP10" s="46" t="e">
        <f t="shared" si="21"/>
        <v>#DIV/0!</v>
      </c>
      <c r="AQ10" s="47" t="e">
        <f t="shared" si="22"/>
        <v>#DIV/0!</v>
      </c>
      <c r="AR10" s="45"/>
      <c r="AS10" s="46">
        <f t="shared" si="23"/>
        <v>0</v>
      </c>
      <c r="AT10" s="47">
        <f t="shared" si="24"/>
        <v>0</v>
      </c>
      <c r="AU10" s="45">
        <v>23.22</v>
      </c>
      <c r="AV10" s="46" t="e">
        <f t="shared" si="25"/>
        <v>#DIV/0!</v>
      </c>
      <c r="AW10" s="47" t="e">
        <f t="shared" si="26"/>
        <v>#DIV/0!</v>
      </c>
      <c r="AX10" s="45"/>
      <c r="AY10" s="46">
        <f t="shared" si="27"/>
        <v>0</v>
      </c>
      <c r="AZ10" s="47">
        <f t="shared" si="28"/>
        <v>0</v>
      </c>
      <c r="BA10" s="48" t="e">
        <f t="shared" si="29"/>
        <v>#DIV/0!</v>
      </c>
    </row>
    <row r="11" spans="1:53">
      <c r="A11" s="30"/>
      <c r="B11" s="31" t="s">
        <v>414</v>
      </c>
      <c r="C11" s="31" t="s">
        <v>415</v>
      </c>
      <c r="D11" s="31" t="s">
        <v>75</v>
      </c>
      <c r="E11" s="32" t="s">
        <v>406</v>
      </c>
      <c r="F11" s="33">
        <f>74.26-15</f>
        <v>59.260000000000005</v>
      </c>
      <c r="G11" s="74"/>
      <c r="H11" s="70" t="s">
        <v>20</v>
      </c>
      <c r="I11" s="77">
        <f>IF(H11=Tablas!$B$5,Tablas!$C$5,VLOOKUP(H11,Tablas!$B$5:$D$40,2,FALSE))</f>
        <v>19</v>
      </c>
      <c r="J11" s="65">
        <f>IF(I11=0,"",VLOOKUP(I11,Tablas!$C$5:$D$40,2,FALSE))</f>
        <v>21.726190476190478</v>
      </c>
      <c r="K11" s="34" t="str">
        <f t="shared" si="30"/>
        <v>0</v>
      </c>
      <c r="L11" s="35">
        <f t="shared" si="1"/>
        <v>0</v>
      </c>
      <c r="M11" s="35">
        <f t="shared" si="2"/>
        <v>0</v>
      </c>
      <c r="N11" s="35">
        <f t="shared" si="3"/>
        <v>0</v>
      </c>
      <c r="O11" s="35">
        <f t="shared" si="4"/>
        <v>0</v>
      </c>
      <c r="P11" s="35">
        <f t="shared" si="5"/>
        <v>0</v>
      </c>
      <c r="Q11" s="36">
        <v>0.75</v>
      </c>
      <c r="R11" s="37">
        <f t="shared" si="6"/>
        <v>0</v>
      </c>
      <c r="S11" s="36">
        <v>0.75</v>
      </c>
      <c r="T11" s="38">
        <f t="shared" si="7"/>
        <v>0</v>
      </c>
      <c r="U11" s="39">
        <f t="shared" si="8"/>
        <v>0</v>
      </c>
      <c r="V11" s="40">
        <f t="shared" si="9"/>
        <v>0</v>
      </c>
      <c r="W11" s="41">
        <f t="shared" si="10"/>
        <v>0</v>
      </c>
      <c r="X11" s="42">
        <f t="shared" si="11"/>
        <v>5</v>
      </c>
      <c r="Y11" s="43" t="s">
        <v>395</v>
      </c>
      <c r="Z11" s="36">
        <v>1</v>
      </c>
      <c r="AA11" s="44">
        <f t="shared" si="12"/>
        <v>0</v>
      </c>
      <c r="AB11" s="36">
        <v>1</v>
      </c>
      <c r="AC11" s="44">
        <f t="shared" si="13"/>
        <v>0</v>
      </c>
      <c r="AD11" s="36">
        <v>1</v>
      </c>
      <c r="AE11" s="44">
        <f t="shared" si="14"/>
        <v>0</v>
      </c>
      <c r="AF11" s="45"/>
      <c r="AG11" s="46" t="e">
        <f t="shared" si="15"/>
        <v>#DIV/0!</v>
      </c>
      <c r="AH11" s="47" t="e">
        <f t="shared" si="16"/>
        <v>#DIV/0!</v>
      </c>
      <c r="AI11" s="45">
        <v>4.5</v>
      </c>
      <c r="AJ11" s="46" t="e">
        <f t="shared" si="17"/>
        <v>#DIV/0!</v>
      </c>
      <c r="AK11" s="47" t="e">
        <f t="shared" si="18"/>
        <v>#DIV/0!</v>
      </c>
      <c r="AL11" s="45">
        <v>59.260000000000005</v>
      </c>
      <c r="AM11" s="46" t="e">
        <f t="shared" si="19"/>
        <v>#DIV/0!</v>
      </c>
      <c r="AN11" s="47" t="e">
        <f t="shared" si="20"/>
        <v>#DIV/0!</v>
      </c>
      <c r="AO11" s="45"/>
      <c r="AP11" s="46" t="e">
        <f t="shared" si="21"/>
        <v>#DIV/0!</v>
      </c>
      <c r="AQ11" s="47" t="e">
        <f t="shared" si="22"/>
        <v>#DIV/0!</v>
      </c>
      <c r="AR11" s="45"/>
      <c r="AS11" s="46">
        <f t="shared" si="23"/>
        <v>0</v>
      </c>
      <c r="AT11" s="47">
        <f t="shared" si="24"/>
        <v>0</v>
      </c>
      <c r="AU11" s="45">
        <v>59.260000000000005</v>
      </c>
      <c r="AV11" s="46" t="e">
        <f t="shared" si="25"/>
        <v>#DIV/0!</v>
      </c>
      <c r="AW11" s="47" t="e">
        <f t="shared" si="26"/>
        <v>#DIV/0!</v>
      </c>
      <c r="AX11" s="45"/>
      <c r="AY11" s="46">
        <f t="shared" si="27"/>
        <v>0</v>
      </c>
      <c r="AZ11" s="47">
        <f t="shared" si="28"/>
        <v>0</v>
      </c>
      <c r="BA11" s="48" t="e">
        <f t="shared" si="29"/>
        <v>#DIV/0!</v>
      </c>
    </row>
    <row r="12" spans="1:53">
      <c r="A12" s="30"/>
      <c r="B12" s="31" t="s">
        <v>414</v>
      </c>
      <c r="C12" s="31" t="s">
        <v>415</v>
      </c>
      <c r="D12" s="31" t="s">
        <v>479</v>
      </c>
      <c r="E12" s="32" t="s">
        <v>406</v>
      </c>
      <c r="F12" s="33">
        <v>15</v>
      </c>
      <c r="G12" s="74"/>
      <c r="H12" s="70" t="s">
        <v>20</v>
      </c>
      <c r="I12" s="77">
        <f>IF(H12=Tablas!$B$5,Tablas!$C$5,VLOOKUP(H12,Tablas!$B$5:$D$40,2,FALSE))</f>
        <v>19</v>
      </c>
      <c r="J12" s="65">
        <f>IF(I12=0,"",VLOOKUP(I12,Tablas!$C$5:$D$40,2,FALSE))</f>
        <v>21.726190476190478</v>
      </c>
      <c r="K12" s="34" t="str">
        <f t="shared" si="30"/>
        <v>0</v>
      </c>
      <c r="L12" s="35">
        <f t="shared" si="1"/>
        <v>0</v>
      </c>
      <c r="M12" s="35">
        <f t="shared" si="2"/>
        <v>0</v>
      </c>
      <c r="N12" s="35">
        <f t="shared" si="3"/>
        <v>0</v>
      </c>
      <c r="O12" s="35">
        <f t="shared" si="4"/>
        <v>0</v>
      </c>
      <c r="P12" s="35">
        <f t="shared" si="5"/>
        <v>0</v>
      </c>
      <c r="Q12" s="36">
        <v>0.75</v>
      </c>
      <c r="R12" s="37">
        <f t="shared" si="6"/>
        <v>0</v>
      </c>
      <c r="S12" s="36">
        <v>0.75</v>
      </c>
      <c r="T12" s="38">
        <f t="shared" si="7"/>
        <v>0</v>
      </c>
      <c r="U12" s="39">
        <f t="shared" si="8"/>
        <v>0</v>
      </c>
      <c r="V12" s="40">
        <f t="shared" si="9"/>
        <v>0</v>
      </c>
      <c r="W12" s="41">
        <f t="shared" si="10"/>
        <v>0</v>
      </c>
      <c r="X12" s="42">
        <f t="shared" si="11"/>
        <v>5</v>
      </c>
      <c r="Y12" s="43" t="s">
        <v>395</v>
      </c>
      <c r="Z12" s="36">
        <v>1</v>
      </c>
      <c r="AA12" s="44">
        <f t="shared" si="12"/>
        <v>0</v>
      </c>
      <c r="AB12" s="36">
        <v>1</v>
      </c>
      <c r="AC12" s="44">
        <f t="shared" si="13"/>
        <v>0</v>
      </c>
      <c r="AD12" s="36">
        <v>1</v>
      </c>
      <c r="AE12" s="44">
        <f t="shared" si="14"/>
        <v>0</v>
      </c>
      <c r="AF12" s="45"/>
      <c r="AG12" s="46" t="e">
        <f t="shared" si="15"/>
        <v>#DIV/0!</v>
      </c>
      <c r="AH12" s="47" t="e">
        <f t="shared" si="16"/>
        <v>#DIV/0!</v>
      </c>
      <c r="AI12" s="45"/>
      <c r="AJ12" s="46" t="e">
        <f t="shared" si="17"/>
        <v>#DIV/0!</v>
      </c>
      <c r="AK12" s="47" t="e">
        <f t="shared" si="18"/>
        <v>#DIV/0!</v>
      </c>
      <c r="AL12" s="45">
        <v>15</v>
      </c>
      <c r="AM12" s="46" t="e">
        <f t="shared" si="19"/>
        <v>#DIV/0!</v>
      </c>
      <c r="AN12" s="47" t="e">
        <f t="shared" si="20"/>
        <v>#DIV/0!</v>
      </c>
      <c r="AO12" s="45"/>
      <c r="AP12" s="46" t="e">
        <f t="shared" si="21"/>
        <v>#DIV/0!</v>
      </c>
      <c r="AQ12" s="47" t="e">
        <f t="shared" si="22"/>
        <v>#DIV/0!</v>
      </c>
      <c r="AR12" s="45"/>
      <c r="AS12" s="46">
        <f t="shared" si="23"/>
        <v>0</v>
      </c>
      <c r="AT12" s="47">
        <f t="shared" si="24"/>
        <v>0</v>
      </c>
      <c r="AU12" s="45">
        <v>15</v>
      </c>
      <c r="AV12" s="46" t="e">
        <f t="shared" si="25"/>
        <v>#DIV/0!</v>
      </c>
      <c r="AW12" s="47" t="e">
        <f t="shared" si="26"/>
        <v>#DIV/0!</v>
      </c>
      <c r="AX12" s="45"/>
      <c r="AY12" s="46">
        <f t="shared" si="27"/>
        <v>0</v>
      </c>
      <c r="AZ12" s="47">
        <f t="shared" si="28"/>
        <v>0</v>
      </c>
      <c r="BA12" s="48" t="e">
        <f t="shared" si="29"/>
        <v>#DIV/0!</v>
      </c>
    </row>
    <row r="13" spans="1:53">
      <c r="A13" s="30"/>
      <c r="B13" s="31" t="s">
        <v>414</v>
      </c>
      <c r="C13" s="31" t="s">
        <v>415</v>
      </c>
      <c r="D13" s="31" t="s">
        <v>419</v>
      </c>
      <c r="E13" s="32" t="s">
        <v>406</v>
      </c>
      <c r="F13" s="33">
        <v>2.81</v>
      </c>
      <c r="G13" s="74"/>
      <c r="H13" s="70" t="s">
        <v>20</v>
      </c>
      <c r="I13" s="77">
        <f>IF(H13=Tablas!$B$5,Tablas!$C$5,VLOOKUP(H13,Tablas!$B$5:$D$40,2,FALSE))</f>
        <v>19</v>
      </c>
      <c r="J13" s="65">
        <f>IF(I13=0,"",VLOOKUP(I13,Tablas!$C$5:$D$40,2,FALSE))</f>
        <v>21.726190476190478</v>
      </c>
      <c r="K13" s="34" t="str">
        <f t="shared" si="30"/>
        <v>0</v>
      </c>
      <c r="L13" s="35">
        <f t="shared" si="1"/>
        <v>0</v>
      </c>
      <c r="M13" s="35">
        <f t="shared" si="2"/>
        <v>0</v>
      </c>
      <c r="N13" s="35">
        <f t="shared" si="3"/>
        <v>0</v>
      </c>
      <c r="O13" s="35">
        <f t="shared" si="4"/>
        <v>0</v>
      </c>
      <c r="P13" s="35">
        <f t="shared" si="5"/>
        <v>0</v>
      </c>
      <c r="Q13" s="36">
        <v>0.75</v>
      </c>
      <c r="R13" s="37">
        <f t="shared" si="6"/>
        <v>0</v>
      </c>
      <c r="S13" s="36">
        <v>0.75</v>
      </c>
      <c r="T13" s="38">
        <f t="shared" si="7"/>
        <v>0</v>
      </c>
      <c r="U13" s="39">
        <f t="shared" si="8"/>
        <v>0</v>
      </c>
      <c r="V13" s="40">
        <f t="shared" si="9"/>
        <v>0</v>
      </c>
      <c r="W13" s="41">
        <f t="shared" si="10"/>
        <v>0</v>
      </c>
      <c r="X13" s="42">
        <f t="shared" si="11"/>
        <v>5</v>
      </c>
      <c r="Y13" s="43" t="s">
        <v>395</v>
      </c>
      <c r="Z13" s="36">
        <v>1</v>
      </c>
      <c r="AA13" s="44">
        <f t="shared" si="12"/>
        <v>0</v>
      </c>
      <c r="AB13" s="36">
        <v>1</v>
      </c>
      <c r="AC13" s="44">
        <f t="shared" si="13"/>
        <v>0</v>
      </c>
      <c r="AD13" s="36">
        <v>1</v>
      </c>
      <c r="AE13" s="44">
        <f t="shared" si="14"/>
        <v>0</v>
      </c>
      <c r="AF13" s="45"/>
      <c r="AG13" s="46" t="e">
        <f t="shared" ref="AG13:AG60" si="31">+AF13/AH$4</f>
        <v>#DIV/0!</v>
      </c>
      <c r="AH13" s="47" t="e">
        <f t="shared" ref="AH13:AH60" si="32">AG13*AG$4/12</f>
        <v>#DIV/0!</v>
      </c>
      <c r="AI13" s="45"/>
      <c r="AJ13" s="46" t="e">
        <f t="shared" ref="AJ13:AJ60" si="33">+AI13/AK$4</f>
        <v>#DIV/0!</v>
      </c>
      <c r="AK13" s="47" t="e">
        <f t="shared" ref="AK13:AK60" si="34">AJ13*AJ$4/12</f>
        <v>#DIV/0!</v>
      </c>
      <c r="AL13" s="45">
        <v>2.81</v>
      </c>
      <c r="AM13" s="46" t="e">
        <f t="shared" ref="AM13:AM60" si="35">+AL13/AN$4</f>
        <v>#DIV/0!</v>
      </c>
      <c r="AN13" s="47" t="e">
        <f t="shared" ref="AN13:AN60" si="36">AM13*AM$4/12</f>
        <v>#DIV/0!</v>
      </c>
      <c r="AO13" s="45"/>
      <c r="AP13" s="46" t="e">
        <f t="shared" si="21"/>
        <v>#DIV/0!</v>
      </c>
      <c r="AQ13" s="47" t="e">
        <f t="shared" si="22"/>
        <v>#DIV/0!</v>
      </c>
      <c r="AR13" s="45"/>
      <c r="AS13" s="46">
        <f t="shared" si="23"/>
        <v>0</v>
      </c>
      <c r="AT13" s="47">
        <f t="shared" si="24"/>
        <v>0</v>
      </c>
      <c r="AU13" s="45">
        <f>+F13</f>
        <v>2.81</v>
      </c>
      <c r="AV13" s="46" t="e">
        <f t="shared" si="25"/>
        <v>#DIV/0!</v>
      </c>
      <c r="AW13" s="47" t="e">
        <f t="shared" si="26"/>
        <v>#DIV/0!</v>
      </c>
      <c r="AX13" s="45"/>
      <c r="AY13" s="46">
        <f t="shared" si="27"/>
        <v>0</v>
      </c>
      <c r="AZ13" s="47">
        <f t="shared" si="28"/>
        <v>0</v>
      </c>
      <c r="BA13" s="48" t="e">
        <f t="shared" si="29"/>
        <v>#DIV/0!</v>
      </c>
    </row>
    <row r="14" spans="1:53">
      <c r="A14" s="30"/>
      <c r="B14" s="31" t="s">
        <v>414</v>
      </c>
      <c r="C14" s="31" t="s">
        <v>415</v>
      </c>
      <c r="D14" s="31" t="s">
        <v>420</v>
      </c>
      <c r="E14" s="32" t="s">
        <v>448</v>
      </c>
      <c r="F14" s="33">
        <v>8.27</v>
      </c>
      <c r="G14" s="74"/>
      <c r="H14" s="70" t="s">
        <v>20</v>
      </c>
      <c r="I14" s="77">
        <f>IF(H14=Tablas!$B$5,Tablas!$C$5,VLOOKUP(H14,Tablas!$B$5:$D$40,2,FALSE))</f>
        <v>19</v>
      </c>
      <c r="J14" s="65">
        <f>IF(I14=0,"",VLOOKUP(I14,Tablas!$C$5:$D$40,2,FALSE))</f>
        <v>21.726190476190478</v>
      </c>
      <c r="K14" s="34" t="str">
        <f t="shared" si="30"/>
        <v>0</v>
      </c>
      <c r="L14" s="35">
        <f t="shared" si="1"/>
        <v>0</v>
      </c>
      <c r="M14" s="35">
        <f t="shared" si="2"/>
        <v>0</v>
      </c>
      <c r="N14" s="35">
        <f t="shared" si="3"/>
        <v>0</v>
      </c>
      <c r="O14" s="35">
        <f t="shared" si="4"/>
        <v>0</v>
      </c>
      <c r="P14" s="35">
        <f t="shared" si="5"/>
        <v>0</v>
      </c>
      <c r="Q14" s="36">
        <v>0.75</v>
      </c>
      <c r="R14" s="37">
        <f t="shared" si="6"/>
        <v>0</v>
      </c>
      <c r="S14" s="36">
        <v>0.75</v>
      </c>
      <c r="T14" s="38">
        <f t="shared" si="7"/>
        <v>0</v>
      </c>
      <c r="U14" s="39">
        <f t="shared" si="8"/>
        <v>0</v>
      </c>
      <c r="V14" s="40">
        <f t="shared" si="9"/>
        <v>0</v>
      </c>
      <c r="W14" s="41">
        <f t="shared" si="10"/>
        <v>0</v>
      </c>
      <c r="X14" s="42">
        <f t="shared" si="11"/>
        <v>5</v>
      </c>
      <c r="Y14" s="43" t="s">
        <v>395</v>
      </c>
      <c r="Z14" s="36">
        <v>1</v>
      </c>
      <c r="AA14" s="44">
        <f t="shared" si="12"/>
        <v>0</v>
      </c>
      <c r="AB14" s="36">
        <v>1</v>
      </c>
      <c r="AC14" s="44">
        <f t="shared" si="13"/>
        <v>0</v>
      </c>
      <c r="AD14" s="36">
        <v>1</v>
      </c>
      <c r="AE14" s="44">
        <f t="shared" si="14"/>
        <v>0</v>
      </c>
      <c r="AF14" s="45"/>
      <c r="AG14" s="46" t="e">
        <f t="shared" si="31"/>
        <v>#DIV/0!</v>
      </c>
      <c r="AH14" s="47" t="e">
        <f t="shared" si="32"/>
        <v>#DIV/0!</v>
      </c>
      <c r="AI14" s="45">
        <v>1.8</v>
      </c>
      <c r="AJ14" s="46" t="e">
        <f t="shared" si="33"/>
        <v>#DIV/0!</v>
      </c>
      <c r="AK14" s="47" t="e">
        <f t="shared" si="34"/>
        <v>#DIV/0!</v>
      </c>
      <c r="AL14" s="45">
        <v>8.27</v>
      </c>
      <c r="AM14" s="46" t="e">
        <f t="shared" si="35"/>
        <v>#DIV/0!</v>
      </c>
      <c r="AN14" s="47" t="e">
        <f t="shared" si="36"/>
        <v>#DIV/0!</v>
      </c>
      <c r="AO14" s="45"/>
      <c r="AP14" s="46" t="e">
        <f t="shared" si="21"/>
        <v>#DIV/0!</v>
      </c>
      <c r="AQ14" s="47" t="e">
        <f t="shared" si="22"/>
        <v>#DIV/0!</v>
      </c>
      <c r="AR14" s="45"/>
      <c r="AS14" s="46">
        <f t="shared" si="23"/>
        <v>0</v>
      </c>
      <c r="AT14" s="47">
        <f t="shared" si="24"/>
        <v>0</v>
      </c>
      <c r="AU14" s="45">
        <v>8.27</v>
      </c>
      <c r="AV14" s="46" t="e">
        <f t="shared" si="25"/>
        <v>#DIV/0!</v>
      </c>
      <c r="AW14" s="47" t="e">
        <f t="shared" si="26"/>
        <v>#DIV/0!</v>
      </c>
      <c r="AX14" s="45"/>
      <c r="AY14" s="46">
        <f t="shared" si="27"/>
        <v>0</v>
      </c>
      <c r="AZ14" s="47">
        <f t="shared" si="28"/>
        <v>0</v>
      </c>
      <c r="BA14" s="48" t="e">
        <f t="shared" si="29"/>
        <v>#DIV/0!</v>
      </c>
    </row>
    <row r="15" spans="1:53">
      <c r="A15" s="30"/>
      <c r="B15" s="31" t="s">
        <v>414</v>
      </c>
      <c r="C15" s="31" t="s">
        <v>415</v>
      </c>
      <c r="D15" s="31" t="s">
        <v>421</v>
      </c>
      <c r="E15" s="32" t="s">
        <v>406</v>
      </c>
      <c r="F15" s="33">
        <v>7.87</v>
      </c>
      <c r="G15" s="74"/>
      <c r="H15" s="70" t="s">
        <v>20</v>
      </c>
      <c r="I15" s="77">
        <f>IF(H15=Tablas!$B$5,Tablas!$C$5,VLOOKUP(H15,Tablas!$B$5:$D$40,2,FALSE))</f>
        <v>19</v>
      </c>
      <c r="J15" s="65">
        <f>IF(I15=0,"",VLOOKUP(I15,Tablas!$C$5:$D$40,2,FALSE))</f>
        <v>21.726190476190478</v>
      </c>
      <c r="K15" s="34" t="str">
        <f t="shared" si="30"/>
        <v>0</v>
      </c>
      <c r="L15" s="35">
        <f t="shared" si="1"/>
        <v>0</v>
      </c>
      <c r="M15" s="35">
        <f t="shared" si="2"/>
        <v>0</v>
      </c>
      <c r="N15" s="35">
        <f t="shared" si="3"/>
        <v>0</v>
      </c>
      <c r="O15" s="35">
        <f t="shared" si="4"/>
        <v>0</v>
      </c>
      <c r="P15" s="35">
        <f t="shared" si="5"/>
        <v>0</v>
      </c>
      <c r="Q15" s="36">
        <v>0.75</v>
      </c>
      <c r="R15" s="37">
        <f t="shared" si="6"/>
        <v>0</v>
      </c>
      <c r="S15" s="36">
        <v>0.75</v>
      </c>
      <c r="T15" s="38">
        <f t="shared" si="7"/>
        <v>0</v>
      </c>
      <c r="U15" s="39">
        <f t="shared" si="8"/>
        <v>0</v>
      </c>
      <c r="V15" s="40">
        <f t="shared" si="9"/>
        <v>0</v>
      </c>
      <c r="W15" s="41">
        <f t="shared" si="10"/>
        <v>0</v>
      </c>
      <c r="X15" s="42">
        <f t="shared" si="11"/>
        <v>5</v>
      </c>
      <c r="Y15" s="43" t="s">
        <v>395</v>
      </c>
      <c r="Z15" s="36">
        <v>1</v>
      </c>
      <c r="AA15" s="44">
        <f t="shared" si="12"/>
        <v>0</v>
      </c>
      <c r="AB15" s="36">
        <v>1</v>
      </c>
      <c r="AC15" s="44">
        <f t="shared" si="13"/>
        <v>0</v>
      </c>
      <c r="AD15" s="36">
        <v>1</v>
      </c>
      <c r="AE15" s="44">
        <f t="shared" si="14"/>
        <v>0</v>
      </c>
      <c r="AF15" s="45"/>
      <c r="AG15" s="46" t="e">
        <f t="shared" si="31"/>
        <v>#DIV/0!</v>
      </c>
      <c r="AH15" s="47" t="e">
        <f t="shared" si="32"/>
        <v>#DIV/0!</v>
      </c>
      <c r="AI15" s="45"/>
      <c r="AJ15" s="46" t="e">
        <f t="shared" si="33"/>
        <v>#DIV/0!</v>
      </c>
      <c r="AK15" s="47" t="e">
        <f t="shared" si="34"/>
        <v>#DIV/0!</v>
      </c>
      <c r="AL15" s="45">
        <v>7.87</v>
      </c>
      <c r="AM15" s="46" t="e">
        <f t="shared" si="35"/>
        <v>#DIV/0!</v>
      </c>
      <c r="AN15" s="47" t="e">
        <f t="shared" si="36"/>
        <v>#DIV/0!</v>
      </c>
      <c r="AO15" s="45"/>
      <c r="AP15" s="46" t="e">
        <f t="shared" si="21"/>
        <v>#DIV/0!</v>
      </c>
      <c r="AQ15" s="47" t="e">
        <f t="shared" si="22"/>
        <v>#DIV/0!</v>
      </c>
      <c r="AR15" s="45"/>
      <c r="AS15" s="46">
        <f t="shared" si="23"/>
        <v>0</v>
      </c>
      <c r="AT15" s="47">
        <f t="shared" si="24"/>
        <v>0</v>
      </c>
      <c r="AU15" s="45">
        <v>7.87</v>
      </c>
      <c r="AV15" s="46" t="e">
        <f t="shared" si="25"/>
        <v>#DIV/0!</v>
      </c>
      <c r="AW15" s="47" t="e">
        <f t="shared" si="26"/>
        <v>#DIV/0!</v>
      </c>
      <c r="AX15" s="45"/>
      <c r="AY15" s="46">
        <f t="shared" si="27"/>
        <v>0</v>
      </c>
      <c r="AZ15" s="47">
        <f t="shared" si="28"/>
        <v>0</v>
      </c>
      <c r="BA15" s="48" t="e">
        <f t="shared" si="29"/>
        <v>#DIV/0!</v>
      </c>
    </row>
    <row r="16" spans="1:53">
      <c r="A16" s="30"/>
      <c r="B16" s="31" t="s">
        <v>414</v>
      </c>
      <c r="C16" s="31" t="s">
        <v>415</v>
      </c>
      <c r="D16" s="31" t="s">
        <v>422</v>
      </c>
      <c r="E16" s="32" t="s">
        <v>406</v>
      </c>
      <c r="F16" s="33">
        <v>16.43</v>
      </c>
      <c r="G16" s="74"/>
      <c r="H16" s="70" t="s">
        <v>20</v>
      </c>
      <c r="I16" s="77">
        <f>IF(H16=Tablas!$B$5,Tablas!$C$5,VLOOKUP(H16,Tablas!$B$5:$D$40,2,FALSE))</f>
        <v>19</v>
      </c>
      <c r="J16" s="65">
        <f>IF(I16=0,"",VLOOKUP(I16,Tablas!$C$5:$D$40,2,FALSE))</f>
        <v>21.726190476190478</v>
      </c>
      <c r="K16" s="34" t="str">
        <f t="shared" si="30"/>
        <v>0</v>
      </c>
      <c r="L16" s="35">
        <f t="shared" si="1"/>
        <v>0</v>
      </c>
      <c r="M16" s="35">
        <f t="shared" si="2"/>
        <v>0</v>
      </c>
      <c r="N16" s="35">
        <f t="shared" si="3"/>
        <v>0</v>
      </c>
      <c r="O16" s="35">
        <f t="shared" si="4"/>
        <v>0</v>
      </c>
      <c r="P16" s="35">
        <f t="shared" si="5"/>
        <v>0</v>
      </c>
      <c r="Q16" s="36">
        <v>0.75</v>
      </c>
      <c r="R16" s="37">
        <f t="shared" si="6"/>
        <v>0</v>
      </c>
      <c r="S16" s="36">
        <v>0.75</v>
      </c>
      <c r="T16" s="38">
        <f t="shared" si="7"/>
        <v>0</v>
      </c>
      <c r="U16" s="39">
        <f t="shared" si="8"/>
        <v>0</v>
      </c>
      <c r="V16" s="40">
        <f t="shared" si="9"/>
        <v>0</v>
      </c>
      <c r="W16" s="41">
        <f t="shared" si="10"/>
        <v>0</v>
      </c>
      <c r="X16" s="42">
        <f t="shared" si="11"/>
        <v>5</v>
      </c>
      <c r="Y16" s="43" t="s">
        <v>395</v>
      </c>
      <c r="Z16" s="36">
        <v>1</v>
      </c>
      <c r="AA16" s="44">
        <f t="shared" si="12"/>
        <v>0</v>
      </c>
      <c r="AB16" s="36">
        <v>1</v>
      </c>
      <c r="AC16" s="44">
        <f t="shared" si="13"/>
        <v>0</v>
      </c>
      <c r="AD16" s="36">
        <v>1</v>
      </c>
      <c r="AE16" s="44">
        <f t="shared" si="14"/>
        <v>0</v>
      </c>
      <c r="AF16" s="45"/>
      <c r="AG16" s="46" t="e">
        <f t="shared" si="31"/>
        <v>#DIV/0!</v>
      </c>
      <c r="AH16" s="47" t="e">
        <f t="shared" si="32"/>
        <v>#DIV/0!</v>
      </c>
      <c r="AI16" s="45">
        <v>2.7</v>
      </c>
      <c r="AJ16" s="46" t="e">
        <f t="shared" si="33"/>
        <v>#DIV/0!</v>
      </c>
      <c r="AK16" s="47" t="e">
        <f t="shared" si="34"/>
        <v>#DIV/0!</v>
      </c>
      <c r="AL16" s="45">
        <v>16.43</v>
      </c>
      <c r="AM16" s="46" t="e">
        <f t="shared" si="35"/>
        <v>#DIV/0!</v>
      </c>
      <c r="AN16" s="47" t="e">
        <f t="shared" si="36"/>
        <v>#DIV/0!</v>
      </c>
      <c r="AO16" s="45"/>
      <c r="AP16" s="46" t="e">
        <f t="shared" si="21"/>
        <v>#DIV/0!</v>
      </c>
      <c r="AQ16" s="47" t="e">
        <f t="shared" si="22"/>
        <v>#DIV/0!</v>
      </c>
      <c r="AR16" s="45"/>
      <c r="AS16" s="46">
        <f t="shared" si="23"/>
        <v>0</v>
      </c>
      <c r="AT16" s="47">
        <f t="shared" si="24"/>
        <v>0</v>
      </c>
      <c r="AU16" s="45">
        <v>16.43</v>
      </c>
      <c r="AV16" s="46" t="e">
        <f t="shared" si="25"/>
        <v>#DIV/0!</v>
      </c>
      <c r="AW16" s="47" t="e">
        <f t="shared" si="26"/>
        <v>#DIV/0!</v>
      </c>
      <c r="AX16" s="45"/>
      <c r="AY16" s="46">
        <f t="shared" si="27"/>
        <v>0</v>
      </c>
      <c r="AZ16" s="47">
        <f t="shared" si="28"/>
        <v>0</v>
      </c>
      <c r="BA16" s="48" t="e">
        <f t="shared" si="29"/>
        <v>#DIV/0!</v>
      </c>
    </row>
    <row r="17" spans="1:53">
      <c r="A17" s="30"/>
      <c r="B17" s="31" t="s">
        <v>414</v>
      </c>
      <c r="C17" s="31" t="s">
        <v>415</v>
      </c>
      <c r="D17" s="31" t="s">
        <v>423</v>
      </c>
      <c r="E17" s="32" t="s">
        <v>406</v>
      </c>
      <c r="F17" s="33">
        <v>16.21</v>
      </c>
      <c r="G17" s="74"/>
      <c r="H17" s="70" t="s">
        <v>20</v>
      </c>
      <c r="I17" s="77">
        <f>IF(H17=Tablas!$B$5,Tablas!$C$5,VLOOKUP(H17,Tablas!$B$5:$D$40,2,FALSE))</f>
        <v>19</v>
      </c>
      <c r="J17" s="65">
        <f>IF(I17=0,"",VLOOKUP(I17,Tablas!$C$5:$D$40,2,FALSE))</f>
        <v>21.726190476190478</v>
      </c>
      <c r="K17" s="34" t="str">
        <f t="shared" si="30"/>
        <v>0</v>
      </c>
      <c r="L17" s="35">
        <f t="shared" si="1"/>
        <v>0</v>
      </c>
      <c r="M17" s="35">
        <f t="shared" si="2"/>
        <v>0</v>
      </c>
      <c r="N17" s="35">
        <f t="shared" si="3"/>
        <v>0</v>
      </c>
      <c r="O17" s="35">
        <f t="shared" si="4"/>
        <v>0</v>
      </c>
      <c r="P17" s="35">
        <f t="shared" si="5"/>
        <v>0</v>
      </c>
      <c r="Q17" s="36">
        <v>0.75</v>
      </c>
      <c r="R17" s="37">
        <f t="shared" si="6"/>
        <v>0</v>
      </c>
      <c r="S17" s="36">
        <v>0.75</v>
      </c>
      <c r="T17" s="38">
        <f t="shared" si="7"/>
        <v>0</v>
      </c>
      <c r="U17" s="39">
        <f t="shared" si="8"/>
        <v>0</v>
      </c>
      <c r="V17" s="40">
        <f t="shared" si="9"/>
        <v>0</v>
      </c>
      <c r="W17" s="41">
        <f t="shared" si="10"/>
        <v>0</v>
      </c>
      <c r="X17" s="42">
        <f t="shared" si="11"/>
        <v>5</v>
      </c>
      <c r="Y17" s="43" t="s">
        <v>395</v>
      </c>
      <c r="Z17" s="36">
        <v>1</v>
      </c>
      <c r="AA17" s="44">
        <f t="shared" si="12"/>
        <v>0</v>
      </c>
      <c r="AB17" s="36">
        <v>1</v>
      </c>
      <c r="AC17" s="44">
        <f t="shared" si="13"/>
        <v>0</v>
      </c>
      <c r="AD17" s="36">
        <v>1</v>
      </c>
      <c r="AE17" s="44">
        <f t="shared" si="14"/>
        <v>0</v>
      </c>
      <c r="AF17" s="45"/>
      <c r="AG17" s="46" t="e">
        <f t="shared" si="31"/>
        <v>#DIV/0!</v>
      </c>
      <c r="AH17" s="47" t="e">
        <f t="shared" si="32"/>
        <v>#DIV/0!</v>
      </c>
      <c r="AI17" s="45">
        <v>1.8</v>
      </c>
      <c r="AJ17" s="46" t="e">
        <f t="shared" si="33"/>
        <v>#DIV/0!</v>
      </c>
      <c r="AK17" s="47" t="e">
        <f t="shared" si="34"/>
        <v>#DIV/0!</v>
      </c>
      <c r="AL17" s="45">
        <v>16.21</v>
      </c>
      <c r="AM17" s="46" t="e">
        <f t="shared" si="35"/>
        <v>#DIV/0!</v>
      </c>
      <c r="AN17" s="47" t="e">
        <f t="shared" si="36"/>
        <v>#DIV/0!</v>
      </c>
      <c r="AO17" s="45"/>
      <c r="AP17" s="46" t="e">
        <f t="shared" si="21"/>
        <v>#DIV/0!</v>
      </c>
      <c r="AQ17" s="47" t="e">
        <f t="shared" si="22"/>
        <v>#DIV/0!</v>
      </c>
      <c r="AR17" s="45"/>
      <c r="AS17" s="46">
        <f t="shared" si="23"/>
        <v>0</v>
      </c>
      <c r="AT17" s="47">
        <f t="shared" si="24"/>
        <v>0</v>
      </c>
      <c r="AU17" s="45">
        <v>16.21</v>
      </c>
      <c r="AV17" s="46" t="e">
        <f t="shared" si="25"/>
        <v>#DIV/0!</v>
      </c>
      <c r="AW17" s="47" t="e">
        <f t="shared" si="26"/>
        <v>#DIV/0!</v>
      </c>
      <c r="AX17" s="45"/>
      <c r="AY17" s="46">
        <f t="shared" si="27"/>
        <v>0</v>
      </c>
      <c r="AZ17" s="47">
        <f t="shared" si="28"/>
        <v>0</v>
      </c>
      <c r="BA17" s="48" t="e">
        <f t="shared" si="29"/>
        <v>#DIV/0!</v>
      </c>
    </row>
    <row r="18" spans="1:53">
      <c r="A18" s="30"/>
      <c r="B18" s="31" t="s">
        <v>414</v>
      </c>
      <c r="C18" s="31" t="s">
        <v>415</v>
      </c>
      <c r="D18" s="31" t="s">
        <v>346</v>
      </c>
      <c r="E18" s="32"/>
      <c r="F18" s="33">
        <v>26.87</v>
      </c>
      <c r="G18" s="74"/>
      <c r="H18" s="70" t="s">
        <v>58</v>
      </c>
      <c r="I18" s="77">
        <f>IF(H18=Tablas!$B$5,Tablas!$C$5,VLOOKUP(H18,Tablas!$B$5:$D$40,2,FALSE))</f>
        <v>29</v>
      </c>
      <c r="J18" s="65">
        <f>IF(I18=0,"",VLOOKUP(I18,Tablas!$C$5:$D$40,2,FALSE))</f>
        <v>1</v>
      </c>
      <c r="K18" s="34" t="str">
        <f t="shared" si="30"/>
        <v>0</v>
      </c>
      <c r="L18" s="35">
        <f t="shared" si="1"/>
        <v>0</v>
      </c>
      <c r="M18" s="35">
        <f t="shared" si="2"/>
        <v>0</v>
      </c>
      <c r="N18" s="35">
        <f t="shared" si="3"/>
        <v>0</v>
      </c>
      <c r="O18" s="35">
        <f t="shared" si="4"/>
        <v>0</v>
      </c>
      <c r="P18" s="35">
        <f t="shared" si="5"/>
        <v>0</v>
      </c>
      <c r="Q18" s="36">
        <v>0.75</v>
      </c>
      <c r="R18" s="37">
        <f t="shared" si="6"/>
        <v>0</v>
      </c>
      <c r="S18" s="36">
        <v>0.75</v>
      </c>
      <c r="T18" s="38">
        <f t="shared" si="7"/>
        <v>0</v>
      </c>
      <c r="U18" s="39">
        <f t="shared" si="8"/>
        <v>0</v>
      </c>
      <c r="V18" s="40">
        <f t="shared" si="9"/>
        <v>0</v>
      </c>
      <c r="W18" s="41">
        <f t="shared" si="10"/>
        <v>0</v>
      </c>
      <c r="X18" s="42">
        <f t="shared" si="11"/>
        <v>0.2</v>
      </c>
      <c r="Y18" s="43" t="s">
        <v>395</v>
      </c>
      <c r="Z18" s="36">
        <v>1</v>
      </c>
      <c r="AA18" s="44">
        <f t="shared" si="12"/>
        <v>0</v>
      </c>
      <c r="AB18" s="36">
        <v>1</v>
      </c>
      <c r="AC18" s="44">
        <f t="shared" si="13"/>
        <v>0</v>
      </c>
      <c r="AD18" s="36">
        <v>1</v>
      </c>
      <c r="AE18" s="44">
        <f t="shared" si="14"/>
        <v>0</v>
      </c>
      <c r="AF18" s="45"/>
      <c r="AG18" s="46" t="e">
        <f t="shared" si="31"/>
        <v>#DIV/0!</v>
      </c>
      <c r="AH18" s="47" t="e">
        <f t="shared" si="32"/>
        <v>#DIV/0!</v>
      </c>
      <c r="AI18" s="45">
        <v>1.8</v>
      </c>
      <c r="AJ18" s="46" t="e">
        <f t="shared" si="33"/>
        <v>#DIV/0!</v>
      </c>
      <c r="AK18" s="47" t="e">
        <f t="shared" si="34"/>
        <v>#DIV/0!</v>
      </c>
      <c r="AL18" s="45">
        <v>26.87</v>
      </c>
      <c r="AM18" s="46" t="e">
        <f t="shared" si="35"/>
        <v>#DIV/0!</v>
      </c>
      <c r="AN18" s="47" t="e">
        <f t="shared" si="36"/>
        <v>#DIV/0!</v>
      </c>
      <c r="AO18" s="45"/>
      <c r="AP18" s="46" t="e">
        <f t="shared" si="21"/>
        <v>#DIV/0!</v>
      </c>
      <c r="AQ18" s="47" t="e">
        <f t="shared" si="22"/>
        <v>#DIV/0!</v>
      </c>
      <c r="AR18" s="45"/>
      <c r="AS18" s="46">
        <f t="shared" si="23"/>
        <v>0</v>
      </c>
      <c r="AT18" s="47">
        <f t="shared" si="24"/>
        <v>0</v>
      </c>
      <c r="AU18" s="45">
        <v>26.87</v>
      </c>
      <c r="AV18" s="46" t="e">
        <f t="shared" si="25"/>
        <v>#DIV/0!</v>
      </c>
      <c r="AW18" s="47" t="e">
        <f t="shared" si="26"/>
        <v>#DIV/0!</v>
      </c>
      <c r="AX18" s="45"/>
      <c r="AY18" s="46">
        <f t="shared" si="27"/>
        <v>0</v>
      </c>
      <c r="AZ18" s="47">
        <f t="shared" si="28"/>
        <v>0</v>
      </c>
      <c r="BA18" s="48" t="e">
        <f t="shared" si="29"/>
        <v>#DIV/0!</v>
      </c>
    </row>
    <row r="19" spans="1:53">
      <c r="A19" s="30"/>
      <c r="B19" s="31" t="s">
        <v>414</v>
      </c>
      <c r="C19" s="31" t="s">
        <v>415</v>
      </c>
      <c r="D19" s="31" t="s">
        <v>424</v>
      </c>
      <c r="E19" s="32"/>
      <c r="F19" s="33">
        <v>47.9</v>
      </c>
      <c r="G19" s="74"/>
      <c r="H19" s="70" t="s">
        <v>20</v>
      </c>
      <c r="I19" s="77">
        <f>IF(H19=Tablas!$B$5,Tablas!$C$5,VLOOKUP(H19,Tablas!$B$5:$D$40,2,FALSE))</f>
        <v>19</v>
      </c>
      <c r="J19" s="65">
        <f>IF(I19=0,"",VLOOKUP(I19,Tablas!$C$5:$D$40,2,FALSE))</f>
        <v>21.726190476190478</v>
      </c>
      <c r="K19" s="34" t="str">
        <f t="shared" si="30"/>
        <v>0</v>
      </c>
      <c r="L19" s="35">
        <f t="shared" si="1"/>
        <v>0</v>
      </c>
      <c r="M19" s="35">
        <f t="shared" si="2"/>
        <v>0</v>
      </c>
      <c r="N19" s="35">
        <f t="shared" si="3"/>
        <v>0</v>
      </c>
      <c r="O19" s="35">
        <f t="shared" si="4"/>
        <v>0</v>
      </c>
      <c r="P19" s="35">
        <f t="shared" si="5"/>
        <v>0</v>
      </c>
      <c r="Q19" s="36">
        <v>0.75</v>
      </c>
      <c r="R19" s="37">
        <f t="shared" si="6"/>
        <v>0</v>
      </c>
      <c r="S19" s="36">
        <v>0.75</v>
      </c>
      <c r="T19" s="38">
        <f t="shared" si="7"/>
        <v>0</v>
      </c>
      <c r="U19" s="39">
        <f t="shared" si="8"/>
        <v>0</v>
      </c>
      <c r="V19" s="40">
        <f t="shared" si="9"/>
        <v>0</v>
      </c>
      <c r="W19" s="41">
        <f t="shared" si="10"/>
        <v>0</v>
      </c>
      <c r="X19" s="42">
        <f t="shared" si="11"/>
        <v>5</v>
      </c>
      <c r="Y19" s="43" t="s">
        <v>395</v>
      </c>
      <c r="Z19" s="36">
        <v>1</v>
      </c>
      <c r="AA19" s="44">
        <f t="shared" si="12"/>
        <v>0</v>
      </c>
      <c r="AB19" s="36">
        <v>1</v>
      </c>
      <c r="AC19" s="44">
        <f t="shared" si="13"/>
        <v>0</v>
      </c>
      <c r="AD19" s="36">
        <v>1</v>
      </c>
      <c r="AE19" s="44">
        <f t="shared" si="14"/>
        <v>0</v>
      </c>
      <c r="AF19" s="45">
        <v>1.7</v>
      </c>
      <c r="AG19" s="46" t="e">
        <f t="shared" si="31"/>
        <v>#DIV/0!</v>
      </c>
      <c r="AH19" s="47" t="e">
        <f t="shared" si="32"/>
        <v>#DIV/0!</v>
      </c>
      <c r="AI19" s="45">
        <v>8.1</v>
      </c>
      <c r="AJ19" s="46" t="e">
        <f t="shared" si="33"/>
        <v>#DIV/0!</v>
      </c>
      <c r="AK19" s="47" t="e">
        <f t="shared" si="34"/>
        <v>#DIV/0!</v>
      </c>
      <c r="AL19" s="45">
        <v>47.9</v>
      </c>
      <c r="AM19" s="46" t="e">
        <f t="shared" si="35"/>
        <v>#DIV/0!</v>
      </c>
      <c r="AN19" s="47" t="e">
        <f t="shared" si="36"/>
        <v>#DIV/0!</v>
      </c>
      <c r="AO19" s="45"/>
      <c r="AP19" s="46" t="e">
        <f t="shared" si="21"/>
        <v>#DIV/0!</v>
      </c>
      <c r="AQ19" s="47" t="e">
        <f t="shared" si="22"/>
        <v>#DIV/0!</v>
      </c>
      <c r="AR19" s="45"/>
      <c r="AS19" s="46">
        <f t="shared" si="23"/>
        <v>0</v>
      </c>
      <c r="AT19" s="47">
        <f t="shared" si="24"/>
        <v>0</v>
      </c>
      <c r="AU19" s="45">
        <v>47.9</v>
      </c>
      <c r="AV19" s="46" t="e">
        <f t="shared" si="25"/>
        <v>#DIV/0!</v>
      </c>
      <c r="AW19" s="47" t="e">
        <f t="shared" si="26"/>
        <v>#DIV/0!</v>
      </c>
      <c r="AX19" s="45"/>
      <c r="AY19" s="46">
        <f t="shared" si="27"/>
        <v>0</v>
      </c>
      <c r="AZ19" s="47">
        <f t="shared" si="28"/>
        <v>0</v>
      </c>
      <c r="BA19" s="48" t="e">
        <f t="shared" si="29"/>
        <v>#DIV/0!</v>
      </c>
    </row>
    <row r="20" spans="1:53">
      <c r="A20" s="30"/>
      <c r="B20" s="31" t="s">
        <v>414</v>
      </c>
      <c r="C20" s="31" t="s">
        <v>415</v>
      </c>
      <c r="D20" s="31" t="s">
        <v>424</v>
      </c>
      <c r="E20" s="32" t="s">
        <v>448</v>
      </c>
      <c r="F20" s="33">
        <v>47.95</v>
      </c>
      <c r="G20" s="74"/>
      <c r="H20" s="70" t="s">
        <v>20</v>
      </c>
      <c r="I20" s="77">
        <f>IF(H20=Tablas!$B$5,Tablas!$C$5,VLOOKUP(H20,Tablas!$B$5:$D$40,2,FALSE))</f>
        <v>19</v>
      </c>
      <c r="J20" s="65">
        <f>IF(I20=0,"",VLOOKUP(I20,Tablas!$C$5:$D$40,2,FALSE))</f>
        <v>21.726190476190478</v>
      </c>
      <c r="K20" s="34" t="str">
        <f t="shared" si="30"/>
        <v>0</v>
      </c>
      <c r="L20" s="35">
        <f t="shared" si="1"/>
        <v>0</v>
      </c>
      <c r="M20" s="35">
        <f t="shared" si="2"/>
        <v>0</v>
      </c>
      <c r="N20" s="35">
        <f t="shared" si="3"/>
        <v>0</v>
      </c>
      <c r="O20" s="35">
        <f t="shared" si="4"/>
        <v>0</v>
      </c>
      <c r="P20" s="35">
        <f t="shared" si="5"/>
        <v>0</v>
      </c>
      <c r="Q20" s="36">
        <v>0.75</v>
      </c>
      <c r="R20" s="37">
        <f t="shared" si="6"/>
        <v>0</v>
      </c>
      <c r="S20" s="36">
        <v>0.75</v>
      </c>
      <c r="T20" s="38">
        <f t="shared" si="7"/>
        <v>0</v>
      </c>
      <c r="U20" s="39">
        <f t="shared" si="8"/>
        <v>0</v>
      </c>
      <c r="V20" s="40">
        <f t="shared" si="9"/>
        <v>0</v>
      </c>
      <c r="W20" s="41">
        <f t="shared" si="10"/>
        <v>0</v>
      </c>
      <c r="X20" s="42">
        <f t="shared" si="11"/>
        <v>5</v>
      </c>
      <c r="Y20" s="43" t="s">
        <v>395</v>
      </c>
      <c r="Z20" s="36">
        <v>1</v>
      </c>
      <c r="AA20" s="44">
        <f t="shared" si="12"/>
        <v>0</v>
      </c>
      <c r="AB20" s="36">
        <v>1</v>
      </c>
      <c r="AC20" s="44">
        <f t="shared" si="13"/>
        <v>0</v>
      </c>
      <c r="AD20" s="36">
        <v>1</v>
      </c>
      <c r="AE20" s="44">
        <f t="shared" si="14"/>
        <v>0</v>
      </c>
      <c r="AF20" s="45">
        <v>1.7</v>
      </c>
      <c r="AG20" s="46" t="e">
        <f t="shared" si="31"/>
        <v>#DIV/0!</v>
      </c>
      <c r="AH20" s="47" t="e">
        <f t="shared" si="32"/>
        <v>#DIV/0!</v>
      </c>
      <c r="AI20" s="45">
        <v>5.4</v>
      </c>
      <c r="AJ20" s="46" t="e">
        <f t="shared" si="33"/>
        <v>#DIV/0!</v>
      </c>
      <c r="AK20" s="47" t="e">
        <f t="shared" si="34"/>
        <v>#DIV/0!</v>
      </c>
      <c r="AL20" s="45">
        <v>47.95</v>
      </c>
      <c r="AM20" s="46" t="e">
        <f t="shared" si="35"/>
        <v>#DIV/0!</v>
      </c>
      <c r="AN20" s="47" t="e">
        <f t="shared" si="36"/>
        <v>#DIV/0!</v>
      </c>
      <c r="AO20" s="45"/>
      <c r="AP20" s="46" t="e">
        <f t="shared" si="21"/>
        <v>#DIV/0!</v>
      </c>
      <c r="AQ20" s="47" t="e">
        <f t="shared" si="22"/>
        <v>#DIV/0!</v>
      </c>
      <c r="AR20" s="45"/>
      <c r="AS20" s="46">
        <f t="shared" si="23"/>
        <v>0</v>
      </c>
      <c r="AT20" s="47">
        <f t="shared" si="24"/>
        <v>0</v>
      </c>
      <c r="AU20" s="45">
        <v>47.95</v>
      </c>
      <c r="AV20" s="46" t="e">
        <f t="shared" si="25"/>
        <v>#DIV/0!</v>
      </c>
      <c r="AW20" s="47" t="e">
        <f t="shared" si="26"/>
        <v>#DIV/0!</v>
      </c>
      <c r="AX20" s="45"/>
      <c r="AY20" s="46">
        <f t="shared" si="27"/>
        <v>0</v>
      </c>
      <c r="AZ20" s="47">
        <f t="shared" si="28"/>
        <v>0</v>
      </c>
      <c r="BA20" s="48" t="e">
        <f t="shared" si="29"/>
        <v>#DIV/0!</v>
      </c>
    </row>
    <row r="21" spans="1:53">
      <c r="A21" s="30"/>
      <c r="B21" s="31" t="s">
        <v>414</v>
      </c>
      <c r="C21" s="31" t="s">
        <v>415</v>
      </c>
      <c r="D21" s="31" t="s">
        <v>425</v>
      </c>
      <c r="E21" s="32"/>
      <c r="F21" s="33">
        <v>58.08</v>
      </c>
      <c r="G21" s="74"/>
      <c r="H21" s="70" t="s">
        <v>20</v>
      </c>
      <c r="I21" s="77">
        <f>IF(H21=Tablas!$B$5,Tablas!$C$5,VLOOKUP(H21,Tablas!$B$5:$D$40,2,FALSE))</f>
        <v>19</v>
      </c>
      <c r="J21" s="65">
        <f>IF(I21=0,"",VLOOKUP(I21,Tablas!$C$5:$D$40,2,FALSE))</f>
        <v>21.726190476190478</v>
      </c>
      <c r="K21" s="34" t="str">
        <f t="shared" si="30"/>
        <v>0</v>
      </c>
      <c r="L21" s="35">
        <f t="shared" si="1"/>
        <v>0</v>
      </c>
      <c r="M21" s="35">
        <f t="shared" si="2"/>
        <v>0</v>
      </c>
      <c r="N21" s="35">
        <f t="shared" si="3"/>
        <v>0</v>
      </c>
      <c r="O21" s="35">
        <f t="shared" si="4"/>
        <v>0</v>
      </c>
      <c r="P21" s="35">
        <f t="shared" si="5"/>
        <v>0</v>
      </c>
      <c r="Q21" s="36">
        <v>0.75</v>
      </c>
      <c r="R21" s="37">
        <f t="shared" si="6"/>
        <v>0</v>
      </c>
      <c r="S21" s="36">
        <v>0.75</v>
      </c>
      <c r="T21" s="38">
        <f t="shared" si="7"/>
        <v>0</v>
      </c>
      <c r="U21" s="39">
        <f t="shared" si="8"/>
        <v>0</v>
      </c>
      <c r="V21" s="40">
        <f t="shared" si="9"/>
        <v>0</v>
      </c>
      <c r="W21" s="41">
        <f t="shared" si="10"/>
        <v>0</v>
      </c>
      <c r="X21" s="42">
        <f t="shared" si="11"/>
        <v>5</v>
      </c>
      <c r="Y21" s="43" t="s">
        <v>395</v>
      </c>
      <c r="Z21" s="36">
        <v>1</v>
      </c>
      <c r="AA21" s="44">
        <f t="shared" si="12"/>
        <v>0</v>
      </c>
      <c r="AB21" s="36">
        <v>1</v>
      </c>
      <c r="AC21" s="44">
        <f t="shared" si="13"/>
        <v>0</v>
      </c>
      <c r="AD21" s="36">
        <v>1</v>
      </c>
      <c r="AE21" s="44">
        <f t="shared" si="14"/>
        <v>0</v>
      </c>
      <c r="AF21" s="45">
        <v>1.7</v>
      </c>
      <c r="AG21" s="46" t="e">
        <f t="shared" si="31"/>
        <v>#DIV/0!</v>
      </c>
      <c r="AH21" s="47" t="e">
        <f t="shared" si="32"/>
        <v>#DIV/0!</v>
      </c>
      <c r="AI21" s="45">
        <v>18</v>
      </c>
      <c r="AJ21" s="46" t="e">
        <f t="shared" si="33"/>
        <v>#DIV/0!</v>
      </c>
      <c r="AK21" s="47" t="e">
        <f t="shared" si="34"/>
        <v>#DIV/0!</v>
      </c>
      <c r="AL21" s="45">
        <v>58.08</v>
      </c>
      <c r="AM21" s="46" t="e">
        <f t="shared" si="35"/>
        <v>#DIV/0!</v>
      </c>
      <c r="AN21" s="47" t="e">
        <f t="shared" si="36"/>
        <v>#DIV/0!</v>
      </c>
      <c r="AO21" s="45"/>
      <c r="AP21" s="46" t="e">
        <f t="shared" si="21"/>
        <v>#DIV/0!</v>
      </c>
      <c r="AQ21" s="47" t="e">
        <f t="shared" si="22"/>
        <v>#DIV/0!</v>
      </c>
      <c r="AR21" s="45"/>
      <c r="AS21" s="46">
        <f t="shared" si="23"/>
        <v>0</v>
      </c>
      <c r="AT21" s="47">
        <f t="shared" si="24"/>
        <v>0</v>
      </c>
      <c r="AU21" s="45">
        <v>58.08</v>
      </c>
      <c r="AV21" s="46" t="e">
        <f t="shared" si="25"/>
        <v>#DIV/0!</v>
      </c>
      <c r="AW21" s="47" t="e">
        <f t="shared" si="26"/>
        <v>#DIV/0!</v>
      </c>
      <c r="AX21" s="45"/>
      <c r="AY21" s="46">
        <f t="shared" si="27"/>
        <v>0</v>
      </c>
      <c r="AZ21" s="47">
        <f t="shared" si="28"/>
        <v>0</v>
      </c>
      <c r="BA21" s="48" t="e">
        <f t="shared" si="29"/>
        <v>#DIV/0!</v>
      </c>
    </row>
    <row r="22" spans="1:53">
      <c r="A22" s="30"/>
      <c r="B22" s="31" t="s">
        <v>414</v>
      </c>
      <c r="C22" s="31" t="s">
        <v>415</v>
      </c>
      <c r="D22" s="31" t="s">
        <v>425</v>
      </c>
      <c r="E22" s="32"/>
      <c r="F22" s="33">
        <v>47.57</v>
      </c>
      <c r="G22" s="74"/>
      <c r="H22" s="70" t="s">
        <v>20</v>
      </c>
      <c r="I22" s="77">
        <f>IF(H22=Tablas!$B$5,Tablas!$C$5,VLOOKUP(H22,Tablas!$B$5:$D$40,2,FALSE))</f>
        <v>19</v>
      </c>
      <c r="J22" s="65">
        <f>IF(I22=0,"",VLOOKUP(I22,Tablas!$C$5:$D$40,2,FALSE))</f>
        <v>21.726190476190478</v>
      </c>
      <c r="K22" s="34" t="str">
        <f t="shared" si="30"/>
        <v>0</v>
      </c>
      <c r="L22" s="35">
        <f t="shared" si="1"/>
        <v>0</v>
      </c>
      <c r="M22" s="35">
        <f t="shared" si="2"/>
        <v>0</v>
      </c>
      <c r="N22" s="35">
        <f t="shared" si="3"/>
        <v>0</v>
      </c>
      <c r="O22" s="35">
        <f t="shared" si="4"/>
        <v>0</v>
      </c>
      <c r="P22" s="35">
        <f t="shared" si="5"/>
        <v>0</v>
      </c>
      <c r="Q22" s="36">
        <v>0.75</v>
      </c>
      <c r="R22" s="37">
        <f t="shared" si="6"/>
        <v>0</v>
      </c>
      <c r="S22" s="36">
        <v>0.75</v>
      </c>
      <c r="T22" s="38">
        <f t="shared" si="7"/>
        <v>0</v>
      </c>
      <c r="U22" s="39">
        <f t="shared" si="8"/>
        <v>0</v>
      </c>
      <c r="V22" s="40">
        <f t="shared" si="9"/>
        <v>0</v>
      </c>
      <c r="W22" s="41">
        <f t="shared" si="10"/>
        <v>0</v>
      </c>
      <c r="X22" s="42">
        <f t="shared" si="11"/>
        <v>5</v>
      </c>
      <c r="Y22" s="43" t="s">
        <v>395</v>
      </c>
      <c r="Z22" s="36">
        <v>1</v>
      </c>
      <c r="AA22" s="44">
        <f t="shared" si="12"/>
        <v>0</v>
      </c>
      <c r="AB22" s="36">
        <v>1</v>
      </c>
      <c r="AC22" s="44">
        <f t="shared" si="13"/>
        <v>0</v>
      </c>
      <c r="AD22" s="36">
        <v>1</v>
      </c>
      <c r="AE22" s="44">
        <f t="shared" si="14"/>
        <v>0</v>
      </c>
      <c r="AF22" s="45">
        <v>3.75</v>
      </c>
      <c r="AG22" s="46" t="e">
        <f t="shared" si="31"/>
        <v>#DIV/0!</v>
      </c>
      <c r="AH22" s="47" t="e">
        <f t="shared" si="32"/>
        <v>#DIV/0!</v>
      </c>
      <c r="AI22" s="45">
        <v>15</v>
      </c>
      <c r="AJ22" s="46" t="e">
        <f t="shared" si="33"/>
        <v>#DIV/0!</v>
      </c>
      <c r="AK22" s="47" t="e">
        <f t="shared" si="34"/>
        <v>#DIV/0!</v>
      </c>
      <c r="AL22" s="45">
        <v>47.57</v>
      </c>
      <c r="AM22" s="46" t="e">
        <f t="shared" si="35"/>
        <v>#DIV/0!</v>
      </c>
      <c r="AN22" s="47" t="e">
        <f t="shared" si="36"/>
        <v>#DIV/0!</v>
      </c>
      <c r="AO22" s="45"/>
      <c r="AP22" s="46" t="e">
        <f t="shared" si="21"/>
        <v>#DIV/0!</v>
      </c>
      <c r="AQ22" s="47" t="e">
        <f t="shared" si="22"/>
        <v>#DIV/0!</v>
      </c>
      <c r="AR22" s="45"/>
      <c r="AS22" s="46">
        <f t="shared" si="23"/>
        <v>0</v>
      </c>
      <c r="AT22" s="47">
        <f t="shared" si="24"/>
        <v>0</v>
      </c>
      <c r="AU22" s="45">
        <v>47.57</v>
      </c>
      <c r="AV22" s="46" t="e">
        <f t="shared" si="25"/>
        <v>#DIV/0!</v>
      </c>
      <c r="AW22" s="47" t="e">
        <f t="shared" si="26"/>
        <v>#DIV/0!</v>
      </c>
      <c r="AX22" s="45"/>
      <c r="AY22" s="46">
        <f t="shared" si="27"/>
        <v>0</v>
      </c>
      <c r="AZ22" s="47">
        <f t="shared" si="28"/>
        <v>0</v>
      </c>
      <c r="BA22" s="48" t="e">
        <f t="shared" si="29"/>
        <v>#DIV/0!</v>
      </c>
    </row>
    <row r="23" spans="1:53">
      <c r="A23" s="30"/>
      <c r="B23" s="31" t="s">
        <v>414</v>
      </c>
      <c r="C23" s="31" t="s">
        <v>415</v>
      </c>
      <c r="D23" s="31" t="s">
        <v>426</v>
      </c>
      <c r="E23" s="32"/>
      <c r="F23" s="33">
        <v>75.69</v>
      </c>
      <c r="G23" s="74"/>
      <c r="H23" s="70" t="s">
        <v>20</v>
      </c>
      <c r="I23" s="77">
        <f>IF(H23=Tablas!$B$5,Tablas!$C$5,VLOOKUP(H23,Tablas!$B$5:$D$40,2,FALSE))</f>
        <v>19</v>
      </c>
      <c r="J23" s="65">
        <f>IF(I23=0,"",VLOOKUP(I23,Tablas!$C$5:$D$40,2,FALSE))</f>
        <v>21.726190476190478</v>
      </c>
      <c r="K23" s="34" t="str">
        <f t="shared" si="30"/>
        <v>0</v>
      </c>
      <c r="L23" s="35">
        <f t="shared" si="1"/>
        <v>0</v>
      </c>
      <c r="M23" s="35">
        <f t="shared" si="2"/>
        <v>0</v>
      </c>
      <c r="N23" s="35">
        <f t="shared" si="3"/>
        <v>0</v>
      </c>
      <c r="O23" s="35">
        <f t="shared" si="4"/>
        <v>0</v>
      </c>
      <c r="P23" s="35">
        <f t="shared" si="5"/>
        <v>0</v>
      </c>
      <c r="Q23" s="36">
        <v>0.75</v>
      </c>
      <c r="R23" s="37">
        <f t="shared" si="6"/>
        <v>0</v>
      </c>
      <c r="S23" s="36">
        <v>0.75</v>
      </c>
      <c r="T23" s="38">
        <f t="shared" si="7"/>
        <v>0</v>
      </c>
      <c r="U23" s="39">
        <f t="shared" si="8"/>
        <v>0</v>
      </c>
      <c r="V23" s="40">
        <f t="shared" si="9"/>
        <v>0</v>
      </c>
      <c r="W23" s="41">
        <f t="shared" si="10"/>
        <v>0</v>
      </c>
      <c r="X23" s="42">
        <f t="shared" si="11"/>
        <v>5</v>
      </c>
      <c r="Y23" s="43" t="s">
        <v>395</v>
      </c>
      <c r="Z23" s="36">
        <v>1</v>
      </c>
      <c r="AA23" s="44">
        <f t="shared" si="12"/>
        <v>0</v>
      </c>
      <c r="AB23" s="36">
        <v>1</v>
      </c>
      <c r="AC23" s="44">
        <f t="shared" si="13"/>
        <v>0</v>
      </c>
      <c r="AD23" s="36">
        <v>1</v>
      </c>
      <c r="AE23" s="44">
        <f t="shared" si="14"/>
        <v>0</v>
      </c>
      <c r="AF23" s="45">
        <v>29.1</v>
      </c>
      <c r="AG23" s="46" t="e">
        <f t="shared" si="31"/>
        <v>#DIV/0!</v>
      </c>
      <c r="AH23" s="47" t="e">
        <f t="shared" si="32"/>
        <v>#DIV/0!</v>
      </c>
      <c r="AI23" s="45">
        <v>4</v>
      </c>
      <c r="AJ23" s="46" t="e">
        <f t="shared" si="33"/>
        <v>#DIV/0!</v>
      </c>
      <c r="AK23" s="47" t="e">
        <f t="shared" si="34"/>
        <v>#DIV/0!</v>
      </c>
      <c r="AL23" s="45">
        <v>75.69</v>
      </c>
      <c r="AM23" s="46" t="e">
        <f t="shared" si="35"/>
        <v>#DIV/0!</v>
      </c>
      <c r="AN23" s="47" t="e">
        <f t="shared" si="36"/>
        <v>#DIV/0!</v>
      </c>
      <c r="AO23" s="45"/>
      <c r="AP23" s="46" t="e">
        <f t="shared" si="21"/>
        <v>#DIV/0!</v>
      </c>
      <c r="AQ23" s="47" t="e">
        <f t="shared" si="22"/>
        <v>#DIV/0!</v>
      </c>
      <c r="AR23" s="45"/>
      <c r="AS23" s="46">
        <f t="shared" si="23"/>
        <v>0</v>
      </c>
      <c r="AT23" s="47">
        <f t="shared" si="24"/>
        <v>0</v>
      </c>
      <c r="AU23" s="45">
        <v>75.69</v>
      </c>
      <c r="AV23" s="46" t="e">
        <f t="shared" si="25"/>
        <v>#DIV/0!</v>
      </c>
      <c r="AW23" s="47" t="e">
        <f t="shared" si="26"/>
        <v>#DIV/0!</v>
      </c>
      <c r="AX23" s="45"/>
      <c r="AY23" s="46">
        <f t="shared" si="27"/>
        <v>0</v>
      </c>
      <c r="AZ23" s="47">
        <f t="shared" si="28"/>
        <v>0</v>
      </c>
      <c r="BA23" s="48" t="e">
        <f t="shared" si="29"/>
        <v>#DIV/0!</v>
      </c>
    </row>
    <row r="24" spans="1:53">
      <c r="A24" s="30"/>
      <c r="B24" s="31" t="s">
        <v>414</v>
      </c>
      <c r="C24" s="31" t="s">
        <v>415</v>
      </c>
      <c r="D24" s="31" t="s">
        <v>427</v>
      </c>
      <c r="E24" s="32" t="s">
        <v>449</v>
      </c>
      <c r="F24" s="33">
        <v>17.22</v>
      </c>
      <c r="G24" s="74"/>
      <c r="H24" s="70" t="s">
        <v>20</v>
      </c>
      <c r="I24" s="77">
        <f>IF(H24=Tablas!$B$5,Tablas!$C$5,VLOOKUP(H24,Tablas!$B$5:$D$40,2,FALSE))</f>
        <v>19</v>
      </c>
      <c r="J24" s="65">
        <f>IF(I24=0,"",VLOOKUP(I24,Tablas!$C$5:$D$40,2,FALSE))</f>
        <v>21.726190476190478</v>
      </c>
      <c r="K24" s="34" t="str">
        <f t="shared" si="30"/>
        <v>0</v>
      </c>
      <c r="L24" s="35">
        <f t="shared" si="1"/>
        <v>0</v>
      </c>
      <c r="M24" s="35">
        <f t="shared" si="2"/>
        <v>0</v>
      </c>
      <c r="N24" s="35">
        <f t="shared" si="3"/>
        <v>0</v>
      </c>
      <c r="O24" s="35">
        <f t="shared" si="4"/>
        <v>0</v>
      </c>
      <c r="P24" s="35">
        <f t="shared" si="5"/>
        <v>0</v>
      </c>
      <c r="Q24" s="36">
        <v>0.75</v>
      </c>
      <c r="R24" s="37">
        <f t="shared" si="6"/>
        <v>0</v>
      </c>
      <c r="S24" s="36">
        <v>0.75</v>
      </c>
      <c r="T24" s="38">
        <f t="shared" si="7"/>
        <v>0</v>
      </c>
      <c r="U24" s="39">
        <f t="shared" si="8"/>
        <v>0</v>
      </c>
      <c r="V24" s="40">
        <f t="shared" si="9"/>
        <v>0</v>
      </c>
      <c r="W24" s="41">
        <f t="shared" si="10"/>
        <v>0</v>
      </c>
      <c r="X24" s="42">
        <f t="shared" si="11"/>
        <v>5</v>
      </c>
      <c r="Y24" s="43" t="s">
        <v>395</v>
      </c>
      <c r="Z24" s="36">
        <v>1</v>
      </c>
      <c r="AA24" s="44">
        <f t="shared" si="12"/>
        <v>0</v>
      </c>
      <c r="AB24" s="36">
        <v>1</v>
      </c>
      <c r="AC24" s="44">
        <f t="shared" si="13"/>
        <v>0</v>
      </c>
      <c r="AD24" s="36">
        <v>1</v>
      </c>
      <c r="AE24" s="44">
        <f t="shared" si="14"/>
        <v>0</v>
      </c>
      <c r="AF24" s="45"/>
      <c r="AG24" s="46" t="e">
        <f t="shared" si="31"/>
        <v>#DIV/0!</v>
      </c>
      <c r="AH24" s="47" t="e">
        <f t="shared" si="32"/>
        <v>#DIV/0!</v>
      </c>
      <c r="AI24" s="45">
        <v>2.7</v>
      </c>
      <c r="AJ24" s="46" t="e">
        <f t="shared" si="33"/>
        <v>#DIV/0!</v>
      </c>
      <c r="AK24" s="47" t="e">
        <f t="shared" si="34"/>
        <v>#DIV/0!</v>
      </c>
      <c r="AL24" s="45">
        <v>17.22</v>
      </c>
      <c r="AM24" s="46" t="e">
        <f t="shared" si="35"/>
        <v>#DIV/0!</v>
      </c>
      <c r="AN24" s="47" t="e">
        <f t="shared" si="36"/>
        <v>#DIV/0!</v>
      </c>
      <c r="AO24" s="45"/>
      <c r="AP24" s="46" t="e">
        <f t="shared" si="21"/>
        <v>#DIV/0!</v>
      </c>
      <c r="AQ24" s="47" t="e">
        <f t="shared" si="22"/>
        <v>#DIV/0!</v>
      </c>
      <c r="AR24" s="45"/>
      <c r="AS24" s="46">
        <f t="shared" si="23"/>
        <v>0</v>
      </c>
      <c r="AT24" s="47">
        <f t="shared" si="24"/>
        <v>0</v>
      </c>
      <c r="AU24" s="45">
        <v>17.22</v>
      </c>
      <c r="AV24" s="46" t="e">
        <f t="shared" si="25"/>
        <v>#DIV/0!</v>
      </c>
      <c r="AW24" s="47" t="e">
        <f t="shared" si="26"/>
        <v>#DIV/0!</v>
      </c>
      <c r="AX24" s="45"/>
      <c r="AY24" s="46">
        <f t="shared" si="27"/>
        <v>0</v>
      </c>
      <c r="AZ24" s="47">
        <f t="shared" si="28"/>
        <v>0</v>
      </c>
      <c r="BA24" s="48" t="e">
        <f t="shared" si="29"/>
        <v>#DIV/0!</v>
      </c>
    </row>
    <row r="25" spans="1:53">
      <c r="A25" s="30"/>
      <c r="B25" s="31" t="s">
        <v>414</v>
      </c>
      <c r="C25" s="31" t="s">
        <v>415</v>
      </c>
      <c r="D25" s="31" t="s">
        <v>428</v>
      </c>
      <c r="E25" s="32" t="s">
        <v>449</v>
      </c>
      <c r="F25" s="33">
        <v>16.309999999999999</v>
      </c>
      <c r="G25" s="74"/>
      <c r="H25" s="70" t="s">
        <v>20</v>
      </c>
      <c r="I25" s="77">
        <f>IF(H25=Tablas!$B$5,Tablas!$C$5,VLOOKUP(H25,Tablas!$B$5:$D$40,2,FALSE))</f>
        <v>19</v>
      </c>
      <c r="J25" s="65">
        <f>IF(I25=0,"",VLOOKUP(I25,Tablas!$C$5:$D$40,2,FALSE))</f>
        <v>21.726190476190478</v>
      </c>
      <c r="K25" s="34" t="str">
        <f t="shared" si="30"/>
        <v>0</v>
      </c>
      <c r="L25" s="35">
        <f t="shared" si="1"/>
        <v>0</v>
      </c>
      <c r="M25" s="35">
        <f t="shared" si="2"/>
        <v>0</v>
      </c>
      <c r="N25" s="35">
        <f t="shared" si="3"/>
        <v>0</v>
      </c>
      <c r="O25" s="35">
        <f t="shared" si="4"/>
        <v>0</v>
      </c>
      <c r="P25" s="35">
        <f t="shared" si="5"/>
        <v>0</v>
      </c>
      <c r="Q25" s="36">
        <v>0.75</v>
      </c>
      <c r="R25" s="37">
        <f t="shared" si="6"/>
        <v>0</v>
      </c>
      <c r="S25" s="36">
        <v>0.75</v>
      </c>
      <c r="T25" s="38">
        <f t="shared" si="7"/>
        <v>0</v>
      </c>
      <c r="U25" s="39">
        <f t="shared" si="8"/>
        <v>0</v>
      </c>
      <c r="V25" s="40">
        <f t="shared" si="9"/>
        <v>0</v>
      </c>
      <c r="W25" s="41">
        <f t="shared" si="10"/>
        <v>0</v>
      </c>
      <c r="X25" s="42">
        <f t="shared" si="11"/>
        <v>5</v>
      </c>
      <c r="Y25" s="43" t="s">
        <v>395</v>
      </c>
      <c r="Z25" s="36">
        <v>1</v>
      </c>
      <c r="AA25" s="44">
        <f t="shared" si="12"/>
        <v>0</v>
      </c>
      <c r="AB25" s="36">
        <v>1</v>
      </c>
      <c r="AC25" s="44">
        <f t="shared" si="13"/>
        <v>0</v>
      </c>
      <c r="AD25" s="36">
        <v>1</v>
      </c>
      <c r="AE25" s="44">
        <f t="shared" si="14"/>
        <v>0</v>
      </c>
      <c r="AF25" s="45"/>
      <c r="AG25" s="46" t="e">
        <f t="shared" si="31"/>
        <v>#DIV/0!</v>
      </c>
      <c r="AH25" s="47" t="e">
        <f t="shared" si="32"/>
        <v>#DIV/0!</v>
      </c>
      <c r="AI25" s="45">
        <v>2.7</v>
      </c>
      <c r="AJ25" s="46" t="e">
        <f t="shared" si="33"/>
        <v>#DIV/0!</v>
      </c>
      <c r="AK25" s="47" t="e">
        <f t="shared" si="34"/>
        <v>#DIV/0!</v>
      </c>
      <c r="AL25" s="45">
        <v>16.309999999999999</v>
      </c>
      <c r="AM25" s="46" t="e">
        <f t="shared" si="35"/>
        <v>#DIV/0!</v>
      </c>
      <c r="AN25" s="47" t="e">
        <f t="shared" si="36"/>
        <v>#DIV/0!</v>
      </c>
      <c r="AO25" s="45"/>
      <c r="AP25" s="46" t="e">
        <f t="shared" si="21"/>
        <v>#DIV/0!</v>
      </c>
      <c r="AQ25" s="47" t="e">
        <f t="shared" si="22"/>
        <v>#DIV/0!</v>
      </c>
      <c r="AR25" s="45"/>
      <c r="AS25" s="46">
        <f t="shared" si="23"/>
        <v>0</v>
      </c>
      <c r="AT25" s="47">
        <f t="shared" si="24"/>
        <v>0</v>
      </c>
      <c r="AU25" s="45">
        <v>16.309999999999999</v>
      </c>
      <c r="AV25" s="46" t="e">
        <f t="shared" si="25"/>
        <v>#DIV/0!</v>
      </c>
      <c r="AW25" s="47" t="e">
        <f t="shared" si="26"/>
        <v>#DIV/0!</v>
      </c>
      <c r="AX25" s="45"/>
      <c r="AY25" s="46">
        <f t="shared" si="27"/>
        <v>0</v>
      </c>
      <c r="AZ25" s="47">
        <f t="shared" si="28"/>
        <v>0</v>
      </c>
      <c r="BA25" s="48" t="e">
        <f t="shared" si="29"/>
        <v>#DIV/0!</v>
      </c>
    </row>
    <row r="26" spans="1:53">
      <c r="A26" s="30"/>
      <c r="B26" s="31" t="s">
        <v>414</v>
      </c>
      <c r="C26" s="31" t="s">
        <v>415</v>
      </c>
      <c r="D26" s="31" t="s">
        <v>429</v>
      </c>
      <c r="E26" s="32" t="s">
        <v>406</v>
      </c>
      <c r="F26" s="33">
        <v>2.89</v>
      </c>
      <c r="G26" s="74"/>
      <c r="H26" s="70" t="s">
        <v>58</v>
      </c>
      <c r="I26" s="77">
        <f>IF(H26=Tablas!$B$5,Tablas!$C$5,VLOOKUP(H26,Tablas!$B$5:$D$40,2,FALSE))</f>
        <v>29</v>
      </c>
      <c r="J26" s="65">
        <f>IF(I26=0,"",VLOOKUP(I26,Tablas!$C$5:$D$40,2,FALSE))</f>
        <v>1</v>
      </c>
      <c r="K26" s="34" t="str">
        <f t="shared" si="30"/>
        <v>0</v>
      </c>
      <c r="L26" s="35">
        <f t="shared" si="1"/>
        <v>0</v>
      </c>
      <c r="M26" s="35">
        <f t="shared" si="2"/>
        <v>0</v>
      </c>
      <c r="N26" s="35">
        <f t="shared" si="3"/>
        <v>0</v>
      </c>
      <c r="O26" s="35">
        <f t="shared" si="4"/>
        <v>0</v>
      </c>
      <c r="P26" s="35">
        <f t="shared" si="5"/>
        <v>0</v>
      </c>
      <c r="Q26" s="36">
        <v>0.75</v>
      </c>
      <c r="R26" s="37">
        <f t="shared" si="6"/>
        <v>0</v>
      </c>
      <c r="S26" s="36">
        <v>0.75</v>
      </c>
      <c r="T26" s="38">
        <f t="shared" si="7"/>
        <v>0</v>
      </c>
      <c r="U26" s="39">
        <f t="shared" si="8"/>
        <v>0</v>
      </c>
      <c r="V26" s="40">
        <f t="shared" si="9"/>
        <v>0</v>
      </c>
      <c r="W26" s="41">
        <f t="shared" si="10"/>
        <v>0</v>
      </c>
      <c r="X26" s="42">
        <f t="shared" si="11"/>
        <v>0.2</v>
      </c>
      <c r="Y26" s="43" t="s">
        <v>395</v>
      </c>
      <c r="Z26" s="36">
        <v>1</v>
      </c>
      <c r="AA26" s="44">
        <f t="shared" si="12"/>
        <v>0</v>
      </c>
      <c r="AB26" s="36">
        <v>1</v>
      </c>
      <c r="AC26" s="44">
        <f t="shared" si="13"/>
        <v>0</v>
      </c>
      <c r="AD26" s="36">
        <v>1</v>
      </c>
      <c r="AE26" s="44">
        <f t="shared" si="14"/>
        <v>0</v>
      </c>
      <c r="AF26" s="45"/>
      <c r="AG26" s="46" t="e">
        <f t="shared" si="31"/>
        <v>#DIV/0!</v>
      </c>
      <c r="AH26" s="47" t="e">
        <f t="shared" si="32"/>
        <v>#DIV/0!</v>
      </c>
      <c r="AI26" s="45"/>
      <c r="AJ26" s="46" t="e">
        <f t="shared" si="33"/>
        <v>#DIV/0!</v>
      </c>
      <c r="AK26" s="47" t="e">
        <f t="shared" si="34"/>
        <v>#DIV/0!</v>
      </c>
      <c r="AL26" s="45">
        <v>2.89</v>
      </c>
      <c r="AM26" s="46" t="e">
        <f t="shared" si="35"/>
        <v>#DIV/0!</v>
      </c>
      <c r="AN26" s="47" t="e">
        <f t="shared" si="36"/>
        <v>#DIV/0!</v>
      </c>
      <c r="AO26" s="45"/>
      <c r="AP26" s="46" t="e">
        <f t="shared" si="21"/>
        <v>#DIV/0!</v>
      </c>
      <c r="AQ26" s="47" t="e">
        <f t="shared" si="22"/>
        <v>#DIV/0!</v>
      </c>
      <c r="AR26" s="45"/>
      <c r="AS26" s="46">
        <f t="shared" si="23"/>
        <v>0</v>
      </c>
      <c r="AT26" s="47">
        <f t="shared" si="24"/>
        <v>0</v>
      </c>
      <c r="AU26" s="45">
        <v>2.89</v>
      </c>
      <c r="AV26" s="46" t="e">
        <f t="shared" si="25"/>
        <v>#DIV/0!</v>
      </c>
      <c r="AW26" s="47" t="e">
        <f t="shared" si="26"/>
        <v>#DIV/0!</v>
      </c>
      <c r="AX26" s="45"/>
      <c r="AY26" s="46">
        <f t="shared" si="27"/>
        <v>0</v>
      </c>
      <c r="AZ26" s="47">
        <f t="shared" si="28"/>
        <v>0</v>
      </c>
      <c r="BA26" s="48" t="e">
        <f t="shared" si="29"/>
        <v>#DIV/0!</v>
      </c>
    </row>
    <row r="27" spans="1:53">
      <c r="A27" s="30"/>
      <c r="B27" s="31" t="s">
        <v>414</v>
      </c>
      <c r="C27" s="31" t="s">
        <v>415</v>
      </c>
      <c r="D27" s="31" t="s">
        <v>430</v>
      </c>
      <c r="E27" s="32" t="s">
        <v>406</v>
      </c>
      <c r="F27" s="33">
        <v>2.59</v>
      </c>
      <c r="G27" s="74"/>
      <c r="H27" s="70" t="s">
        <v>58</v>
      </c>
      <c r="I27" s="77">
        <f>IF(H27=Tablas!$B$5,Tablas!$C$5,VLOOKUP(H27,Tablas!$B$5:$D$40,2,FALSE))</f>
        <v>29</v>
      </c>
      <c r="J27" s="65">
        <f>IF(I27=0,"",VLOOKUP(I27,Tablas!$C$5:$D$40,2,FALSE))</f>
        <v>1</v>
      </c>
      <c r="K27" s="34" t="str">
        <f t="shared" si="30"/>
        <v>0</v>
      </c>
      <c r="L27" s="35">
        <f t="shared" si="1"/>
        <v>0</v>
      </c>
      <c r="M27" s="35">
        <f t="shared" si="2"/>
        <v>0</v>
      </c>
      <c r="N27" s="35">
        <f t="shared" si="3"/>
        <v>0</v>
      </c>
      <c r="O27" s="35">
        <f t="shared" si="4"/>
        <v>0</v>
      </c>
      <c r="P27" s="35">
        <f t="shared" si="5"/>
        <v>0</v>
      </c>
      <c r="Q27" s="36">
        <v>0.75</v>
      </c>
      <c r="R27" s="37">
        <f t="shared" si="6"/>
        <v>0</v>
      </c>
      <c r="S27" s="36">
        <v>0.75</v>
      </c>
      <c r="T27" s="38">
        <f t="shared" si="7"/>
        <v>0</v>
      </c>
      <c r="U27" s="39">
        <f t="shared" si="8"/>
        <v>0</v>
      </c>
      <c r="V27" s="40">
        <f t="shared" si="9"/>
        <v>0</v>
      </c>
      <c r="W27" s="41">
        <f t="shared" si="10"/>
        <v>0</v>
      </c>
      <c r="X27" s="42">
        <f t="shared" si="11"/>
        <v>0.2</v>
      </c>
      <c r="Y27" s="43" t="s">
        <v>395</v>
      </c>
      <c r="Z27" s="36">
        <v>1</v>
      </c>
      <c r="AA27" s="44">
        <f t="shared" si="12"/>
        <v>0</v>
      </c>
      <c r="AB27" s="36">
        <v>1</v>
      </c>
      <c r="AC27" s="44">
        <f t="shared" si="13"/>
        <v>0</v>
      </c>
      <c r="AD27" s="36">
        <v>1</v>
      </c>
      <c r="AE27" s="44">
        <f t="shared" si="14"/>
        <v>0</v>
      </c>
      <c r="AF27" s="45"/>
      <c r="AG27" s="46" t="e">
        <f t="shared" si="31"/>
        <v>#DIV/0!</v>
      </c>
      <c r="AH27" s="47" t="e">
        <f t="shared" si="32"/>
        <v>#DIV/0!</v>
      </c>
      <c r="AI27" s="45"/>
      <c r="AJ27" s="46" t="e">
        <f t="shared" si="33"/>
        <v>#DIV/0!</v>
      </c>
      <c r="AK27" s="47" t="e">
        <f t="shared" si="34"/>
        <v>#DIV/0!</v>
      </c>
      <c r="AL27" s="45">
        <v>2.59</v>
      </c>
      <c r="AM27" s="46" t="e">
        <f t="shared" si="35"/>
        <v>#DIV/0!</v>
      </c>
      <c r="AN27" s="47" t="e">
        <f t="shared" si="36"/>
        <v>#DIV/0!</v>
      </c>
      <c r="AO27" s="45"/>
      <c r="AP27" s="46" t="e">
        <f t="shared" si="21"/>
        <v>#DIV/0!</v>
      </c>
      <c r="AQ27" s="47" t="e">
        <f t="shared" si="22"/>
        <v>#DIV/0!</v>
      </c>
      <c r="AR27" s="45"/>
      <c r="AS27" s="46">
        <f t="shared" si="23"/>
        <v>0</v>
      </c>
      <c r="AT27" s="47">
        <f t="shared" si="24"/>
        <v>0</v>
      </c>
      <c r="AU27" s="45">
        <v>2.59</v>
      </c>
      <c r="AV27" s="46" t="e">
        <f t="shared" si="25"/>
        <v>#DIV/0!</v>
      </c>
      <c r="AW27" s="47" t="e">
        <f t="shared" si="26"/>
        <v>#DIV/0!</v>
      </c>
      <c r="AX27" s="45"/>
      <c r="AY27" s="46">
        <f t="shared" si="27"/>
        <v>0</v>
      </c>
      <c r="AZ27" s="47">
        <f t="shared" si="28"/>
        <v>0</v>
      </c>
      <c r="BA27" s="48" t="e">
        <f t="shared" si="29"/>
        <v>#DIV/0!</v>
      </c>
    </row>
    <row r="28" spans="1:53">
      <c r="A28" s="30"/>
      <c r="B28" s="31" t="s">
        <v>414</v>
      </c>
      <c r="C28" s="31" t="s">
        <v>415</v>
      </c>
      <c r="D28" s="31" t="s">
        <v>430</v>
      </c>
      <c r="E28" s="32" t="s">
        <v>406</v>
      </c>
      <c r="F28" s="33">
        <v>4.9800000000000004</v>
      </c>
      <c r="G28" s="74"/>
      <c r="H28" s="70" t="s">
        <v>58</v>
      </c>
      <c r="I28" s="77">
        <f>IF(H28=Tablas!$B$5,Tablas!$C$5,VLOOKUP(H28,Tablas!$B$5:$D$40,2,FALSE))</f>
        <v>29</v>
      </c>
      <c r="J28" s="65">
        <f>IF(I28=0,"",VLOOKUP(I28,Tablas!$C$5:$D$40,2,FALSE))</f>
        <v>1</v>
      </c>
      <c r="K28" s="34" t="str">
        <f t="shared" si="30"/>
        <v>0</v>
      </c>
      <c r="L28" s="35">
        <f t="shared" si="1"/>
        <v>0</v>
      </c>
      <c r="M28" s="35">
        <f t="shared" si="2"/>
        <v>0</v>
      </c>
      <c r="N28" s="35">
        <f t="shared" si="3"/>
        <v>0</v>
      </c>
      <c r="O28" s="35">
        <f t="shared" si="4"/>
        <v>0</v>
      </c>
      <c r="P28" s="35">
        <f t="shared" si="5"/>
        <v>0</v>
      </c>
      <c r="Q28" s="36">
        <v>0.75</v>
      </c>
      <c r="R28" s="37">
        <f t="shared" si="6"/>
        <v>0</v>
      </c>
      <c r="S28" s="36">
        <v>0.75</v>
      </c>
      <c r="T28" s="38">
        <f t="shared" si="7"/>
        <v>0</v>
      </c>
      <c r="U28" s="39">
        <f t="shared" si="8"/>
        <v>0</v>
      </c>
      <c r="V28" s="40">
        <f t="shared" si="9"/>
        <v>0</v>
      </c>
      <c r="W28" s="41">
        <f t="shared" si="10"/>
        <v>0</v>
      </c>
      <c r="X28" s="42">
        <f t="shared" si="11"/>
        <v>0.2</v>
      </c>
      <c r="Y28" s="43" t="s">
        <v>395</v>
      </c>
      <c r="Z28" s="36">
        <v>1</v>
      </c>
      <c r="AA28" s="44">
        <f t="shared" si="12"/>
        <v>0</v>
      </c>
      <c r="AB28" s="36">
        <v>1</v>
      </c>
      <c r="AC28" s="44">
        <f t="shared" si="13"/>
        <v>0</v>
      </c>
      <c r="AD28" s="36">
        <v>1</v>
      </c>
      <c r="AE28" s="44">
        <f t="shared" si="14"/>
        <v>0</v>
      </c>
      <c r="AF28" s="45"/>
      <c r="AG28" s="46" t="e">
        <f t="shared" si="31"/>
        <v>#DIV/0!</v>
      </c>
      <c r="AH28" s="47" t="e">
        <f t="shared" si="32"/>
        <v>#DIV/0!</v>
      </c>
      <c r="AI28" s="45"/>
      <c r="AJ28" s="46" t="e">
        <f t="shared" si="33"/>
        <v>#DIV/0!</v>
      </c>
      <c r="AK28" s="47" t="e">
        <f t="shared" si="34"/>
        <v>#DIV/0!</v>
      </c>
      <c r="AL28" s="45">
        <v>4.9800000000000004</v>
      </c>
      <c r="AM28" s="46" t="e">
        <f t="shared" si="35"/>
        <v>#DIV/0!</v>
      </c>
      <c r="AN28" s="47" t="e">
        <f t="shared" si="36"/>
        <v>#DIV/0!</v>
      </c>
      <c r="AO28" s="45"/>
      <c r="AP28" s="46" t="e">
        <f t="shared" si="21"/>
        <v>#DIV/0!</v>
      </c>
      <c r="AQ28" s="47" t="e">
        <f t="shared" si="22"/>
        <v>#DIV/0!</v>
      </c>
      <c r="AR28" s="45"/>
      <c r="AS28" s="46">
        <f t="shared" si="23"/>
        <v>0</v>
      </c>
      <c r="AT28" s="47">
        <f t="shared" si="24"/>
        <v>0</v>
      </c>
      <c r="AU28" s="45">
        <v>4.9800000000000004</v>
      </c>
      <c r="AV28" s="46" t="e">
        <f t="shared" si="25"/>
        <v>#DIV/0!</v>
      </c>
      <c r="AW28" s="47" t="e">
        <f t="shared" si="26"/>
        <v>#DIV/0!</v>
      </c>
      <c r="AX28" s="45"/>
      <c r="AY28" s="46">
        <f t="shared" si="27"/>
        <v>0</v>
      </c>
      <c r="AZ28" s="47">
        <f t="shared" si="28"/>
        <v>0</v>
      </c>
      <c r="BA28" s="48" t="e">
        <f t="shared" si="29"/>
        <v>#DIV/0!</v>
      </c>
    </row>
    <row r="29" spans="1:53">
      <c r="A29" s="30"/>
      <c r="B29" s="31" t="s">
        <v>414</v>
      </c>
      <c r="C29" s="31" t="s">
        <v>415</v>
      </c>
      <c r="D29" s="31" t="s">
        <v>431</v>
      </c>
      <c r="E29" s="32" t="s">
        <v>406</v>
      </c>
      <c r="F29" s="33">
        <v>77.040000000000006</v>
      </c>
      <c r="G29" s="74"/>
      <c r="H29" s="70" t="s">
        <v>20</v>
      </c>
      <c r="I29" s="77">
        <f>IF(H29=Tablas!$B$5,Tablas!$C$5,VLOOKUP(H29,Tablas!$B$5:$D$40,2,FALSE))</f>
        <v>19</v>
      </c>
      <c r="J29" s="65">
        <f>IF(I29=0,"",VLOOKUP(I29,Tablas!$C$5:$D$40,2,FALSE))</f>
        <v>21.726190476190478</v>
      </c>
      <c r="K29" s="34" t="str">
        <f t="shared" si="30"/>
        <v>0</v>
      </c>
      <c r="L29" s="35">
        <f t="shared" si="1"/>
        <v>0</v>
      </c>
      <c r="M29" s="35">
        <f t="shared" si="2"/>
        <v>0</v>
      </c>
      <c r="N29" s="35">
        <f t="shared" si="3"/>
        <v>0</v>
      </c>
      <c r="O29" s="35">
        <f t="shared" si="4"/>
        <v>0</v>
      </c>
      <c r="P29" s="35">
        <f t="shared" si="5"/>
        <v>0</v>
      </c>
      <c r="Q29" s="36">
        <v>0.75</v>
      </c>
      <c r="R29" s="37">
        <f t="shared" si="6"/>
        <v>0</v>
      </c>
      <c r="S29" s="36">
        <v>0.75</v>
      </c>
      <c r="T29" s="38">
        <f t="shared" si="7"/>
        <v>0</v>
      </c>
      <c r="U29" s="39">
        <f t="shared" si="8"/>
        <v>0</v>
      </c>
      <c r="V29" s="40">
        <f t="shared" si="9"/>
        <v>0</v>
      </c>
      <c r="W29" s="41">
        <f t="shared" si="10"/>
        <v>0</v>
      </c>
      <c r="X29" s="42">
        <f t="shared" si="11"/>
        <v>5</v>
      </c>
      <c r="Y29" s="43" t="s">
        <v>395</v>
      </c>
      <c r="Z29" s="36">
        <v>1</v>
      </c>
      <c r="AA29" s="44">
        <f t="shared" si="12"/>
        <v>0</v>
      </c>
      <c r="AB29" s="36">
        <v>1</v>
      </c>
      <c r="AC29" s="44">
        <f t="shared" si="13"/>
        <v>0</v>
      </c>
      <c r="AD29" s="36">
        <v>1</v>
      </c>
      <c r="AE29" s="44">
        <f t="shared" si="14"/>
        <v>0</v>
      </c>
      <c r="AF29" s="45">
        <v>10.8</v>
      </c>
      <c r="AG29" s="46" t="e">
        <f t="shared" si="31"/>
        <v>#DIV/0!</v>
      </c>
      <c r="AH29" s="47" t="e">
        <f t="shared" si="32"/>
        <v>#DIV/0!</v>
      </c>
      <c r="AI29" s="45">
        <v>23.9</v>
      </c>
      <c r="AJ29" s="46" t="e">
        <f t="shared" si="33"/>
        <v>#DIV/0!</v>
      </c>
      <c r="AK29" s="47" t="e">
        <f t="shared" si="34"/>
        <v>#DIV/0!</v>
      </c>
      <c r="AL29" s="45">
        <v>77.040000000000006</v>
      </c>
      <c r="AM29" s="46" t="e">
        <f t="shared" si="35"/>
        <v>#DIV/0!</v>
      </c>
      <c r="AN29" s="47" t="e">
        <f t="shared" si="36"/>
        <v>#DIV/0!</v>
      </c>
      <c r="AO29" s="45"/>
      <c r="AP29" s="46" t="e">
        <f t="shared" si="21"/>
        <v>#DIV/0!</v>
      </c>
      <c r="AQ29" s="47" t="e">
        <f t="shared" si="22"/>
        <v>#DIV/0!</v>
      </c>
      <c r="AR29" s="45"/>
      <c r="AS29" s="46">
        <f t="shared" si="23"/>
        <v>0</v>
      </c>
      <c r="AT29" s="47">
        <f t="shared" si="24"/>
        <v>0</v>
      </c>
      <c r="AU29" s="45">
        <v>77.040000000000006</v>
      </c>
      <c r="AV29" s="46" t="e">
        <f t="shared" si="25"/>
        <v>#DIV/0!</v>
      </c>
      <c r="AW29" s="47" t="e">
        <f t="shared" si="26"/>
        <v>#DIV/0!</v>
      </c>
      <c r="AX29" s="45"/>
      <c r="AY29" s="46">
        <f t="shared" si="27"/>
        <v>0</v>
      </c>
      <c r="AZ29" s="47">
        <f t="shared" si="28"/>
        <v>0</v>
      </c>
      <c r="BA29" s="48" t="e">
        <f t="shared" si="29"/>
        <v>#DIV/0!</v>
      </c>
    </row>
    <row r="30" spans="1:53">
      <c r="A30" s="30"/>
      <c r="B30" s="31" t="s">
        <v>414</v>
      </c>
      <c r="C30" s="31" t="s">
        <v>415</v>
      </c>
      <c r="D30" s="31" t="s">
        <v>432</v>
      </c>
      <c r="E30" s="32"/>
      <c r="F30" s="33">
        <v>3.5</v>
      </c>
      <c r="G30" s="74"/>
      <c r="H30" s="70" t="s">
        <v>20</v>
      </c>
      <c r="I30" s="77">
        <f>IF(H30=Tablas!$B$5,Tablas!$C$5,VLOOKUP(H30,Tablas!$B$5:$D$40,2,FALSE))</f>
        <v>19</v>
      </c>
      <c r="J30" s="65">
        <f>IF(I30=0,"",VLOOKUP(I30,Tablas!$C$5:$D$40,2,FALSE))</f>
        <v>21.726190476190478</v>
      </c>
      <c r="K30" s="34" t="str">
        <f t="shared" si="30"/>
        <v>0</v>
      </c>
      <c r="L30" s="35">
        <f t="shared" si="1"/>
        <v>0</v>
      </c>
      <c r="M30" s="35">
        <f t="shared" si="2"/>
        <v>0</v>
      </c>
      <c r="N30" s="35">
        <f t="shared" si="3"/>
        <v>0</v>
      </c>
      <c r="O30" s="35">
        <f t="shared" si="4"/>
        <v>0</v>
      </c>
      <c r="P30" s="35">
        <f t="shared" si="5"/>
        <v>0</v>
      </c>
      <c r="Q30" s="36">
        <v>0.75</v>
      </c>
      <c r="R30" s="37">
        <f t="shared" si="6"/>
        <v>0</v>
      </c>
      <c r="S30" s="36">
        <v>0.75</v>
      </c>
      <c r="T30" s="38">
        <f t="shared" si="7"/>
        <v>0</v>
      </c>
      <c r="U30" s="39">
        <f t="shared" si="8"/>
        <v>0</v>
      </c>
      <c r="V30" s="40">
        <f t="shared" si="9"/>
        <v>0</v>
      </c>
      <c r="W30" s="41">
        <f t="shared" si="10"/>
        <v>0</v>
      </c>
      <c r="X30" s="42">
        <f t="shared" si="11"/>
        <v>5</v>
      </c>
      <c r="Y30" s="43" t="s">
        <v>395</v>
      </c>
      <c r="Z30" s="36">
        <v>1</v>
      </c>
      <c r="AA30" s="44">
        <f t="shared" si="12"/>
        <v>0</v>
      </c>
      <c r="AB30" s="36">
        <v>1</v>
      </c>
      <c r="AC30" s="44">
        <f t="shared" si="13"/>
        <v>0</v>
      </c>
      <c r="AD30" s="36">
        <v>1</v>
      </c>
      <c r="AE30" s="44">
        <f t="shared" si="14"/>
        <v>0</v>
      </c>
      <c r="AF30" s="45"/>
      <c r="AG30" s="46" t="e">
        <f t="shared" si="31"/>
        <v>#DIV/0!</v>
      </c>
      <c r="AH30" s="47" t="e">
        <f t="shared" si="32"/>
        <v>#DIV/0!</v>
      </c>
      <c r="AI30" s="45"/>
      <c r="AJ30" s="46" t="e">
        <f t="shared" si="33"/>
        <v>#DIV/0!</v>
      </c>
      <c r="AK30" s="47" t="e">
        <f t="shared" si="34"/>
        <v>#DIV/0!</v>
      </c>
      <c r="AL30" s="45">
        <v>3.5</v>
      </c>
      <c r="AM30" s="46" t="e">
        <f t="shared" si="35"/>
        <v>#DIV/0!</v>
      </c>
      <c r="AN30" s="47" t="e">
        <f t="shared" si="36"/>
        <v>#DIV/0!</v>
      </c>
      <c r="AO30" s="45"/>
      <c r="AP30" s="46" t="e">
        <f t="shared" si="21"/>
        <v>#DIV/0!</v>
      </c>
      <c r="AQ30" s="47" t="e">
        <f t="shared" si="22"/>
        <v>#DIV/0!</v>
      </c>
      <c r="AR30" s="45"/>
      <c r="AS30" s="46">
        <f t="shared" si="23"/>
        <v>0</v>
      </c>
      <c r="AT30" s="47">
        <f t="shared" si="24"/>
        <v>0</v>
      </c>
      <c r="AU30" s="45">
        <v>3.5</v>
      </c>
      <c r="AV30" s="46" t="e">
        <f t="shared" si="25"/>
        <v>#DIV/0!</v>
      </c>
      <c r="AW30" s="47" t="e">
        <f t="shared" si="26"/>
        <v>#DIV/0!</v>
      </c>
      <c r="AX30" s="45"/>
      <c r="AY30" s="46">
        <f t="shared" si="27"/>
        <v>0</v>
      </c>
      <c r="AZ30" s="47">
        <f t="shared" si="28"/>
        <v>0</v>
      </c>
      <c r="BA30" s="48" t="e">
        <f t="shared" si="29"/>
        <v>#DIV/0!</v>
      </c>
    </row>
    <row r="31" spans="1:53">
      <c r="A31" s="30"/>
      <c r="B31" s="31" t="s">
        <v>414</v>
      </c>
      <c r="C31" s="31" t="s">
        <v>415</v>
      </c>
      <c r="D31" s="31" t="s">
        <v>433</v>
      </c>
      <c r="E31" s="32" t="s">
        <v>406</v>
      </c>
      <c r="F31" s="33">
        <v>85.3</v>
      </c>
      <c r="G31" s="74"/>
      <c r="H31" s="70" t="s">
        <v>20</v>
      </c>
      <c r="I31" s="77">
        <f>IF(H31=Tablas!$B$5,Tablas!$C$5,VLOOKUP(H31,Tablas!$B$5:$D$40,2,FALSE))</f>
        <v>19</v>
      </c>
      <c r="J31" s="65">
        <f>IF(I31=0,"",VLOOKUP(I31,Tablas!$C$5:$D$40,2,FALSE))</f>
        <v>21.726190476190478</v>
      </c>
      <c r="K31" s="34" t="str">
        <f t="shared" si="30"/>
        <v>0</v>
      </c>
      <c r="L31" s="35">
        <f t="shared" si="1"/>
        <v>0</v>
      </c>
      <c r="M31" s="35">
        <f t="shared" si="2"/>
        <v>0</v>
      </c>
      <c r="N31" s="35">
        <f t="shared" si="3"/>
        <v>0</v>
      </c>
      <c r="O31" s="35">
        <f t="shared" si="4"/>
        <v>0</v>
      </c>
      <c r="P31" s="35">
        <f t="shared" si="5"/>
        <v>0</v>
      </c>
      <c r="Q31" s="36">
        <v>0.75</v>
      </c>
      <c r="R31" s="37">
        <f t="shared" si="6"/>
        <v>0</v>
      </c>
      <c r="S31" s="36">
        <v>0.75</v>
      </c>
      <c r="T31" s="38">
        <f t="shared" si="7"/>
        <v>0</v>
      </c>
      <c r="U31" s="39">
        <f t="shared" si="8"/>
        <v>0</v>
      </c>
      <c r="V31" s="40">
        <f t="shared" si="9"/>
        <v>0</v>
      </c>
      <c r="W31" s="41">
        <f t="shared" si="10"/>
        <v>0</v>
      </c>
      <c r="X31" s="42">
        <f t="shared" si="11"/>
        <v>5</v>
      </c>
      <c r="Y31" s="43" t="s">
        <v>395</v>
      </c>
      <c r="Z31" s="36">
        <v>1</v>
      </c>
      <c r="AA31" s="44">
        <f t="shared" si="12"/>
        <v>0</v>
      </c>
      <c r="AB31" s="36">
        <v>1</v>
      </c>
      <c r="AC31" s="44">
        <f t="shared" si="13"/>
        <v>0</v>
      </c>
      <c r="AD31" s="36">
        <v>1</v>
      </c>
      <c r="AE31" s="44">
        <f t="shared" si="14"/>
        <v>0</v>
      </c>
      <c r="AF31" s="45"/>
      <c r="AG31" s="46" t="e">
        <f t="shared" si="31"/>
        <v>#DIV/0!</v>
      </c>
      <c r="AH31" s="47" t="e">
        <f t="shared" si="32"/>
        <v>#DIV/0!</v>
      </c>
      <c r="AI31" s="45"/>
      <c r="AJ31" s="46" t="e">
        <f t="shared" si="33"/>
        <v>#DIV/0!</v>
      </c>
      <c r="AK31" s="47" t="e">
        <f t="shared" si="34"/>
        <v>#DIV/0!</v>
      </c>
      <c r="AL31" s="45">
        <v>85.3</v>
      </c>
      <c r="AM31" s="46" t="e">
        <f t="shared" si="35"/>
        <v>#DIV/0!</v>
      </c>
      <c r="AN31" s="47" t="e">
        <f t="shared" si="36"/>
        <v>#DIV/0!</v>
      </c>
      <c r="AO31" s="45"/>
      <c r="AP31" s="46" t="e">
        <f t="shared" si="21"/>
        <v>#DIV/0!</v>
      </c>
      <c r="AQ31" s="47" t="e">
        <f t="shared" si="22"/>
        <v>#DIV/0!</v>
      </c>
      <c r="AR31" s="45"/>
      <c r="AS31" s="46">
        <f t="shared" si="23"/>
        <v>0</v>
      </c>
      <c r="AT31" s="47">
        <f t="shared" si="24"/>
        <v>0</v>
      </c>
      <c r="AU31" s="45">
        <v>85.3</v>
      </c>
      <c r="AV31" s="46" t="e">
        <f t="shared" si="25"/>
        <v>#DIV/0!</v>
      </c>
      <c r="AW31" s="47" t="e">
        <f t="shared" si="26"/>
        <v>#DIV/0!</v>
      </c>
      <c r="AX31" s="45"/>
      <c r="AY31" s="46">
        <f t="shared" si="27"/>
        <v>0</v>
      </c>
      <c r="AZ31" s="47">
        <f t="shared" si="28"/>
        <v>0</v>
      </c>
      <c r="BA31" s="48" t="e">
        <f t="shared" si="29"/>
        <v>#DIV/0!</v>
      </c>
    </row>
    <row r="32" spans="1:53">
      <c r="A32" s="30"/>
      <c r="B32" s="31" t="s">
        <v>414</v>
      </c>
      <c r="C32" s="31" t="s">
        <v>415</v>
      </c>
      <c r="D32" s="31" t="s">
        <v>347</v>
      </c>
      <c r="E32" s="32"/>
      <c r="F32" s="33">
        <v>7.15</v>
      </c>
      <c r="G32" s="74"/>
      <c r="H32" s="70" t="s">
        <v>20</v>
      </c>
      <c r="I32" s="77">
        <f>IF(H32=Tablas!$B$5,Tablas!$C$5,VLOOKUP(H32,Tablas!$B$5:$D$40,2,FALSE))</f>
        <v>19</v>
      </c>
      <c r="J32" s="65">
        <f>IF(I32=0,"",VLOOKUP(I32,Tablas!$C$5:$D$40,2,FALSE))</f>
        <v>21.726190476190478</v>
      </c>
      <c r="K32" s="34" t="str">
        <f t="shared" si="30"/>
        <v>0</v>
      </c>
      <c r="L32" s="35">
        <f t="shared" si="1"/>
        <v>0</v>
      </c>
      <c r="M32" s="35">
        <f t="shared" si="2"/>
        <v>0</v>
      </c>
      <c r="N32" s="35">
        <f t="shared" si="3"/>
        <v>0</v>
      </c>
      <c r="O32" s="35">
        <f t="shared" si="4"/>
        <v>0</v>
      </c>
      <c r="P32" s="35">
        <f t="shared" si="5"/>
        <v>0</v>
      </c>
      <c r="Q32" s="36">
        <v>0.75</v>
      </c>
      <c r="R32" s="37">
        <f t="shared" si="6"/>
        <v>0</v>
      </c>
      <c r="S32" s="36">
        <v>0.75</v>
      </c>
      <c r="T32" s="38">
        <f t="shared" si="7"/>
        <v>0</v>
      </c>
      <c r="U32" s="39">
        <f t="shared" si="8"/>
        <v>0</v>
      </c>
      <c r="V32" s="40">
        <f t="shared" si="9"/>
        <v>0</v>
      </c>
      <c r="W32" s="41">
        <f t="shared" si="10"/>
        <v>0</v>
      </c>
      <c r="X32" s="42">
        <f t="shared" si="11"/>
        <v>5</v>
      </c>
      <c r="Y32" s="43" t="s">
        <v>395</v>
      </c>
      <c r="Z32" s="36">
        <v>1</v>
      </c>
      <c r="AA32" s="44">
        <f t="shared" si="12"/>
        <v>0</v>
      </c>
      <c r="AB32" s="36">
        <v>1</v>
      </c>
      <c r="AC32" s="44">
        <f t="shared" si="13"/>
        <v>0</v>
      </c>
      <c r="AD32" s="36">
        <v>1</v>
      </c>
      <c r="AE32" s="44">
        <f t="shared" si="14"/>
        <v>0</v>
      </c>
      <c r="AF32" s="45"/>
      <c r="AG32" s="46" t="e">
        <f t="shared" si="31"/>
        <v>#DIV/0!</v>
      </c>
      <c r="AH32" s="47" t="e">
        <f t="shared" si="32"/>
        <v>#DIV/0!</v>
      </c>
      <c r="AI32" s="45"/>
      <c r="AJ32" s="46" t="e">
        <f t="shared" si="33"/>
        <v>#DIV/0!</v>
      </c>
      <c r="AK32" s="47" t="e">
        <f t="shared" si="34"/>
        <v>#DIV/0!</v>
      </c>
      <c r="AL32" s="45">
        <v>7.15</v>
      </c>
      <c r="AM32" s="46" t="e">
        <f t="shared" si="35"/>
        <v>#DIV/0!</v>
      </c>
      <c r="AN32" s="47" t="e">
        <f t="shared" si="36"/>
        <v>#DIV/0!</v>
      </c>
      <c r="AO32" s="45"/>
      <c r="AP32" s="46" t="e">
        <f t="shared" si="21"/>
        <v>#DIV/0!</v>
      </c>
      <c r="AQ32" s="47" t="e">
        <f t="shared" si="22"/>
        <v>#DIV/0!</v>
      </c>
      <c r="AR32" s="45"/>
      <c r="AS32" s="46">
        <f t="shared" si="23"/>
        <v>0</v>
      </c>
      <c r="AT32" s="47">
        <f t="shared" si="24"/>
        <v>0</v>
      </c>
      <c r="AU32" s="45">
        <v>7.15</v>
      </c>
      <c r="AV32" s="46" t="e">
        <f t="shared" si="25"/>
        <v>#DIV/0!</v>
      </c>
      <c r="AW32" s="47" t="e">
        <f t="shared" si="26"/>
        <v>#DIV/0!</v>
      </c>
      <c r="AX32" s="45"/>
      <c r="AY32" s="46">
        <f t="shared" si="27"/>
        <v>0</v>
      </c>
      <c r="AZ32" s="47">
        <f t="shared" si="28"/>
        <v>0</v>
      </c>
      <c r="BA32" s="48" t="e">
        <f t="shared" si="29"/>
        <v>#DIV/0!</v>
      </c>
    </row>
    <row r="33" spans="1:53">
      <c r="A33" s="30"/>
      <c r="B33" s="31" t="s">
        <v>414</v>
      </c>
      <c r="C33" s="31" t="s">
        <v>415</v>
      </c>
      <c r="D33" s="31" t="s">
        <v>434</v>
      </c>
      <c r="E33" s="32"/>
      <c r="F33" s="33">
        <v>17.3</v>
      </c>
      <c r="G33" s="74"/>
      <c r="H33" s="70" t="s">
        <v>56</v>
      </c>
      <c r="I33" s="77">
        <f>IF(H33=Tablas!$B$5,Tablas!$C$5,VLOOKUP(H33,Tablas!$B$5:$D$40,2,FALSE))</f>
        <v>26</v>
      </c>
      <c r="J33" s="65">
        <f>IF(I33=0,"",VLOOKUP(I33,Tablas!$C$5:$D$40,2,FALSE))</f>
        <v>4.3452380952380958</v>
      </c>
      <c r="K33" s="34" t="str">
        <f t="shared" si="30"/>
        <v>0</v>
      </c>
      <c r="L33" s="35">
        <f t="shared" si="1"/>
        <v>0</v>
      </c>
      <c r="M33" s="35">
        <f t="shared" si="2"/>
        <v>0</v>
      </c>
      <c r="N33" s="35">
        <f t="shared" si="3"/>
        <v>0</v>
      </c>
      <c r="O33" s="35">
        <f t="shared" si="4"/>
        <v>0</v>
      </c>
      <c r="P33" s="35">
        <f t="shared" si="5"/>
        <v>0</v>
      </c>
      <c r="Q33" s="36">
        <v>0.75</v>
      </c>
      <c r="R33" s="37">
        <f t="shared" si="6"/>
        <v>0</v>
      </c>
      <c r="S33" s="36">
        <v>0.75</v>
      </c>
      <c r="T33" s="38">
        <f t="shared" si="7"/>
        <v>0</v>
      </c>
      <c r="U33" s="39">
        <f t="shared" si="8"/>
        <v>0</v>
      </c>
      <c r="V33" s="40">
        <f t="shared" si="9"/>
        <v>0</v>
      </c>
      <c r="W33" s="41">
        <f t="shared" si="10"/>
        <v>0</v>
      </c>
      <c r="X33" s="42">
        <f t="shared" si="11"/>
        <v>1</v>
      </c>
      <c r="Y33" s="43" t="s">
        <v>395</v>
      </c>
      <c r="Z33" s="36">
        <v>1</v>
      </c>
      <c r="AA33" s="44">
        <f t="shared" si="12"/>
        <v>0</v>
      </c>
      <c r="AB33" s="36">
        <v>1</v>
      </c>
      <c r="AC33" s="44">
        <f t="shared" si="13"/>
        <v>0</v>
      </c>
      <c r="AD33" s="36">
        <v>1</v>
      </c>
      <c r="AE33" s="44">
        <f t="shared" si="14"/>
        <v>0</v>
      </c>
      <c r="AF33" s="45"/>
      <c r="AG33" s="46" t="e">
        <f t="shared" si="31"/>
        <v>#DIV/0!</v>
      </c>
      <c r="AH33" s="47" t="e">
        <f t="shared" si="32"/>
        <v>#DIV/0!</v>
      </c>
      <c r="AI33" s="45"/>
      <c r="AJ33" s="46" t="e">
        <f t="shared" si="33"/>
        <v>#DIV/0!</v>
      </c>
      <c r="AK33" s="47" t="e">
        <f t="shared" si="34"/>
        <v>#DIV/0!</v>
      </c>
      <c r="AL33" s="45"/>
      <c r="AM33" s="46" t="e">
        <f t="shared" si="35"/>
        <v>#DIV/0!</v>
      </c>
      <c r="AN33" s="47" t="e">
        <f t="shared" si="36"/>
        <v>#DIV/0!</v>
      </c>
      <c r="AO33" s="45"/>
      <c r="AP33" s="46" t="e">
        <f t="shared" si="21"/>
        <v>#DIV/0!</v>
      </c>
      <c r="AQ33" s="47" t="e">
        <f t="shared" si="22"/>
        <v>#DIV/0!</v>
      </c>
      <c r="AR33" s="45"/>
      <c r="AS33" s="46">
        <f t="shared" si="23"/>
        <v>0</v>
      </c>
      <c r="AT33" s="47">
        <f t="shared" si="24"/>
        <v>0</v>
      </c>
      <c r="AU33" s="45"/>
      <c r="AV33" s="46" t="e">
        <f t="shared" si="25"/>
        <v>#DIV/0!</v>
      </c>
      <c r="AW33" s="47" t="e">
        <f t="shared" si="26"/>
        <v>#DIV/0!</v>
      </c>
      <c r="AX33" s="45"/>
      <c r="AY33" s="46">
        <f t="shared" si="27"/>
        <v>0</v>
      </c>
      <c r="AZ33" s="47">
        <f t="shared" si="28"/>
        <v>0</v>
      </c>
      <c r="BA33" s="48" t="e">
        <f t="shared" si="29"/>
        <v>#DIV/0!</v>
      </c>
    </row>
    <row r="34" spans="1:53">
      <c r="A34" s="30"/>
      <c r="B34" s="31" t="s">
        <v>414</v>
      </c>
      <c r="C34" s="31" t="s">
        <v>415</v>
      </c>
      <c r="D34" s="31" t="s">
        <v>477</v>
      </c>
      <c r="E34" s="32"/>
      <c r="F34" s="33">
        <v>291.14999999999998</v>
      </c>
      <c r="G34" s="74"/>
      <c r="H34" s="70" t="s">
        <v>56</v>
      </c>
      <c r="I34" s="77">
        <f>IF(H34=Tablas!$B$5,Tablas!$C$5,VLOOKUP(H34,Tablas!$B$5:$D$40,2,FALSE))</f>
        <v>26</v>
      </c>
      <c r="J34" s="65">
        <f>IF(I34=0,"",VLOOKUP(I34,Tablas!$C$5:$D$40,2,FALSE))</f>
        <v>4.3452380952380958</v>
      </c>
      <c r="K34" s="34" t="str">
        <f t="shared" si="30"/>
        <v>0</v>
      </c>
      <c r="L34" s="35">
        <f t="shared" si="1"/>
        <v>0</v>
      </c>
      <c r="M34" s="35">
        <f t="shared" si="2"/>
        <v>0</v>
      </c>
      <c r="N34" s="35">
        <f t="shared" si="3"/>
        <v>0</v>
      </c>
      <c r="O34" s="35">
        <f t="shared" si="4"/>
        <v>0</v>
      </c>
      <c r="P34" s="35">
        <f t="shared" si="5"/>
        <v>0</v>
      </c>
      <c r="Q34" s="36">
        <v>0.75</v>
      </c>
      <c r="R34" s="37">
        <f t="shared" si="6"/>
        <v>0</v>
      </c>
      <c r="S34" s="36">
        <v>0.75</v>
      </c>
      <c r="T34" s="38">
        <f t="shared" si="7"/>
        <v>0</v>
      </c>
      <c r="U34" s="39">
        <f t="shared" si="8"/>
        <v>0</v>
      </c>
      <c r="V34" s="40">
        <f t="shared" si="9"/>
        <v>0</v>
      </c>
      <c r="W34" s="41">
        <f t="shared" si="10"/>
        <v>0</v>
      </c>
      <c r="X34" s="42">
        <f t="shared" si="11"/>
        <v>1</v>
      </c>
      <c r="Y34" s="43" t="s">
        <v>395</v>
      </c>
      <c r="Z34" s="36">
        <v>1</v>
      </c>
      <c r="AA34" s="44">
        <f t="shared" si="12"/>
        <v>0</v>
      </c>
      <c r="AB34" s="36">
        <v>1</v>
      </c>
      <c r="AC34" s="44">
        <f t="shared" si="13"/>
        <v>0</v>
      </c>
      <c r="AD34" s="36">
        <v>1</v>
      </c>
      <c r="AE34" s="44">
        <f t="shared" si="14"/>
        <v>0</v>
      </c>
      <c r="AF34" s="45"/>
      <c r="AG34" s="46" t="e">
        <f t="shared" si="31"/>
        <v>#DIV/0!</v>
      </c>
      <c r="AH34" s="47" t="e">
        <f t="shared" si="32"/>
        <v>#DIV/0!</v>
      </c>
      <c r="AI34" s="45"/>
      <c r="AJ34" s="46" t="e">
        <f t="shared" si="33"/>
        <v>#DIV/0!</v>
      </c>
      <c r="AK34" s="47" t="e">
        <f t="shared" si="34"/>
        <v>#DIV/0!</v>
      </c>
      <c r="AL34" s="45"/>
      <c r="AM34" s="46" t="e">
        <f t="shared" si="35"/>
        <v>#DIV/0!</v>
      </c>
      <c r="AN34" s="47" t="e">
        <f t="shared" si="36"/>
        <v>#DIV/0!</v>
      </c>
      <c r="AO34" s="45"/>
      <c r="AP34" s="46" t="e">
        <f t="shared" si="21"/>
        <v>#DIV/0!</v>
      </c>
      <c r="AQ34" s="47" t="e">
        <f t="shared" si="22"/>
        <v>#DIV/0!</v>
      </c>
      <c r="AR34" s="45"/>
      <c r="AS34" s="46">
        <f t="shared" si="23"/>
        <v>0</v>
      </c>
      <c r="AT34" s="47">
        <f t="shared" si="24"/>
        <v>0</v>
      </c>
      <c r="AU34" s="45"/>
      <c r="AV34" s="46" t="e">
        <f t="shared" si="25"/>
        <v>#DIV/0!</v>
      </c>
      <c r="AW34" s="47" t="e">
        <f t="shared" si="26"/>
        <v>#DIV/0!</v>
      </c>
      <c r="AX34" s="45"/>
      <c r="AY34" s="46">
        <f t="shared" si="27"/>
        <v>0</v>
      </c>
      <c r="AZ34" s="47">
        <f t="shared" si="28"/>
        <v>0</v>
      </c>
      <c r="BA34" s="48" t="e">
        <f t="shared" si="29"/>
        <v>#DIV/0!</v>
      </c>
    </row>
    <row r="35" spans="1:53">
      <c r="A35" s="30"/>
      <c r="B35" s="31" t="s">
        <v>414</v>
      </c>
      <c r="C35" s="31" t="s">
        <v>415</v>
      </c>
      <c r="D35" s="31" t="s">
        <v>436</v>
      </c>
      <c r="E35" s="32"/>
      <c r="F35" s="33">
        <v>0</v>
      </c>
      <c r="G35" s="365">
        <v>0</v>
      </c>
      <c r="H35" s="70"/>
      <c r="I35" s="77">
        <f>IF(H35=Tablas!$B$5,Tablas!$C$5,VLOOKUP(H35,Tablas!$B$5:$D$40,2,FALSE))</f>
        <v>1</v>
      </c>
      <c r="J35" s="65">
        <f>IF(I35=0,"",VLOOKUP(I35,Tablas!$C$5:$D$40,2,FALSE))</f>
        <v>0</v>
      </c>
      <c r="K35" s="34" t="str">
        <f t="shared" si="30"/>
        <v>0</v>
      </c>
      <c r="L35" s="35">
        <f t="shared" si="1"/>
        <v>0</v>
      </c>
      <c r="M35" s="35">
        <f t="shared" si="2"/>
        <v>0</v>
      </c>
      <c r="N35" s="35">
        <f t="shared" si="3"/>
        <v>0</v>
      </c>
      <c r="O35" s="35">
        <f t="shared" si="4"/>
        <v>0</v>
      </c>
      <c r="P35" s="35">
        <f t="shared" si="5"/>
        <v>0</v>
      </c>
      <c r="Q35" s="36">
        <v>0.75</v>
      </c>
      <c r="R35" s="37">
        <f t="shared" si="6"/>
        <v>0</v>
      </c>
      <c r="S35" s="36">
        <v>0.75</v>
      </c>
      <c r="T35" s="38">
        <f t="shared" si="7"/>
        <v>0</v>
      </c>
      <c r="U35" s="39">
        <f t="shared" si="8"/>
        <v>0</v>
      </c>
      <c r="V35" s="40">
        <f t="shared" si="9"/>
        <v>0</v>
      </c>
      <c r="W35" s="41">
        <f t="shared" si="10"/>
        <v>0</v>
      </c>
      <c r="X35" s="42">
        <f t="shared" si="11"/>
        <v>0</v>
      </c>
      <c r="Y35" s="43" t="s">
        <v>395</v>
      </c>
      <c r="Z35" s="36">
        <v>1</v>
      </c>
      <c r="AA35" s="44">
        <f t="shared" si="12"/>
        <v>0</v>
      </c>
      <c r="AB35" s="36">
        <v>1</v>
      </c>
      <c r="AC35" s="44">
        <f t="shared" si="13"/>
        <v>0</v>
      </c>
      <c r="AD35" s="36">
        <v>1</v>
      </c>
      <c r="AE35" s="44">
        <f t="shared" si="14"/>
        <v>0</v>
      </c>
      <c r="AF35" s="45"/>
      <c r="AG35" s="46" t="e">
        <f t="shared" si="31"/>
        <v>#DIV/0!</v>
      </c>
      <c r="AH35" s="47" t="e">
        <f t="shared" si="32"/>
        <v>#DIV/0!</v>
      </c>
      <c r="AI35" s="45"/>
      <c r="AJ35" s="46" t="e">
        <f t="shared" si="33"/>
        <v>#DIV/0!</v>
      </c>
      <c r="AK35" s="47" t="e">
        <f t="shared" si="34"/>
        <v>#DIV/0!</v>
      </c>
      <c r="AL35" s="45"/>
      <c r="AM35" s="46" t="e">
        <f t="shared" si="35"/>
        <v>#DIV/0!</v>
      </c>
      <c r="AN35" s="47" t="e">
        <f t="shared" si="36"/>
        <v>#DIV/0!</v>
      </c>
      <c r="AO35" s="45"/>
      <c r="AP35" s="46" t="e">
        <f t="shared" si="21"/>
        <v>#DIV/0!</v>
      </c>
      <c r="AQ35" s="47" t="e">
        <f t="shared" si="22"/>
        <v>#DIV/0!</v>
      </c>
      <c r="AR35" s="45"/>
      <c r="AS35" s="46">
        <f t="shared" si="23"/>
        <v>0</v>
      </c>
      <c r="AT35" s="47">
        <f t="shared" si="24"/>
        <v>0</v>
      </c>
      <c r="AU35" s="45"/>
      <c r="AV35" s="46" t="e">
        <f t="shared" si="25"/>
        <v>#DIV/0!</v>
      </c>
      <c r="AW35" s="47" t="e">
        <f t="shared" si="26"/>
        <v>#DIV/0!</v>
      </c>
      <c r="AX35" s="45"/>
      <c r="AY35" s="46">
        <f t="shared" si="27"/>
        <v>0</v>
      </c>
      <c r="AZ35" s="47">
        <f t="shared" si="28"/>
        <v>0</v>
      </c>
      <c r="BA35" s="48" t="e">
        <f t="shared" si="29"/>
        <v>#DIV/0!</v>
      </c>
    </row>
    <row r="36" spans="1:53">
      <c r="A36" s="30"/>
      <c r="B36" s="31" t="s">
        <v>414</v>
      </c>
      <c r="C36" s="31" t="s">
        <v>416</v>
      </c>
      <c r="D36" s="31" t="s">
        <v>347</v>
      </c>
      <c r="E36" s="32"/>
      <c r="F36" s="33">
        <v>10.66</v>
      </c>
      <c r="G36" s="74"/>
      <c r="H36" s="70" t="s">
        <v>20</v>
      </c>
      <c r="I36" s="77">
        <f>IF(H36=Tablas!$B$5,Tablas!$C$5,VLOOKUP(H36,Tablas!$B$5:$D$40,2,FALSE))</f>
        <v>19</v>
      </c>
      <c r="J36" s="65">
        <f>IF(I36=0,"",VLOOKUP(I36,Tablas!$C$5:$D$40,2,FALSE))</f>
        <v>21.726190476190478</v>
      </c>
      <c r="K36" s="34" t="str">
        <f t="shared" si="30"/>
        <v>0</v>
      </c>
      <c r="L36" s="35">
        <f t="shared" si="1"/>
        <v>0</v>
      </c>
      <c r="M36" s="35">
        <f t="shared" si="2"/>
        <v>0</v>
      </c>
      <c r="N36" s="35">
        <f t="shared" si="3"/>
        <v>0</v>
      </c>
      <c r="O36" s="35">
        <f t="shared" si="4"/>
        <v>0</v>
      </c>
      <c r="P36" s="35">
        <f t="shared" si="5"/>
        <v>0</v>
      </c>
      <c r="Q36" s="36">
        <v>0.75</v>
      </c>
      <c r="R36" s="37">
        <f t="shared" si="6"/>
        <v>0</v>
      </c>
      <c r="S36" s="36">
        <v>0.75</v>
      </c>
      <c r="T36" s="38">
        <f t="shared" si="7"/>
        <v>0</v>
      </c>
      <c r="U36" s="39">
        <f t="shared" si="8"/>
        <v>0</v>
      </c>
      <c r="V36" s="40">
        <f t="shared" si="9"/>
        <v>0</v>
      </c>
      <c r="W36" s="41">
        <f t="shared" si="10"/>
        <v>0</v>
      </c>
      <c r="X36" s="42">
        <f t="shared" si="11"/>
        <v>5</v>
      </c>
      <c r="Y36" s="43" t="s">
        <v>395</v>
      </c>
      <c r="Z36" s="36">
        <v>1</v>
      </c>
      <c r="AA36" s="44">
        <f t="shared" si="12"/>
        <v>0</v>
      </c>
      <c r="AB36" s="36">
        <v>1</v>
      </c>
      <c r="AC36" s="44">
        <f t="shared" si="13"/>
        <v>0</v>
      </c>
      <c r="AD36" s="36">
        <v>1</v>
      </c>
      <c r="AE36" s="44">
        <f t="shared" si="14"/>
        <v>0</v>
      </c>
      <c r="AF36" s="45"/>
      <c r="AG36" s="46" t="e">
        <f t="shared" si="31"/>
        <v>#DIV/0!</v>
      </c>
      <c r="AH36" s="47" t="e">
        <f t="shared" si="32"/>
        <v>#DIV/0!</v>
      </c>
      <c r="AI36" s="45">
        <v>4.05</v>
      </c>
      <c r="AJ36" s="46" t="e">
        <f t="shared" si="33"/>
        <v>#DIV/0!</v>
      </c>
      <c r="AK36" s="47" t="e">
        <f t="shared" si="34"/>
        <v>#DIV/0!</v>
      </c>
      <c r="AL36" s="45">
        <v>10.66</v>
      </c>
      <c r="AM36" s="46" t="e">
        <f t="shared" si="35"/>
        <v>#DIV/0!</v>
      </c>
      <c r="AN36" s="47" t="e">
        <f t="shared" si="36"/>
        <v>#DIV/0!</v>
      </c>
      <c r="AO36" s="45"/>
      <c r="AP36" s="46" t="e">
        <f t="shared" si="21"/>
        <v>#DIV/0!</v>
      </c>
      <c r="AQ36" s="47" t="e">
        <f t="shared" si="22"/>
        <v>#DIV/0!</v>
      </c>
      <c r="AR36" s="45"/>
      <c r="AS36" s="46">
        <f t="shared" si="23"/>
        <v>0</v>
      </c>
      <c r="AT36" s="47">
        <f t="shared" si="24"/>
        <v>0</v>
      </c>
      <c r="AU36" s="45">
        <v>10.66</v>
      </c>
      <c r="AV36" s="46" t="e">
        <f t="shared" si="25"/>
        <v>#DIV/0!</v>
      </c>
      <c r="AW36" s="47" t="e">
        <f t="shared" si="26"/>
        <v>#DIV/0!</v>
      </c>
      <c r="AX36" s="45"/>
      <c r="AY36" s="46">
        <f t="shared" si="27"/>
        <v>0</v>
      </c>
      <c r="AZ36" s="47">
        <f t="shared" si="28"/>
        <v>0</v>
      </c>
      <c r="BA36" s="48" t="e">
        <f t="shared" si="29"/>
        <v>#DIV/0!</v>
      </c>
    </row>
    <row r="37" spans="1:53">
      <c r="A37" s="30"/>
      <c r="B37" s="31" t="s">
        <v>414</v>
      </c>
      <c r="C37" s="31" t="s">
        <v>416</v>
      </c>
      <c r="D37" s="31" t="s">
        <v>437</v>
      </c>
      <c r="E37" s="32" t="s">
        <v>406</v>
      </c>
      <c r="F37" s="33">
        <v>85.81</v>
      </c>
      <c r="G37" s="74"/>
      <c r="H37" s="70" t="s">
        <v>20</v>
      </c>
      <c r="I37" s="77">
        <f>IF(H37=Tablas!$B$5,Tablas!$C$5,VLOOKUP(H37,Tablas!$B$5:$D$40,2,FALSE))</f>
        <v>19</v>
      </c>
      <c r="J37" s="65">
        <f>IF(I37=0,"",VLOOKUP(I37,Tablas!$C$5:$D$40,2,FALSE))</f>
        <v>21.726190476190478</v>
      </c>
      <c r="K37" s="34" t="str">
        <f t="shared" si="30"/>
        <v>0</v>
      </c>
      <c r="L37" s="35">
        <f t="shared" si="1"/>
        <v>0</v>
      </c>
      <c r="M37" s="35">
        <f t="shared" si="2"/>
        <v>0</v>
      </c>
      <c r="N37" s="35">
        <f t="shared" si="3"/>
        <v>0</v>
      </c>
      <c r="O37" s="35">
        <f t="shared" si="4"/>
        <v>0</v>
      </c>
      <c r="P37" s="35">
        <f t="shared" si="5"/>
        <v>0</v>
      </c>
      <c r="Q37" s="36">
        <v>0.75</v>
      </c>
      <c r="R37" s="37">
        <f t="shared" si="6"/>
        <v>0</v>
      </c>
      <c r="S37" s="36">
        <v>0.75</v>
      </c>
      <c r="T37" s="38">
        <f t="shared" si="7"/>
        <v>0</v>
      </c>
      <c r="U37" s="39">
        <f t="shared" si="8"/>
        <v>0</v>
      </c>
      <c r="V37" s="40">
        <f t="shared" si="9"/>
        <v>0</v>
      </c>
      <c r="W37" s="41">
        <f t="shared" si="10"/>
        <v>0</v>
      </c>
      <c r="X37" s="42">
        <f t="shared" si="11"/>
        <v>5</v>
      </c>
      <c r="Y37" s="43" t="s">
        <v>395</v>
      </c>
      <c r="Z37" s="36">
        <v>1</v>
      </c>
      <c r="AA37" s="44">
        <f t="shared" si="12"/>
        <v>0</v>
      </c>
      <c r="AB37" s="36">
        <v>1</v>
      </c>
      <c r="AC37" s="44">
        <f t="shared" si="13"/>
        <v>0</v>
      </c>
      <c r="AD37" s="36">
        <v>1</v>
      </c>
      <c r="AE37" s="44">
        <f t="shared" si="14"/>
        <v>0</v>
      </c>
      <c r="AF37" s="45"/>
      <c r="AG37" s="46" t="e">
        <f t="shared" si="31"/>
        <v>#DIV/0!</v>
      </c>
      <c r="AH37" s="47" t="e">
        <f t="shared" si="32"/>
        <v>#DIV/0!</v>
      </c>
      <c r="AI37" s="45">
        <v>12.15</v>
      </c>
      <c r="AJ37" s="46" t="e">
        <f t="shared" si="33"/>
        <v>#DIV/0!</v>
      </c>
      <c r="AK37" s="47" t="e">
        <f t="shared" si="34"/>
        <v>#DIV/0!</v>
      </c>
      <c r="AL37" s="45">
        <v>85.81</v>
      </c>
      <c r="AM37" s="46" t="e">
        <f t="shared" si="35"/>
        <v>#DIV/0!</v>
      </c>
      <c r="AN37" s="47" t="e">
        <f t="shared" si="36"/>
        <v>#DIV/0!</v>
      </c>
      <c r="AO37" s="45"/>
      <c r="AP37" s="46" t="e">
        <f t="shared" si="21"/>
        <v>#DIV/0!</v>
      </c>
      <c r="AQ37" s="47" t="e">
        <f t="shared" si="22"/>
        <v>#DIV/0!</v>
      </c>
      <c r="AR37" s="45"/>
      <c r="AS37" s="46">
        <f t="shared" si="23"/>
        <v>0</v>
      </c>
      <c r="AT37" s="47">
        <f t="shared" si="24"/>
        <v>0</v>
      </c>
      <c r="AU37" s="45">
        <v>85.81</v>
      </c>
      <c r="AV37" s="46" t="e">
        <f t="shared" si="25"/>
        <v>#DIV/0!</v>
      </c>
      <c r="AW37" s="47" t="e">
        <f t="shared" si="26"/>
        <v>#DIV/0!</v>
      </c>
      <c r="AX37" s="45"/>
      <c r="AY37" s="46">
        <f t="shared" si="27"/>
        <v>0</v>
      </c>
      <c r="AZ37" s="47">
        <f t="shared" si="28"/>
        <v>0</v>
      </c>
      <c r="BA37" s="48" t="e">
        <f t="shared" si="29"/>
        <v>#DIV/0!</v>
      </c>
    </row>
    <row r="38" spans="1:53">
      <c r="A38" s="30"/>
      <c r="B38" s="31" t="s">
        <v>414</v>
      </c>
      <c r="C38" s="31" t="s">
        <v>416</v>
      </c>
      <c r="D38" s="31" t="s">
        <v>346</v>
      </c>
      <c r="E38" s="32" t="s">
        <v>406</v>
      </c>
      <c r="F38" s="33">
        <v>42.39</v>
      </c>
      <c r="G38" s="74"/>
      <c r="H38" s="70" t="s">
        <v>58</v>
      </c>
      <c r="I38" s="77">
        <f>IF(H38=Tablas!$B$5,Tablas!$C$5,VLOOKUP(H38,Tablas!$B$5:$D$40,2,FALSE))</f>
        <v>29</v>
      </c>
      <c r="J38" s="65">
        <f>IF(I38=0,"",VLOOKUP(I38,Tablas!$C$5:$D$40,2,FALSE))</f>
        <v>1</v>
      </c>
      <c r="K38" s="34" t="str">
        <f>IF(G38=0,"0",F38/G38)</f>
        <v>0</v>
      </c>
      <c r="L38" s="35">
        <f t="shared" si="1"/>
        <v>0</v>
      </c>
      <c r="M38" s="35">
        <f t="shared" si="2"/>
        <v>0</v>
      </c>
      <c r="N38" s="35">
        <f t="shared" si="3"/>
        <v>0</v>
      </c>
      <c r="O38" s="35">
        <f t="shared" si="4"/>
        <v>0</v>
      </c>
      <c r="P38" s="35">
        <f t="shared" si="5"/>
        <v>0</v>
      </c>
      <c r="Q38" s="36">
        <v>0.75</v>
      </c>
      <c r="R38" s="37">
        <f t="shared" si="6"/>
        <v>0</v>
      </c>
      <c r="S38" s="36">
        <v>0.75</v>
      </c>
      <c r="T38" s="38">
        <f t="shared" si="7"/>
        <v>0</v>
      </c>
      <c r="U38" s="39">
        <f t="shared" si="8"/>
        <v>0</v>
      </c>
      <c r="V38" s="40">
        <f t="shared" si="9"/>
        <v>0</v>
      </c>
      <c r="W38" s="41">
        <f t="shared" si="10"/>
        <v>0</v>
      </c>
      <c r="X38" s="42">
        <f t="shared" si="11"/>
        <v>0.2</v>
      </c>
      <c r="Y38" s="43" t="s">
        <v>395</v>
      </c>
      <c r="Z38" s="36">
        <v>1</v>
      </c>
      <c r="AA38" s="44">
        <f t="shared" si="12"/>
        <v>0</v>
      </c>
      <c r="AB38" s="36">
        <v>1</v>
      </c>
      <c r="AC38" s="44">
        <f t="shared" si="13"/>
        <v>0</v>
      </c>
      <c r="AD38" s="36">
        <v>1</v>
      </c>
      <c r="AE38" s="44">
        <f t="shared" si="14"/>
        <v>0</v>
      </c>
      <c r="AF38" s="45"/>
      <c r="AG38" s="46" t="e">
        <f t="shared" si="31"/>
        <v>#DIV/0!</v>
      </c>
      <c r="AH38" s="47" t="e">
        <f t="shared" si="32"/>
        <v>#DIV/0!</v>
      </c>
      <c r="AI38" s="45">
        <v>4.05</v>
      </c>
      <c r="AJ38" s="46" t="e">
        <f t="shared" si="33"/>
        <v>#DIV/0!</v>
      </c>
      <c r="AK38" s="47" t="e">
        <f t="shared" si="34"/>
        <v>#DIV/0!</v>
      </c>
      <c r="AL38" s="45">
        <v>42.39</v>
      </c>
      <c r="AM38" s="46" t="e">
        <f t="shared" si="35"/>
        <v>#DIV/0!</v>
      </c>
      <c r="AN38" s="47" t="e">
        <f t="shared" si="36"/>
        <v>#DIV/0!</v>
      </c>
      <c r="AO38" s="45"/>
      <c r="AP38" s="46" t="e">
        <f t="shared" si="21"/>
        <v>#DIV/0!</v>
      </c>
      <c r="AQ38" s="47" t="e">
        <f t="shared" si="22"/>
        <v>#DIV/0!</v>
      </c>
      <c r="AR38" s="45"/>
      <c r="AS38" s="46">
        <f t="shared" si="23"/>
        <v>0</v>
      </c>
      <c r="AT38" s="47">
        <f t="shared" si="24"/>
        <v>0</v>
      </c>
      <c r="AU38" s="45">
        <v>42.39</v>
      </c>
      <c r="AV38" s="46" t="e">
        <f t="shared" si="25"/>
        <v>#DIV/0!</v>
      </c>
      <c r="AW38" s="47" t="e">
        <f t="shared" si="26"/>
        <v>#DIV/0!</v>
      </c>
      <c r="AX38" s="45"/>
      <c r="AY38" s="46">
        <f t="shared" si="27"/>
        <v>0</v>
      </c>
      <c r="AZ38" s="47">
        <f t="shared" si="28"/>
        <v>0</v>
      </c>
      <c r="BA38" s="48" t="e">
        <f t="shared" si="29"/>
        <v>#DIV/0!</v>
      </c>
    </row>
    <row r="39" spans="1:53">
      <c r="A39" s="30"/>
      <c r="B39" s="31" t="s">
        <v>414</v>
      </c>
      <c r="C39" s="31" t="s">
        <v>416</v>
      </c>
      <c r="D39" s="31" t="s">
        <v>438</v>
      </c>
      <c r="E39" s="32"/>
      <c r="F39" s="33">
        <v>76.8</v>
      </c>
      <c r="G39" s="74"/>
      <c r="H39" s="70" t="s">
        <v>20</v>
      </c>
      <c r="I39" s="77">
        <f>IF(H39=Tablas!$B$5,Tablas!$C$5,VLOOKUP(H39,Tablas!$B$5:$D$40,2,FALSE))</f>
        <v>19</v>
      </c>
      <c r="J39" s="65">
        <f>IF(I39=0,"",VLOOKUP(I39,Tablas!$C$5:$D$40,2,FALSE))</f>
        <v>21.726190476190478</v>
      </c>
      <c r="K39" s="34" t="str">
        <f t="shared" ref="K39:K67" si="37">IF(G39=0,"0",F39/G39)</f>
        <v>0</v>
      </c>
      <c r="L39" s="35">
        <f t="shared" si="1"/>
        <v>0</v>
      </c>
      <c r="M39" s="35">
        <f t="shared" si="2"/>
        <v>0</v>
      </c>
      <c r="N39" s="35">
        <f t="shared" si="3"/>
        <v>0</v>
      </c>
      <c r="O39" s="35">
        <f t="shared" si="4"/>
        <v>0</v>
      </c>
      <c r="P39" s="35">
        <f t="shared" si="5"/>
        <v>0</v>
      </c>
      <c r="Q39" s="36">
        <v>0.75</v>
      </c>
      <c r="R39" s="37">
        <f t="shared" si="6"/>
        <v>0</v>
      </c>
      <c r="S39" s="36">
        <v>0.75</v>
      </c>
      <c r="T39" s="38">
        <f t="shared" si="7"/>
        <v>0</v>
      </c>
      <c r="U39" s="39">
        <f t="shared" si="8"/>
        <v>0</v>
      </c>
      <c r="V39" s="40">
        <f t="shared" si="9"/>
        <v>0</v>
      </c>
      <c r="W39" s="41">
        <f t="shared" si="10"/>
        <v>0</v>
      </c>
      <c r="X39" s="42">
        <f t="shared" si="11"/>
        <v>5</v>
      </c>
      <c r="Y39" s="43" t="s">
        <v>395</v>
      </c>
      <c r="Z39" s="36">
        <v>1</v>
      </c>
      <c r="AA39" s="44">
        <f t="shared" si="12"/>
        <v>0</v>
      </c>
      <c r="AB39" s="36">
        <v>1</v>
      </c>
      <c r="AC39" s="44">
        <f t="shared" si="13"/>
        <v>0</v>
      </c>
      <c r="AD39" s="36">
        <v>1</v>
      </c>
      <c r="AE39" s="44">
        <f t="shared" si="14"/>
        <v>0</v>
      </c>
      <c r="AF39" s="45">
        <v>12.826000000000001</v>
      </c>
      <c r="AG39" s="46" t="e">
        <f t="shared" si="31"/>
        <v>#DIV/0!</v>
      </c>
      <c r="AH39" s="47" t="e">
        <f t="shared" si="32"/>
        <v>#DIV/0!</v>
      </c>
      <c r="AI39" s="45">
        <v>6.75</v>
      </c>
      <c r="AJ39" s="46" t="e">
        <f t="shared" si="33"/>
        <v>#DIV/0!</v>
      </c>
      <c r="AK39" s="47" t="e">
        <f t="shared" si="34"/>
        <v>#DIV/0!</v>
      </c>
      <c r="AL39" s="45">
        <v>76.8</v>
      </c>
      <c r="AM39" s="46" t="e">
        <f t="shared" si="35"/>
        <v>#DIV/0!</v>
      </c>
      <c r="AN39" s="47" t="e">
        <f t="shared" si="36"/>
        <v>#DIV/0!</v>
      </c>
      <c r="AO39" s="45"/>
      <c r="AP39" s="46" t="e">
        <f t="shared" si="21"/>
        <v>#DIV/0!</v>
      </c>
      <c r="AQ39" s="47" t="e">
        <f t="shared" si="22"/>
        <v>#DIV/0!</v>
      </c>
      <c r="AR39" s="45"/>
      <c r="AS39" s="46">
        <f t="shared" si="23"/>
        <v>0</v>
      </c>
      <c r="AT39" s="47">
        <f t="shared" si="24"/>
        <v>0</v>
      </c>
      <c r="AU39" s="45">
        <v>76.8</v>
      </c>
      <c r="AV39" s="46" t="e">
        <f t="shared" si="25"/>
        <v>#DIV/0!</v>
      </c>
      <c r="AW39" s="47" t="e">
        <f t="shared" si="26"/>
        <v>#DIV/0!</v>
      </c>
      <c r="AX39" s="45"/>
      <c r="AY39" s="46">
        <f t="shared" si="27"/>
        <v>0</v>
      </c>
      <c r="AZ39" s="47">
        <f t="shared" si="28"/>
        <v>0</v>
      </c>
      <c r="BA39" s="48" t="e">
        <f t="shared" si="29"/>
        <v>#DIV/0!</v>
      </c>
    </row>
    <row r="40" spans="1:53">
      <c r="A40" s="30"/>
      <c r="B40" s="31" t="s">
        <v>414</v>
      </c>
      <c r="C40" s="31" t="s">
        <v>416</v>
      </c>
      <c r="D40" s="31" t="s">
        <v>439</v>
      </c>
      <c r="E40" s="32" t="s">
        <v>406</v>
      </c>
      <c r="F40" s="33">
        <v>26.63</v>
      </c>
      <c r="G40" s="74"/>
      <c r="H40" s="70" t="s">
        <v>58</v>
      </c>
      <c r="I40" s="77">
        <f>IF(H40=Tablas!$B$5,Tablas!$C$5,VLOOKUP(H40,Tablas!$B$5:$D$40,2,FALSE))</f>
        <v>29</v>
      </c>
      <c r="J40" s="65">
        <f>IF(I40=0,"",VLOOKUP(I40,Tablas!$C$5:$D$40,2,FALSE))</f>
        <v>1</v>
      </c>
      <c r="K40" s="34" t="str">
        <f t="shared" si="37"/>
        <v>0</v>
      </c>
      <c r="L40" s="35">
        <f t="shared" ref="L40:L71" si="38">IF($X40=3,$K40,0)+IF($X40=4,$K40,0)+IF($X40=5,$K40,0)+IF($X40=6,$K40,0)+IF($X40=7,$K40,0)+IF($X40=10,$K40*2,0)+IF($X40=12,$K40*2,0)+IF($X40=14,$K40*2,0)+IF($X40=21,$K40*3,0)+IF($X40&lt;=1,$K40*$J40/21.75,0)+IF($X40=15,$K40*3,0)</f>
        <v>0</v>
      </c>
      <c r="M40" s="35">
        <f t="shared" ref="M40:M71" si="39">IF($X40=2,$K40,0)+IF($X40=4,$K40,0)+IF($X40=5,$K40,0)+IF($X40=6,$K40,0)+IF($X40=7,$K40,0)+IF($X40=10,$K40*2,0)+IF($X40=12,$K40*2,0)+IF($X40=14,$K40*2,0)+IF($X40=15,$K40*3,0)+IF($X40=21,$K40*3,0)+IF($X40&lt;=1,$K40*$J40/21.75,0)</f>
        <v>0</v>
      </c>
      <c r="N40" s="35">
        <f t="shared" ref="N40:N71" si="40">IF($X40=3,$K40,0)+IF($X40=4,$K40,0)+IF($X40=5,$K40,0)+IF($X40=6,$K40,0)+IF($X40=7,$K40,0)+IF($X40=10,$K40*2,0)+IF($X40=12,$K40*2,0)+IF($X40=14,$K40*2,0)+IF($X40=21,$K40*3,0)+IF($X40&lt;=1,$K40*$J40/21.75,0)+IF($X40=15,$K40*3,0)</f>
        <v>0</v>
      </c>
      <c r="O40" s="35">
        <f t="shared" ref="O40:O71" si="41">IF($X40=2,$K40,0)+IF($X40=4,$K40,0)+IF($X40=5,$K40,0)+IF($X40=6,$K40,0)+IF($X40=7,$K40,0)+IF($X40=10,$K40*2,0)+IF($X40=12,$K40*2,0)+IF($X40=14,$K40*2,0)+IF($X40=15,$K40*3,0)+IF($X40=21,$K40*3,0)+IF($X40&lt;=1,$K40*$J40/21.75,0)</f>
        <v>0</v>
      </c>
      <c r="P40" s="35">
        <f t="shared" ref="P40:P71" si="42">IF($X40=3,$K40,0)+IF($X40=4,$K40,0)+IF($X40=5,$K40,0)+IF($X40=6,$K40,0)+IF($X40=7,$K40,0)+IF($X40=10,$K40*2,0)+IF($X40=12,$K40*2,0)+IF($X40=14,$K40*2,0)+IF($X40=21,$K40*3,0)+IF($X40&lt;=1,$K40*$J40/21.75,0)+IF($X40=15,$K40*3,0)</f>
        <v>0</v>
      </c>
      <c r="Q40" s="36">
        <v>0.75</v>
      </c>
      <c r="R40" s="37">
        <f t="shared" ref="R40:R71" si="43">(IF($X40=6,$K40,)+IF($X40=7,$K40,)+IF($X40=12,$K40*2,)+IF($X40=18,$K40*3,)+IF($X40=21,$K40*3,)+IF($X40=14,$K40*2,))*Q40</f>
        <v>0</v>
      </c>
      <c r="S40" s="36">
        <v>0.75</v>
      </c>
      <c r="T40" s="38">
        <f t="shared" ref="T40:T71" si="44">(IF($X40=7,$K40,)+IF($X40=21,$K40*3,)+IF($X40=14,$K40*2,))*S40</f>
        <v>0</v>
      </c>
      <c r="U40" s="39">
        <f t="shared" ref="U40:U71" si="45">SUM(+L40+M40+N40+O40+P40+R40+T40)</f>
        <v>0</v>
      </c>
      <c r="V40" s="40">
        <f t="shared" si="9"/>
        <v>0</v>
      </c>
      <c r="W40" s="41">
        <f t="shared" ref="W40:W71" si="46">IF(V40="","",$W$4*V40)</f>
        <v>0</v>
      </c>
      <c r="X40" s="42">
        <f t="shared" ref="X40:X71" si="47">ROUND(J40/4.3452380952381,1)</f>
        <v>0.2</v>
      </c>
      <c r="Y40" s="43" t="s">
        <v>395</v>
      </c>
      <c r="Z40" s="36">
        <v>1</v>
      </c>
      <c r="AA40" s="44">
        <f t="shared" ref="AA40:AA71" si="48">+IF($Y40="M",$U40,IF($Y40="MT",$U40/2,IF(Y40="MN",$U40/2,IF($Y40="MTN",$U40/3,0))))*Z40</f>
        <v>0</v>
      </c>
      <c r="AB40" s="36">
        <v>1</v>
      </c>
      <c r="AC40" s="44">
        <f t="shared" ref="AC40:AC71" si="49">+IF($Y40="T",$U40,IF($Y40="MT",$U40/2,IF($Y40="TN",$U40/2,IF($Y40="MTN",$U40/3,0))))*AB40</f>
        <v>0</v>
      </c>
      <c r="AD40" s="36">
        <v>1</v>
      </c>
      <c r="AE40" s="44">
        <f t="shared" ref="AE40:AE71" si="50">+IF($Y40="N",$U40,IF($Y40="MN",$U40/2,IF($Y40="TN",$U40/2,IF($Y40="MTN",$U40/3,0))))*AD40</f>
        <v>0</v>
      </c>
      <c r="AF40" s="45"/>
      <c r="AG40" s="46" t="e">
        <f t="shared" si="31"/>
        <v>#DIV/0!</v>
      </c>
      <c r="AH40" s="47" t="e">
        <f t="shared" si="32"/>
        <v>#DIV/0!</v>
      </c>
      <c r="AI40" s="45">
        <v>2.7</v>
      </c>
      <c r="AJ40" s="46" t="e">
        <f t="shared" si="33"/>
        <v>#DIV/0!</v>
      </c>
      <c r="AK40" s="47" t="e">
        <f t="shared" si="34"/>
        <v>#DIV/0!</v>
      </c>
      <c r="AL40" s="45">
        <v>26.63</v>
      </c>
      <c r="AM40" s="46" t="e">
        <f t="shared" si="35"/>
        <v>#DIV/0!</v>
      </c>
      <c r="AN40" s="47" t="e">
        <f t="shared" si="36"/>
        <v>#DIV/0!</v>
      </c>
      <c r="AO40" s="45"/>
      <c r="AP40" s="46" t="e">
        <f t="shared" si="21"/>
        <v>#DIV/0!</v>
      </c>
      <c r="AQ40" s="47" t="e">
        <f t="shared" si="22"/>
        <v>#DIV/0!</v>
      </c>
      <c r="AR40" s="45"/>
      <c r="AS40" s="46">
        <f t="shared" si="23"/>
        <v>0</v>
      </c>
      <c r="AT40" s="47">
        <f t="shared" si="24"/>
        <v>0</v>
      </c>
      <c r="AU40" s="45">
        <v>26.63</v>
      </c>
      <c r="AV40" s="46" t="e">
        <f t="shared" si="25"/>
        <v>#DIV/0!</v>
      </c>
      <c r="AW40" s="47" t="e">
        <f t="shared" si="26"/>
        <v>#DIV/0!</v>
      </c>
      <c r="AX40" s="45"/>
      <c r="AY40" s="46">
        <f t="shared" si="27"/>
        <v>0</v>
      </c>
      <c r="AZ40" s="47">
        <f t="shared" si="28"/>
        <v>0</v>
      </c>
      <c r="BA40" s="48" t="e">
        <f t="shared" si="29"/>
        <v>#DIV/0!</v>
      </c>
    </row>
    <row r="41" spans="1:53">
      <c r="A41" s="30"/>
      <c r="B41" s="31" t="s">
        <v>414</v>
      </c>
      <c r="C41" s="31" t="s">
        <v>416</v>
      </c>
      <c r="D41" s="31" t="s">
        <v>432</v>
      </c>
      <c r="E41" s="32"/>
      <c r="F41" s="33">
        <v>3.5</v>
      </c>
      <c r="G41" s="74"/>
      <c r="H41" s="70" t="s">
        <v>20</v>
      </c>
      <c r="I41" s="77">
        <f>IF(H41=Tablas!$B$5,Tablas!$C$5,VLOOKUP(H41,Tablas!$B$5:$D$40,2,FALSE))</f>
        <v>19</v>
      </c>
      <c r="J41" s="65">
        <f>IF(I41=0,"",VLOOKUP(I41,Tablas!$C$5:$D$40,2,FALSE))</f>
        <v>21.726190476190478</v>
      </c>
      <c r="K41" s="34" t="str">
        <f t="shared" si="37"/>
        <v>0</v>
      </c>
      <c r="L41" s="35">
        <f t="shared" si="38"/>
        <v>0</v>
      </c>
      <c r="M41" s="35">
        <f t="shared" si="39"/>
        <v>0</v>
      </c>
      <c r="N41" s="35">
        <f t="shared" si="40"/>
        <v>0</v>
      </c>
      <c r="O41" s="35">
        <f t="shared" si="41"/>
        <v>0</v>
      </c>
      <c r="P41" s="35">
        <f t="shared" si="42"/>
        <v>0</v>
      </c>
      <c r="Q41" s="36">
        <v>0.75</v>
      </c>
      <c r="R41" s="37">
        <f t="shared" si="43"/>
        <v>0</v>
      </c>
      <c r="S41" s="36">
        <v>0.75</v>
      </c>
      <c r="T41" s="38">
        <f t="shared" si="44"/>
        <v>0</v>
      </c>
      <c r="U41" s="39">
        <f t="shared" si="45"/>
        <v>0</v>
      </c>
      <c r="V41" s="40">
        <f t="shared" si="9"/>
        <v>0</v>
      </c>
      <c r="W41" s="41">
        <f t="shared" si="46"/>
        <v>0</v>
      </c>
      <c r="X41" s="42">
        <f t="shared" si="47"/>
        <v>5</v>
      </c>
      <c r="Y41" s="43" t="s">
        <v>395</v>
      </c>
      <c r="Z41" s="36">
        <v>1</v>
      </c>
      <c r="AA41" s="44">
        <f t="shared" si="48"/>
        <v>0</v>
      </c>
      <c r="AB41" s="36">
        <v>1</v>
      </c>
      <c r="AC41" s="44">
        <f t="shared" si="49"/>
        <v>0</v>
      </c>
      <c r="AD41" s="36">
        <v>1</v>
      </c>
      <c r="AE41" s="44">
        <f t="shared" si="50"/>
        <v>0</v>
      </c>
      <c r="AF41" s="45"/>
      <c r="AG41" s="46" t="e">
        <f t="shared" si="31"/>
        <v>#DIV/0!</v>
      </c>
      <c r="AH41" s="47" t="e">
        <f t="shared" si="32"/>
        <v>#DIV/0!</v>
      </c>
      <c r="AI41" s="45"/>
      <c r="AJ41" s="46" t="e">
        <f t="shared" si="33"/>
        <v>#DIV/0!</v>
      </c>
      <c r="AK41" s="47" t="e">
        <f t="shared" si="34"/>
        <v>#DIV/0!</v>
      </c>
      <c r="AL41" s="45">
        <v>3.5</v>
      </c>
      <c r="AM41" s="46" t="e">
        <f t="shared" si="35"/>
        <v>#DIV/0!</v>
      </c>
      <c r="AN41" s="47" t="e">
        <f t="shared" si="36"/>
        <v>#DIV/0!</v>
      </c>
      <c r="AO41" s="45"/>
      <c r="AP41" s="46" t="e">
        <f t="shared" si="21"/>
        <v>#DIV/0!</v>
      </c>
      <c r="AQ41" s="47" t="e">
        <f t="shared" si="22"/>
        <v>#DIV/0!</v>
      </c>
      <c r="AR41" s="45"/>
      <c r="AS41" s="46">
        <f t="shared" si="23"/>
        <v>0</v>
      </c>
      <c r="AT41" s="47">
        <f t="shared" si="24"/>
        <v>0</v>
      </c>
      <c r="AU41" s="45">
        <v>3.5</v>
      </c>
      <c r="AV41" s="46" t="e">
        <f t="shared" si="25"/>
        <v>#DIV/0!</v>
      </c>
      <c r="AW41" s="47" t="e">
        <f t="shared" si="26"/>
        <v>#DIV/0!</v>
      </c>
      <c r="AX41" s="45"/>
      <c r="AY41" s="46">
        <f t="shared" si="27"/>
        <v>0</v>
      </c>
      <c r="AZ41" s="47">
        <f t="shared" si="28"/>
        <v>0</v>
      </c>
      <c r="BA41" s="48" t="e">
        <f t="shared" si="29"/>
        <v>#DIV/0!</v>
      </c>
    </row>
    <row r="42" spans="1:53">
      <c r="A42" s="30"/>
      <c r="B42" s="31" t="s">
        <v>414</v>
      </c>
      <c r="C42" s="31" t="s">
        <v>416</v>
      </c>
      <c r="D42" s="31" t="s">
        <v>440</v>
      </c>
      <c r="E42" s="32" t="s">
        <v>406</v>
      </c>
      <c r="F42" s="33">
        <v>47.78</v>
      </c>
      <c r="G42" s="74"/>
      <c r="H42" s="70" t="s">
        <v>20</v>
      </c>
      <c r="I42" s="77">
        <f>IF(H42=Tablas!$B$5,Tablas!$C$5,VLOOKUP(H42,Tablas!$B$5:$D$40,2,FALSE))</f>
        <v>19</v>
      </c>
      <c r="J42" s="65">
        <f>IF(I42=0,"",VLOOKUP(I42,Tablas!$C$5:$D$40,2,FALSE))</f>
        <v>21.726190476190478</v>
      </c>
      <c r="K42" s="34" t="str">
        <f t="shared" si="37"/>
        <v>0</v>
      </c>
      <c r="L42" s="35">
        <f t="shared" si="38"/>
        <v>0</v>
      </c>
      <c r="M42" s="35">
        <f t="shared" si="39"/>
        <v>0</v>
      </c>
      <c r="N42" s="35">
        <f t="shared" si="40"/>
        <v>0</v>
      </c>
      <c r="O42" s="35">
        <f t="shared" si="41"/>
        <v>0</v>
      </c>
      <c r="P42" s="35">
        <f t="shared" si="42"/>
        <v>0</v>
      </c>
      <c r="Q42" s="36">
        <v>0.75</v>
      </c>
      <c r="R42" s="37">
        <f t="shared" si="43"/>
        <v>0</v>
      </c>
      <c r="S42" s="36">
        <v>0.75</v>
      </c>
      <c r="T42" s="38">
        <f t="shared" si="44"/>
        <v>0</v>
      </c>
      <c r="U42" s="39">
        <f t="shared" si="45"/>
        <v>0</v>
      </c>
      <c r="V42" s="40">
        <f t="shared" si="9"/>
        <v>0</v>
      </c>
      <c r="W42" s="41">
        <f t="shared" si="46"/>
        <v>0</v>
      </c>
      <c r="X42" s="42">
        <f t="shared" si="47"/>
        <v>5</v>
      </c>
      <c r="Y42" s="43" t="s">
        <v>395</v>
      </c>
      <c r="Z42" s="36">
        <v>1</v>
      </c>
      <c r="AA42" s="44">
        <f t="shared" si="48"/>
        <v>0</v>
      </c>
      <c r="AB42" s="36">
        <v>1</v>
      </c>
      <c r="AC42" s="44">
        <f t="shared" si="49"/>
        <v>0</v>
      </c>
      <c r="AD42" s="36">
        <v>1</v>
      </c>
      <c r="AE42" s="44">
        <f t="shared" si="50"/>
        <v>0</v>
      </c>
      <c r="AF42" s="45">
        <v>1.8</v>
      </c>
      <c r="AG42" s="46" t="e">
        <f t="shared" si="31"/>
        <v>#DIV/0!</v>
      </c>
      <c r="AH42" s="47" t="e">
        <f t="shared" si="32"/>
        <v>#DIV/0!</v>
      </c>
      <c r="AI42" s="45">
        <v>8.1</v>
      </c>
      <c r="AJ42" s="46" t="e">
        <f t="shared" si="33"/>
        <v>#DIV/0!</v>
      </c>
      <c r="AK42" s="47" t="e">
        <f t="shared" si="34"/>
        <v>#DIV/0!</v>
      </c>
      <c r="AL42" s="45">
        <v>47.78</v>
      </c>
      <c r="AM42" s="46" t="e">
        <f t="shared" si="35"/>
        <v>#DIV/0!</v>
      </c>
      <c r="AN42" s="47" t="e">
        <f t="shared" si="36"/>
        <v>#DIV/0!</v>
      </c>
      <c r="AO42" s="45"/>
      <c r="AP42" s="46" t="e">
        <f t="shared" si="21"/>
        <v>#DIV/0!</v>
      </c>
      <c r="AQ42" s="47" t="e">
        <f t="shared" si="22"/>
        <v>#DIV/0!</v>
      </c>
      <c r="AR42" s="45"/>
      <c r="AS42" s="46">
        <f t="shared" si="23"/>
        <v>0</v>
      </c>
      <c r="AT42" s="47">
        <f t="shared" si="24"/>
        <v>0</v>
      </c>
      <c r="AU42" s="45">
        <v>47.78</v>
      </c>
      <c r="AV42" s="46" t="e">
        <f t="shared" si="25"/>
        <v>#DIV/0!</v>
      </c>
      <c r="AW42" s="47" t="e">
        <f t="shared" si="26"/>
        <v>#DIV/0!</v>
      </c>
      <c r="AX42" s="45"/>
      <c r="AY42" s="46">
        <f t="shared" si="27"/>
        <v>0</v>
      </c>
      <c r="AZ42" s="47">
        <f t="shared" si="28"/>
        <v>0</v>
      </c>
      <c r="BA42" s="48" t="e">
        <f t="shared" si="29"/>
        <v>#DIV/0!</v>
      </c>
    </row>
    <row r="43" spans="1:53">
      <c r="A43" s="30"/>
      <c r="B43" s="31" t="s">
        <v>414</v>
      </c>
      <c r="C43" s="31" t="s">
        <v>416</v>
      </c>
      <c r="D43" s="31" t="s">
        <v>440</v>
      </c>
      <c r="E43" s="32" t="s">
        <v>406</v>
      </c>
      <c r="F43" s="33">
        <v>48.32</v>
      </c>
      <c r="G43" s="74"/>
      <c r="H43" s="70" t="s">
        <v>20</v>
      </c>
      <c r="I43" s="77">
        <f>IF(H43=Tablas!$B$5,Tablas!$C$5,VLOOKUP(H43,Tablas!$B$5:$D$40,2,FALSE))</f>
        <v>19</v>
      </c>
      <c r="J43" s="65">
        <f>IF(I43=0,"",VLOOKUP(I43,Tablas!$C$5:$D$40,2,FALSE))</f>
        <v>21.726190476190478</v>
      </c>
      <c r="K43" s="34" t="str">
        <f t="shared" si="37"/>
        <v>0</v>
      </c>
      <c r="L43" s="35">
        <f t="shared" si="38"/>
        <v>0</v>
      </c>
      <c r="M43" s="35">
        <f t="shared" si="39"/>
        <v>0</v>
      </c>
      <c r="N43" s="35">
        <f t="shared" si="40"/>
        <v>0</v>
      </c>
      <c r="O43" s="35">
        <f t="shared" si="41"/>
        <v>0</v>
      </c>
      <c r="P43" s="35">
        <f t="shared" si="42"/>
        <v>0</v>
      </c>
      <c r="Q43" s="36">
        <v>0.75</v>
      </c>
      <c r="R43" s="37">
        <f t="shared" si="43"/>
        <v>0</v>
      </c>
      <c r="S43" s="36">
        <v>0.75</v>
      </c>
      <c r="T43" s="38">
        <f t="shared" si="44"/>
        <v>0</v>
      </c>
      <c r="U43" s="39">
        <f t="shared" si="45"/>
        <v>0</v>
      </c>
      <c r="V43" s="40">
        <f t="shared" si="9"/>
        <v>0</v>
      </c>
      <c r="W43" s="41">
        <f t="shared" si="46"/>
        <v>0</v>
      </c>
      <c r="X43" s="42">
        <f t="shared" si="47"/>
        <v>5</v>
      </c>
      <c r="Y43" s="43" t="s">
        <v>395</v>
      </c>
      <c r="Z43" s="36">
        <v>1</v>
      </c>
      <c r="AA43" s="44">
        <f t="shared" si="48"/>
        <v>0</v>
      </c>
      <c r="AB43" s="36">
        <v>1</v>
      </c>
      <c r="AC43" s="44">
        <f t="shared" si="49"/>
        <v>0</v>
      </c>
      <c r="AD43" s="36">
        <v>1</v>
      </c>
      <c r="AE43" s="44">
        <f t="shared" si="50"/>
        <v>0</v>
      </c>
      <c r="AF43" s="45">
        <v>1.8</v>
      </c>
      <c r="AG43" s="46" t="e">
        <f t="shared" si="31"/>
        <v>#DIV/0!</v>
      </c>
      <c r="AH43" s="47" t="e">
        <f t="shared" si="32"/>
        <v>#DIV/0!</v>
      </c>
      <c r="AI43" s="45">
        <v>8.1</v>
      </c>
      <c r="AJ43" s="46" t="e">
        <f t="shared" si="33"/>
        <v>#DIV/0!</v>
      </c>
      <c r="AK43" s="47" t="e">
        <f t="shared" si="34"/>
        <v>#DIV/0!</v>
      </c>
      <c r="AL43" s="45">
        <v>48.32</v>
      </c>
      <c r="AM43" s="46" t="e">
        <f t="shared" si="35"/>
        <v>#DIV/0!</v>
      </c>
      <c r="AN43" s="47" t="e">
        <f t="shared" si="36"/>
        <v>#DIV/0!</v>
      </c>
      <c r="AO43" s="45"/>
      <c r="AP43" s="46" t="e">
        <f t="shared" si="21"/>
        <v>#DIV/0!</v>
      </c>
      <c r="AQ43" s="47" t="e">
        <f t="shared" si="22"/>
        <v>#DIV/0!</v>
      </c>
      <c r="AR43" s="45"/>
      <c r="AS43" s="46">
        <f t="shared" si="23"/>
        <v>0</v>
      </c>
      <c r="AT43" s="47">
        <f t="shared" si="24"/>
        <v>0</v>
      </c>
      <c r="AU43" s="45">
        <v>48.32</v>
      </c>
      <c r="AV43" s="46" t="e">
        <f t="shared" si="25"/>
        <v>#DIV/0!</v>
      </c>
      <c r="AW43" s="47" t="e">
        <f t="shared" si="26"/>
        <v>#DIV/0!</v>
      </c>
      <c r="AX43" s="45"/>
      <c r="AY43" s="46">
        <f t="shared" si="27"/>
        <v>0</v>
      </c>
      <c r="AZ43" s="47">
        <f t="shared" si="28"/>
        <v>0</v>
      </c>
      <c r="BA43" s="48" t="e">
        <f t="shared" si="29"/>
        <v>#DIV/0!</v>
      </c>
    </row>
    <row r="44" spans="1:53">
      <c r="A44" s="30"/>
      <c r="B44" s="31" t="s">
        <v>414</v>
      </c>
      <c r="C44" s="31" t="s">
        <v>416</v>
      </c>
      <c r="D44" s="31" t="s">
        <v>441</v>
      </c>
      <c r="E44" s="32" t="s">
        <v>406</v>
      </c>
      <c r="F44" s="33">
        <v>9.92</v>
      </c>
      <c r="G44" s="74"/>
      <c r="H44" s="70" t="s">
        <v>58</v>
      </c>
      <c r="I44" s="77">
        <f>IF(H44=Tablas!$B$5,Tablas!$C$5,VLOOKUP(H44,Tablas!$B$5:$D$40,2,FALSE))</f>
        <v>29</v>
      </c>
      <c r="J44" s="65">
        <f>IF(I44=0,"",VLOOKUP(I44,Tablas!$C$5:$D$40,2,FALSE))</f>
        <v>1</v>
      </c>
      <c r="K44" s="34" t="str">
        <f t="shared" si="37"/>
        <v>0</v>
      </c>
      <c r="L44" s="35">
        <f t="shared" si="38"/>
        <v>0</v>
      </c>
      <c r="M44" s="35">
        <f t="shared" si="39"/>
        <v>0</v>
      </c>
      <c r="N44" s="35">
        <f t="shared" si="40"/>
        <v>0</v>
      </c>
      <c r="O44" s="35">
        <f t="shared" si="41"/>
        <v>0</v>
      </c>
      <c r="P44" s="35">
        <f t="shared" si="42"/>
        <v>0</v>
      </c>
      <c r="Q44" s="36">
        <v>0.75</v>
      </c>
      <c r="R44" s="37">
        <f t="shared" si="43"/>
        <v>0</v>
      </c>
      <c r="S44" s="36">
        <v>0.75</v>
      </c>
      <c r="T44" s="38">
        <f t="shared" si="44"/>
        <v>0</v>
      </c>
      <c r="U44" s="39">
        <f t="shared" si="45"/>
        <v>0</v>
      </c>
      <c r="V44" s="40">
        <f t="shared" si="9"/>
        <v>0</v>
      </c>
      <c r="W44" s="41">
        <f t="shared" si="46"/>
        <v>0</v>
      </c>
      <c r="X44" s="42">
        <f t="shared" si="47"/>
        <v>0.2</v>
      </c>
      <c r="Y44" s="43" t="s">
        <v>395</v>
      </c>
      <c r="Z44" s="36">
        <v>1</v>
      </c>
      <c r="AA44" s="44">
        <f t="shared" si="48"/>
        <v>0</v>
      </c>
      <c r="AB44" s="36">
        <v>1</v>
      </c>
      <c r="AC44" s="44">
        <f t="shared" si="49"/>
        <v>0</v>
      </c>
      <c r="AD44" s="36">
        <v>1</v>
      </c>
      <c r="AE44" s="44">
        <f t="shared" si="50"/>
        <v>0</v>
      </c>
      <c r="AF44" s="45">
        <v>4</v>
      </c>
      <c r="AG44" s="46" t="e">
        <f t="shared" si="31"/>
        <v>#DIV/0!</v>
      </c>
      <c r="AH44" s="47" t="e">
        <f t="shared" si="32"/>
        <v>#DIV/0!</v>
      </c>
      <c r="AI44" s="45">
        <v>1.35</v>
      </c>
      <c r="AJ44" s="46" t="e">
        <f t="shared" si="33"/>
        <v>#DIV/0!</v>
      </c>
      <c r="AK44" s="47" t="e">
        <f t="shared" si="34"/>
        <v>#DIV/0!</v>
      </c>
      <c r="AL44" s="45">
        <v>9.92</v>
      </c>
      <c r="AM44" s="46" t="e">
        <f t="shared" si="35"/>
        <v>#DIV/0!</v>
      </c>
      <c r="AN44" s="47" t="e">
        <f t="shared" si="36"/>
        <v>#DIV/0!</v>
      </c>
      <c r="AO44" s="45"/>
      <c r="AP44" s="46" t="e">
        <f t="shared" si="21"/>
        <v>#DIV/0!</v>
      </c>
      <c r="AQ44" s="47" t="e">
        <f t="shared" si="22"/>
        <v>#DIV/0!</v>
      </c>
      <c r="AR44" s="45"/>
      <c r="AS44" s="46">
        <f t="shared" si="23"/>
        <v>0</v>
      </c>
      <c r="AT44" s="47">
        <f t="shared" si="24"/>
        <v>0</v>
      </c>
      <c r="AU44" s="45">
        <v>9.92</v>
      </c>
      <c r="AV44" s="46" t="e">
        <f t="shared" si="25"/>
        <v>#DIV/0!</v>
      </c>
      <c r="AW44" s="47" t="e">
        <f t="shared" si="26"/>
        <v>#DIV/0!</v>
      </c>
      <c r="AX44" s="45"/>
      <c r="AY44" s="46">
        <f t="shared" si="27"/>
        <v>0</v>
      </c>
      <c r="AZ44" s="47">
        <f t="shared" si="28"/>
        <v>0</v>
      </c>
      <c r="BA44" s="48" t="e">
        <f t="shared" si="29"/>
        <v>#DIV/0!</v>
      </c>
    </row>
    <row r="45" spans="1:53">
      <c r="A45" s="30"/>
      <c r="B45" s="31" t="s">
        <v>414</v>
      </c>
      <c r="C45" s="31" t="s">
        <v>416</v>
      </c>
      <c r="D45" s="31" t="s">
        <v>442</v>
      </c>
      <c r="E45" s="32" t="s">
        <v>406</v>
      </c>
      <c r="F45" s="33">
        <v>9.76</v>
      </c>
      <c r="G45" s="74"/>
      <c r="H45" s="70" t="s">
        <v>20</v>
      </c>
      <c r="I45" s="77">
        <f>IF(H45=Tablas!$B$5,Tablas!$C$5,VLOOKUP(H45,Tablas!$B$5:$D$40,2,FALSE))</f>
        <v>19</v>
      </c>
      <c r="J45" s="65">
        <f>IF(I45=0,"",VLOOKUP(I45,Tablas!$C$5:$D$40,2,FALSE))</f>
        <v>21.726190476190478</v>
      </c>
      <c r="K45" s="34" t="str">
        <f t="shared" si="37"/>
        <v>0</v>
      </c>
      <c r="L45" s="35">
        <f t="shared" si="38"/>
        <v>0</v>
      </c>
      <c r="M45" s="35">
        <f t="shared" si="39"/>
        <v>0</v>
      </c>
      <c r="N45" s="35">
        <f t="shared" si="40"/>
        <v>0</v>
      </c>
      <c r="O45" s="35">
        <f t="shared" si="41"/>
        <v>0</v>
      </c>
      <c r="P45" s="35">
        <f t="shared" si="42"/>
        <v>0</v>
      </c>
      <c r="Q45" s="36">
        <v>0.75</v>
      </c>
      <c r="R45" s="37">
        <f t="shared" si="43"/>
        <v>0</v>
      </c>
      <c r="S45" s="36">
        <v>0.75</v>
      </c>
      <c r="T45" s="38">
        <f t="shared" si="44"/>
        <v>0</v>
      </c>
      <c r="U45" s="39">
        <f t="shared" si="45"/>
        <v>0</v>
      </c>
      <c r="V45" s="40">
        <f t="shared" si="9"/>
        <v>0</v>
      </c>
      <c r="W45" s="41">
        <f t="shared" si="46"/>
        <v>0</v>
      </c>
      <c r="X45" s="42">
        <f t="shared" si="47"/>
        <v>5</v>
      </c>
      <c r="Y45" s="43" t="s">
        <v>395</v>
      </c>
      <c r="Z45" s="36">
        <v>1</v>
      </c>
      <c r="AA45" s="44">
        <f t="shared" si="48"/>
        <v>0</v>
      </c>
      <c r="AB45" s="36">
        <v>1</v>
      </c>
      <c r="AC45" s="44">
        <f t="shared" si="49"/>
        <v>0</v>
      </c>
      <c r="AD45" s="36">
        <v>1</v>
      </c>
      <c r="AE45" s="44">
        <f t="shared" si="50"/>
        <v>0</v>
      </c>
      <c r="AF45" s="45">
        <v>4</v>
      </c>
      <c r="AG45" s="46" t="e">
        <f t="shared" si="31"/>
        <v>#DIV/0!</v>
      </c>
      <c r="AH45" s="47" t="e">
        <f t="shared" si="32"/>
        <v>#DIV/0!</v>
      </c>
      <c r="AI45" s="45">
        <v>1.35</v>
      </c>
      <c r="AJ45" s="46" t="e">
        <f t="shared" si="33"/>
        <v>#DIV/0!</v>
      </c>
      <c r="AK45" s="47" t="e">
        <f t="shared" si="34"/>
        <v>#DIV/0!</v>
      </c>
      <c r="AL45" s="45">
        <v>9.76</v>
      </c>
      <c r="AM45" s="46" t="e">
        <f t="shared" si="35"/>
        <v>#DIV/0!</v>
      </c>
      <c r="AN45" s="47" t="e">
        <f t="shared" si="36"/>
        <v>#DIV/0!</v>
      </c>
      <c r="AO45" s="45"/>
      <c r="AP45" s="46" t="e">
        <f t="shared" si="21"/>
        <v>#DIV/0!</v>
      </c>
      <c r="AQ45" s="47" t="e">
        <f t="shared" si="22"/>
        <v>#DIV/0!</v>
      </c>
      <c r="AR45" s="45"/>
      <c r="AS45" s="46">
        <f t="shared" si="23"/>
        <v>0</v>
      </c>
      <c r="AT45" s="47">
        <f t="shared" si="24"/>
        <v>0</v>
      </c>
      <c r="AU45" s="45">
        <v>9.76</v>
      </c>
      <c r="AV45" s="46" t="e">
        <f t="shared" si="25"/>
        <v>#DIV/0!</v>
      </c>
      <c r="AW45" s="47" t="e">
        <f t="shared" si="26"/>
        <v>#DIV/0!</v>
      </c>
      <c r="AX45" s="45"/>
      <c r="AY45" s="46">
        <f t="shared" si="27"/>
        <v>0</v>
      </c>
      <c r="AZ45" s="47">
        <f t="shared" si="28"/>
        <v>0</v>
      </c>
      <c r="BA45" s="48" t="e">
        <f t="shared" si="29"/>
        <v>#DIV/0!</v>
      </c>
    </row>
    <row r="46" spans="1:53">
      <c r="A46" s="30"/>
      <c r="B46" s="31" t="s">
        <v>414</v>
      </c>
      <c r="C46" s="31" t="s">
        <v>416</v>
      </c>
      <c r="D46" s="31" t="s">
        <v>441</v>
      </c>
      <c r="E46" s="32" t="s">
        <v>406</v>
      </c>
      <c r="F46" s="33">
        <v>15.21</v>
      </c>
      <c r="G46" s="74"/>
      <c r="H46" s="70" t="s">
        <v>58</v>
      </c>
      <c r="I46" s="77">
        <f>IF(H46=Tablas!$B$5,Tablas!$C$5,VLOOKUP(H46,Tablas!$B$5:$D$40,2,FALSE))</f>
        <v>29</v>
      </c>
      <c r="J46" s="65">
        <f>IF(I46=0,"",VLOOKUP(I46,Tablas!$C$5:$D$40,2,FALSE))</f>
        <v>1</v>
      </c>
      <c r="K46" s="34" t="str">
        <f t="shared" si="37"/>
        <v>0</v>
      </c>
      <c r="L46" s="35">
        <f t="shared" si="38"/>
        <v>0</v>
      </c>
      <c r="M46" s="35">
        <f t="shared" si="39"/>
        <v>0</v>
      </c>
      <c r="N46" s="35">
        <f t="shared" si="40"/>
        <v>0</v>
      </c>
      <c r="O46" s="35">
        <f t="shared" si="41"/>
        <v>0</v>
      </c>
      <c r="P46" s="35">
        <f t="shared" si="42"/>
        <v>0</v>
      </c>
      <c r="Q46" s="36">
        <v>0.75</v>
      </c>
      <c r="R46" s="37">
        <f t="shared" si="43"/>
        <v>0</v>
      </c>
      <c r="S46" s="36">
        <v>0.75</v>
      </c>
      <c r="T46" s="38">
        <f t="shared" si="44"/>
        <v>0</v>
      </c>
      <c r="U46" s="39">
        <f t="shared" si="45"/>
        <v>0</v>
      </c>
      <c r="V46" s="40">
        <f t="shared" si="9"/>
        <v>0</v>
      </c>
      <c r="W46" s="41">
        <f t="shared" si="46"/>
        <v>0</v>
      </c>
      <c r="X46" s="42">
        <f t="shared" si="47"/>
        <v>0.2</v>
      </c>
      <c r="Y46" s="43" t="s">
        <v>395</v>
      </c>
      <c r="Z46" s="36">
        <v>1</v>
      </c>
      <c r="AA46" s="44">
        <f t="shared" si="48"/>
        <v>0</v>
      </c>
      <c r="AB46" s="36">
        <v>1</v>
      </c>
      <c r="AC46" s="44">
        <f t="shared" si="49"/>
        <v>0</v>
      </c>
      <c r="AD46" s="36">
        <v>1</v>
      </c>
      <c r="AE46" s="44">
        <f t="shared" si="50"/>
        <v>0</v>
      </c>
      <c r="AF46" s="45">
        <v>4</v>
      </c>
      <c r="AG46" s="46" t="e">
        <f t="shared" si="31"/>
        <v>#DIV/0!</v>
      </c>
      <c r="AH46" s="47" t="e">
        <f t="shared" si="32"/>
        <v>#DIV/0!</v>
      </c>
      <c r="AI46" s="45"/>
      <c r="AJ46" s="46" t="e">
        <f t="shared" si="33"/>
        <v>#DIV/0!</v>
      </c>
      <c r="AK46" s="47" t="e">
        <f t="shared" si="34"/>
        <v>#DIV/0!</v>
      </c>
      <c r="AL46" s="45">
        <v>15.21</v>
      </c>
      <c r="AM46" s="46" t="e">
        <f t="shared" si="35"/>
        <v>#DIV/0!</v>
      </c>
      <c r="AN46" s="47" t="e">
        <f t="shared" si="36"/>
        <v>#DIV/0!</v>
      </c>
      <c r="AO46" s="45"/>
      <c r="AP46" s="46" t="e">
        <f t="shared" si="21"/>
        <v>#DIV/0!</v>
      </c>
      <c r="AQ46" s="47" t="e">
        <f t="shared" si="22"/>
        <v>#DIV/0!</v>
      </c>
      <c r="AR46" s="45"/>
      <c r="AS46" s="46">
        <f t="shared" si="23"/>
        <v>0</v>
      </c>
      <c r="AT46" s="47">
        <f t="shared" si="24"/>
        <v>0</v>
      </c>
      <c r="AU46" s="45">
        <v>15.21</v>
      </c>
      <c r="AV46" s="46" t="e">
        <f t="shared" si="25"/>
        <v>#DIV/0!</v>
      </c>
      <c r="AW46" s="47" t="e">
        <f t="shared" si="26"/>
        <v>#DIV/0!</v>
      </c>
      <c r="AX46" s="45"/>
      <c r="AY46" s="46">
        <f t="shared" si="27"/>
        <v>0</v>
      </c>
      <c r="AZ46" s="47">
        <f t="shared" si="28"/>
        <v>0</v>
      </c>
      <c r="BA46" s="48" t="e">
        <f t="shared" si="29"/>
        <v>#DIV/0!</v>
      </c>
    </row>
    <row r="47" spans="1:53">
      <c r="A47" s="30"/>
      <c r="B47" s="31" t="s">
        <v>414</v>
      </c>
      <c r="C47" s="31" t="s">
        <v>416</v>
      </c>
      <c r="D47" s="31" t="s">
        <v>443</v>
      </c>
      <c r="E47" s="32" t="s">
        <v>406</v>
      </c>
      <c r="F47" s="33">
        <v>47.03</v>
      </c>
      <c r="G47" s="74"/>
      <c r="H47" s="70" t="s">
        <v>20</v>
      </c>
      <c r="I47" s="77">
        <f>IF(H47=Tablas!$B$5,Tablas!$C$5,VLOOKUP(H47,Tablas!$B$5:$D$40,2,FALSE))</f>
        <v>19</v>
      </c>
      <c r="J47" s="65">
        <f>IF(I47=0,"",VLOOKUP(I47,Tablas!$C$5:$D$40,2,FALSE))</f>
        <v>21.726190476190478</v>
      </c>
      <c r="K47" s="34" t="str">
        <f t="shared" si="37"/>
        <v>0</v>
      </c>
      <c r="L47" s="35">
        <f t="shared" si="38"/>
        <v>0</v>
      </c>
      <c r="M47" s="35">
        <f t="shared" si="39"/>
        <v>0</v>
      </c>
      <c r="N47" s="35">
        <f t="shared" si="40"/>
        <v>0</v>
      </c>
      <c r="O47" s="35">
        <f t="shared" si="41"/>
        <v>0</v>
      </c>
      <c r="P47" s="35">
        <f t="shared" si="42"/>
        <v>0</v>
      </c>
      <c r="Q47" s="36">
        <v>0.75</v>
      </c>
      <c r="R47" s="37">
        <f t="shared" si="43"/>
        <v>0</v>
      </c>
      <c r="S47" s="36">
        <v>0.75</v>
      </c>
      <c r="T47" s="38">
        <f t="shared" si="44"/>
        <v>0</v>
      </c>
      <c r="U47" s="39">
        <f t="shared" si="45"/>
        <v>0</v>
      </c>
      <c r="V47" s="40">
        <f t="shared" si="9"/>
        <v>0</v>
      </c>
      <c r="W47" s="41">
        <f t="shared" si="46"/>
        <v>0</v>
      </c>
      <c r="X47" s="42">
        <f t="shared" si="47"/>
        <v>5</v>
      </c>
      <c r="Y47" s="43" t="s">
        <v>395</v>
      </c>
      <c r="Z47" s="36">
        <v>1</v>
      </c>
      <c r="AA47" s="44">
        <f t="shared" si="48"/>
        <v>0</v>
      </c>
      <c r="AB47" s="36">
        <v>1</v>
      </c>
      <c r="AC47" s="44">
        <f t="shared" si="49"/>
        <v>0</v>
      </c>
      <c r="AD47" s="36">
        <v>1</v>
      </c>
      <c r="AE47" s="44">
        <f t="shared" si="50"/>
        <v>0</v>
      </c>
      <c r="AF47" s="45">
        <v>1.8</v>
      </c>
      <c r="AG47" s="46" t="e">
        <f t="shared" si="31"/>
        <v>#DIV/0!</v>
      </c>
      <c r="AH47" s="47" t="e">
        <f t="shared" si="32"/>
        <v>#DIV/0!</v>
      </c>
      <c r="AI47" s="45">
        <v>8.1</v>
      </c>
      <c r="AJ47" s="46" t="e">
        <f t="shared" si="33"/>
        <v>#DIV/0!</v>
      </c>
      <c r="AK47" s="47" t="e">
        <f t="shared" si="34"/>
        <v>#DIV/0!</v>
      </c>
      <c r="AL47" s="45">
        <v>47.03</v>
      </c>
      <c r="AM47" s="46" t="e">
        <f t="shared" si="35"/>
        <v>#DIV/0!</v>
      </c>
      <c r="AN47" s="47" t="e">
        <f t="shared" si="36"/>
        <v>#DIV/0!</v>
      </c>
      <c r="AO47" s="45"/>
      <c r="AP47" s="46" t="e">
        <f t="shared" si="21"/>
        <v>#DIV/0!</v>
      </c>
      <c r="AQ47" s="47" t="e">
        <f t="shared" si="22"/>
        <v>#DIV/0!</v>
      </c>
      <c r="AR47" s="45"/>
      <c r="AS47" s="46">
        <f t="shared" si="23"/>
        <v>0</v>
      </c>
      <c r="AT47" s="47">
        <f t="shared" si="24"/>
        <v>0</v>
      </c>
      <c r="AU47" s="45">
        <v>47.03</v>
      </c>
      <c r="AV47" s="46" t="e">
        <f t="shared" si="25"/>
        <v>#DIV/0!</v>
      </c>
      <c r="AW47" s="47" t="e">
        <f t="shared" si="26"/>
        <v>#DIV/0!</v>
      </c>
      <c r="AX47" s="45"/>
      <c r="AY47" s="46">
        <f t="shared" si="27"/>
        <v>0</v>
      </c>
      <c r="AZ47" s="47">
        <f t="shared" si="28"/>
        <v>0</v>
      </c>
      <c r="BA47" s="48" t="e">
        <f t="shared" si="29"/>
        <v>#DIV/0!</v>
      </c>
    </row>
    <row r="48" spans="1:53">
      <c r="A48" s="30"/>
      <c r="B48" s="31" t="s">
        <v>414</v>
      </c>
      <c r="C48" s="31" t="s">
        <v>416</v>
      </c>
      <c r="D48" s="31" t="s">
        <v>443</v>
      </c>
      <c r="E48" s="32" t="s">
        <v>406</v>
      </c>
      <c r="F48" s="33">
        <v>47.49</v>
      </c>
      <c r="G48" s="74"/>
      <c r="H48" s="70" t="s">
        <v>20</v>
      </c>
      <c r="I48" s="77">
        <f>IF(H48=Tablas!$B$5,Tablas!$C$5,VLOOKUP(H48,Tablas!$B$5:$D$40,2,FALSE))</f>
        <v>19</v>
      </c>
      <c r="J48" s="65">
        <f>IF(I48=0,"",VLOOKUP(I48,Tablas!$C$5:$D$40,2,FALSE))</f>
        <v>21.726190476190478</v>
      </c>
      <c r="K48" s="34" t="str">
        <f t="shared" si="37"/>
        <v>0</v>
      </c>
      <c r="L48" s="35">
        <f t="shared" si="38"/>
        <v>0</v>
      </c>
      <c r="M48" s="35">
        <f t="shared" si="39"/>
        <v>0</v>
      </c>
      <c r="N48" s="35">
        <f t="shared" si="40"/>
        <v>0</v>
      </c>
      <c r="O48" s="35">
        <f t="shared" si="41"/>
        <v>0</v>
      </c>
      <c r="P48" s="35">
        <f t="shared" si="42"/>
        <v>0</v>
      </c>
      <c r="Q48" s="36">
        <v>0.75</v>
      </c>
      <c r="R48" s="37">
        <f t="shared" si="43"/>
        <v>0</v>
      </c>
      <c r="S48" s="36">
        <v>0.75</v>
      </c>
      <c r="T48" s="38">
        <f t="shared" si="44"/>
        <v>0</v>
      </c>
      <c r="U48" s="39">
        <f t="shared" si="45"/>
        <v>0</v>
      </c>
      <c r="V48" s="40">
        <f t="shared" si="9"/>
        <v>0</v>
      </c>
      <c r="W48" s="41">
        <f t="shared" si="46"/>
        <v>0</v>
      </c>
      <c r="X48" s="42">
        <f t="shared" si="47"/>
        <v>5</v>
      </c>
      <c r="Y48" s="43" t="s">
        <v>395</v>
      </c>
      <c r="Z48" s="36">
        <v>1</v>
      </c>
      <c r="AA48" s="44">
        <f t="shared" si="48"/>
        <v>0</v>
      </c>
      <c r="AB48" s="36">
        <v>1</v>
      </c>
      <c r="AC48" s="44">
        <f t="shared" si="49"/>
        <v>0</v>
      </c>
      <c r="AD48" s="36">
        <v>1</v>
      </c>
      <c r="AE48" s="44">
        <f t="shared" si="50"/>
        <v>0</v>
      </c>
      <c r="AF48" s="45">
        <v>1.8</v>
      </c>
      <c r="AG48" s="46" t="e">
        <f t="shared" si="31"/>
        <v>#DIV/0!</v>
      </c>
      <c r="AH48" s="47" t="e">
        <f t="shared" si="32"/>
        <v>#DIV/0!</v>
      </c>
      <c r="AI48" s="45">
        <v>8.1</v>
      </c>
      <c r="AJ48" s="46" t="e">
        <f t="shared" si="33"/>
        <v>#DIV/0!</v>
      </c>
      <c r="AK48" s="47" t="e">
        <f t="shared" si="34"/>
        <v>#DIV/0!</v>
      </c>
      <c r="AL48" s="45">
        <v>47.49</v>
      </c>
      <c r="AM48" s="46" t="e">
        <f t="shared" si="35"/>
        <v>#DIV/0!</v>
      </c>
      <c r="AN48" s="47" t="e">
        <f t="shared" si="36"/>
        <v>#DIV/0!</v>
      </c>
      <c r="AO48" s="45"/>
      <c r="AP48" s="46" t="e">
        <f t="shared" si="21"/>
        <v>#DIV/0!</v>
      </c>
      <c r="AQ48" s="47" t="e">
        <f t="shared" si="22"/>
        <v>#DIV/0!</v>
      </c>
      <c r="AR48" s="45"/>
      <c r="AS48" s="46">
        <f t="shared" si="23"/>
        <v>0</v>
      </c>
      <c r="AT48" s="47">
        <f t="shared" si="24"/>
        <v>0</v>
      </c>
      <c r="AU48" s="45">
        <v>47.49</v>
      </c>
      <c r="AV48" s="46" t="e">
        <f t="shared" si="25"/>
        <v>#DIV/0!</v>
      </c>
      <c r="AW48" s="47" t="e">
        <f t="shared" si="26"/>
        <v>#DIV/0!</v>
      </c>
      <c r="AX48" s="45"/>
      <c r="AY48" s="46">
        <f t="shared" si="27"/>
        <v>0</v>
      </c>
      <c r="AZ48" s="47">
        <f t="shared" si="28"/>
        <v>0</v>
      </c>
      <c r="BA48" s="48" t="e">
        <f t="shared" si="29"/>
        <v>#DIV/0!</v>
      </c>
    </row>
    <row r="49" spans="1:53">
      <c r="A49" s="30"/>
      <c r="B49" s="31" t="s">
        <v>414</v>
      </c>
      <c r="C49" s="31" t="s">
        <v>416</v>
      </c>
      <c r="D49" s="31" t="s">
        <v>444</v>
      </c>
      <c r="E49" s="32" t="s">
        <v>406</v>
      </c>
      <c r="F49" s="33">
        <v>47</v>
      </c>
      <c r="G49" s="74"/>
      <c r="H49" s="70" t="s">
        <v>20</v>
      </c>
      <c r="I49" s="77">
        <f>IF(H49=Tablas!$B$5,Tablas!$C$5,VLOOKUP(H49,Tablas!$B$5:$D$40,2,FALSE))</f>
        <v>19</v>
      </c>
      <c r="J49" s="65">
        <f>IF(I49=0,"",VLOOKUP(I49,Tablas!$C$5:$D$40,2,FALSE))</f>
        <v>21.726190476190478</v>
      </c>
      <c r="K49" s="34" t="str">
        <f t="shared" si="37"/>
        <v>0</v>
      </c>
      <c r="L49" s="35">
        <f t="shared" si="38"/>
        <v>0</v>
      </c>
      <c r="M49" s="35">
        <f t="shared" si="39"/>
        <v>0</v>
      </c>
      <c r="N49" s="35">
        <f t="shared" si="40"/>
        <v>0</v>
      </c>
      <c r="O49" s="35">
        <f t="shared" si="41"/>
        <v>0</v>
      </c>
      <c r="P49" s="35">
        <f t="shared" si="42"/>
        <v>0</v>
      </c>
      <c r="Q49" s="36">
        <v>0.75</v>
      </c>
      <c r="R49" s="37">
        <f t="shared" si="43"/>
        <v>0</v>
      </c>
      <c r="S49" s="36">
        <v>0.75</v>
      </c>
      <c r="T49" s="38">
        <f t="shared" si="44"/>
        <v>0</v>
      </c>
      <c r="U49" s="39">
        <f t="shared" si="45"/>
        <v>0</v>
      </c>
      <c r="V49" s="40">
        <f t="shared" si="9"/>
        <v>0</v>
      </c>
      <c r="W49" s="41">
        <f t="shared" si="46"/>
        <v>0</v>
      </c>
      <c r="X49" s="42">
        <f t="shared" si="47"/>
        <v>5</v>
      </c>
      <c r="Y49" s="43" t="s">
        <v>395</v>
      </c>
      <c r="Z49" s="36">
        <v>1</v>
      </c>
      <c r="AA49" s="44">
        <f t="shared" si="48"/>
        <v>0</v>
      </c>
      <c r="AB49" s="36">
        <v>1</v>
      </c>
      <c r="AC49" s="44">
        <f t="shared" si="49"/>
        <v>0</v>
      </c>
      <c r="AD49" s="36">
        <v>1</v>
      </c>
      <c r="AE49" s="44">
        <f t="shared" si="50"/>
        <v>0</v>
      </c>
      <c r="AF49" s="45">
        <v>1.8</v>
      </c>
      <c r="AG49" s="46" t="e">
        <f t="shared" si="31"/>
        <v>#DIV/0!</v>
      </c>
      <c r="AH49" s="47" t="e">
        <f t="shared" si="32"/>
        <v>#DIV/0!</v>
      </c>
      <c r="AI49" s="45">
        <v>8.1</v>
      </c>
      <c r="AJ49" s="46" t="e">
        <f t="shared" si="33"/>
        <v>#DIV/0!</v>
      </c>
      <c r="AK49" s="47" t="e">
        <f t="shared" si="34"/>
        <v>#DIV/0!</v>
      </c>
      <c r="AL49" s="45">
        <v>47</v>
      </c>
      <c r="AM49" s="46" t="e">
        <f t="shared" si="35"/>
        <v>#DIV/0!</v>
      </c>
      <c r="AN49" s="47" t="e">
        <f t="shared" si="36"/>
        <v>#DIV/0!</v>
      </c>
      <c r="AO49" s="45"/>
      <c r="AP49" s="46" t="e">
        <f t="shared" si="21"/>
        <v>#DIV/0!</v>
      </c>
      <c r="AQ49" s="47" t="e">
        <f t="shared" si="22"/>
        <v>#DIV/0!</v>
      </c>
      <c r="AR49" s="45"/>
      <c r="AS49" s="46">
        <f t="shared" si="23"/>
        <v>0</v>
      </c>
      <c r="AT49" s="47">
        <f t="shared" si="24"/>
        <v>0</v>
      </c>
      <c r="AU49" s="45">
        <v>47</v>
      </c>
      <c r="AV49" s="46" t="e">
        <f t="shared" si="25"/>
        <v>#DIV/0!</v>
      </c>
      <c r="AW49" s="47" t="e">
        <f t="shared" si="26"/>
        <v>#DIV/0!</v>
      </c>
      <c r="AX49" s="45"/>
      <c r="AY49" s="46">
        <f t="shared" si="27"/>
        <v>0</v>
      </c>
      <c r="AZ49" s="47">
        <f t="shared" si="28"/>
        <v>0</v>
      </c>
      <c r="BA49" s="48" t="e">
        <f t="shared" si="29"/>
        <v>#DIV/0!</v>
      </c>
    </row>
    <row r="50" spans="1:53">
      <c r="A50" s="30"/>
      <c r="B50" s="31" t="s">
        <v>414</v>
      </c>
      <c r="C50" s="31" t="s">
        <v>416</v>
      </c>
      <c r="D50" s="31" t="s">
        <v>441</v>
      </c>
      <c r="E50" s="32" t="s">
        <v>406</v>
      </c>
      <c r="F50" s="33">
        <v>9.99</v>
      </c>
      <c r="G50" s="74"/>
      <c r="H50" s="70" t="s">
        <v>58</v>
      </c>
      <c r="I50" s="77">
        <f>IF(H50=Tablas!$B$5,Tablas!$C$5,VLOOKUP(H50,Tablas!$B$5:$D$40,2,FALSE))</f>
        <v>29</v>
      </c>
      <c r="J50" s="65">
        <f>IF(I50=0,"",VLOOKUP(I50,Tablas!$C$5:$D$40,2,FALSE))</f>
        <v>1</v>
      </c>
      <c r="K50" s="34" t="str">
        <f t="shared" si="37"/>
        <v>0</v>
      </c>
      <c r="L50" s="35">
        <f t="shared" si="38"/>
        <v>0</v>
      </c>
      <c r="M50" s="35">
        <f t="shared" si="39"/>
        <v>0</v>
      </c>
      <c r="N50" s="35">
        <f t="shared" si="40"/>
        <v>0</v>
      </c>
      <c r="O50" s="35">
        <f t="shared" si="41"/>
        <v>0</v>
      </c>
      <c r="P50" s="35">
        <f t="shared" si="42"/>
        <v>0</v>
      </c>
      <c r="Q50" s="36">
        <v>0.75</v>
      </c>
      <c r="R50" s="37">
        <f t="shared" si="43"/>
        <v>0</v>
      </c>
      <c r="S50" s="36">
        <v>0.75</v>
      </c>
      <c r="T50" s="38">
        <f t="shared" si="44"/>
        <v>0</v>
      </c>
      <c r="U50" s="39">
        <f t="shared" si="45"/>
        <v>0</v>
      </c>
      <c r="V50" s="40">
        <f t="shared" si="9"/>
        <v>0</v>
      </c>
      <c r="W50" s="41">
        <f t="shared" si="46"/>
        <v>0</v>
      </c>
      <c r="X50" s="42">
        <f t="shared" si="47"/>
        <v>0.2</v>
      </c>
      <c r="Y50" s="43" t="s">
        <v>395</v>
      </c>
      <c r="Z50" s="36">
        <v>1</v>
      </c>
      <c r="AA50" s="44">
        <f t="shared" si="48"/>
        <v>0</v>
      </c>
      <c r="AB50" s="36">
        <v>1</v>
      </c>
      <c r="AC50" s="44">
        <f t="shared" si="49"/>
        <v>0</v>
      </c>
      <c r="AD50" s="36">
        <v>1</v>
      </c>
      <c r="AE50" s="44">
        <f t="shared" si="50"/>
        <v>0</v>
      </c>
      <c r="AF50" s="45">
        <v>3.75</v>
      </c>
      <c r="AG50" s="46" t="e">
        <f t="shared" si="31"/>
        <v>#DIV/0!</v>
      </c>
      <c r="AH50" s="47" t="e">
        <f t="shared" si="32"/>
        <v>#DIV/0!</v>
      </c>
      <c r="AI50" s="45">
        <v>1.35</v>
      </c>
      <c r="AJ50" s="46" t="e">
        <f t="shared" si="33"/>
        <v>#DIV/0!</v>
      </c>
      <c r="AK50" s="47" t="e">
        <f t="shared" si="34"/>
        <v>#DIV/0!</v>
      </c>
      <c r="AL50" s="45">
        <v>9.99</v>
      </c>
      <c r="AM50" s="46" t="e">
        <f t="shared" si="35"/>
        <v>#DIV/0!</v>
      </c>
      <c r="AN50" s="47" t="e">
        <f t="shared" si="36"/>
        <v>#DIV/0!</v>
      </c>
      <c r="AO50" s="45"/>
      <c r="AP50" s="46" t="e">
        <f t="shared" si="21"/>
        <v>#DIV/0!</v>
      </c>
      <c r="AQ50" s="47" t="e">
        <f t="shared" si="22"/>
        <v>#DIV/0!</v>
      </c>
      <c r="AR50" s="45"/>
      <c r="AS50" s="46">
        <f t="shared" si="23"/>
        <v>0</v>
      </c>
      <c r="AT50" s="47">
        <f t="shared" si="24"/>
        <v>0</v>
      </c>
      <c r="AU50" s="45">
        <v>9.99</v>
      </c>
      <c r="AV50" s="46" t="e">
        <f t="shared" si="25"/>
        <v>#DIV/0!</v>
      </c>
      <c r="AW50" s="47" t="e">
        <f t="shared" si="26"/>
        <v>#DIV/0!</v>
      </c>
      <c r="AX50" s="45"/>
      <c r="AY50" s="46">
        <f t="shared" si="27"/>
        <v>0</v>
      </c>
      <c r="AZ50" s="47">
        <f t="shared" si="28"/>
        <v>0</v>
      </c>
      <c r="BA50" s="48" t="e">
        <f t="shared" si="29"/>
        <v>#DIV/0!</v>
      </c>
    </row>
    <row r="51" spans="1:53">
      <c r="A51" s="30"/>
      <c r="B51" s="31" t="s">
        <v>414</v>
      </c>
      <c r="C51" s="31" t="s">
        <v>416</v>
      </c>
      <c r="D51" s="31" t="s">
        <v>445</v>
      </c>
      <c r="E51" s="32" t="s">
        <v>406</v>
      </c>
      <c r="F51" s="33">
        <v>10.37</v>
      </c>
      <c r="G51" s="74"/>
      <c r="H51" s="70" t="s">
        <v>20</v>
      </c>
      <c r="I51" s="77">
        <f>IF(H51=Tablas!$B$5,Tablas!$C$5,VLOOKUP(H51,Tablas!$B$5:$D$40,2,FALSE))</f>
        <v>19</v>
      </c>
      <c r="J51" s="65">
        <f>IF(I51=0,"",VLOOKUP(I51,Tablas!$C$5:$D$40,2,FALSE))</f>
        <v>21.726190476190478</v>
      </c>
      <c r="K51" s="34" t="str">
        <f t="shared" si="37"/>
        <v>0</v>
      </c>
      <c r="L51" s="35">
        <f t="shared" si="38"/>
        <v>0</v>
      </c>
      <c r="M51" s="35">
        <f t="shared" si="39"/>
        <v>0</v>
      </c>
      <c r="N51" s="35">
        <f t="shared" si="40"/>
        <v>0</v>
      </c>
      <c r="O51" s="35">
        <f t="shared" si="41"/>
        <v>0</v>
      </c>
      <c r="P51" s="35">
        <f t="shared" si="42"/>
        <v>0</v>
      </c>
      <c r="Q51" s="36">
        <v>0.75</v>
      </c>
      <c r="R51" s="37">
        <f t="shared" si="43"/>
        <v>0</v>
      </c>
      <c r="S51" s="36">
        <v>0.75</v>
      </c>
      <c r="T51" s="38">
        <f t="shared" si="44"/>
        <v>0</v>
      </c>
      <c r="U51" s="39">
        <f t="shared" si="45"/>
        <v>0</v>
      </c>
      <c r="V51" s="40">
        <f t="shared" si="9"/>
        <v>0</v>
      </c>
      <c r="W51" s="41">
        <f t="shared" si="46"/>
        <v>0</v>
      </c>
      <c r="X51" s="42">
        <f t="shared" si="47"/>
        <v>5</v>
      </c>
      <c r="Y51" s="43" t="s">
        <v>395</v>
      </c>
      <c r="Z51" s="36">
        <v>1</v>
      </c>
      <c r="AA51" s="44">
        <f t="shared" si="48"/>
        <v>0</v>
      </c>
      <c r="AB51" s="36">
        <v>1</v>
      </c>
      <c r="AC51" s="44">
        <f t="shared" si="49"/>
        <v>0</v>
      </c>
      <c r="AD51" s="36">
        <v>1</v>
      </c>
      <c r="AE51" s="44">
        <f t="shared" si="50"/>
        <v>0</v>
      </c>
      <c r="AF51" s="45">
        <v>3.75</v>
      </c>
      <c r="AG51" s="46" t="e">
        <f t="shared" si="31"/>
        <v>#DIV/0!</v>
      </c>
      <c r="AH51" s="47" t="e">
        <f t="shared" si="32"/>
        <v>#DIV/0!</v>
      </c>
      <c r="AI51" s="45">
        <v>1.35</v>
      </c>
      <c r="AJ51" s="46" t="e">
        <f t="shared" si="33"/>
        <v>#DIV/0!</v>
      </c>
      <c r="AK51" s="47" t="e">
        <f t="shared" si="34"/>
        <v>#DIV/0!</v>
      </c>
      <c r="AL51" s="45">
        <v>10.37</v>
      </c>
      <c r="AM51" s="46" t="e">
        <f t="shared" si="35"/>
        <v>#DIV/0!</v>
      </c>
      <c r="AN51" s="47" t="e">
        <f t="shared" si="36"/>
        <v>#DIV/0!</v>
      </c>
      <c r="AO51" s="45"/>
      <c r="AP51" s="46" t="e">
        <f t="shared" si="21"/>
        <v>#DIV/0!</v>
      </c>
      <c r="AQ51" s="47" t="e">
        <f t="shared" si="22"/>
        <v>#DIV/0!</v>
      </c>
      <c r="AR51" s="45"/>
      <c r="AS51" s="46">
        <f t="shared" si="23"/>
        <v>0</v>
      </c>
      <c r="AT51" s="47">
        <f t="shared" si="24"/>
        <v>0</v>
      </c>
      <c r="AU51" s="45">
        <v>10.37</v>
      </c>
      <c r="AV51" s="46" t="e">
        <f t="shared" si="25"/>
        <v>#DIV/0!</v>
      </c>
      <c r="AW51" s="47" t="e">
        <f t="shared" si="26"/>
        <v>#DIV/0!</v>
      </c>
      <c r="AX51" s="45"/>
      <c r="AY51" s="46">
        <f t="shared" si="27"/>
        <v>0</v>
      </c>
      <c r="AZ51" s="47">
        <f t="shared" si="28"/>
        <v>0</v>
      </c>
      <c r="BA51" s="48" t="e">
        <f t="shared" si="29"/>
        <v>#DIV/0!</v>
      </c>
    </row>
    <row r="52" spans="1:53">
      <c r="A52" s="30"/>
      <c r="B52" s="31" t="s">
        <v>414</v>
      </c>
      <c r="C52" s="31" t="s">
        <v>416</v>
      </c>
      <c r="D52" s="31" t="s">
        <v>444</v>
      </c>
      <c r="E52" s="32" t="s">
        <v>406</v>
      </c>
      <c r="F52" s="33">
        <v>46.09</v>
      </c>
      <c r="G52" s="74"/>
      <c r="H52" s="70" t="s">
        <v>20</v>
      </c>
      <c r="I52" s="77">
        <f>IF(H52=Tablas!$B$5,Tablas!$C$5,VLOOKUP(H52,Tablas!$B$5:$D$40,2,FALSE))</f>
        <v>19</v>
      </c>
      <c r="J52" s="65">
        <f>IF(I52=0,"",VLOOKUP(I52,Tablas!$C$5:$D$40,2,FALSE))</f>
        <v>21.726190476190478</v>
      </c>
      <c r="K52" s="34" t="str">
        <f t="shared" si="37"/>
        <v>0</v>
      </c>
      <c r="L52" s="35">
        <f t="shared" si="38"/>
        <v>0</v>
      </c>
      <c r="M52" s="35">
        <f t="shared" si="39"/>
        <v>0</v>
      </c>
      <c r="N52" s="35">
        <f t="shared" si="40"/>
        <v>0</v>
      </c>
      <c r="O52" s="35">
        <f t="shared" si="41"/>
        <v>0</v>
      </c>
      <c r="P52" s="35">
        <f t="shared" si="42"/>
        <v>0</v>
      </c>
      <c r="Q52" s="36">
        <v>0.75</v>
      </c>
      <c r="R52" s="37">
        <f t="shared" si="43"/>
        <v>0</v>
      </c>
      <c r="S52" s="36">
        <v>0.75</v>
      </c>
      <c r="T52" s="38">
        <f t="shared" si="44"/>
        <v>0</v>
      </c>
      <c r="U52" s="39">
        <f t="shared" si="45"/>
        <v>0</v>
      </c>
      <c r="V52" s="40">
        <f t="shared" si="9"/>
        <v>0</v>
      </c>
      <c r="W52" s="41">
        <f t="shared" si="46"/>
        <v>0</v>
      </c>
      <c r="X52" s="42">
        <f t="shared" si="47"/>
        <v>5</v>
      </c>
      <c r="Y52" s="43" t="s">
        <v>395</v>
      </c>
      <c r="Z52" s="36">
        <v>1</v>
      </c>
      <c r="AA52" s="44">
        <f t="shared" si="48"/>
        <v>0</v>
      </c>
      <c r="AB52" s="36">
        <v>1</v>
      </c>
      <c r="AC52" s="44">
        <f t="shared" si="49"/>
        <v>0</v>
      </c>
      <c r="AD52" s="36">
        <v>1</v>
      </c>
      <c r="AE52" s="44">
        <f t="shared" si="50"/>
        <v>0</v>
      </c>
      <c r="AF52" s="45">
        <v>1.8</v>
      </c>
      <c r="AG52" s="46" t="e">
        <f t="shared" si="31"/>
        <v>#DIV/0!</v>
      </c>
      <c r="AH52" s="47" t="e">
        <f t="shared" si="32"/>
        <v>#DIV/0!</v>
      </c>
      <c r="AI52" s="45">
        <v>8.1</v>
      </c>
      <c r="AJ52" s="46" t="e">
        <f t="shared" si="33"/>
        <v>#DIV/0!</v>
      </c>
      <c r="AK52" s="47" t="e">
        <f t="shared" si="34"/>
        <v>#DIV/0!</v>
      </c>
      <c r="AL52" s="45">
        <v>46.09</v>
      </c>
      <c r="AM52" s="46" t="e">
        <f t="shared" si="35"/>
        <v>#DIV/0!</v>
      </c>
      <c r="AN52" s="47" t="e">
        <f t="shared" si="36"/>
        <v>#DIV/0!</v>
      </c>
      <c r="AO52" s="45"/>
      <c r="AP52" s="46" t="e">
        <f t="shared" si="21"/>
        <v>#DIV/0!</v>
      </c>
      <c r="AQ52" s="47" t="e">
        <f t="shared" si="22"/>
        <v>#DIV/0!</v>
      </c>
      <c r="AR52" s="45"/>
      <c r="AS52" s="46">
        <f t="shared" si="23"/>
        <v>0</v>
      </c>
      <c r="AT52" s="47">
        <f t="shared" si="24"/>
        <v>0</v>
      </c>
      <c r="AU52" s="45">
        <v>46.09</v>
      </c>
      <c r="AV52" s="46" t="e">
        <f t="shared" si="25"/>
        <v>#DIV/0!</v>
      </c>
      <c r="AW52" s="47" t="e">
        <f t="shared" si="26"/>
        <v>#DIV/0!</v>
      </c>
      <c r="AX52" s="45"/>
      <c r="AY52" s="46">
        <f t="shared" si="27"/>
        <v>0</v>
      </c>
      <c r="AZ52" s="47">
        <f t="shared" si="28"/>
        <v>0</v>
      </c>
      <c r="BA52" s="48" t="e">
        <f t="shared" si="29"/>
        <v>#DIV/0!</v>
      </c>
    </row>
    <row r="53" spans="1:53">
      <c r="A53" s="30"/>
      <c r="B53" s="31" t="s">
        <v>414</v>
      </c>
      <c r="C53" s="31" t="s">
        <v>416</v>
      </c>
      <c r="D53" s="31" t="s">
        <v>427</v>
      </c>
      <c r="E53" s="32" t="s">
        <v>449</v>
      </c>
      <c r="F53" s="33">
        <v>16.77</v>
      </c>
      <c r="G53" s="74"/>
      <c r="H53" s="70" t="s">
        <v>20</v>
      </c>
      <c r="I53" s="77">
        <f>IF(H53=Tablas!$B$5,Tablas!$C$5,VLOOKUP(H53,Tablas!$B$5:$D$40,2,FALSE))</f>
        <v>19</v>
      </c>
      <c r="J53" s="65">
        <f>IF(I53=0,"",VLOOKUP(I53,Tablas!$C$5:$D$40,2,FALSE))</f>
        <v>21.726190476190478</v>
      </c>
      <c r="K53" s="34" t="str">
        <f t="shared" si="37"/>
        <v>0</v>
      </c>
      <c r="L53" s="35">
        <f t="shared" si="38"/>
        <v>0</v>
      </c>
      <c r="M53" s="35">
        <f t="shared" si="39"/>
        <v>0</v>
      </c>
      <c r="N53" s="35">
        <f t="shared" si="40"/>
        <v>0</v>
      </c>
      <c r="O53" s="35">
        <f t="shared" si="41"/>
        <v>0</v>
      </c>
      <c r="P53" s="35">
        <f t="shared" si="42"/>
        <v>0</v>
      </c>
      <c r="Q53" s="36">
        <v>0.75</v>
      </c>
      <c r="R53" s="37">
        <f t="shared" si="43"/>
        <v>0</v>
      </c>
      <c r="S53" s="36">
        <v>0.75</v>
      </c>
      <c r="T53" s="38">
        <f t="shared" si="44"/>
        <v>0</v>
      </c>
      <c r="U53" s="39">
        <f t="shared" si="45"/>
        <v>0</v>
      </c>
      <c r="V53" s="40">
        <f t="shared" si="9"/>
        <v>0</v>
      </c>
      <c r="W53" s="41">
        <f t="shared" si="46"/>
        <v>0</v>
      </c>
      <c r="X53" s="42">
        <f t="shared" si="47"/>
        <v>5</v>
      </c>
      <c r="Y53" s="43" t="s">
        <v>395</v>
      </c>
      <c r="Z53" s="36">
        <v>1</v>
      </c>
      <c r="AA53" s="44">
        <f t="shared" si="48"/>
        <v>0</v>
      </c>
      <c r="AB53" s="36">
        <v>1</v>
      </c>
      <c r="AC53" s="44">
        <f t="shared" si="49"/>
        <v>0</v>
      </c>
      <c r="AD53" s="36">
        <v>1</v>
      </c>
      <c r="AE53" s="44">
        <f t="shared" si="50"/>
        <v>0</v>
      </c>
      <c r="AF53" s="45"/>
      <c r="AG53" s="46" t="e">
        <f t="shared" si="31"/>
        <v>#DIV/0!</v>
      </c>
      <c r="AH53" s="47" t="e">
        <f t="shared" si="32"/>
        <v>#DIV/0!</v>
      </c>
      <c r="AI53" s="45">
        <v>2.7</v>
      </c>
      <c r="AJ53" s="46" t="e">
        <f t="shared" si="33"/>
        <v>#DIV/0!</v>
      </c>
      <c r="AK53" s="47" t="e">
        <f t="shared" si="34"/>
        <v>#DIV/0!</v>
      </c>
      <c r="AL53" s="45">
        <v>16.77</v>
      </c>
      <c r="AM53" s="46" t="e">
        <f t="shared" si="35"/>
        <v>#DIV/0!</v>
      </c>
      <c r="AN53" s="47" t="e">
        <f t="shared" si="36"/>
        <v>#DIV/0!</v>
      </c>
      <c r="AO53" s="45"/>
      <c r="AP53" s="46" t="e">
        <f t="shared" si="21"/>
        <v>#DIV/0!</v>
      </c>
      <c r="AQ53" s="47" t="e">
        <f t="shared" si="22"/>
        <v>#DIV/0!</v>
      </c>
      <c r="AR53" s="45"/>
      <c r="AS53" s="46">
        <f t="shared" si="23"/>
        <v>0</v>
      </c>
      <c r="AT53" s="47">
        <f t="shared" si="24"/>
        <v>0</v>
      </c>
      <c r="AU53" s="45">
        <v>16.77</v>
      </c>
      <c r="AV53" s="46" t="e">
        <f t="shared" si="25"/>
        <v>#DIV/0!</v>
      </c>
      <c r="AW53" s="47" t="e">
        <f t="shared" si="26"/>
        <v>#DIV/0!</v>
      </c>
      <c r="AX53" s="45"/>
      <c r="AY53" s="46">
        <f t="shared" si="27"/>
        <v>0</v>
      </c>
      <c r="AZ53" s="47">
        <f t="shared" si="28"/>
        <v>0</v>
      </c>
      <c r="BA53" s="48" t="e">
        <f t="shared" si="29"/>
        <v>#DIV/0!</v>
      </c>
    </row>
    <row r="54" spans="1:53">
      <c r="A54" s="30"/>
      <c r="B54" s="31" t="s">
        <v>414</v>
      </c>
      <c r="C54" s="31" t="s">
        <v>416</v>
      </c>
      <c r="D54" s="31" t="s">
        <v>428</v>
      </c>
      <c r="E54" s="32" t="s">
        <v>449</v>
      </c>
      <c r="F54" s="33">
        <v>16.399999999999999</v>
      </c>
      <c r="G54" s="74"/>
      <c r="H54" s="70" t="s">
        <v>20</v>
      </c>
      <c r="I54" s="77">
        <f>IF(H54=Tablas!$B$5,Tablas!$C$5,VLOOKUP(H54,Tablas!$B$5:$D$40,2,FALSE))</f>
        <v>19</v>
      </c>
      <c r="J54" s="65">
        <f>IF(I54=0,"",VLOOKUP(I54,Tablas!$C$5:$D$40,2,FALSE))</f>
        <v>21.726190476190478</v>
      </c>
      <c r="K54" s="34" t="str">
        <f t="shared" si="37"/>
        <v>0</v>
      </c>
      <c r="L54" s="35">
        <f t="shared" si="38"/>
        <v>0</v>
      </c>
      <c r="M54" s="35">
        <f t="shared" si="39"/>
        <v>0</v>
      </c>
      <c r="N54" s="35">
        <f t="shared" si="40"/>
        <v>0</v>
      </c>
      <c r="O54" s="35">
        <f t="shared" si="41"/>
        <v>0</v>
      </c>
      <c r="P54" s="35">
        <f t="shared" si="42"/>
        <v>0</v>
      </c>
      <c r="Q54" s="36">
        <v>0.75</v>
      </c>
      <c r="R54" s="37">
        <f t="shared" si="43"/>
        <v>0</v>
      </c>
      <c r="S54" s="36">
        <v>0.75</v>
      </c>
      <c r="T54" s="38">
        <f t="shared" si="44"/>
        <v>0</v>
      </c>
      <c r="U54" s="39">
        <f t="shared" si="45"/>
        <v>0</v>
      </c>
      <c r="V54" s="40">
        <f t="shared" si="9"/>
        <v>0</v>
      </c>
      <c r="W54" s="41">
        <f t="shared" si="46"/>
        <v>0</v>
      </c>
      <c r="X54" s="42">
        <f t="shared" si="47"/>
        <v>5</v>
      </c>
      <c r="Y54" s="43" t="s">
        <v>395</v>
      </c>
      <c r="Z54" s="36">
        <v>1</v>
      </c>
      <c r="AA54" s="44">
        <f t="shared" si="48"/>
        <v>0</v>
      </c>
      <c r="AB54" s="36">
        <v>1</v>
      </c>
      <c r="AC54" s="44">
        <f t="shared" si="49"/>
        <v>0</v>
      </c>
      <c r="AD54" s="36">
        <v>1</v>
      </c>
      <c r="AE54" s="44">
        <f t="shared" si="50"/>
        <v>0</v>
      </c>
      <c r="AF54" s="45"/>
      <c r="AG54" s="46" t="e">
        <f t="shared" si="31"/>
        <v>#DIV/0!</v>
      </c>
      <c r="AH54" s="47" t="e">
        <f t="shared" si="32"/>
        <v>#DIV/0!</v>
      </c>
      <c r="AI54" s="45">
        <v>2.7</v>
      </c>
      <c r="AJ54" s="46" t="e">
        <f t="shared" si="33"/>
        <v>#DIV/0!</v>
      </c>
      <c r="AK54" s="47" t="e">
        <f t="shared" si="34"/>
        <v>#DIV/0!</v>
      </c>
      <c r="AL54" s="45">
        <v>16.399999999999999</v>
      </c>
      <c r="AM54" s="46" t="e">
        <f t="shared" si="35"/>
        <v>#DIV/0!</v>
      </c>
      <c r="AN54" s="47" t="e">
        <f t="shared" si="36"/>
        <v>#DIV/0!</v>
      </c>
      <c r="AO54" s="45"/>
      <c r="AP54" s="46" t="e">
        <f t="shared" si="21"/>
        <v>#DIV/0!</v>
      </c>
      <c r="AQ54" s="47" t="e">
        <f t="shared" si="22"/>
        <v>#DIV/0!</v>
      </c>
      <c r="AR54" s="45"/>
      <c r="AS54" s="46">
        <f t="shared" si="23"/>
        <v>0</v>
      </c>
      <c r="AT54" s="47">
        <f t="shared" si="24"/>
        <v>0</v>
      </c>
      <c r="AU54" s="45">
        <v>16.399999999999999</v>
      </c>
      <c r="AV54" s="46" t="e">
        <f t="shared" si="25"/>
        <v>#DIV/0!</v>
      </c>
      <c r="AW54" s="47" t="e">
        <f t="shared" si="26"/>
        <v>#DIV/0!</v>
      </c>
      <c r="AX54" s="45"/>
      <c r="AY54" s="46">
        <f t="shared" si="27"/>
        <v>0</v>
      </c>
      <c r="AZ54" s="47">
        <f t="shared" si="28"/>
        <v>0</v>
      </c>
      <c r="BA54" s="48" t="e">
        <f t="shared" si="29"/>
        <v>#DIV/0!</v>
      </c>
    </row>
    <row r="55" spans="1:53">
      <c r="A55" s="30"/>
      <c r="B55" s="31" t="s">
        <v>414</v>
      </c>
      <c r="C55" s="31" t="s">
        <v>416</v>
      </c>
      <c r="D55" s="31" t="s">
        <v>446</v>
      </c>
      <c r="E55" s="32"/>
      <c r="F55" s="33">
        <v>20.57</v>
      </c>
      <c r="G55" s="74"/>
      <c r="H55" s="70" t="s">
        <v>20</v>
      </c>
      <c r="I55" s="77">
        <f>IF(H55=Tablas!$B$5,Tablas!$C$5,VLOOKUP(H55,Tablas!$B$5:$D$40,2,FALSE))</f>
        <v>19</v>
      </c>
      <c r="J55" s="65">
        <f>IF(I55=0,"",VLOOKUP(I55,Tablas!$C$5:$D$40,2,FALSE))</f>
        <v>21.726190476190478</v>
      </c>
      <c r="K55" s="34" t="str">
        <f t="shared" si="37"/>
        <v>0</v>
      </c>
      <c r="L55" s="35">
        <f t="shared" si="38"/>
        <v>0</v>
      </c>
      <c r="M55" s="35">
        <f t="shared" si="39"/>
        <v>0</v>
      </c>
      <c r="N55" s="35">
        <f t="shared" si="40"/>
        <v>0</v>
      </c>
      <c r="O55" s="35">
        <f t="shared" si="41"/>
        <v>0</v>
      </c>
      <c r="P55" s="35">
        <f t="shared" si="42"/>
        <v>0</v>
      </c>
      <c r="Q55" s="36">
        <v>0.75</v>
      </c>
      <c r="R55" s="37">
        <f t="shared" si="43"/>
        <v>0</v>
      </c>
      <c r="S55" s="36">
        <v>0.75</v>
      </c>
      <c r="T55" s="38">
        <f t="shared" si="44"/>
        <v>0</v>
      </c>
      <c r="U55" s="39">
        <f t="shared" si="45"/>
        <v>0</v>
      </c>
      <c r="V55" s="40">
        <f t="shared" si="9"/>
        <v>0</v>
      </c>
      <c r="W55" s="41">
        <f t="shared" si="46"/>
        <v>0</v>
      </c>
      <c r="X55" s="42">
        <f t="shared" si="47"/>
        <v>5</v>
      </c>
      <c r="Y55" s="43" t="s">
        <v>395</v>
      </c>
      <c r="Z55" s="36">
        <v>1</v>
      </c>
      <c r="AA55" s="44">
        <f t="shared" si="48"/>
        <v>0</v>
      </c>
      <c r="AB55" s="36">
        <v>1</v>
      </c>
      <c r="AC55" s="44">
        <f t="shared" si="49"/>
        <v>0</v>
      </c>
      <c r="AD55" s="36">
        <v>1</v>
      </c>
      <c r="AE55" s="44">
        <f t="shared" si="50"/>
        <v>0</v>
      </c>
      <c r="AF55" s="45"/>
      <c r="AG55" s="46" t="e">
        <f t="shared" si="31"/>
        <v>#DIV/0!</v>
      </c>
      <c r="AH55" s="47" t="e">
        <f t="shared" si="32"/>
        <v>#DIV/0!</v>
      </c>
      <c r="AI55" s="45">
        <v>5.4</v>
      </c>
      <c r="AJ55" s="46" t="e">
        <f t="shared" si="33"/>
        <v>#DIV/0!</v>
      </c>
      <c r="AK55" s="47" t="e">
        <f t="shared" si="34"/>
        <v>#DIV/0!</v>
      </c>
      <c r="AL55" s="45">
        <v>20.57</v>
      </c>
      <c r="AM55" s="46" t="e">
        <f t="shared" si="35"/>
        <v>#DIV/0!</v>
      </c>
      <c r="AN55" s="47" t="e">
        <f t="shared" si="36"/>
        <v>#DIV/0!</v>
      </c>
      <c r="AO55" s="45"/>
      <c r="AP55" s="46" t="e">
        <f t="shared" si="21"/>
        <v>#DIV/0!</v>
      </c>
      <c r="AQ55" s="47" t="e">
        <f t="shared" si="22"/>
        <v>#DIV/0!</v>
      </c>
      <c r="AR55" s="45"/>
      <c r="AS55" s="46">
        <f t="shared" si="23"/>
        <v>0</v>
      </c>
      <c r="AT55" s="47">
        <f t="shared" si="24"/>
        <v>0</v>
      </c>
      <c r="AU55" s="45">
        <v>20.57</v>
      </c>
      <c r="AV55" s="46" t="e">
        <f t="shared" si="25"/>
        <v>#DIV/0!</v>
      </c>
      <c r="AW55" s="47" t="e">
        <f t="shared" si="26"/>
        <v>#DIV/0!</v>
      </c>
      <c r="AX55" s="45"/>
      <c r="AY55" s="46">
        <f t="shared" si="27"/>
        <v>0</v>
      </c>
      <c r="AZ55" s="47">
        <f t="shared" si="28"/>
        <v>0</v>
      </c>
      <c r="BA55" s="48" t="e">
        <f t="shared" si="29"/>
        <v>#DIV/0!</v>
      </c>
    </row>
    <row r="56" spans="1:53">
      <c r="A56" s="30"/>
      <c r="B56" s="31" t="s">
        <v>414</v>
      </c>
      <c r="C56" s="31" t="s">
        <v>416</v>
      </c>
      <c r="D56" s="31" t="s">
        <v>447</v>
      </c>
      <c r="E56" s="32" t="s">
        <v>449</v>
      </c>
      <c r="F56" s="33">
        <v>7.42</v>
      </c>
      <c r="G56" s="74"/>
      <c r="H56" s="70" t="s">
        <v>20</v>
      </c>
      <c r="I56" s="77">
        <f>IF(H56=Tablas!$B$5,Tablas!$C$5,VLOOKUP(H56,Tablas!$B$5:$D$40,2,FALSE))</f>
        <v>19</v>
      </c>
      <c r="J56" s="65">
        <f>IF(I56=0,"",VLOOKUP(I56,Tablas!$C$5:$D$40,2,FALSE))</f>
        <v>21.726190476190478</v>
      </c>
      <c r="K56" s="34" t="str">
        <f t="shared" si="37"/>
        <v>0</v>
      </c>
      <c r="L56" s="35">
        <f t="shared" si="38"/>
        <v>0</v>
      </c>
      <c r="M56" s="35">
        <f t="shared" si="39"/>
        <v>0</v>
      </c>
      <c r="N56" s="35">
        <f t="shared" si="40"/>
        <v>0</v>
      </c>
      <c r="O56" s="35">
        <f t="shared" si="41"/>
        <v>0</v>
      </c>
      <c r="P56" s="35">
        <f t="shared" si="42"/>
        <v>0</v>
      </c>
      <c r="Q56" s="36">
        <v>0.75</v>
      </c>
      <c r="R56" s="37">
        <f t="shared" si="43"/>
        <v>0</v>
      </c>
      <c r="S56" s="36">
        <v>0.75</v>
      </c>
      <c r="T56" s="38">
        <f t="shared" si="44"/>
        <v>0</v>
      </c>
      <c r="U56" s="39">
        <f t="shared" si="45"/>
        <v>0</v>
      </c>
      <c r="V56" s="40">
        <f t="shared" si="9"/>
        <v>0</v>
      </c>
      <c r="W56" s="41">
        <f t="shared" si="46"/>
        <v>0</v>
      </c>
      <c r="X56" s="42">
        <f t="shared" si="47"/>
        <v>5</v>
      </c>
      <c r="Y56" s="43" t="s">
        <v>395</v>
      </c>
      <c r="Z56" s="36">
        <v>1</v>
      </c>
      <c r="AA56" s="44">
        <f t="shared" si="48"/>
        <v>0</v>
      </c>
      <c r="AB56" s="36">
        <v>1</v>
      </c>
      <c r="AC56" s="44">
        <f t="shared" si="49"/>
        <v>0</v>
      </c>
      <c r="AD56" s="36">
        <v>1</v>
      </c>
      <c r="AE56" s="44">
        <f t="shared" si="50"/>
        <v>0</v>
      </c>
      <c r="AF56" s="45"/>
      <c r="AG56" s="46" t="e">
        <f t="shared" si="31"/>
        <v>#DIV/0!</v>
      </c>
      <c r="AH56" s="47" t="e">
        <f t="shared" si="32"/>
        <v>#DIV/0!</v>
      </c>
      <c r="AI56" s="45">
        <v>2.7</v>
      </c>
      <c r="AJ56" s="46" t="e">
        <f t="shared" si="33"/>
        <v>#DIV/0!</v>
      </c>
      <c r="AK56" s="47" t="e">
        <f t="shared" si="34"/>
        <v>#DIV/0!</v>
      </c>
      <c r="AL56" s="45">
        <v>7.42</v>
      </c>
      <c r="AM56" s="46" t="e">
        <f t="shared" si="35"/>
        <v>#DIV/0!</v>
      </c>
      <c r="AN56" s="47" t="e">
        <f t="shared" si="36"/>
        <v>#DIV/0!</v>
      </c>
      <c r="AO56" s="45"/>
      <c r="AP56" s="46" t="e">
        <f t="shared" si="21"/>
        <v>#DIV/0!</v>
      </c>
      <c r="AQ56" s="47" t="e">
        <f t="shared" si="22"/>
        <v>#DIV/0!</v>
      </c>
      <c r="AR56" s="45"/>
      <c r="AS56" s="46">
        <f t="shared" si="23"/>
        <v>0</v>
      </c>
      <c r="AT56" s="47">
        <f t="shared" si="24"/>
        <v>0</v>
      </c>
      <c r="AU56" s="45">
        <v>7.42</v>
      </c>
      <c r="AV56" s="46" t="e">
        <f t="shared" si="25"/>
        <v>#DIV/0!</v>
      </c>
      <c r="AW56" s="47" t="e">
        <f t="shared" si="26"/>
        <v>#DIV/0!</v>
      </c>
      <c r="AX56" s="45"/>
      <c r="AY56" s="46">
        <f t="shared" si="27"/>
        <v>0</v>
      </c>
      <c r="AZ56" s="47">
        <f t="shared" si="28"/>
        <v>0</v>
      </c>
      <c r="BA56" s="48" t="e">
        <f t="shared" si="29"/>
        <v>#DIV/0!</v>
      </c>
    </row>
    <row r="57" spans="1:53">
      <c r="A57" s="30"/>
      <c r="B57" s="31" t="s">
        <v>414</v>
      </c>
      <c r="C57" s="31" t="s">
        <v>416</v>
      </c>
      <c r="D57" s="31" t="s">
        <v>431</v>
      </c>
      <c r="E57" s="32"/>
      <c r="F57" s="33">
        <v>71.849999999999994</v>
      </c>
      <c r="G57" s="74"/>
      <c r="H57" s="70" t="s">
        <v>20</v>
      </c>
      <c r="I57" s="77">
        <f>IF(H57=Tablas!$B$5,Tablas!$C$5,VLOOKUP(H57,Tablas!$B$5:$D$40,2,FALSE))</f>
        <v>19</v>
      </c>
      <c r="J57" s="65">
        <f>IF(I57=0,"",VLOOKUP(I57,Tablas!$C$5:$D$40,2,FALSE))</f>
        <v>21.726190476190478</v>
      </c>
      <c r="K57" s="34" t="str">
        <f t="shared" si="37"/>
        <v>0</v>
      </c>
      <c r="L57" s="35">
        <f t="shared" si="38"/>
        <v>0</v>
      </c>
      <c r="M57" s="35">
        <f t="shared" si="39"/>
        <v>0</v>
      </c>
      <c r="N57" s="35">
        <f t="shared" si="40"/>
        <v>0</v>
      </c>
      <c r="O57" s="35">
        <f t="shared" si="41"/>
        <v>0</v>
      </c>
      <c r="P57" s="35">
        <f t="shared" si="42"/>
        <v>0</v>
      </c>
      <c r="Q57" s="36">
        <v>0.75</v>
      </c>
      <c r="R57" s="37">
        <f t="shared" si="43"/>
        <v>0</v>
      </c>
      <c r="S57" s="36">
        <v>0.75</v>
      </c>
      <c r="T57" s="38">
        <f t="shared" si="44"/>
        <v>0</v>
      </c>
      <c r="U57" s="39">
        <f t="shared" si="45"/>
        <v>0</v>
      </c>
      <c r="V57" s="40">
        <f t="shared" si="9"/>
        <v>0</v>
      </c>
      <c r="W57" s="41">
        <f t="shared" si="46"/>
        <v>0</v>
      </c>
      <c r="X57" s="42">
        <f t="shared" si="47"/>
        <v>5</v>
      </c>
      <c r="Y57" s="43" t="s">
        <v>395</v>
      </c>
      <c r="Z57" s="36">
        <v>1</v>
      </c>
      <c r="AA57" s="44">
        <f t="shared" si="48"/>
        <v>0</v>
      </c>
      <c r="AB57" s="36">
        <v>1</v>
      </c>
      <c r="AC57" s="44">
        <f t="shared" si="49"/>
        <v>0</v>
      </c>
      <c r="AD57" s="36">
        <v>1</v>
      </c>
      <c r="AE57" s="44">
        <f t="shared" si="50"/>
        <v>0</v>
      </c>
      <c r="AF57" s="45"/>
      <c r="AG57" s="46" t="e">
        <f t="shared" si="31"/>
        <v>#DIV/0!</v>
      </c>
      <c r="AH57" s="47" t="e">
        <f t="shared" si="32"/>
        <v>#DIV/0!</v>
      </c>
      <c r="AI57" s="45">
        <v>8.1</v>
      </c>
      <c r="AJ57" s="46" t="e">
        <f t="shared" si="33"/>
        <v>#DIV/0!</v>
      </c>
      <c r="AK57" s="47" t="e">
        <f t="shared" si="34"/>
        <v>#DIV/0!</v>
      </c>
      <c r="AL57" s="45">
        <v>71.849999999999994</v>
      </c>
      <c r="AM57" s="46" t="e">
        <f t="shared" si="35"/>
        <v>#DIV/0!</v>
      </c>
      <c r="AN57" s="47" t="e">
        <f t="shared" si="36"/>
        <v>#DIV/0!</v>
      </c>
      <c r="AO57" s="45"/>
      <c r="AP57" s="46" t="e">
        <f t="shared" si="21"/>
        <v>#DIV/0!</v>
      </c>
      <c r="AQ57" s="47" t="e">
        <f t="shared" si="22"/>
        <v>#DIV/0!</v>
      </c>
      <c r="AR57" s="45"/>
      <c r="AS57" s="46">
        <f t="shared" si="23"/>
        <v>0</v>
      </c>
      <c r="AT57" s="47">
        <f t="shared" si="24"/>
        <v>0</v>
      </c>
      <c r="AU57" s="45">
        <v>71.849999999999994</v>
      </c>
      <c r="AV57" s="46" t="e">
        <f t="shared" si="25"/>
        <v>#DIV/0!</v>
      </c>
      <c r="AW57" s="47" t="e">
        <f t="shared" si="26"/>
        <v>#DIV/0!</v>
      </c>
      <c r="AX57" s="45"/>
      <c r="AY57" s="46">
        <f t="shared" si="27"/>
        <v>0</v>
      </c>
      <c r="AZ57" s="47">
        <f t="shared" si="28"/>
        <v>0</v>
      </c>
      <c r="BA57" s="48" t="e">
        <f t="shared" si="29"/>
        <v>#DIV/0!</v>
      </c>
    </row>
    <row r="58" spans="1:53">
      <c r="A58" s="30"/>
      <c r="B58" s="31" t="s">
        <v>414</v>
      </c>
      <c r="C58" s="31" t="s">
        <v>416</v>
      </c>
      <c r="D58" s="31" t="s">
        <v>439</v>
      </c>
      <c r="E58" s="32"/>
      <c r="F58" s="33">
        <v>28.56</v>
      </c>
      <c r="G58" s="74"/>
      <c r="H58" s="70" t="s">
        <v>20</v>
      </c>
      <c r="I58" s="77">
        <f>IF(H58=Tablas!$B$5,Tablas!$C$5,VLOOKUP(H58,Tablas!$B$5:$D$40,2,FALSE))</f>
        <v>19</v>
      </c>
      <c r="J58" s="65">
        <f>IF(I58=0,"",VLOOKUP(I58,Tablas!$C$5:$D$40,2,FALSE))</f>
        <v>21.726190476190478</v>
      </c>
      <c r="K58" s="34" t="str">
        <f t="shared" si="37"/>
        <v>0</v>
      </c>
      <c r="L58" s="35">
        <f t="shared" si="38"/>
        <v>0</v>
      </c>
      <c r="M58" s="35">
        <f t="shared" si="39"/>
        <v>0</v>
      </c>
      <c r="N58" s="35">
        <f t="shared" si="40"/>
        <v>0</v>
      </c>
      <c r="O58" s="35">
        <f t="shared" si="41"/>
        <v>0</v>
      </c>
      <c r="P58" s="35">
        <f t="shared" si="42"/>
        <v>0</v>
      </c>
      <c r="Q58" s="36">
        <v>0.75</v>
      </c>
      <c r="R58" s="37">
        <f t="shared" si="43"/>
        <v>0</v>
      </c>
      <c r="S58" s="36">
        <v>0.75</v>
      </c>
      <c r="T58" s="38">
        <f t="shared" si="44"/>
        <v>0</v>
      </c>
      <c r="U58" s="39">
        <f t="shared" si="45"/>
        <v>0</v>
      </c>
      <c r="V58" s="40">
        <f t="shared" si="9"/>
        <v>0</v>
      </c>
      <c r="W58" s="41">
        <f t="shared" si="46"/>
        <v>0</v>
      </c>
      <c r="X58" s="42">
        <f t="shared" si="47"/>
        <v>5</v>
      </c>
      <c r="Y58" s="43" t="s">
        <v>395</v>
      </c>
      <c r="Z58" s="36">
        <v>1</v>
      </c>
      <c r="AA58" s="44">
        <f t="shared" si="48"/>
        <v>0</v>
      </c>
      <c r="AB58" s="36">
        <v>1</v>
      </c>
      <c r="AC58" s="44">
        <f t="shared" si="49"/>
        <v>0</v>
      </c>
      <c r="AD58" s="36">
        <v>1</v>
      </c>
      <c r="AE58" s="44">
        <f t="shared" si="50"/>
        <v>0</v>
      </c>
      <c r="AF58" s="45"/>
      <c r="AG58" s="46" t="e">
        <f t="shared" si="31"/>
        <v>#DIV/0!</v>
      </c>
      <c r="AH58" s="47" t="e">
        <f t="shared" si="32"/>
        <v>#DIV/0!</v>
      </c>
      <c r="AI58" s="45">
        <v>5.4</v>
      </c>
      <c r="AJ58" s="46" t="e">
        <f t="shared" si="33"/>
        <v>#DIV/0!</v>
      </c>
      <c r="AK58" s="47" t="e">
        <f t="shared" si="34"/>
        <v>#DIV/0!</v>
      </c>
      <c r="AL58" s="45">
        <v>28.56</v>
      </c>
      <c r="AM58" s="46" t="e">
        <f t="shared" si="35"/>
        <v>#DIV/0!</v>
      </c>
      <c r="AN58" s="47" t="e">
        <f t="shared" si="36"/>
        <v>#DIV/0!</v>
      </c>
      <c r="AO58" s="45"/>
      <c r="AP58" s="46" t="e">
        <f t="shared" si="21"/>
        <v>#DIV/0!</v>
      </c>
      <c r="AQ58" s="47" t="e">
        <f t="shared" si="22"/>
        <v>#DIV/0!</v>
      </c>
      <c r="AR58" s="45"/>
      <c r="AS58" s="46">
        <f t="shared" si="23"/>
        <v>0</v>
      </c>
      <c r="AT58" s="47">
        <f t="shared" si="24"/>
        <v>0</v>
      </c>
      <c r="AU58" s="45">
        <v>28.56</v>
      </c>
      <c r="AV58" s="46" t="e">
        <f t="shared" si="25"/>
        <v>#DIV/0!</v>
      </c>
      <c r="AW58" s="47" t="e">
        <f t="shared" si="26"/>
        <v>#DIV/0!</v>
      </c>
      <c r="AX58" s="45"/>
      <c r="AY58" s="46">
        <f t="shared" si="27"/>
        <v>0</v>
      </c>
      <c r="AZ58" s="47">
        <f t="shared" si="28"/>
        <v>0</v>
      </c>
      <c r="BA58" s="48" t="e">
        <f t="shared" si="29"/>
        <v>#DIV/0!</v>
      </c>
    </row>
    <row r="59" spans="1:53">
      <c r="A59" s="30"/>
      <c r="B59" s="31" t="s">
        <v>414</v>
      </c>
      <c r="C59" s="31" t="s">
        <v>416</v>
      </c>
      <c r="D59" s="31" t="s">
        <v>362</v>
      </c>
      <c r="E59" s="32"/>
      <c r="F59" s="33">
        <v>110.06</v>
      </c>
      <c r="G59" s="74"/>
      <c r="H59" s="70" t="s">
        <v>20</v>
      </c>
      <c r="I59" s="77">
        <f>IF(H59=Tablas!$B$5,Tablas!$C$5,VLOOKUP(H59,Tablas!$B$5:$D$40,2,FALSE))</f>
        <v>19</v>
      </c>
      <c r="J59" s="65">
        <f>IF(I59=0,"",VLOOKUP(I59,Tablas!$C$5:$D$40,2,FALSE))</f>
        <v>21.726190476190478</v>
      </c>
      <c r="K59" s="34" t="str">
        <f t="shared" ref="K59:K61" si="51">IF(G59=0,"0",F59/G59)</f>
        <v>0</v>
      </c>
      <c r="L59" s="35">
        <f t="shared" si="38"/>
        <v>0</v>
      </c>
      <c r="M59" s="35">
        <f t="shared" si="39"/>
        <v>0</v>
      </c>
      <c r="N59" s="35">
        <f t="shared" si="40"/>
        <v>0</v>
      </c>
      <c r="O59" s="35">
        <f t="shared" si="41"/>
        <v>0</v>
      </c>
      <c r="P59" s="35">
        <f t="shared" si="42"/>
        <v>0</v>
      </c>
      <c r="Q59" s="36">
        <v>0.75</v>
      </c>
      <c r="R59" s="37">
        <f t="shared" si="43"/>
        <v>0</v>
      </c>
      <c r="S59" s="36">
        <v>0.75</v>
      </c>
      <c r="T59" s="38">
        <f t="shared" si="44"/>
        <v>0</v>
      </c>
      <c r="U59" s="39">
        <f t="shared" si="45"/>
        <v>0</v>
      </c>
      <c r="V59" s="40">
        <f t="shared" ref="V59:V61" si="52">+U59*4.345</f>
        <v>0</v>
      </c>
      <c r="W59" s="41">
        <f t="shared" si="46"/>
        <v>0</v>
      </c>
      <c r="X59" s="42">
        <f t="shared" si="47"/>
        <v>5</v>
      </c>
      <c r="Y59" s="43" t="s">
        <v>395</v>
      </c>
      <c r="Z59" s="36">
        <v>1</v>
      </c>
      <c r="AA59" s="44">
        <f t="shared" si="48"/>
        <v>0</v>
      </c>
      <c r="AB59" s="36">
        <v>1</v>
      </c>
      <c r="AC59" s="44">
        <f t="shared" si="49"/>
        <v>0</v>
      </c>
      <c r="AD59" s="36">
        <v>1</v>
      </c>
      <c r="AE59" s="44">
        <f t="shared" si="50"/>
        <v>0</v>
      </c>
      <c r="AF59" s="45"/>
      <c r="AG59" s="46" t="e">
        <f t="shared" si="31"/>
        <v>#DIV/0!</v>
      </c>
      <c r="AH59" s="47" t="e">
        <f t="shared" si="32"/>
        <v>#DIV/0!</v>
      </c>
      <c r="AI59" s="45">
        <v>14.85</v>
      </c>
      <c r="AJ59" s="46" t="e">
        <f t="shared" si="33"/>
        <v>#DIV/0!</v>
      </c>
      <c r="AK59" s="47" t="e">
        <f t="shared" si="34"/>
        <v>#DIV/0!</v>
      </c>
      <c r="AL59" s="45">
        <v>110.06</v>
      </c>
      <c r="AM59" s="46" t="e">
        <f t="shared" si="35"/>
        <v>#DIV/0!</v>
      </c>
      <c r="AN59" s="47" t="e">
        <f t="shared" si="36"/>
        <v>#DIV/0!</v>
      </c>
      <c r="AO59" s="45"/>
      <c r="AP59" s="46" t="e">
        <f t="shared" si="21"/>
        <v>#DIV/0!</v>
      </c>
      <c r="AQ59" s="47" t="e">
        <f t="shared" si="22"/>
        <v>#DIV/0!</v>
      </c>
      <c r="AR59" s="45"/>
      <c r="AS59" s="46">
        <f t="shared" si="23"/>
        <v>0</v>
      </c>
      <c r="AT59" s="47">
        <f t="shared" si="24"/>
        <v>0</v>
      </c>
      <c r="AU59" s="45">
        <v>110.06</v>
      </c>
      <c r="AV59" s="46" t="e">
        <f t="shared" si="25"/>
        <v>#DIV/0!</v>
      </c>
      <c r="AW59" s="47" t="e">
        <f t="shared" si="26"/>
        <v>#DIV/0!</v>
      </c>
      <c r="AX59" s="45"/>
      <c r="AY59" s="46">
        <f t="shared" si="27"/>
        <v>0</v>
      </c>
      <c r="AZ59" s="47">
        <f t="shared" si="28"/>
        <v>0</v>
      </c>
      <c r="BA59" s="48" t="e">
        <f t="shared" si="29"/>
        <v>#DIV/0!</v>
      </c>
    </row>
    <row r="60" spans="1:53" ht="16" thickBot="1">
      <c r="A60" s="30"/>
      <c r="B60" s="31" t="s">
        <v>414</v>
      </c>
      <c r="C60" s="31" t="s">
        <v>506</v>
      </c>
      <c r="D60" s="31" t="s">
        <v>507</v>
      </c>
      <c r="E60" s="32"/>
      <c r="F60" s="33"/>
      <c r="G60" s="74"/>
      <c r="H60" s="70"/>
      <c r="I60" s="77">
        <f>IF(H60=Tablas!$B$5,Tablas!$C$5,VLOOKUP(H60,Tablas!$B$5:$D$40,2,FALSE))</f>
        <v>1</v>
      </c>
      <c r="J60" s="65">
        <f>IF(I60=0,"",VLOOKUP(I60,Tablas!$C$5:$D$40,2,FALSE))</f>
        <v>0</v>
      </c>
      <c r="K60" s="34" t="str">
        <f t="shared" si="51"/>
        <v>0</v>
      </c>
      <c r="L60" s="35">
        <f t="shared" si="38"/>
        <v>0</v>
      </c>
      <c r="M60" s="35">
        <f t="shared" si="39"/>
        <v>0</v>
      </c>
      <c r="N60" s="35">
        <f t="shared" si="40"/>
        <v>0</v>
      </c>
      <c r="O60" s="35">
        <f t="shared" si="41"/>
        <v>0</v>
      </c>
      <c r="P60" s="35">
        <f t="shared" si="42"/>
        <v>0</v>
      </c>
      <c r="Q60" s="36">
        <v>0.75</v>
      </c>
      <c r="R60" s="37">
        <f t="shared" si="43"/>
        <v>0</v>
      </c>
      <c r="S60" s="36">
        <v>0.75</v>
      </c>
      <c r="T60" s="38">
        <f t="shared" si="44"/>
        <v>0</v>
      </c>
      <c r="U60" s="39">
        <f t="shared" si="45"/>
        <v>0</v>
      </c>
      <c r="V60" s="40">
        <f t="shared" si="52"/>
        <v>0</v>
      </c>
      <c r="W60" s="41">
        <f t="shared" si="46"/>
        <v>0</v>
      </c>
      <c r="X60" s="42">
        <f t="shared" si="47"/>
        <v>0</v>
      </c>
      <c r="Y60" s="43" t="s">
        <v>395</v>
      </c>
      <c r="Z60" s="36">
        <v>1</v>
      </c>
      <c r="AA60" s="44">
        <f t="shared" si="48"/>
        <v>0</v>
      </c>
      <c r="AB60" s="36">
        <v>1</v>
      </c>
      <c r="AC60" s="44">
        <f t="shared" si="49"/>
        <v>0</v>
      </c>
      <c r="AD60" s="36">
        <v>1</v>
      </c>
      <c r="AE60" s="44">
        <f t="shared" si="50"/>
        <v>0</v>
      </c>
      <c r="AF60" s="45">
        <v>6</v>
      </c>
      <c r="AG60" s="46" t="e">
        <f t="shared" si="31"/>
        <v>#DIV/0!</v>
      </c>
      <c r="AH60" s="47" t="e">
        <f t="shared" si="32"/>
        <v>#DIV/0!</v>
      </c>
      <c r="AI60" s="45"/>
      <c r="AJ60" s="46" t="e">
        <f t="shared" si="33"/>
        <v>#DIV/0!</v>
      </c>
      <c r="AK60" s="47" t="e">
        <f t="shared" si="34"/>
        <v>#DIV/0!</v>
      </c>
      <c r="AL60" s="45"/>
      <c r="AM60" s="46" t="e">
        <f t="shared" si="35"/>
        <v>#DIV/0!</v>
      </c>
      <c r="AN60" s="47" t="e">
        <f t="shared" si="36"/>
        <v>#DIV/0!</v>
      </c>
      <c r="AO60" s="45"/>
      <c r="AP60" s="46" t="e">
        <f t="shared" si="21"/>
        <v>#DIV/0!</v>
      </c>
      <c r="AQ60" s="47" t="e">
        <f t="shared" si="22"/>
        <v>#DIV/0!</v>
      </c>
      <c r="AR60" s="45"/>
      <c r="AS60" s="46">
        <f t="shared" si="23"/>
        <v>0</v>
      </c>
      <c r="AT60" s="47">
        <f t="shared" si="24"/>
        <v>0</v>
      </c>
      <c r="AU60" s="45"/>
      <c r="AV60" s="46" t="e">
        <f t="shared" si="25"/>
        <v>#DIV/0!</v>
      </c>
      <c r="AW60" s="47" t="e">
        <f t="shared" si="26"/>
        <v>#DIV/0!</v>
      </c>
      <c r="AX60" s="45"/>
      <c r="AY60" s="46">
        <f t="shared" si="27"/>
        <v>0</v>
      </c>
      <c r="AZ60" s="47">
        <f t="shared" si="28"/>
        <v>0</v>
      </c>
      <c r="BA60" s="48" t="e">
        <f t="shared" si="29"/>
        <v>#DIV/0!</v>
      </c>
    </row>
    <row r="61" spans="1:53" hidden="1" thickBot="1">
      <c r="A61" s="30"/>
      <c r="B61" s="31"/>
      <c r="C61" s="31"/>
      <c r="D61" s="31"/>
      <c r="E61" s="32"/>
      <c r="F61" s="33"/>
      <c r="G61" s="74"/>
      <c r="H61" s="70"/>
      <c r="I61" s="77">
        <f>IF(H61=Tablas!$B$5,Tablas!$C$5,VLOOKUP(H61,Tablas!$B$5:$D$40,2,FALSE))</f>
        <v>1</v>
      </c>
      <c r="J61" s="65">
        <f>IF(I61=0,"",VLOOKUP(I61,Tablas!$C$5:$D$40,2,FALSE))</f>
        <v>0</v>
      </c>
      <c r="K61" s="34" t="str">
        <f t="shared" si="51"/>
        <v>0</v>
      </c>
      <c r="L61" s="35">
        <f t="shared" si="38"/>
        <v>0</v>
      </c>
      <c r="M61" s="35">
        <f t="shared" si="39"/>
        <v>0</v>
      </c>
      <c r="N61" s="35">
        <f t="shared" si="40"/>
        <v>0</v>
      </c>
      <c r="O61" s="35">
        <f t="shared" si="41"/>
        <v>0</v>
      </c>
      <c r="P61" s="35">
        <f t="shared" si="42"/>
        <v>0</v>
      </c>
      <c r="Q61" s="36">
        <v>0.75</v>
      </c>
      <c r="R61" s="37">
        <f t="shared" si="43"/>
        <v>0</v>
      </c>
      <c r="S61" s="36">
        <v>0.75</v>
      </c>
      <c r="T61" s="38">
        <f t="shared" si="44"/>
        <v>0</v>
      </c>
      <c r="U61" s="39">
        <f t="shared" si="45"/>
        <v>0</v>
      </c>
      <c r="V61" s="40">
        <f t="shared" si="52"/>
        <v>0</v>
      </c>
      <c r="W61" s="41">
        <f t="shared" si="46"/>
        <v>0</v>
      </c>
      <c r="X61" s="42">
        <f t="shared" si="47"/>
        <v>0</v>
      </c>
      <c r="Y61" s="43" t="s">
        <v>395</v>
      </c>
      <c r="Z61" s="36">
        <v>1</v>
      </c>
      <c r="AA61" s="44">
        <f t="shared" si="48"/>
        <v>0</v>
      </c>
      <c r="AB61" s="36">
        <v>1</v>
      </c>
      <c r="AC61" s="44">
        <f t="shared" si="49"/>
        <v>0</v>
      </c>
      <c r="AD61" s="36">
        <v>1</v>
      </c>
      <c r="AE61" s="44">
        <f t="shared" si="50"/>
        <v>0</v>
      </c>
      <c r="AF61" s="45"/>
      <c r="AG61" s="46" t="e">
        <f t="shared" si="15"/>
        <v>#DIV/0!</v>
      </c>
      <c r="AH61" s="47" t="e">
        <f t="shared" si="16"/>
        <v>#DIV/0!</v>
      </c>
      <c r="AI61" s="45"/>
      <c r="AJ61" s="46" t="e">
        <f t="shared" si="17"/>
        <v>#DIV/0!</v>
      </c>
      <c r="AK61" s="47" t="e">
        <f t="shared" si="18"/>
        <v>#DIV/0!</v>
      </c>
      <c r="AL61" s="45"/>
      <c r="AM61" s="46" t="e">
        <f t="shared" si="19"/>
        <v>#DIV/0!</v>
      </c>
      <c r="AN61" s="47" t="e">
        <f t="shared" si="20"/>
        <v>#DIV/0!</v>
      </c>
      <c r="AO61" s="45"/>
      <c r="AP61" s="46" t="e">
        <f t="shared" si="21"/>
        <v>#DIV/0!</v>
      </c>
      <c r="AQ61" s="47" t="e">
        <f t="shared" si="22"/>
        <v>#DIV/0!</v>
      </c>
      <c r="AR61" s="45"/>
      <c r="AS61" s="46">
        <f t="shared" si="23"/>
        <v>0</v>
      </c>
      <c r="AT61" s="47">
        <f t="shared" si="24"/>
        <v>0</v>
      </c>
      <c r="AU61" s="45"/>
      <c r="AV61" s="46" t="e">
        <f t="shared" si="25"/>
        <v>#DIV/0!</v>
      </c>
      <c r="AW61" s="47" t="e">
        <f t="shared" si="26"/>
        <v>#DIV/0!</v>
      </c>
      <c r="AX61" s="45"/>
      <c r="AY61" s="46">
        <f t="shared" si="27"/>
        <v>0</v>
      </c>
      <c r="AZ61" s="47">
        <f t="shared" si="28"/>
        <v>0</v>
      </c>
      <c r="BA61" s="48" t="e">
        <f t="shared" si="29"/>
        <v>#DIV/0!</v>
      </c>
    </row>
    <row r="62" spans="1:53" hidden="1" thickBot="1">
      <c r="A62" s="30"/>
      <c r="B62" s="31"/>
      <c r="C62" s="31"/>
      <c r="D62" s="31"/>
      <c r="E62" s="32"/>
      <c r="F62" s="33"/>
      <c r="G62" s="74"/>
      <c r="H62" s="70"/>
      <c r="I62" s="77">
        <f>IF(H62=Tablas!$B$5,Tablas!$C$5,VLOOKUP(H62,Tablas!$B$5:$D$40,2,FALSE))</f>
        <v>1</v>
      </c>
      <c r="J62" s="65">
        <f>IF(I62=0,"",VLOOKUP(I62,Tablas!$C$5:$D$40,2,FALSE))</f>
        <v>0</v>
      </c>
      <c r="K62" s="34" t="str">
        <f t="shared" si="37"/>
        <v>0</v>
      </c>
      <c r="L62" s="35">
        <f t="shared" si="38"/>
        <v>0</v>
      </c>
      <c r="M62" s="35">
        <f t="shared" si="39"/>
        <v>0</v>
      </c>
      <c r="N62" s="35">
        <f t="shared" si="40"/>
        <v>0</v>
      </c>
      <c r="O62" s="35">
        <f t="shared" si="41"/>
        <v>0</v>
      </c>
      <c r="P62" s="35">
        <f t="shared" si="42"/>
        <v>0</v>
      </c>
      <c r="Q62" s="36">
        <v>0.75</v>
      </c>
      <c r="R62" s="37">
        <f t="shared" si="43"/>
        <v>0</v>
      </c>
      <c r="S62" s="36">
        <v>0.75</v>
      </c>
      <c r="T62" s="38">
        <f t="shared" si="44"/>
        <v>0</v>
      </c>
      <c r="U62" s="39">
        <f t="shared" si="45"/>
        <v>0</v>
      </c>
      <c r="V62" s="40">
        <f t="shared" si="9"/>
        <v>0</v>
      </c>
      <c r="W62" s="41">
        <f t="shared" si="46"/>
        <v>0</v>
      </c>
      <c r="X62" s="42">
        <f t="shared" si="47"/>
        <v>0</v>
      </c>
      <c r="Y62" s="43" t="s">
        <v>395</v>
      </c>
      <c r="Z62" s="36">
        <v>1</v>
      </c>
      <c r="AA62" s="44">
        <f t="shared" si="48"/>
        <v>0</v>
      </c>
      <c r="AB62" s="36">
        <v>1</v>
      </c>
      <c r="AC62" s="44">
        <f t="shared" si="49"/>
        <v>0</v>
      </c>
      <c r="AD62" s="36">
        <v>1</v>
      </c>
      <c r="AE62" s="44">
        <f t="shared" si="50"/>
        <v>0</v>
      </c>
      <c r="AF62" s="45"/>
      <c r="AG62" s="46" t="e">
        <f t="shared" si="15"/>
        <v>#DIV/0!</v>
      </c>
      <c r="AH62" s="47" t="e">
        <f t="shared" si="16"/>
        <v>#DIV/0!</v>
      </c>
      <c r="AI62" s="45"/>
      <c r="AJ62" s="46" t="e">
        <f t="shared" si="17"/>
        <v>#DIV/0!</v>
      </c>
      <c r="AK62" s="47" t="e">
        <f t="shared" si="18"/>
        <v>#DIV/0!</v>
      </c>
      <c r="AL62" s="45"/>
      <c r="AM62" s="46" t="e">
        <f t="shared" si="19"/>
        <v>#DIV/0!</v>
      </c>
      <c r="AN62" s="47" t="e">
        <f t="shared" si="20"/>
        <v>#DIV/0!</v>
      </c>
      <c r="AO62" s="45"/>
      <c r="AP62" s="46" t="e">
        <f t="shared" si="21"/>
        <v>#DIV/0!</v>
      </c>
      <c r="AQ62" s="47" t="e">
        <f t="shared" si="22"/>
        <v>#DIV/0!</v>
      </c>
      <c r="AR62" s="45"/>
      <c r="AS62" s="46">
        <f t="shared" si="23"/>
        <v>0</v>
      </c>
      <c r="AT62" s="47">
        <f t="shared" si="24"/>
        <v>0</v>
      </c>
      <c r="AU62" s="45"/>
      <c r="AV62" s="46" t="e">
        <f t="shared" si="25"/>
        <v>#DIV/0!</v>
      </c>
      <c r="AW62" s="47" t="e">
        <f t="shared" si="26"/>
        <v>#DIV/0!</v>
      </c>
      <c r="AX62" s="45"/>
      <c r="AY62" s="46">
        <f t="shared" si="27"/>
        <v>0</v>
      </c>
      <c r="AZ62" s="47">
        <f t="shared" si="28"/>
        <v>0</v>
      </c>
      <c r="BA62" s="48" t="e">
        <f t="shared" si="29"/>
        <v>#DIV/0!</v>
      </c>
    </row>
    <row r="63" spans="1:53" hidden="1" thickBot="1">
      <c r="A63" s="30"/>
      <c r="B63" s="31"/>
      <c r="C63" s="31"/>
      <c r="D63" s="31"/>
      <c r="E63" s="32"/>
      <c r="F63" s="33"/>
      <c r="G63" s="74"/>
      <c r="H63" s="70"/>
      <c r="I63" s="77">
        <f>IF(H63=Tablas!$B$5,Tablas!$C$5,VLOOKUP(H63,Tablas!$B$5:$D$40,2,FALSE))</f>
        <v>1</v>
      </c>
      <c r="J63" s="65">
        <f>IF(I63=0,"",VLOOKUP(I63,Tablas!$C$5:$D$40,2,FALSE))</f>
        <v>0</v>
      </c>
      <c r="K63" s="34" t="str">
        <f t="shared" si="37"/>
        <v>0</v>
      </c>
      <c r="L63" s="35">
        <f t="shared" si="38"/>
        <v>0</v>
      </c>
      <c r="M63" s="35">
        <f t="shared" si="39"/>
        <v>0</v>
      </c>
      <c r="N63" s="35">
        <f t="shared" si="40"/>
        <v>0</v>
      </c>
      <c r="O63" s="35">
        <f t="shared" si="41"/>
        <v>0</v>
      </c>
      <c r="P63" s="35">
        <f t="shared" si="42"/>
        <v>0</v>
      </c>
      <c r="Q63" s="36">
        <v>0.75</v>
      </c>
      <c r="R63" s="37">
        <f t="shared" si="43"/>
        <v>0</v>
      </c>
      <c r="S63" s="36">
        <v>0.75</v>
      </c>
      <c r="T63" s="38">
        <f t="shared" si="44"/>
        <v>0</v>
      </c>
      <c r="U63" s="39">
        <f t="shared" si="45"/>
        <v>0</v>
      </c>
      <c r="V63" s="40">
        <f t="shared" si="9"/>
        <v>0</v>
      </c>
      <c r="W63" s="41">
        <f t="shared" si="46"/>
        <v>0</v>
      </c>
      <c r="X63" s="42">
        <f t="shared" si="47"/>
        <v>0</v>
      </c>
      <c r="Y63" s="43" t="s">
        <v>395</v>
      </c>
      <c r="Z63" s="36">
        <v>1</v>
      </c>
      <c r="AA63" s="44">
        <f t="shared" si="48"/>
        <v>0</v>
      </c>
      <c r="AB63" s="36">
        <v>1</v>
      </c>
      <c r="AC63" s="44">
        <f t="shared" si="49"/>
        <v>0</v>
      </c>
      <c r="AD63" s="36">
        <v>1</v>
      </c>
      <c r="AE63" s="44">
        <f t="shared" si="50"/>
        <v>0</v>
      </c>
      <c r="AF63" s="45"/>
      <c r="AG63" s="46" t="e">
        <f t="shared" si="15"/>
        <v>#DIV/0!</v>
      </c>
      <c r="AH63" s="47" t="e">
        <f t="shared" si="16"/>
        <v>#DIV/0!</v>
      </c>
      <c r="AI63" s="45"/>
      <c r="AJ63" s="46" t="e">
        <f t="shared" si="17"/>
        <v>#DIV/0!</v>
      </c>
      <c r="AK63" s="47" t="e">
        <f t="shared" si="18"/>
        <v>#DIV/0!</v>
      </c>
      <c r="AL63" s="45"/>
      <c r="AM63" s="46" t="e">
        <f t="shared" si="19"/>
        <v>#DIV/0!</v>
      </c>
      <c r="AN63" s="47" t="e">
        <f t="shared" si="20"/>
        <v>#DIV/0!</v>
      </c>
      <c r="AO63" s="45"/>
      <c r="AP63" s="46" t="e">
        <f t="shared" si="21"/>
        <v>#DIV/0!</v>
      </c>
      <c r="AQ63" s="47" t="e">
        <f t="shared" si="22"/>
        <v>#DIV/0!</v>
      </c>
      <c r="AR63" s="45"/>
      <c r="AS63" s="46">
        <f t="shared" si="23"/>
        <v>0</v>
      </c>
      <c r="AT63" s="47">
        <f t="shared" si="24"/>
        <v>0</v>
      </c>
      <c r="AU63" s="45"/>
      <c r="AV63" s="46" t="e">
        <f t="shared" si="25"/>
        <v>#DIV/0!</v>
      </c>
      <c r="AW63" s="47" t="e">
        <f t="shared" si="26"/>
        <v>#DIV/0!</v>
      </c>
      <c r="AX63" s="45"/>
      <c r="AY63" s="46">
        <f t="shared" si="27"/>
        <v>0</v>
      </c>
      <c r="AZ63" s="47">
        <f t="shared" si="28"/>
        <v>0</v>
      </c>
      <c r="BA63" s="48" t="e">
        <f t="shared" si="29"/>
        <v>#DIV/0!</v>
      </c>
    </row>
    <row r="64" spans="1:53" hidden="1" thickBot="1">
      <c r="A64" s="30"/>
      <c r="B64" s="31"/>
      <c r="C64" s="31"/>
      <c r="D64" s="357"/>
      <c r="E64" s="358"/>
      <c r="F64" s="33"/>
      <c r="G64" s="74"/>
      <c r="H64" s="70"/>
      <c r="I64" s="77">
        <f>IF(H64=Tablas!$B$5,Tablas!$C$5,VLOOKUP(H64,Tablas!$B$5:$D$40,2,FALSE))</f>
        <v>1</v>
      </c>
      <c r="J64" s="65">
        <f>IF(I64=0,"",VLOOKUP(I64,Tablas!$C$5:$D$40,2,FALSE))</f>
        <v>0</v>
      </c>
      <c r="K64" s="34" t="str">
        <f t="shared" si="37"/>
        <v>0</v>
      </c>
      <c r="L64" s="35">
        <f t="shared" si="38"/>
        <v>0</v>
      </c>
      <c r="M64" s="35">
        <f t="shared" si="39"/>
        <v>0</v>
      </c>
      <c r="N64" s="35">
        <f t="shared" si="40"/>
        <v>0</v>
      </c>
      <c r="O64" s="35">
        <f t="shared" si="41"/>
        <v>0</v>
      </c>
      <c r="P64" s="35">
        <f t="shared" si="42"/>
        <v>0</v>
      </c>
      <c r="Q64" s="36">
        <v>0.75</v>
      </c>
      <c r="R64" s="37">
        <f t="shared" si="43"/>
        <v>0</v>
      </c>
      <c r="S64" s="36">
        <v>0.75</v>
      </c>
      <c r="T64" s="38">
        <f t="shared" si="44"/>
        <v>0</v>
      </c>
      <c r="U64" s="39">
        <f t="shared" si="45"/>
        <v>0</v>
      </c>
      <c r="V64" s="40">
        <f t="shared" si="9"/>
        <v>0</v>
      </c>
      <c r="W64" s="41">
        <f t="shared" si="46"/>
        <v>0</v>
      </c>
      <c r="X64" s="42">
        <f t="shared" si="47"/>
        <v>0</v>
      </c>
      <c r="Y64" s="43" t="s">
        <v>395</v>
      </c>
      <c r="Z64" s="36">
        <v>1</v>
      </c>
      <c r="AA64" s="44">
        <f t="shared" si="48"/>
        <v>0</v>
      </c>
      <c r="AB64" s="36">
        <v>1</v>
      </c>
      <c r="AC64" s="44">
        <f t="shared" si="49"/>
        <v>0</v>
      </c>
      <c r="AD64" s="36">
        <v>1</v>
      </c>
      <c r="AE64" s="44">
        <f t="shared" si="50"/>
        <v>0</v>
      </c>
      <c r="AF64" s="45"/>
      <c r="AG64" s="46" t="e">
        <f t="shared" si="15"/>
        <v>#DIV/0!</v>
      </c>
      <c r="AH64" s="47" t="e">
        <f t="shared" si="16"/>
        <v>#DIV/0!</v>
      </c>
      <c r="AI64" s="45"/>
      <c r="AJ64" s="46" t="e">
        <f t="shared" si="17"/>
        <v>#DIV/0!</v>
      </c>
      <c r="AK64" s="47" t="e">
        <f t="shared" si="18"/>
        <v>#DIV/0!</v>
      </c>
      <c r="AL64" s="45"/>
      <c r="AM64" s="46" t="e">
        <f t="shared" si="19"/>
        <v>#DIV/0!</v>
      </c>
      <c r="AN64" s="47" t="e">
        <f t="shared" si="20"/>
        <v>#DIV/0!</v>
      </c>
      <c r="AO64" s="45"/>
      <c r="AP64" s="46" t="e">
        <f t="shared" si="21"/>
        <v>#DIV/0!</v>
      </c>
      <c r="AQ64" s="47" t="e">
        <f t="shared" si="22"/>
        <v>#DIV/0!</v>
      </c>
      <c r="AR64" s="45"/>
      <c r="AS64" s="46">
        <f t="shared" si="23"/>
        <v>0</v>
      </c>
      <c r="AT64" s="47">
        <f t="shared" si="24"/>
        <v>0</v>
      </c>
      <c r="AU64" s="45"/>
      <c r="AV64" s="46" t="e">
        <f t="shared" si="25"/>
        <v>#DIV/0!</v>
      </c>
      <c r="AW64" s="47" t="e">
        <f t="shared" si="26"/>
        <v>#DIV/0!</v>
      </c>
      <c r="AX64" s="45"/>
      <c r="AY64" s="46">
        <f t="shared" si="27"/>
        <v>0</v>
      </c>
      <c r="AZ64" s="47">
        <f t="shared" si="28"/>
        <v>0</v>
      </c>
      <c r="BA64" s="48" t="e">
        <f t="shared" si="29"/>
        <v>#DIV/0!</v>
      </c>
    </row>
    <row r="65" spans="1:53" hidden="1" thickBot="1">
      <c r="A65" s="30"/>
      <c r="B65" s="31"/>
      <c r="C65" s="31"/>
      <c r="D65" s="359"/>
      <c r="E65" s="360"/>
      <c r="F65" s="33"/>
      <c r="G65" s="74"/>
      <c r="H65" s="70"/>
      <c r="I65" s="77">
        <f>IF(H65=Tablas!$B$5,Tablas!$C$5,VLOOKUP(H65,Tablas!$B$5:$D$40,2,FALSE))</f>
        <v>1</v>
      </c>
      <c r="J65" s="65">
        <f>IF(I65=0,"",VLOOKUP(I65,Tablas!$C$5:$D$40,2,FALSE))</f>
        <v>0</v>
      </c>
      <c r="K65" s="34" t="str">
        <f t="shared" si="37"/>
        <v>0</v>
      </c>
      <c r="L65" s="35">
        <f t="shared" si="38"/>
        <v>0</v>
      </c>
      <c r="M65" s="35">
        <f t="shared" si="39"/>
        <v>0</v>
      </c>
      <c r="N65" s="35">
        <f t="shared" si="40"/>
        <v>0</v>
      </c>
      <c r="O65" s="35">
        <f t="shared" si="41"/>
        <v>0</v>
      </c>
      <c r="P65" s="35">
        <f t="shared" si="42"/>
        <v>0</v>
      </c>
      <c r="Q65" s="36">
        <v>0.75</v>
      </c>
      <c r="R65" s="37">
        <f t="shared" si="43"/>
        <v>0</v>
      </c>
      <c r="S65" s="36">
        <v>0.75</v>
      </c>
      <c r="T65" s="38">
        <f t="shared" si="44"/>
        <v>0</v>
      </c>
      <c r="U65" s="39">
        <f t="shared" si="45"/>
        <v>0</v>
      </c>
      <c r="V65" s="40">
        <f t="shared" si="9"/>
        <v>0</v>
      </c>
      <c r="W65" s="41">
        <f t="shared" si="46"/>
        <v>0</v>
      </c>
      <c r="X65" s="42">
        <f t="shared" si="47"/>
        <v>0</v>
      </c>
      <c r="Y65" s="43" t="s">
        <v>395</v>
      </c>
      <c r="Z65" s="36">
        <v>1</v>
      </c>
      <c r="AA65" s="44">
        <f t="shared" si="48"/>
        <v>0</v>
      </c>
      <c r="AB65" s="36">
        <v>1</v>
      </c>
      <c r="AC65" s="44">
        <f t="shared" si="49"/>
        <v>0</v>
      </c>
      <c r="AD65" s="36">
        <v>1</v>
      </c>
      <c r="AE65" s="44">
        <f t="shared" si="50"/>
        <v>0</v>
      </c>
      <c r="AF65" s="45"/>
      <c r="AG65" s="46" t="e">
        <f t="shared" si="15"/>
        <v>#DIV/0!</v>
      </c>
      <c r="AH65" s="47" t="e">
        <f t="shared" si="16"/>
        <v>#DIV/0!</v>
      </c>
      <c r="AI65" s="45"/>
      <c r="AJ65" s="46" t="e">
        <f t="shared" si="17"/>
        <v>#DIV/0!</v>
      </c>
      <c r="AK65" s="47" t="e">
        <f t="shared" si="18"/>
        <v>#DIV/0!</v>
      </c>
      <c r="AL65" s="45"/>
      <c r="AM65" s="46" t="e">
        <f t="shared" si="19"/>
        <v>#DIV/0!</v>
      </c>
      <c r="AN65" s="47" t="e">
        <f t="shared" si="20"/>
        <v>#DIV/0!</v>
      </c>
      <c r="AO65" s="45"/>
      <c r="AP65" s="46" t="e">
        <f t="shared" si="21"/>
        <v>#DIV/0!</v>
      </c>
      <c r="AQ65" s="47" t="e">
        <f t="shared" si="22"/>
        <v>#DIV/0!</v>
      </c>
      <c r="AR65" s="45"/>
      <c r="AS65" s="46">
        <f t="shared" si="23"/>
        <v>0</v>
      </c>
      <c r="AT65" s="47">
        <f t="shared" si="24"/>
        <v>0</v>
      </c>
      <c r="AU65" s="45"/>
      <c r="AV65" s="46" t="e">
        <f t="shared" si="25"/>
        <v>#DIV/0!</v>
      </c>
      <c r="AW65" s="47" t="e">
        <f t="shared" si="26"/>
        <v>#DIV/0!</v>
      </c>
      <c r="AX65" s="45"/>
      <c r="AY65" s="46">
        <f t="shared" si="27"/>
        <v>0</v>
      </c>
      <c r="AZ65" s="47">
        <f t="shared" si="28"/>
        <v>0</v>
      </c>
      <c r="BA65" s="48" t="e">
        <f t="shared" si="29"/>
        <v>#DIV/0!</v>
      </c>
    </row>
    <row r="66" spans="1:53" hidden="1" thickBot="1">
      <c r="A66" s="30"/>
      <c r="B66" s="31"/>
      <c r="C66" s="31"/>
      <c r="D66" s="31"/>
      <c r="E66" s="32"/>
      <c r="F66" s="33"/>
      <c r="G66" s="74"/>
      <c r="H66" s="70"/>
      <c r="I66" s="77">
        <f>IF(H66=Tablas!$B$5,Tablas!$C$5,VLOOKUP(H66,Tablas!$B$5:$D$40,2,FALSE))</f>
        <v>1</v>
      </c>
      <c r="J66" s="65">
        <f>IF(I66=0,"",VLOOKUP(I66,Tablas!$C$5:$D$40,2,FALSE))</f>
        <v>0</v>
      </c>
      <c r="K66" s="34" t="str">
        <f t="shared" si="37"/>
        <v>0</v>
      </c>
      <c r="L66" s="35">
        <f t="shared" si="38"/>
        <v>0</v>
      </c>
      <c r="M66" s="35">
        <f t="shared" si="39"/>
        <v>0</v>
      </c>
      <c r="N66" s="35">
        <f t="shared" si="40"/>
        <v>0</v>
      </c>
      <c r="O66" s="35">
        <f t="shared" si="41"/>
        <v>0</v>
      </c>
      <c r="P66" s="35">
        <f t="shared" si="42"/>
        <v>0</v>
      </c>
      <c r="Q66" s="36">
        <v>0.75</v>
      </c>
      <c r="R66" s="37">
        <f t="shared" si="43"/>
        <v>0</v>
      </c>
      <c r="S66" s="36">
        <v>0.75</v>
      </c>
      <c r="T66" s="38">
        <f t="shared" si="44"/>
        <v>0</v>
      </c>
      <c r="U66" s="39">
        <f t="shared" si="45"/>
        <v>0</v>
      </c>
      <c r="V66" s="40">
        <f t="shared" si="9"/>
        <v>0</v>
      </c>
      <c r="W66" s="41">
        <f t="shared" si="46"/>
        <v>0</v>
      </c>
      <c r="X66" s="42">
        <f t="shared" si="47"/>
        <v>0</v>
      </c>
      <c r="Y66" s="43" t="s">
        <v>0</v>
      </c>
      <c r="Z66" s="36">
        <v>1</v>
      </c>
      <c r="AA66" s="44">
        <f t="shared" si="48"/>
        <v>0</v>
      </c>
      <c r="AB66" s="36">
        <v>1</v>
      </c>
      <c r="AC66" s="44">
        <f t="shared" si="49"/>
        <v>0</v>
      </c>
      <c r="AD66" s="36">
        <v>1</v>
      </c>
      <c r="AE66" s="44">
        <f t="shared" si="50"/>
        <v>0</v>
      </c>
      <c r="AF66" s="45"/>
      <c r="AG66" s="46" t="e">
        <f t="shared" si="15"/>
        <v>#DIV/0!</v>
      </c>
      <c r="AH66" s="47" t="e">
        <f t="shared" si="16"/>
        <v>#DIV/0!</v>
      </c>
      <c r="AI66" s="45"/>
      <c r="AJ66" s="46" t="e">
        <f t="shared" si="17"/>
        <v>#DIV/0!</v>
      </c>
      <c r="AK66" s="47" t="e">
        <f t="shared" si="18"/>
        <v>#DIV/0!</v>
      </c>
      <c r="AL66" s="45"/>
      <c r="AM66" s="46" t="e">
        <f t="shared" si="19"/>
        <v>#DIV/0!</v>
      </c>
      <c r="AN66" s="47" t="e">
        <f t="shared" si="20"/>
        <v>#DIV/0!</v>
      </c>
      <c r="AO66" s="45"/>
      <c r="AP66" s="46" t="e">
        <f t="shared" si="21"/>
        <v>#DIV/0!</v>
      </c>
      <c r="AQ66" s="47" t="e">
        <f t="shared" si="22"/>
        <v>#DIV/0!</v>
      </c>
      <c r="AR66" s="45"/>
      <c r="AS66" s="46">
        <f t="shared" si="23"/>
        <v>0</v>
      </c>
      <c r="AT66" s="47">
        <f t="shared" si="24"/>
        <v>0</v>
      </c>
      <c r="AU66" s="45"/>
      <c r="AV66" s="46" t="e">
        <f t="shared" si="25"/>
        <v>#DIV/0!</v>
      </c>
      <c r="AW66" s="47" t="e">
        <f t="shared" si="26"/>
        <v>#DIV/0!</v>
      </c>
      <c r="AX66" s="45"/>
      <c r="AY66" s="46">
        <f t="shared" si="27"/>
        <v>0</v>
      </c>
      <c r="AZ66" s="47">
        <f t="shared" si="28"/>
        <v>0</v>
      </c>
      <c r="BA66" s="48" t="e">
        <f t="shared" si="29"/>
        <v>#DIV/0!</v>
      </c>
    </row>
    <row r="67" spans="1:53" hidden="1" thickBot="1">
      <c r="A67" s="30"/>
      <c r="B67" s="31"/>
      <c r="C67" s="31"/>
      <c r="D67" s="31"/>
      <c r="E67" s="32"/>
      <c r="F67" s="33"/>
      <c r="G67" s="74"/>
      <c r="H67" s="70"/>
      <c r="I67" s="77">
        <f>IF(H67=Tablas!$B$5,Tablas!$C$5,VLOOKUP(H67,Tablas!$B$5:$D$40,2,FALSE))</f>
        <v>1</v>
      </c>
      <c r="J67" s="65">
        <f>IF(I67=0,"",VLOOKUP(I67,Tablas!$C$5:$D$40,2,FALSE))</f>
        <v>0</v>
      </c>
      <c r="K67" s="34" t="str">
        <f t="shared" si="37"/>
        <v>0</v>
      </c>
      <c r="L67" s="35">
        <f t="shared" si="38"/>
        <v>0</v>
      </c>
      <c r="M67" s="35">
        <f t="shared" si="39"/>
        <v>0</v>
      </c>
      <c r="N67" s="35">
        <f t="shared" si="40"/>
        <v>0</v>
      </c>
      <c r="O67" s="35">
        <f t="shared" si="41"/>
        <v>0</v>
      </c>
      <c r="P67" s="35">
        <f t="shared" si="42"/>
        <v>0</v>
      </c>
      <c r="Q67" s="36">
        <v>0.75</v>
      </c>
      <c r="R67" s="37">
        <f t="shared" si="43"/>
        <v>0</v>
      </c>
      <c r="S67" s="36">
        <v>0.75</v>
      </c>
      <c r="T67" s="38">
        <f t="shared" si="44"/>
        <v>0</v>
      </c>
      <c r="U67" s="39">
        <f t="shared" si="45"/>
        <v>0</v>
      </c>
      <c r="V67" s="40">
        <f t="shared" si="9"/>
        <v>0</v>
      </c>
      <c r="W67" s="41">
        <f t="shared" si="46"/>
        <v>0</v>
      </c>
      <c r="X67" s="42">
        <f t="shared" si="47"/>
        <v>0</v>
      </c>
      <c r="Y67" s="43" t="s">
        <v>0</v>
      </c>
      <c r="Z67" s="36">
        <v>1</v>
      </c>
      <c r="AA67" s="44">
        <f t="shared" si="48"/>
        <v>0</v>
      </c>
      <c r="AB67" s="36">
        <v>1</v>
      </c>
      <c r="AC67" s="44">
        <f t="shared" si="49"/>
        <v>0</v>
      </c>
      <c r="AD67" s="36">
        <v>1</v>
      </c>
      <c r="AE67" s="44">
        <f t="shared" si="50"/>
        <v>0</v>
      </c>
      <c r="AF67" s="45"/>
      <c r="AG67" s="46" t="e">
        <f t="shared" si="15"/>
        <v>#DIV/0!</v>
      </c>
      <c r="AH67" s="47" t="e">
        <f t="shared" si="16"/>
        <v>#DIV/0!</v>
      </c>
      <c r="AI67" s="45"/>
      <c r="AJ67" s="46" t="e">
        <f t="shared" si="17"/>
        <v>#DIV/0!</v>
      </c>
      <c r="AK67" s="47" t="e">
        <f t="shared" si="18"/>
        <v>#DIV/0!</v>
      </c>
      <c r="AL67" s="45"/>
      <c r="AM67" s="46" t="e">
        <f t="shared" si="19"/>
        <v>#DIV/0!</v>
      </c>
      <c r="AN67" s="47" t="e">
        <f t="shared" si="20"/>
        <v>#DIV/0!</v>
      </c>
      <c r="AO67" s="45"/>
      <c r="AP67" s="46" t="e">
        <f t="shared" si="21"/>
        <v>#DIV/0!</v>
      </c>
      <c r="AQ67" s="47" t="e">
        <f t="shared" si="22"/>
        <v>#DIV/0!</v>
      </c>
      <c r="AR67" s="45"/>
      <c r="AS67" s="46">
        <f t="shared" si="23"/>
        <v>0</v>
      </c>
      <c r="AT67" s="47">
        <f t="shared" si="24"/>
        <v>0</v>
      </c>
      <c r="AU67" s="45"/>
      <c r="AV67" s="46" t="e">
        <f t="shared" si="25"/>
        <v>#DIV/0!</v>
      </c>
      <c r="AW67" s="47" t="e">
        <f t="shared" si="26"/>
        <v>#DIV/0!</v>
      </c>
      <c r="AX67" s="45"/>
      <c r="AY67" s="46">
        <f t="shared" si="27"/>
        <v>0</v>
      </c>
      <c r="AZ67" s="47">
        <f t="shared" si="28"/>
        <v>0</v>
      </c>
      <c r="BA67" s="48" t="e">
        <f t="shared" si="29"/>
        <v>#DIV/0!</v>
      </c>
    </row>
    <row r="68" spans="1:53" hidden="1" thickBot="1">
      <c r="A68" s="30"/>
      <c r="B68" s="31"/>
      <c r="C68" s="31"/>
      <c r="D68" s="31"/>
      <c r="E68" s="32"/>
      <c r="F68" s="33"/>
      <c r="G68" s="74"/>
      <c r="H68" s="70"/>
      <c r="I68" s="77">
        <f>IF(H68=Tablas!$B$5,Tablas!$C$5,VLOOKUP(H68,Tablas!$B$5:$D$40,2,FALSE))</f>
        <v>1</v>
      </c>
      <c r="J68" s="65">
        <f>IF(I68=0,"",VLOOKUP(I68,Tablas!$C$5:$D$40,2,FALSE))</f>
        <v>0</v>
      </c>
      <c r="K68" s="34" t="str">
        <f>IF(G68=0,"0",F68/G68)</f>
        <v>0</v>
      </c>
      <c r="L68" s="35">
        <f t="shared" si="38"/>
        <v>0</v>
      </c>
      <c r="M68" s="35">
        <f t="shared" si="39"/>
        <v>0</v>
      </c>
      <c r="N68" s="35">
        <f t="shared" si="40"/>
        <v>0</v>
      </c>
      <c r="O68" s="35">
        <f t="shared" si="41"/>
        <v>0</v>
      </c>
      <c r="P68" s="35">
        <f t="shared" si="42"/>
        <v>0</v>
      </c>
      <c r="Q68" s="36">
        <v>0.75</v>
      </c>
      <c r="R68" s="37">
        <f t="shared" si="43"/>
        <v>0</v>
      </c>
      <c r="S68" s="36">
        <v>0.75</v>
      </c>
      <c r="T68" s="38">
        <f t="shared" si="44"/>
        <v>0</v>
      </c>
      <c r="U68" s="39">
        <f t="shared" si="45"/>
        <v>0</v>
      </c>
      <c r="V68" s="40">
        <f t="shared" ref="V68:V97" si="53">+U68*4.345</f>
        <v>0</v>
      </c>
      <c r="W68" s="41">
        <f t="shared" si="46"/>
        <v>0</v>
      </c>
      <c r="X68" s="42">
        <f t="shared" si="47"/>
        <v>0</v>
      </c>
      <c r="Y68" s="43" t="s">
        <v>0</v>
      </c>
      <c r="Z68" s="36">
        <v>1</v>
      </c>
      <c r="AA68" s="44">
        <f t="shared" si="48"/>
        <v>0</v>
      </c>
      <c r="AB68" s="36">
        <v>1</v>
      </c>
      <c r="AC68" s="44">
        <f t="shared" si="49"/>
        <v>0</v>
      </c>
      <c r="AD68" s="36">
        <v>1</v>
      </c>
      <c r="AE68" s="44">
        <f t="shared" si="50"/>
        <v>0</v>
      </c>
      <c r="AF68" s="45"/>
      <c r="AG68" s="46" t="e">
        <f t="shared" ref="AG68:AG97" si="54">+AF68/AH$4</f>
        <v>#DIV/0!</v>
      </c>
      <c r="AH68" s="47" t="e">
        <f t="shared" ref="AH68:AH97" si="55">AG68*AG$4/12</f>
        <v>#DIV/0!</v>
      </c>
      <c r="AI68" s="45"/>
      <c r="AJ68" s="46" t="e">
        <f t="shared" ref="AJ68:AJ97" si="56">+AI68/AK$4</f>
        <v>#DIV/0!</v>
      </c>
      <c r="AK68" s="47" t="e">
        <f t="shared" ref="AK68:AK97" si="57">AJ68*AJ$4/12</f>
        <v>#DIV/0!</v>
      </c>
      <c r="AL68" s="45"/>
      <c r="AM68" s="46" t="e">
        <f t="shared" ref="AM68:AM97" si="58">+AL68/AN$4</f>
        <v>#DIV/0!</v>
      </c>
      <c r="AN68" s="47" t="e">
        <f t="shared" ref="AN68:AN97" si="59">AM68*AM$4/12</f>
        <v>#DIV/0!</v>
      </c>
      <c r="AO68" s="45"/>
      <c r="AP68" s="46" t="e">
        <f t="shared" ref="AP68:AP97" si="60">+AO68/AQ$4</f>
        <v>#DIV/0!</v>
      </c>
      <c r="AQ68" s="47" t="e">
        <f t="shared" ref="AQ68:AQ97" si="61">AP68*AP$4/12</f>
        <v>#DIV/0!</v>
      </c>
      <c r="AR68" s="45"/>
      <c r="AS68" s="46">
        <f t="shared" ref="AS68:AS97" si="62">+AR68/AT$4</f>
        <v>0</v>
      </c>
      <c r="AT68" s="47">
        <f t="shared" ref="AT68:AT97" si="63">AS68*AS$4/12</f>
        <v>0</v>
      </c>
      <c r="AU68" s="45"/>
      <c r="AV68" s="46" t="e">
        <f t="shared" ref="AV68:AV97" si="64">+AU68/AW$4</f>
        <v>#DIV/0!</v>
      </c>
      <c r="AW68" s="47" t="e">
        <f t="shared" ref="AW68:AW97" si="65">AV68*AV$4/12</f>
        <v>#DIV/0!</v>
      </c>
      <c r="AX68" s="45"/>
      <c r="AY68" s="46">
        <f t="shared" ref="AY68:AY97" si="66">+AX68/AZ$4</f>
        <v>0</v>
      </c>
      <c r="AZ68" s="47">
        <f t="shared" ref="AZ68:AZ97" si="67">AY68*AY$4/12</f>
        <v>0</v>
      </c>
      <c r="BA68" s="48" t="e">
        <f t="shared" ref="BA68:BA97" si="68">+AH68+AK68+AN68+AQ68+AT68+AW68+AZ68</f>
        <v>#DIV/0!</v>
      </c>
    </row>
    <row r="69" spans="1:53" hidden="1" thickBot="1">
      <c r="A69" s="30"/>
      <c r="B69" s="31"/>
      <c r="C69" s="31"/>
      <c r="D69" s="31"/>
      <c r="E69" s="32"/>
      <c r="F69" s="33"/>
      <c r="G69" s="74"/>
      <c r="H69" s="70"/>
      <c r="I69" s="77">
        <f>IF(H69=Tablas!$B$5,Tablas!$C$5,VLOOKUP(H69,Tablas!$B$5:$D$40,2,FALSE))</f>
        <v>1</v>
      </c>
      <c r="J69" s="65">
        <f>IF(I69=0,"",VLOOKUP(I69,Tablas!$C$5:$D$40,2,FALSE))</f>
        <v>0</v>
      </c>
      <c r="K69" s="34" t="str">
        <f t="shared" ref="K69:K97" si="69">IF(G69=0,"0",F69/G69)</f>
        <v>0</v>
      </c>
      <c r="L69" s="35">
        <f t="shared" si="38"/>
        <v>0</v>
      </c>
      <c r="M69" s="35">
        <f t="shared" si="39"/>
        <v>0</v>
      </c>
      <c r="N69" s="35">
        <f t="shared" si="40"/>
        <v>0</v>
      </c>
      <c r="O69" s="35">
        <f t="shared" si="41"/>
        <v>0</v>
      </c>
      <c r="P69" s="35">
        <f t="shared" si="42"/>
        <v>0</v>
      </c>
      <c r="Q69" s="36">
        <v>0.75</v>
      </c>
      <c r="R69" s="37">
        <f t="shared" si="43"/>
        <v>0</v>
      </c>
      <c r="S69" s="36">
        <v>0.75</v>
      </c>
      <c r="T69" s="38">
        <f t="shared" si="44"/>
        <v>0</v>
      </c>
      <c r="U69" s="39">
        <f t="shared" si="45"/>
        <v>0</v>
      </c>
      <c r="V69" s="40">
        <f t="shared" si="53"/>
        <v>0</v>
      </c>
      <c r="W69" s="41">
        <f t="shared" si="46"/>
        <v>0</v>
      </c>
      <c r="X69" s="42">
        <f t="shared" si="47"/>
        <v>0</v>
      </c>
      <c r="Y69" s="43" t="s">
        <v>0</v>
      </c>
      <c r="Z69" s="36">
        <v>1</v>
      </c>
      <c r="AA69" s="44">
        <f t="shared" si="48"/>
        <v>0</v>
      </c>
      <c r="AB69" s="36">
        <v>1</v>
      </c>
      <c r="AC69" s="44">
        <f t="shared" si="49"/>
        <v>0</v>
      </c>
      <c r="AD69" s="36">
        <v>1</v>
      </c>
      <c r="AE69" s="44">
        <f t="shared" si="50"/>
        <v>0</v>
      </c>
      <c r="AF69" s="45"/>
      <c r="AG69" s="46" t="e">
        <f t="shared" si="54"/>
        <v>#DIV/0!</v>
      </c>
      <c r="AH69" s="47" t="e">
        <f t="shared" si="55"/>
        <v>#DIV/0!</v>
      </c>
      <c r="AI69" s="45"/>
      <c r="AJ69" s="46" t="e">
        <f t="shared" si="56"/>
        <v>#DIV/0!</v>
      </c>
      <c r="AK69" s="47" t="e">
        <f t="shared" si="57"/>
        <v>#DIV/0!</v>
      </c>
      <c r="AL69" s="45"/>
      <c r="AM69" s="46" t="e">
        <f t="shared" si="58"/>
        <v>#DIV/0!</v>
      </c>
      <c r="AN69" s="47" t="e">
        <f t="shared" si="59"/>
        <v>#DIV/0!</v>
      </c>
      <c r="AO69" s="45"/>
      <c r="AP69" s="46" t="e">
        <f t="shared" si="60"/>
        <v>#DIV/0!</v>
      </c>
      <c r="AQ69" s="47" t="e">
        <f t="shared" si="61"/>
        <v>#DIV/0!</v>
      </c>
      <c r="AR69" s="45"/>
      <c r="AS69" s="46">
        <f t="shared" si="62"/>
        <v>0</v>
      </c>
      <c r="AT69" s="47">
        <f t="shared" si="63"/>
        <v>0</v>
      </c>
      <c r="AU69" s="45"/>
      <c r="AV69" s="46" t="e">
        <f t="shared" si="64"/>
        <v>#DIV/0!</v>
      </c>
      <c r="AW69" s="47" t="e">
        <f t="shared" si="65"/>
        <v>#DIV/0!</v>
      </c>
      <c r="AX69" s="45"/>
      <c r="AY69" s="46">
        <f t="shared" si="66"/>
        <v>0</v>
      </c>
      <c r="AZ69" s="47">
        <f t="shared" si="67"/>
        <v>0</v>
      </c>
      <c r="BA69" s="48" t="e">
        <f t="shared" si="68"/>
        <v>#DIV/0!</v>
      </c>
    </row>
    <row r="70" spans="1:53" hidden="1" thickBot="1">
      <c r="A70" s="30"/>
      <c r="B70" s="31"/>
      <c r="C70" s="31"/>
      <c r="D70" s="31"/>
      <c r="E70" s="32"/>
      <c r="F70" s="33"/>
      <c r="G70" s="74"/>
      <c r="H70" s="70"/>
      <c r="I70" s="77">
        <f>IF(H70=Tablas!$B$5,Tablas!$C$5,VLOOKUP(H70,Tablas!$B$5:$D$40,2,FALSE))</f>
        <v>1</v>
      </c>
      <c r="J70" s="65">
        <f>IF(I70=0,"",VLOOKUP(I70,Tablas!$C$5:$D$40,2,FALSE))</f>
        <v>0</v>
      </c>
      <c r="K70" s="34" t="str">
        <f t="shared" si="69"/>
        <v>0</v>
      </c>
      <c r="L70" s="35">
        <f t="shared" si="38"/>
        <v>0</v>
      </c>
      <c r="M70" s="35">
        <f t="shared" si="39"/>
        <v>0</v>
      </c>
      <c r="N70" s="35">
        <f t="shared" si="40"/>
        <v>0</v>
      </c>
      <c r="O70" s="35">
        <f t="shared" si="41"/>
        <v>0</v>
      </c>
      <c r="P70" s="35">
        <f t="shared" si="42"/>
        <v>0</v>
      </c>
      <c r="Q70" s="36">
        <v>0.75</v>
      </c>
      <c r="R70" s="37">
        <f t="shared" si="43"/>
        <v>0</v>
      </c>
      <c r="S70" s="36">
        <v>0.75</v>
      </c>
      <c r="T70" s="38">
        <f t="shared" si="44"/>
        <v>0</v>
      </c>
      <c r="U70" s="39">
        <f t="shared" si="45"/>
        <v>0</v>
      </c>
      <c r="V70" s="40">
        <f t="shared" si="53"/>
        <v>0</v>
      </c>
      <c r="W70" s="41">
        <f t="shared" si="46"/>
        <v>0</v>
      </c>
      <c r="X70" s="42">
        <f t="shared" si="47"/>
        <v>0</v>
      </c>
      <c r="Y70" s="43" t="s">
        <v>0</v>
      </c>
      <c r="Z70" s="36">
        <v>1</v>
      </c>
      <c r="AA70" s="44">
        <f t="shared" si="48"/>
        <v>0</v>
      </c>
      <c r="AB70" s="36">
        <v>1</v>
      </c>
      <c r="AC70" s="44">
        <f t="shared" si="49"/>
        <v>0</v>
      </c>
      <c r="AD70" s="36">
        <v>1</v>
      </c>
      <c r="AE70" s="44">
        <f t="shared" si="50"/>
        <v>0</v>
      </c>
      <c r="AF70" s="45"/>
      <c r="AG70" s="46" t="e">
        <f t="shared" si="54"/>
        <v>#DIV/0!</v>
      </c>
      <c r="AH70" s="47" t="e">
        <f t="shared" si="55"/>
        <v>#DIV/0!</v>
      </c>
      <c r="AI70" s="45"/>
      <c r="AJ70" s="46" t="e">
        <f t="shared" si="56"/>
        <v>#DIV/0!</v>
      </c>
      <c r="AK70" s="47" t="e">
        <f t="shared" si="57"/>
        <v>#DIV/0!</v>
      </c>
      <c r="AL70" s="45"/>
      <c r="AM70" s="46" t="e">
        <f t="shared" si="58"/>
        <v>#DIV/0!</v>
      </c>
      <c r="AN70" s="47" t="e">
        <f t="shared" si="59"/>
        <v>#DIV/0!</v>
      </c>
      <c r="AO70" s="45"/>
      <c r="AP70" s="46" t="e">
        <f t="shared" si="60"/>
        <v>#DIV/0!</v>
      </c>
      <c r="AQ70" s="47" t="e">
        <f t="shared" si="61"/>
        <v>#DIV/0!</v>
      </c>
      <c r="AR70" s="45"/>
      <c r="AS70" s="46">
        <f t="shared" si="62"/>
        <v>0</v>
      </c>
      <c r="AT70" s="47">
        <f t="shared" si="63"/>
        <v>0</v>
      </c>
      <c r="AU70" s="45"/>
      <c r="AV70" s="46" t="e">
        <f t="shared" si="64"/>
        <v>#DIV/0!</v>
      </c>
      <c r="AW70" s="47" t="e">
        <f t="shared" si="65"/>
        <v>#DIV/0!</v>
      </c>
      <c r="AX70" s="45"/>
      <c r="AY70" s="46">
        <f t="shared" si="66"/>
        <v>0</v>
      </c>
      <c r="AZ70" s="47">
        <f t="shared" si="67"/>
        <v>0</v>
      </c>
      <c r="BA70" s="48" t="e">
        <f t="shared" si="68"/>
        <v>#DIV/0!</v>
      </c>
    </row>
    <row r="71" spans="1:53" hidden="1" thickBot="1">
      <c r="A71" s="30"/>
      <c r="B71" s="31"/>
      <c r="C71" s="31"/>
      <c r="D71" s="31"/>
      <c r="E71" s="32"/>
      <c r="F71" s="33"/>
      <c r="G71" s="74"/>
      <c r="H71" s="70"/>
      <c r="I71" s="77">
        <f>IF(H71=Tablas!$B$5,Tablas!$C$5,VLOOKUP(H71,Tablas!$B$5:$D$40,2,FALSE))</f>
        <v>1</v>
      </c>
      <c r="J71" s="65">
        <f>IF(I71=0,"",VLOOKUP(I71,Tablas!$C$5:$D$40,2,FALSE))</f>
        <v>0</v>
      </c>
      <c r="K71" s="34" t="str">
        <f t="shared" si="69"/>
        <v>0</v>
      </c>
      <c r="L71" s="35">
        <f t="shared" si="38"/>
        <v>0</v>
      </c>
      <c r="M71" s="35">
        <f t="shared" si="39"/>
        <v>0</v>
      </c>
      <c r="N71" s="35">
        <f t="shared" si="40"/>
        <v>0</v>
      </c>
      <c r="O71" s="35">
        <f t="shared" si="41"/>
        <v>0</v>
      </c>
      <c r="P71" s="35">
        <f t="shared" si="42"/>
        <v>0</v>
      </c>
      <c r="Q71" s="36">
        <v>0.75</v>
      </c>
      <c r="R71" s="37">
        <f t="shared" si="43"/>
        <v>0</v>
      </c>
      <c r="S71" s="36">
        <v>0.75</v>
      </c>
      <c r="T71" s="38">
        <f t="shared" si="44"/>
        <v>0</v>
      </c>
      <c r="U71" s="39">
        <f t="shared" si="45"/>
        <v>0</v>
      </c>
      <c r="V71" s="40">
        <f t="shared" si="53"/>
        <v>0</v>
      </c>
      <c r="W71" s="41">
        <f t="shared" si="46"/>
        <v>0</v>
      </c>
      <c r="X71" s="42">
        <f t="shared" si="47"/>
        <v>0</v>
      </c>
      <c r="Y71" s="43" t="s">
        <v>0</v>
      </c>
      <c r="Z71" s="36">
        <v>1</v>
      </c>
      <c r="AA71" s="44">
        <f t="shared" si="48"/>
        <v>0</v>
      </c>
      <c r="AB71" s="36">
        <v>1</v>
      </c>
      <c r="AC71" s="44">
        <f t="shared" si="49"/>
        <v>0</v>
      </c>
      <c r="AD71" s="36">
        <v>1</v>
      </c>
      <c r="AE71" s="44">
        <f t="shared" si="50"/>
        <v>0</v>
      </c>
      <c r="AF71" s="45"/>
      <c r="AG71" s="46" t="e">
        <f t="shared" si="54"/>
        <v>#DIV/0!</v>
      </c>
      <c r="AH71" s="47" t="e">
        <f t="shared" si="55"/>
        <v>#DIV/0!</v>
      </c>
      <c r="AI71" s="45"/>
      <c r="AJ71" s="46" t="e">
        <f t="shared" si="56"/>
        <v>#DIV/0!</v>
      </c>
      <c r="AK71" s="47" t="e">
        <f t="shared" si="57"/>
        <v>#DIV/0!</v>
      </c>
      <c r="AL71" s="45"/>
      <c r="AM71" s="46" t="e">
        <f t="shared" si="58"/>
        <v>#DIV/0!</v>
      </c>
      <c r="AN71" s="47" t="e">
        <f t="shared" si="59"/>
        <v>#DIV/0!</v>
      </c>
      <c r="AO71" s="45"/>
      <c r="AP71" s="46" t="e">
        <f t="shared" si="60"/>
        <v>#DIV/0!</v>
      </c>
      <c r="AQ71" s="47" t="e">
        <f t="shared" si="61"/>
        <v>#DIV/0!</v>
      </c>
      <c r="AR71" s="45"/>
      <c r="AS71" s="46">
        <f t="shared" si="62"/>
        <v>0</v>
      </c>
      <c r="AT71" s="47">
        <f t="shared" si="63"/>
        <v>0</v>
      </c>
      <c r="AU71" s="45"/>
      <c r="AV71" s="46" t="e">
        <f t="shared" si="64"/>
        <v>#DIV/0!</v>
      </c>
      <c r="AW71" s="47" t="e">
        <f t="shared" si="65"/>
        <v>#DIV/0!</v>
      </c>
      <c r="AX71" s="45"/>
      <c r="AY71" s="46">
        <f t="shared" si="66"/>
        <v>0</v>
      </c>
      <c r="AZ71" s="47">
        <f t="shared" si="67"/>
        <v>0</v>
      </c>
      <c r="BA71" s="48" t="e">
        <f t="shared" si="68"/>
        <v>#DIV/0!</v>
      </c>
    </row>
    <row r="72" spans="1:53" hidden="1" thickBot="1">
      <c r="A72" s="30"/>
      <c r="B72" s="31"/>
      <c r="C72" s="31"/>
      <c r="D72" s="31"/>
      <c r="E72" s="32"/>
      <c r="F72" s="33"/>
      <c r="G72" s="74"/>
      <c r="H72" s="70"/>
      <c r="I72" s="77">
        <f>IF(H72=Tablas!$B$5,Tablas!$C$5,VLOOKUP(H72,Tablas!$B$5:$D$40,2,FALSE))</f>
        <v>1</v>
      </c>
      <c r="J72" s="65">
        <f>IF(I72=0,"",VLOOKUP(I72,Tablas!$C$5:$D$40,2,FALSE))</f>
        <v>0</v>
      </c>
      <c r="K72" s="34" t="str">
        <f t="shared" si="69"/>
        <v>0</v>
      </c>
      <c r="L72" s="35">
        <f t="shared" ref="L72:L98" si="70">IF($X72=3,$K72,0)+IF($X72=4,$K72,0)+IF($X72=5,$K72,0)+IF($X72=6,$K72,0)+IF($X72=7,$K72,0)+IF($X72=10,$K72*2,0)+IF($X72=12,$K72*2,0)+IF($X72=14,$K72*2,0)+IF($X72=21,$K72*3,0)+IF($X72&lt;=1,$K72*$J72/21.75,0)+IF($X72=15,$K72*3,0)</f>
        <v>0</v>
      </c>
      <c r="M72" s="35">
        <f t="shared" ref="M72:M98" si="71">IF($X72=2,$K72,0)+IF($X72=4,$K72,0)+IF($X72=5,$K72,0)+IF($X72=6,$K72,0)+IF($X72=7,$K72,0)+IF($X72=10,$K72*2,0)+IF($X72=12,$K72*2,0)+IF($X72=14,$K72*2,0)+IF($X72=15,$K72*3,0)+IF($X72=21,$K72*3,0)+IF($X72&lt;=1,$K72*$J72/21.75,0)</f>
        <v>0</v>
      </c>
      <c r="N72" s="35">
        <f t="shared" ref="N72:N98" si="72">IF($X72=3,$K72,0)+IF($X72=4,$K72,0)+IF($X72=5,$K72,0)+IF($X72=6,$K72,0)+IF($X72=7,$K72,0)+IF($X72=10,$K72*2,0)+IF($X72=12,$K72*2,0)+IF($X72=14,$K72*2,0)+IF($X72=21,$K72*3,0)+IF($X72&lt;=1,$K72*$J72/21.75,0)+IF($X72=15,$K72*3,0)</f>
        <v>0</v>
      </c>
      <c r="O72" s="35">
        <f t="shared" ref="O72:O98" si="73">IF($X72=2,$K72,0)+IF($X72=4,$K72,0)+IF($X72=5,$K72,0)+IF($X72=6,$K72,0)+IF($X72=7,$K72,0)+IF($X72=10,$K72*2,0)+IF($X72=12,$K72*2,0)+IF($X72=14,$K72*2,0)+IF($X72=15,$K72*3,0)+IF($X72=21,$K72*3,0)+IF($X72&lt;=1,$K72*$J72/21.75,0)</f>
        <v>0</v>
      </c>
      <c r="P72" s="35">
        <f t="shared" ref="P72:P98" si="74">IF($X72=3,$K72,0)+IF($X72=4,$K72,0)+IF($X72=5,$K72,0)+IF($X72=6,$K72,0)+IF($X72=7,$K72,0)+IF($X72=10,$K72*2,0)+IF($X72=12,$K72*2,0)+IF($X72=14,$K72*2,0)+IF($X72=21,$K72*3,0)+IF($X72&lt;=1,$K72*$J72/21.75,0)+IF($X72=15,$K72*3,0)</f>
        <v>0</v>
      </c>
      <c r="Q72" s="36">
        <v>0.75</v>
      </c>
      <c r="R72" s="37">
        <f t="shared" ref="R72:R98" si="75">(IF($X72=6,$K72,)+IF($X72=7,$K72,)+IF($X72=12,$K72*2,)+IF($X72=18,$K72*3,)+IF($X72=21,$K72*3,)+IF($X72=14,$K72*2,))*Q72</f>
        <v>0</v>
      </c>
      <c r="S72" s="36">
        <v>0.75</v>
      </c>
      <c r="T72" s="38">
        <f t="shared" ref="T72:T98" si="76">(IF($X72=7,$K72,)+IF($X72=21,$K72*3,)+IF($X72=14,$K72*2,))*S72</f>
        <v>0</v>
      </c>
      <c r="U72" s="39">
        <f t="shared" ref="U72:U98" si="77">SUM(+L72+M72+N72+O72+P72+R72+T72)</f>
        <v>0</v>
      </c>
      <c r="V72" s="40">
        <f t="shared" si="53"/>
        <v>0</v>
      </c>
      <c r="W72" s="41">
        <f t="shared" ref="W72:W98" si="78">IF(V72="","",$W$4*V72)</f>
        <v>0</v>
      </c>
      <c r="X72" s="42">
        <f t="shared" ref="X72:X98" si="79">ROUND(J72/4.3452380952381,1)</f>
        <v>0</v>
      </c>
      <c r="Y72" s="43" t="s">
        <v>0</v>
      </c>
      <c r="Z72" s="36">
        <v>1</v>
      </c>
      <c r="AA72" s="44">
        <f t="shared" ref="AA72:AA98" si="80">+IF($Y72="M",$U72,IF($Y72="MT",$U72/2,IF(Y72="MN",$U72/2,IF($Y72="MTN",$U72/3,0))))*Z72</f>
        <v>0</v>
      </c>
      <c r="AB72" s="36">
        <v>1</v>
      </c>
      <c r="AC72" s="44">
        <f t="shared" ref="AC72:AC98" si="81">+IF($Y72="T",$U72,IF($Y72="MT",$U72/2,IF($Y72="TN",$U72/2,IF($Y72="MTN",$U72/3,0))))*AB72</f>
        <v>0</v>
      </c>
      <c r="AD72" s="36">
        <v>1</v>
      </c>
      <c r="AE72" s="44">
        <f t="shared" ref="AE72:AE98" si="82">+IF($Y72="N",$U72,IF($Y72="MN",$U72/2,IF($Y72="TN",$U72/2,IF($Y72="MTN",$U72/3,0))))*AD72</f>
        <v>0</v>
      </c>
      <c r="AF72" s="45"/>
      <c r="AG72" s="46" t="e">
        <f t="shared" si="54"/>
        <v>#DIV/0!</v>
      </c>
      <c r="AH72" s="47" t="e">
        <f t="shared" si="55"/>
        <v>#DIV/0!</v>
      </c>
      <c r="AI72" s="45"/>
      <c r="AJ72" s="46" t="e">
        <f t="shared" si="56"/>
        <v>#DIV/0!</v>
      </c>
      <c r="AK72" s="47" t="e">
        <f t="shared" si="57"/>
        <v>#DIV/0!</v>
      </c>
      <c r="AL72" s="45"/>
      <c r="AM72" s="46" t="e">
        <f t="shared" si="58"/>
        <v>#DIV/0!</v>
      </c>
      <c r="AN72" s="47" t="e">
        <f t="shared" si="59"/>
        <v>#DIV/0!</v>
      </c>
      <c r="AO72" s="45"/>
      <c r="AP72" s="46" t="e">
        <f t="shared" si="60"/>
        <v>#DIV/0!</v>
      </c>
      <c r="AQ72" s="47" t="e">
        <f t="shared" si="61"/>
        <v>#DIV/0!</v>
      </c>
      <c r="AR72" s="45"/>
      <c r="AS72" s="46">
        <f t="shared" si="62"/>
        <v>0</v>
      </c>
      <c r="AT72" s="47">
        <f t="shared" si="63"/>
        <v>0</v>
      </c>
      <c r="AU72" s="45"/>
      <c r="AV72" s="46" t="e">
        <f t="shared" si="64"/>
        <v>#DIV/0!</v>
      </c>
      <c r="AW72" s="47" t="e">
        <f t="shared" si="65"/>
        <v>#DIV/0!</v>
      </c>
      <c r="AX72" s="45"/>
      <c r="AY72" s="46">
        <f t="shared" si="66"/>
        <v>0</v>
      </c>
      <c r="AZ72" s="47">
        <f t="shared" si="67"/>
        <v>0</v>
      </c>
      <c r="BA72" s="48" t="e">
        <f t="shared" si="68"/>
        <v>#DIV/0!</v>
      </c>
    </row>
    <row r="73" spans="1:53" hidden="1" thickBot="1">
      <c r="A73" s="30"/>
      <c r="B73" s="31"/>
      <c r="C73" s="31"/>
      <c r="D73" s="31"/>
      <c r="E73" s="32"/>
      <c r="F73" s="33"/>
      <c r="G73" s="74"/>
      <c r="H73" s="70"/>
      <c r="I73" s="77">
        <f>IF(H73=Tablas!$B$5,Tablas!$C$5,VLOOKUP(H73,Tablas!$B$5:$D$40,2,FALSE))</f>
        <v>1</v>
      </c>
      <c r="J73" s="65">
        <f>IF(I73=0,"",VLOOKUP(I73,Tablas!$C$5:$D$40,2,FALSE))</f>
        <v>0</v>
      </c>
      <c r="K73" s="34" t="str">
        <f t="shared" si="69"/>
        <v>0</v>
      </c>
      <c r="L73" s="35">
        <f t="shared" si="70"/>
        <v>0</v>
      </c>
      <c r="M73" s="35">
        <f t="shared" si="71"/>
        <v>0</v>
      </c>
      <c r="N73" s="35">
        <f t="shared" si="72"/>
        <v>0</v>
      </c>
      <c r="O73" s="35">
        <f t="shared" si="73"/>
        <v>0</v>
      </c>
      <c r="P73" s="35">
        <f t="shared" si="74"/>
        <v>0</v>
      </c>
      <c r="Q73" s="36">
        <v>0.75</v>
      </c>
      <c r="R73" s="37">
        <f t="shared" si="75"/>
        <v>0</v>
      </c>
      <c r="S73" s="36">
        <v>0.75</v>
      </c>
      <c r="T73" s="38">
        <f t="shared" si="76"/>
        <v>0</v>
      </c>
      <c r="U73" s="39">
        <f t="shared" si="77"/>
        <v>0</v>
      </c>
      <c r="V73" s="40">
        <f t="shared" si="53"/>
        <v>0</v>
      </c>
      <c r="W73" s="41">
        <f t="shared" si="78"/>
        <v>0</v>
      </c>
      <c r="X73" s="42">
        <f t="shared" si="79"/>
        <v>0</v>
      </c>
      <c r="Y73" s="43" t="s">
        <v>0</v>
      </c>
      <c r="Z73" s="36">
        <v>1</v>
      </c>
      <c r="AA73" s="44">
        <f t="shared" si="80"/>
        <v>0</v>
      </c>
      <c r="AB73" s="36">
        <v>1</v>
      </c>
      <c r="AC73" s="44">
        <f t="shared" si="81"/>
        <v>0</v>
      </c>
      <c r="AD73" s="36">
        <v>1</v>
      </c>
      <c r="AE73" s="44">
        <f t="shared" si="82"/>
        <v>0</v>
      </c>
      <c r="AF73" s="45"/>
      <c r="AG73" s="46" t="e">
        <f t="shared" si="54"/>
        <v>#DIV/0!</v>
      </c>
      <c r="AH73" s="47" t="e">
        <f t="shared" si="55"/>
        <v>#DIV/0!</v>
      </c>
      <c r="AI73" s="45"/>
      <c r="AJ73" s="46" t="e">
        <f t="shared" si="56"/>
        <v>#DIV/0!</v>
      </c>
      <c r="AK73" s="47" t="e">
        <f t="shared" si="57"/>
        <v>#DIV/0!</v>
      </c>
      <c r="AL73" s="45"/>
      <c r="AM73" s="46" t="e">
        <f t="shared" si="58"/>
        <v>#DIV/0!</v>
      </c>
      <c r="AN73" s="47" t="e">
        <f t="shared" si="59"/>
        <v>#DIV/0!</v>
      </c>
      <c r="AO73" s="45"/>
      <c r="AP73" s="46" t="e">
        <f t="shared" si="60"/>
        <v>#DIV/0!</v>
      </c>
      <c r="AQ73" s="47" t="e">
        <f t="shared" si="61"/>
        <v>#DIV/0!</v>
      </c>
      <c r="AR73" s="45"/>
      <c r="AS73" s="46">
        <f t="shared" si="62"/>
        <v>0</v>
      </c>
      <c r="AT73" s="47">
        <f t="shared" si="63"/>
        <v>0</v>
      </c>
      <c r="AU73" s="45"/>
      <c r="AV73" s="46" t="e">
        <f t="shared" si="64"/>
        <v>#DIV/0!</v>
      </c>
      <c r="AW73" s="47" t="e">
        <f t="shared" si="65"/>
        <v>#DIV/0!</v>
      </c>
      <c r="AX73" s="45"/>
      <c r="AY73" s="46">
        <f t="shared" si="66"/>
        <v>0</v>
      </c>
      <c r="AZ73" s="47">
        <f t="shared" si="67"/>
        <v>0</v>
      </c>
      <c r="BA73" s="48" t="e">
        <f t="shared" si="68"/>
        <v>#DIV/0!</v>
      </c>
    </row>
    <row r="74" spans="1:53" hidden="1" thickBot="1">
      <c r="A74" s="30"/>
      <c r="B74" s="31"/>
      <c r="C74" s="31"/>
      <c r="D74" s="31"/>
      <c r="E74" s="32"/>
      <c r="F74" s="33"/>
      <c r="G74" s="74"/>
      <c r="H74" s="70"/>
      <c r="I74" s="77">
        <f>IF(H74=Tablas!$B$5,Tablas!$C$5,VLOOKUP(H74,Tablas!$B$5:$D$40,2,FALSE))</f>
        <v>1</v>
      </c>
      <c r="J74" s="65">
        <f>IF(I74=0,"",VLOOKUP(I74,Tablas!$C$5:$D$40,2,FALSE))</f>
        <v>0</v>
      </c>
      <c r="K74" s="34" t="str">
        <f t="shared" si="69"/>
        <v>0</v>
      </c>
      <c r="L74" s="35">
        <f t="shared" si="70"/>
        <v>0</v>
      </c>
      <c r="M74" s="35">
        <f t="shared" si="71"/>
        <v>0</v>
      </c>
      <c r="N74" s="35">
        <f t="shared" si="72"/>
        <v>0</v>
      </c>
      <c r="O74" s="35">
        <f t="shared" si="73"/>
        <v>0</v>
      </c>
      <c r="P74" s="35">
        <f t="shared" si="74"/>
        <v>0</v>
      </c>
      <c r="Q74" s="36">
        <v>0.75</v>
      </c>
      <c r="R74" s="37">
        <f t="shared" si="75"/>
        <v>0</v>
      </c>
      <c r="S74" s="36">
        <v>0.75</v>
      </c>
      <c r="T74" s="38">
        <f t="shared" si="76"/>
        <v>0</v>
      </c>
      <c r="U74" s="39">
        <f t="shared" si="77"/>
        <v>0</v>
      </c>
      <c r="V74" s="40">
        <f t="shared" si="53"/>
        <v>0</v>
      </c>
      <c r="W74" s="41">
        <f t="shared" si="78"/>
        <v>0</v>
      </c>
      <c r="X74" s="42">
        <f t="shared" si="79"/>
        <v>0</v>
      </c>
      <c r="Y74" s="43" t="s">
        <v>0</v>
      </c>
      <c r="Z74" s="36">
        <v>1</v>
      </c>
      <c r="AA74" s="44">
        <f t="shared" si="80"/>
        <v>0</v>
      </c>
      <c r="AB74" s="36">
        <v>1</v>
      </c>
      <c r="AC74" s="44">
        <f t="shared" si="81"/>
        <v>0</v>
      </c>
      <c r="AD74" s="36">
        <v>1</v>
      </c>
      <c r="AE74" s="44">
        <f t="shared" si="82"/>
        <v>0</v>
      </c>
      <c r="AF74" s="45"/>
      <c r="AG74" s="46" t="e">
        <f t="shared" si="54"/>
        <v>#DIV/0!</v>
      </c>
      <c r="AH74" s="47" t="e">
        <f t="shared" si="55"/>
        <v>#DIV/0!</v>
      </c>
      <c r="AI74" s="45"/>
      <c r="AJ74" s="46" t="e">
        <f t="shared" si="56"/>
        <v>#DIV/0!</v>
      </c>
      <c r="AK74" s="47" t="e">
        <f t="shared" si="57"/>
        <v>#DIV/0!</v>
      </c>
      <c r="AL74" s="45"/>
      <c r="AM74" s="46" t="e">
        <f t="shared" si="58"/>
        <v>#DIV/0!</v>
      </c>
      <c r="AN74" s="47" t="e">
        <f t="shared" si="59"/>
        <v>#DIV/0!</v>
      </c>
      <c r="AO74" s="45"/>
      <c r="AP74" s="46" t="e">
        <f t="shared" si="60"/>
        <v>#DIV/0!</v>
      </c>
      <c r="AQ74" s="47" t="e">
        <f t="shared" si="61"/>
        <v>#DIV/0!</v>
      </c>
      <c r="AR74" s="45"/>
      <c r="AS74" s="46">
        <f t="shared" si="62"/>
        <v>0</v>
      </c>
      <c r="AT74" s="47">
        <f t="shared" si="63"/>
        <v>0</v>
      </c>
      <c r="AU74" s="45"/>
      <c r="AV74" s="46" t="e">
        <f t="shared" si="64"/>
        <v>#DIV/0!</v>
      </c>
      <c r="AW74" s="47" t="e">
        <f t="shared" si="65"/>
        <v>#DIV/0!</v>
      </c>
      <c r="AX74" s="45"/>
      <c r="AY74" s="46">
        <f t="shared" si="66"/>
        <v>0</v>
      </c>
      <c r="AZ74" s="47">
        <f t="shared" si="67"/>
        <v>0</v>
      </c>
      <c r="BA74" s="48" t="e">
        <f t="shared" si="68"/>
        <v>#DIV/0!</v>
      </c>
    </row>
    <row r="75" spans="1:53" hidden="1" thickBot="1">
      <c r="A75" s="30"/>
      <c r="B75" s="31"/>
      <c r="C75" s="31"/>
      <c r="D75" s="31"/>
      <c r="E75" s="32"/>
      <c r="F75" s="33"/>
      <c r="G75" s="74"/>
      <c r="H75" s="70"/>
      <c r="I75" s="77">
        <f>IF(H75=Tablas!$B$5,Tablas!$C$5,VLOOKUP(H75,Tablas!$B$5:$D$40,2,FALSE))</f>
        <v>1</v>
      </c>
      <c r="J75" s="65">
        <f>IF(I75=0,"",VLOOKUP(I75,Tablas!$C$5:$D$40,2,FALSE))</f>
        <v>0</v>
      </c>
      <c r="K75" s="34" t="str">
        <f t="shared" si="69"/>
        <v>0</v>
      </c>
      <c r="L75" s="35">
        <f t="shared" si="70"/>
        <v>0</v>
      </c>
      <c r="M75" s="35">
        <f t="shared" si="71"/>
        <v>0</v>
      </c>
      <c r="N75" s="35">
        <f t="shared" si="72"/>
        <v>0</v>
      </c>
      <c r="O75" s="35">
        <f t="shared" si="73"/>
        <v>0</v>
      </c>
      <c r="P75" s="35">
        <f t="shared" si="74"/>
        <v>0</v>
      </c>
      <c r="Q75" s="36">
        <v>0.75</v>
      </c>
      <c r="R75" s="37">
        <f t="shared" si="75"/>
        <v>0</v>
      </c>
      <c r="S75" s="36">
        <v>0.75</v>
      </c>
      <c r="T75" s="38">
        <f t="shared" si="76"/>
        <v>0</v>
      </c>
      <c r="U75" s="39">
        <f t="shared" si="77"/>
        <v>0</v>
      </c>
      <c r="V75" s="40">
        <f t="shared" si="53"/>
        <v>0</v>
      </c>
      <c r="W75" s="41">
        <f t="shared" si="78"/>
        <v>0</v>
      </c>
      <c r="X75" s="42">
        <f t="shared" si="79"/>
        <v>0</v>
      </c>
      <c r="Y75" s="43" t="s">
        <v>0</v>
      </c>
      <c r="Z75" s="36">
        <v>1</v>
      </c>
      <c r="AA75" s="44">
        <f t="shared" si="80"/>
        <v>0</v>
      </c>
      <c r="AB75" s="36">
        <v>1</v>
      </c>
      <c r="AC75" s="44">
        <f t="shared" si="81"/>
        <v>0</v>
      </c>
      <c r="AD75" s="36">
        <v>1</v>
      </c>
      <c r="AE75" s="44">
        <f t="shared" si="82"/>
        <v>0</v>
      </c>
      <c r="AF75" s="45"/>
      <c r="AG75" s="46" t="e">
        <f t="shared" si="54"/>
        <v>#DIV/0!</v>
      </c>
      <c r="AH75" s="47" t="e">
        <f t="shared" si="55"/>
        <v>#DIV/0!</v>
      </c>
      <c r="AI75" s="45"/>
      <c r="AJ75" s="46" t="e">
        <f t="shared" si="56"/>
        <v>#DIV/0!</v>
      </c>
      <c r="AK75" s="47" t="e">
        <f t="shared" si="57"/>
        <v>#DIV/0!</v>
      </c>
      <c r="AL75" s="45"/>
      <c r="AM75" s="46" t="e">
        <f t="shared" si="58"/>
        <v>#DIV/0!</v>
      </c>
      <c r="AN75" s="47" t="e">
        <f t="shared" si="59"/>
        <v>#DIV/0!</v>
      </c>
      <c r="AO75" s="45"/>
      <c r="AP75" s="46" t="e">
        <f t="shared" si="60"/>
        <v>#DIV/0!</v>
      </c>
      <c r="AQ75" s="47" t="e">
        <f t="shared" si="61"/>
        <v>#DIV/0!</v>
      </c>
      <c r="AR75" s="45"/>
      <c r="AS75" s="46">
        <f t="shared" si="62"/>
        <v>0</v>
      </c>
      <c r="AT75" s="47">
        <f t="shared" si="63"/>
        <v>0</v>
      </c>
      <c r="AU75" s="45"/>
      <c r="AV75" s="46" t="e">
        <f t="shared" si="64"/>
        <v>#DIV/0!</v>
      </c>
      <c r="AW75" s="47" t="e">
        <f t="shared" si="65"/>
        <v>#DIV/0!</v>
      </c>
      <c r="AX75" s="45"/>
      <c r="AY75" s="46">
        <f t="shared" si="66"/>
        <v>0</v>
      </c>
      <c r="AZ75" s="47">
        <f t="shared" si="67"/>
        <v>0</v>
      </c>
      <c r="BA75" s="48" t="e">
        <f t="shared" si="68"/>
        <v>#DIV/0!</v>
      </c>
    </row>
    <row r="76" spans="1:53" hidden="1" thickBot="1">
      <c r="A76" s="30"/>
      <c r="B76" s="31"/>
      <c r="C76" s="31"/>
      <c r="D76" s="31"/>
      <c r="E76" s="32"/>
      <c r="F76" s="33"/>
      <c r="G76" s="74"/>
      <c r="H76" s="70"/>
      <c r="I76" s="77">
        <f>IF(H76=Tablas!$B$5,Tablas!$C$5,VLOOKUP(H76,Tablas!$B$5:$D$40,2,FALSE))</f>
        <v>1</v>
      </c>
      <c r="J76" s="65">
        <f>IF(I76=0,"",VLOOKUP(I76,Tablas!$C$5:$D$40,2,FALSE))</f>
        <v>0</v>
      </c>
      <c r="K76" s="34" t="str">
        <f t="shared" si="69"/>
        <v>0</v>
      </c>
      <c r="L76" s="35">
        <f t="shared" si="70"/>
        <v>0</v>
      </c>
      <c r="M76" s="35">
        <f t="shared" si="71"/>
        <v>0</v>
      </c>
      <c r="N76" s="35">
        <f t="shared" si="72"/>
        <v>0</v>
      </c>
      <c r="O76" s="35">
        <f t="shared" si="73"/>
        <v>0</v>
      </c>
      <c r="P76" s="35">
        <f t="shared" si="74"/>
        <v>0</v>
      </c>
      <c r="Q76" s="36">
        <v>0.75</v>
      </c>
      <c r="R76" s="37">
        <f t="shared" si="75"/>
        <v>0</v>
      </c>
      <c r="S76" s="36">
        <v>0.75</v>
      </c>
      <c r="T76" s="38">
        <f t="shared" si="76"/>
        <v>0</v>
      </c>
      <c r="U76" s="39">
        <f t="shared" si="77"/>
        <v>0</v>
      </c>
      <c r="V76" s="40">
        <f t="shared" si="53"/>
        <v>0</v>
      </c>
      <c r="W76" s="41">
        <f t="shared" si="78"/>
        <v>0</v>
      </c>
      <c r="X76" s="42">
        <f t="shared" si="79"/>
        <v>0</v>
      </c>
      <c r="Y76" s="43" t="s">
        <v>0</v>
      </c>
      <c r="Z76" s="36">
        <v>1</v>
      </c>
      <c r="AA76" s="44">
        <f t="shared" si="80"/>
        <v>0</v>
      </c>
      <c r="AB76" s="36">
        <v>1</v>
      </c>
      <c r="AC76" s="44">
        <f t="shared" si="81"/>
        <v>0</v>
      </c>
      <c r="AD76" s="36">
        <v>1</v>
      </c>
      <c r="AE76" s="44">
        <f t="shared" si="82"/>
        <v>0</v>
      </c>
      <c r="AF76" s="45"/>
      <c r="AG76" s="46" t="e">
        <f t="shared" si="54"/>
        <v>#DIV/0!</v>
      </c>
      <c r="AH76" s="47" t="e">
        <f t="shared" si="55"/>
        <v>#DIV/0!</v>
      </c>
      <c r="AI76" s="45"/>
      <c r="AJ76" s="46" t="e">
        <f t="shared" si="56"/>
        <v>#DIV/0!</v>
      </c>
      <c r="AK76" s="47" t="e">
        <f t="shared" si="57"/>
        <v>#DIV/0!</v>
      </c>
      <c r="AL76" s="45"/>
      <c r="AM76" s="46" t="e">
        <f t="shared" si="58"/>
        <v>#DIV/0!</v>
      </c>
      <c r="AN76" s="47" t="e">
        <f t="shared" si="59"/>
        <v>#DIV/0!</v>
      </c>
      <c r="AO76" s="45"/>
      <c r="AP76" s="46" t="e">
        <f t="shared" si="60"/>
        <v>#DIV/0!</v>
      </c>
      <c r="AQ76" s="47" t="e">
        <f t="shared" si="61"/>
        <v>#DIV/0!</v>
      </c>
      <c r="AR76" s="45"/>
      <c r="AS76" s="46">
        <f t="shared" si="62"/>
        <v>0</v>
      </c>
      <c r="AT76" s="47">
        <f t="shared" si="63"/>
        <v>0</v>
      </c>
      <c r="AU76" s="45"/>
      <c r="AV76" s="46" t="e">
        <f t="shared" si="64"/>
        <v>#DIV/0!</v>
      </c>
      <c r="AW76" s="47" t="e">
        <f t="shared" si="65"/>
        <v>#DIV/0!</v>
      </c>
      <c r="AX76" s="45"/>
      <c r="AY76" s="46">
        <f t="shared" si="66"/>
        <v>0</v>
      </c>
      <c r="AZ76" s="47">
        <f t="shared" si="67"/>
        <v>0</v>
      </c>
      <c r="BA76" s="48" t="e">
        <f t="shared" si="68"/>
        <v>#DIV/0!</v>
      </c>
    </row>
    <row r="77" spans="1:53" hidden="1" thickBot="1">
      <c r="A77" s="30"/>
      <c r="B77" s="31"/>
      <c r="C77" s="31"/>
      <c r="D77" s="31"/>
      <c r="E77" s="32"/>
      <c r="F77" s="33"/>
      <c r="G77" s="74"/>
      <c r="H77" s="70"/>
      <c r="I77" s="77">
        <f>IF(H77=Tablas!$B$5,Tablas!$C$5,VLOOKUP(H77,Tablas!$B$5:$D$40,2,FALSE))</f>
        <v>1</v>
      </c>
      <c r="J77" s="65">
        <f>IF(I77=0,"",VLOOKUP(I77,Tablas!$C$5:$D$40,2,FALSE))</f>
        <v>0</v>
      </c>
      <c r="K77" s="34" t="str">
        <f t="shared" si="69"/>
        <v>0</v>
      </c>
      <c r="L77" s="35">
        <f t="shared" si="70"/>
        <v>0</v>
      </c>
      <c r="M77" s="35">
        <f t="shared" si="71"/>
        <v>0</v>
      </c>
      <c r="N77" s="35">
        <f t="shared" si="72"/>
        <v>0</v>
      </c>
      <c r="O77" s="35">
        <f t="shared" si="73"/>
        <v>0</v>
      </c>
      <c r="P77" s="35">
        <f t="shared" si="74"/>
        <v>0</v>
      </c>
      <c r="Q77" s="36">
        <v>0.75</v>
      </c>
      <c r="R77" s="37">
        <f t="shared" si="75"/>
        <v>0</v>
      </c>
      <c r="S77" s="36">
        <v>0.75</v>
      </c>
      <c r="T77" s="38">
        <f t="shared" si="76"/>
        <v>0</v>
      </c>
      <c r="U77" s="39">
        <f t="shared" si="77"/>
        <v>0</v>
      </c>
      <c r="V77" s="40">
        <f t="shared" si="53"/>
        <v>0</v>
      </c>
      <c r="W77" s="41">
        <f t="shared" si="78"/>
        <v>0</v>
      </c>
      <c r="X77" s="42">
        <f t="shared" si="79"/>
        <v>0</v>
      </c>
      <c r="Y77" s="43" t="s">
        <v>0</v>
      </c>
      <c r="Z77" s="36">
        <v>1</v>
      </c>
      <c r="AA77" s="44">
        <f t="shared" si="80"/>
        <v>0</v>
      </c>
      <c r="AB77" s="36">
        <v>1</v>
      </c>
      <c r="AC77" s="44">
        <f t="shared" si="81"/>
        <v>0</v>
      </c>
      <c r="AD77" s="36">
        <v>1</v>
      </c>
      <c r="AE77" s="44">
        <f t="shared" si="82"/>
        <v>0</v>
      </c>
      <c r="AF77" s="45"/>
      <c r="AG77" s="46" t="e">
        <f t="shared" si="54"/>
        <v>#DIV/0!</v>
      </c>
      <c r="AH77" s="47" t="e">
        <f t="shared" si="55"/>
        <v>#DIV/0!</v>
      </c>
      <c r="AI77" s="45"/>
      <c r="AJ77" s="46" t="e">
        <f t="shared" si="56"/>
        <v>#DIV/0!</v>
      </c>
      <c r="AK77" s="47" t="e">
        <f t="shared" si="57"/>
        <v>#DIV/0!</v>
      </c>
      <c r="AL77" s="45"/>
      <c r="AM77" s="46" t="e">
        <f t="shared" si="58"/>
        <v>#DIV/0!</v>
      </c>
      <c r="AN77" s="47" t="e">
        <f t="shared" si="59"/>
        <v>#DIV/0!</v>
      </c>
      <c r="AO77" s="45"/>
      <c r="AP77" s="46" t="e">
        <f t="shared" si="60"/>
        <v>#DIV/0!</v>
      </c>
      <c r="AQ77" s="47" t="e">
        <f t="shared" si="61"/>
        <v>#DIV/0!</v>
      </c>
      <c r="AR77" s="45"/>
      <c r="AS77" s="46">
        <f t="shared" si="62"/>
        <v>0</v>
      </c>
      <c r="AT77" s="47">
        <f t="shared" si="63"/>
        <v>0</v>
      </c>
      <c r="AU77" s="45"/>
      <c r="AV77" s="46" t="e">
        <f t="shared" si="64"/>
        <v>#DIV/0!</v>
      </c>
      <c r="AW77" s="47" t="e">
        <f t="shared" si="65"/>
        <v>#DIV/0!</v>
      </c>
      <c r="AX77" s="45"/>
      <c r="AY77" s="46">
        <f t="shared" si="66"/>
        <v>0</v>
      </c>
      <c r="AZ77" s="47">
        <f t="shared" si="67"/>
        <v>0</v>
      </c>
      <c r="BA77" s="48" t="e">
        <f t="shared" si="68"/>
        <v>#DIV/0!</v>
      </c>
    </row>
    <row r="78" spans="1:53" hidden="1" thickBot="1">
      <c r="A78" s="30"/>
      <c r="B78" s="31"/>
      <c r="C78" s="31"/>
      <c r="D78" s="31"/>
      <c r="E78" s="32"/>
      <c r="F78" s="33"/>
      <c r="G78" s="74"/>
      <c r="H78" s="70"/>
      <c r="I78" s="77">
        <f>IF(H78=Tablas!$B$5,Tablas!$C$5,VLOOKUP(H78,Tablas!$B$5:$D$40,2,FALSE))</f>
        <v>1</v>
      </c>
      <c r="J78" s="65">
        <f>IF(I78=0,"",VLOOKUP(I78,Tablas!$C$5:$D$40,2,FALSE))</f>
        <v>0</v>
      </c>
      <c r="K78" s="34" t="str">
        <f t="shared" si="69"/>
        <v>0</v>
      </c>
      <c r="L78" s="35">
        <f t="shared" si="70"/>
        <v>0</v>
      </c>
      <c r="M78" s="35">
        <f t="shared" si="71"/>
        <v>0</v>
      </c>
      <c r="N78" s="35">
        <f t="shared" si="72"/>
        <v>0</v>
      </c>
      <c r="O78" s="35">
        <f t="shared" si="73"/>
        <v>0</v>
      </c>
      <c r="P78" s="35">
        <f t="shared" si="74"/>
        <v>0</v>
      </c>
      <c r="Q78" s="36">
        <v>0.75</v>
      </c>
      <c r="R78" s="37">
        <f t="shared" si="75"/>
        <v>0</v>
      </c>
      <c r="S78" s="36">
        <v>0.75</v>
      </c>
      <c r="T78" s="38">
        <f t="shared" si="76"/>
        <v>0</v>
      </c>
      <c r="U78" s="39">
        <f t="shared" si="77"/>
        <v>0</v>
      </c>
      <c r="V78" s="40">
        <f t="shared" si="53"/>
        <v>0</v>
      </c>
      <c r="W78" s="41">
        <f t="shared" si="78"/>
        <v>0</v>
      </c>
      <c r="X78" s="42">
        <f t="shared" si="79"/>
        <v>0</v>
      </c>
      <c r="Y78" s="43" t="s">
        <v>0</v>
      </c>
      <c r="Z78" s="36">
        <v>1</v>
      </c>
      <c r="AA78" s="44">
        <f t="shared" si="80"/>
        <v>0</v>
      </c>
      <c r="AB78" s="36">
        <v>1</v>
      </c>
      <c r="AC78" s="44">
        <f t="shared" si="81"/>
        <v>0</v>
      </c>
      <c r="AD78" s="36">
        <v>1</v>
      </c>
      <c r="AE78" s="44">
        <f t="shared" si="82"/>
        <v>0</v>
      </c>
      <c r="AF78" s="45"/>
      <c r="AG78" s="46" t="e">
        <f t="shared" si="54"/>
        <v>#DIV/0!</v>
      </c>
      <c r="AH78" s="47" t="e">
        <f t="shared" si="55"/>
        <v>#DIV/0!</v>
      </c>
      <c r="AI78" s="45"/>
      <c r="AJ78" s="46" t="e">
        <f t="shared" si="56"/>
        <v>#DIV/0!</v>
      </c>
      <c r="AK78" s="47" t="e">
        <f t="shared" si="57"/>
        <v>#DIV/0!</v>
      </c>
      <c r="AL78" s="45"/>
      <c r="AM78" s="46" t="e">
        <f t="shared" si="58"/>
        <v>#DIV/0!</v>
      </c>
      <c r="AN78" s="47" t="e">
        <f t="shared" si="59"/>
        <v>#DIV/0!</v>
      </c>
      <c r="AO78" s="45"/>
      <c r="AP78" s="46" t="e">
        <f t="shared" si="60"/>
        <v>#DIV/0!</v>
      </c>
      <c r="AQ78" s="47" t="e">
        <f t="shared" si="61"/>
        <v>#DIV/0!</v>
      </c>
      <c r="AR78" s="45"/>
      <c r="AS78" s="46">
        <f t="shared" si="62"/>
        <v>0</v>
      </c>
      <c r="AT78" s="47">
        <f t="shared" si="63"/>
        <v>0</v>
      </c>
      <c r="AU78" s="45"/>
      <c r="AV78" s="46" t="e">
        <f t="shared" si="64"/>
        <v>#DIV/0!</v>
      </c>
      <c r="AW78" s="47" t="e">
        <f t="shared" si="65"/>
        <v>#DIV/0!</v>
      </c>
      <c r="AX78" s="45"/>
      <c r="AY78" s="46">
        <f t="shared" si="66"/>
        <v>0</v>
      </c>
      <c r="AZ78" s="47">
        <f t="shared" si="67"/>
        <v>0</v>
      </c>
      <c r="BA78" s="48" t="e">
        <f t="shared" si="68"/>
        <v>#DIV/0!</v>
      </c>
    </row>
    <row r="79" spans="1:53" hidden="1" thickBot="1">
      <c r="A79" s="30"/>
      <c r="B79" s="31"/>
      <c r="C79" s="31"/>
      <c r="D79" s="31"/>
      <c r="E79" s="32"/>
      <c r="F79" s="33"/>
      <c r="G79" s="74"/>
      <c r="H79" s="70"/>
      <c r="I79" s="77">
        <f>IF(H79=Tablas!$B$5,Tablas!$C$5,VLOOKUP(H79,Tablas!$B$5:$D$40,2,FALSE))</f>
        <v>1</v>
      </c>
      <c r="J79" s="65">
        <f>IF(I79=0,"",VLOOKUP(I79,Tablas!$C$5:$D$40,2,FALSE))</f>
        <v>0</v>
      </c>
      <c r="K79" s="34" t="str">
        <f t="shared" si="69"/>
        <v>0</v>
      </c>
      <c r="L79" s="35">
        <f t="shared" si="70"/>
        <v>0</v>
      </c>
      <c r="M79" s="35">
        <f t="shared" si="71"/>
        <v>0</v>
      </c>
      <c r="N79" s="35">
        <f t="shared" si="72"/>
        <v>0</v>
      </c>
      <c r="O79" s="35">
        <f t="shared" si="73"/>
        <v>0</v>
      </c>
      <c r="P79" s="35">
        <f t="shared" si="74"/>
        <v>0</v>
      </c>
      <c r="Q79" s="36">
        <v>0.75</v>
      </c>
      <c r="R79" s="37">
        <f t="shared" si="75"/>
        <v>0</v>
      </c>
      <c r="S79" s="36">
        <v>0.75</v>
      </c>
      <c r="T79" s="38">
        <f t="shared" si="76"/>
        <v>0</v>
      </c>
      <c r="U79" s="39">
        <f t="shared" si="77"/>
        <v>0</v>
      </c>
      <c r="V79" s="40">
        <f t="shared" si="53"/>
        <v>0</v>
      </c>
      <c r="W79" s="41">
        <f t="shared" si="78"/>
        <v>0</v>
      </c>
      <c r="X79" s="42">
        <f t="shared" si="79"/>
        <v>0</v>
      </c>
      <c r="Y79" s="43" t="s">
        <v>0</v>
      </c>
      <c r="Z79" s="36">
        <v>1</v>
      </c>
      <c r="AA79" s="44">
        <f t="shared" si="80"/>
        <v>0</v>
      </c>
      <c r="AB79" s="36">
        <v>1</v>
      </c>
      <c r="AC79" s="44">
        <f t="shared" si="81"/>
        <v>0</v>
      </c>
      <c r="AD79" s="36">
        <v>1</v>
      </c>
      <c r="AE79" s="44">
        <f t="shared" si="82"/>
        <v>0</v>
      </c>
      <c r="AF79" s="45"/>
      <c r="AG79" s="46" t="e">
        <f t="shared" si="54"/>
        <v>#DIV/0!</v>
      </c>
      <c r="AH79" s="47" t="e">
        <f t="shared" si="55"/>
        <v>#DIV/0!</v>
      </c>
      <c r="AI79" s="45"/>
      <c r="AJ79" s="46" t="e">
        <f t="shared" si="56"/>
        <v>#DIV/0!</v>
      </c>
      <c r="AK79" s="47" t="e">
        <f t="shared" si="57"/>
        <v>#DIV/0!</v>
      </c>
      <c r="AL79" s="45"/>
      <c r="AM79" s="46" t="e">
        <f t="shared" si="58"/>
        <v>#DIV/0!</v>
      </c>
      <c r="AN79" s="47" t="e">
        <f t="shared" si="59"/>
        <v>#DIV/0!</v>
      </c>
      <c r="AO79" s="45"/>
      <c r="AP79" s="46" t="e">
        <f t="shared" si="60"/>
        <v>#DIV/0!</v>
      </c>
      <c r="AQ79" s="47" t="e">
        <f t="shared" si="61"/>
        <v>#DIV/0!</v>
      </c>
      <c r="AR79" s="45"/>
      <c r="AS79" s="46">
        <f t="shared" si="62"/>
        <v>0</v>
      </c>
      <c r="AT79" s="47">
        <f t="shared" si="63"/>
        <v>0</v>
      </c>
      <c r="AU79" s="45"/>
      <c r="AV79" s="46" t="e">
        <f t="shared" si="64"/>
        <v>#DIV/0!</v>
      </c>
      <c r="AW79" s="47" t="e">
        <f t="shared" si="65"/>
        <v>#DIV/0!</v>
      </c>
      <c r="AX79" s="45"/>
      <c r="AY79" s="46">
        <f t="shared" si="66"/>
        <v>0</v>
      </c>
      <c r="AZ79" s="47">
        <f t="shared" si="67"/>
        <v>0</v>
      </c>
      <c r="BA79" s="48" t="e">
        <f t="shared" si="68"/>
        <v>#DIV/0!</v>
      </c>
    </row>
    <row r="80" spans="1:53" hidden="1" thickBot="1">
      <c r="A80" s="30"/>
      <c r="B80" s="31"/>
      <c r="C80" s="31"/>
      <c r="D80" s="31"/>
      <c r="E80" s="32"/>
      <c r="F80" s="33"/>
      <c r="G80" s="74"/>
      <c r="H80" s="70"/>
      <c r="I80" s="77">
        <f>IF(H80=Tablas!$B$5,Tablas!$C$5,VLOOKUP(H80,Tablas!$B$5:$D$40,2,FALSE))</f>
        <v>1</v>
      </c>
      <c r="J80" s="65">
        <f>IF(I80=0,"",VLOOKUP(I80,Tablas!$C$5:$D$40,2,FALSE))</f>
        <v>0</v>
      </c>
      <c r="K80" s="34" t="str">
        <f t="shared" si="69"/>
        <v>0</v>
      </c>
      <c r="L80" s="35">
        <f t="shared" si="70"/>
        <v>0</v>
      </c>
      <c r="M80" s="35">
        <f t="shared" si="71"/>
        <v>0</v>
      </c>
      <c r="N80" s="35">
        <f t="shared" si="72"/>
        <v>0</v>
      </c>
      <c r="O80" s="35">
        <f t="shared" si="73"/>
        <v>0</v>
      </c>
      <c r="P80" s="35">
        <f t="shared" si="74"/>
        <v>0</v>
      </c>
      <c r="Q80" s="36">
        <v>0.75</v>
      </c>
      <c r="R80" s="37">
        <f t="shared" si="75"/>
        <v>0</v>
      </c>
      <c r="S80" s="36">
        <v>0.75</v>
      </c>
      <c r="T80" s="38">
        <f t="shared" si="76"/>
        <v>0</v>
      </c>
      <c r="U80" s="39">
        <f t="shared" si="77"/>
        <v>0</v>
      </c>
      <c r="V80" s="40">
        <f t="shared" si="53"/>
        <v>0</v>
      </c>
      <c r="W80" s="41">
        <f t="shared" si="78"/>
        <v>0</v>
      </c>
      <c r="X80" s="42">
        <f t="shared" si="79"/>
        <v>0</v>
      </c>
      <c r="Y80" s="43" t="s">
        <v>0</v>
      </c>
      <c r="Z80" s="36">
        <v>1</v>
      </c>
      <c r="AA80" s="44">
        <f t="shared" si="80"/>
        <v>0</v>
      </c>
      <c r="AB80" s="36">
        <v>1</v>
      </c>
      <c r="AC80" s="44">
        <f t="shared" si="81"/>
        <v>0</v>
      </c>
      <c r="AD80" s="36">
        <v>1</v>
      </c>
      <c r="AE80" s="44">
        <f t="shared" si="82"/>
        <v>0</v>
      </c>
      <c r="AF80" s="45"/>
      <c r="AG80" s="46" t="e">
        <f t="shared" si="54"/>
        <v>#DIV/0!</v>
      </c>
      <c r="AH80" s="47" t="e">
        <f t="shared" si="55"/>
        <v>#DIV/0!</v>
      </c>
      <c r="AI80" s="45"/>
      <c r="AJ80" s="46" t="e">
        <f t="shared" si="56"/>
        <v>#DIV/0!</v>
      </c>
      <c r="AK80" s="47" t="e">
        <f t="shared" si="57"/>
        <v>#DIV/0!</v>
      </c>
      <c r="AL80" s="45"/>
      <c r="AM80" s="46" t="e">
        <f t="shared" si="58"/>
        <v>#DIV/0!</v>
      </c>
      <c r="AN80" s="47" t="e">
        <f t="shared" si="59"/>
        <v>#DIV/0!</v>
      </c>
      <c r="AO80" s="45"/>
      <c r="AP80" s="46" t="e">
        <f t="shared" si="60"/>
        <v>#DIV/0!</v>
      </c>
      <c r="AQ80" s="47" t="e">
        <f t="shared" si="61"/>
        <v>#DIV/0!</v>
      </c>
      <c r="AR80" s="45"/>
      <c r="AS80" s="46">
        <f t="shared" si="62"/>
        <v>0</v>
      </c>
      <c r="AT80" s="47">
        <f t="shared" si="63"/>
        <v>0</v>
      </c>
      <c r="AU80" s="45"/>
      <c r="AV80" s="46" t="e">
        <f t="shared" si="64"/>
        <v>#DIV/0!</v>
      </c>
      <c r="AW80" s="47" t="e">
        <f t="shared" si="65"/>
        <v>#DIV/0!</v>
      </c>
      <c r="AX80" s="45"/>
      <c r="AY80" s="46">
        <f t="shared" si="66"/>
        <v>0</v>
      </c>
      <c r="AZ80" s="47">
        <f t="shared" si="67"/>
        <v>0</v>
      </c>
      <c r="BA80" s="48" t="e">
        <f t="shared" si="68"/>
        <v>#DIV/0!</v>
      </c>
    </row>
    <row r="81" spans="1:53" hidden="1" thickBot="1">
      <c r="A81" s="30"/>
      <c r="B81" s="31"/>
      <c r="C81" s="31"/>
      <c r="D81" s="31"/>
      <c r="E81" s="32"/>
      <c r="F81" s="33"/>
      <c r="G81" s="74"/>
      <c r="H81" s="70"/>
      <c r="I81" s="77">
        <f>IF(H81=Tablas!$B$5,Tablas!$C$5,VLOOKUP(H81,Tablas!$B$5:$D$40,2,FALSE))</f>
        <v>1</v>
      </c>
      <c r="J81" s="65">
        <f>IF(I81=0,"",VLOOKUP(I81,Tablas!$C$5:$D$40,2,FALSE))</f>
        <v>0</v>
      </c>
      <c r="K81" s="34" t="str">
        <f t="shared" si="69"/>
        <v>0</v>
      </c>
      <c r="L81" s="35">
        <f t="shared" si="70"/>
        <v>0</v>
      </c>
      <c r="M81" s="35">
        <f t="shared" si="71"/>
        <v>0</v>
      </c>
      <c r="N81" s="35">
        <f t="shared" si="72"/>
        <v>0</v>
      </c>
      <c r="O81" s="35">
        <f t="shared" si="73"/>
        <v>0</v>
      </c>
      <c r="P81" s="35">
        <f t="shared" si="74"/>
        <v>0</v>
      </c>
      <c r="Q81" s="36">
        <v>0.75</v>
      </c>
      <c r="R81" s="37">
        <f t="shared" si="75"/>
        <v>0</v>
      </c>
      <c r="S81" s="36">
        <v>0.75</v>
      </c>
      <c r="T81" s="38">
        <f t="shared" si="76"/>
        <v>0</v>
      </c>
      <c r="U81" s="39">
        <f t="shared" si="77"/>
        <v>0</v>
      </c>
      <c r="V81" s="40">
        <f t="shared" si="53"/>
        <v>0</v>
      </c>
      <c r="W81" s="41">
        <f t="shared" si="78"/>
        <v>0</v>
      </c>
      <c r="X81" s="42">
        <f t="shared" si="79"/>
        <v>0</v>
      </c>
      <c r="Y81" s="43" t="s">
        <v>0</v>
      </c>
      <c r="Z81" s="36">
        <v>1</v>
      </c>
      <c r="AA81" s="44">
        <f t="shared" si="80"/>
        <v>0</v>
      </c>
      <c r="AB81" s="36">
        <v>1</v>
      </c>
      <c r="AC81" s="44">
        <f t="shared" si="81"/>
        <v>0</v>
      </c>
      <c r="AD81" s="36">
        <v>1</v>
      </c>
      <c r="AE81" s="44">
        <f t="shared" si="82"/>
        <v>0</v>
      </c>
      <c r="AF81" s="45"/>
      <c r="AG81" s="46" t="e">
        <f t="shared" si="54"/>
        <v>#DIV/0!</v>
      </c>
      <c r="AH81" s="47" t="e">
        <f t="shared" si="55"/>
        <v>#DIV/0!</v>
      </c>
      <c r="AI81" s="45"/>
      <c r="AJ81" s="46" t="e">
        <f t="shared" si="56"/>
        <v>#DIV/0!</v>
      </c>
      <c r="AK81" s="47" t="e">
        <f t="shared" si="57"/>
        <v>#DIV/0!</v>
      </c>
      <c r="AL81" s="45"/>
      <c r="AM81" s="46" t="e">
        <f t="shared" si="58"/>
        <v>#DIV/0!</v>
      </c>
      <c r="AN81" s="47" t="e">
        <f t="shared" si="59"/>
        <v>#DIV/0!</v>
      </c>
      <c r="AO81" s="45"/>
      <c r="AP81" s="46" t="e">
        <f t="shared" si="60"/>
        <v>#DIV/0!</v>
      </c>
      <c r="AQ81" s="47" t="e">
        <f t="shared" si="61"/>
        <v>#DIV/0!</v>
      </c>
      <c r="AR81" s="45"/>
      <c r="AS81" s="46">
        <f t="shared" si="62"/>
        <v>0</v>
      </c>
      <c r="AT81" s="47">
        <f t="shared" si="63"/>
        <v>0</v>
      </c>
      <c r="AU81" s="45"/>
      <c r="AV81" s="46" t="e">
        <f t="shared" si="64"/>
        <v>#DIV/0!</v>
      </c>
      <c r="AW81" s="47" t="e">
        <f t="shared" si="65"/>
        <v>#DIV/0!</v>
      </c>
      <c r="AX81" s="45"/>
      <c r="AY81" s="46">
        <f t="shared" si="66"/>
        <v>0</v>
      </c>
      <c r="AZ81" s="47">
        <f t="shared" si="67"/>
        <v>0</v>
      </c>
      <c r="BA81" s="48" t="e">
        <f t="shared" si="68"/>
        <v>#DIV/0!</v>
      </c>
    </row>
    <row r="82" spans="1:53" hidden="1" thickBot="1">
      <c r="A82" s="30"/>
      <c r="B82" s="31"/>
      <c r="C82" s="31"/>
      <c r="D82" s="31"/>
      <c r="E82" s="32"/>
      <c r="F82" s="33"/>
      <c r="G82" s="74"/>
      <c r="H82" s="70"/>
      <c r="I82" s="77">
        <f>IF(H82=Tablas!$B$5,Tablas!$C$5,VLOOKUP(H82,Tablas!$B$5:$D$40,2,FALSE))</f>
        <v>1</v>
      </c>
      <c r="J82" s="65">
        <f>IF(I82=0,"",VLOOKUP(I82,Tablas!$C$5:$D$40,2,FALSE))</f>
        <v>0</v>
      </c>
      <c r="K82" s="34" t="str">
        <f t="shared" si="69"/>
        <v>0</v>
      </c>
      <c r="L82" s="35">
        <f t="shared" si="70"/>
        <v>0</v>
      </c>
      <c r="M82" s="35">
        <f t="shared" si="71"/>
        <v>0</v>
      </c>
      <c r="N82" s="35">
        <f t="shared" si="72"/>
        <v>0</v>
      </c>
      <c r="O82" s="35">
        <f t="shared" si="73"/>
        <v>0</v>
      </c>
      <c r="P82" s="35">
        <f t="shared" si="74"/>
        <v>0</v>
      </c>
      <c r="Q82" s="36">
        <v>0.75</v>
      </c>
      <c r="R82" s="37">
        <f t="shared" si="75"/>
        <v>0</v>
      </c>
      <c r="S82" s="36">
        <v>0.75</v>
      </c>
      <c r="T82" s="38">
        <f t="shared" si="76"/>
        <v>0</v>
      </c>
      <c r="U82" s="39">
        <f t="shared" si="77"/>
        <v>0</v>
      </c>
      <c r="V82" s="40">
        <f t="shared" si="53"/>
        <v>0</v>
      </c>
      <c r="W82" s="41">
        <f t="shared" si="78"/>
        <v>0</v>
      </c>
      <c r="X82" s="42">
        <f t="shared" si="79"/>
        <v>0</v>
      </c>
      <c r="Y82" s="43" t="s">
        <v>0</v>
      </c>
      <c r="Z82" s="36">
        <v>1</v>
      </c>
      <c r="AA82" s="44">
        <f t="shared" si="80"/>
        <v>0</v>
      </c>
      <c r="AB82" s="36">
        <v>1</v>
      </c>
      <c r="AC82" s="44">
        <f t="shared" si="81"/>
        <v>0</v>
      </c>
      <c r="AD82" s="36">
        <v>1</v>
      </c>
      <c r="AE82" s="44">
        <f t="shared" si="82"/>
        <v>0</v>
      </c>
      <c r="AF82" s="45"/>
      <c r="AG82" s="46" t="e">
        <f t="shared" si="54"/>
        <v>#DIV/0!</v>
      </c>
      <c r="AH82" s="47" t="e">
        <f t="shared" si="55"/>
        <v>#DIV/0!</v>
      </c>
      <c r="AI82" s="45"/>
      <c r="AJ82" s="46" t="e">
        <f t="shared" si="56"/>
        <v>#DIV/0!</v>
      </c>
      <c r="AK82" s="47" t="e">
        <f t="shared" si="57"/>
        <v>#DIV/0!</v>
      </c>
      <c r="AL82" s="45"/>
      <c r="AM82" s="46" t="e">
        <f t="shared" si="58"/>
        <v>#DIV/0!</v>
      </c>
      <c r="AN82" s="47" t="e">
        <f t="shared" si="59"/>
        <v>#DIV/0!</v>
      </c>
      <c r="AO82" s="45"/>
      <c r="AP82" s="46" t="e">
        <f t="shared" si="60"/>
        <v>#DIV/0!</v>
      </c>
      <c r="AQ82" s="47" t="e">
        <f t="shared" si="61"/>
        <v>#DIV/0!</v>
      </c>
      <c r="AR82" s="45"/>
      <c r="AS82" s="46">
        <f t="shared" si="62"/>
        <v>0</v>
      </c>
      <c r="AT82" s="47">
        <f t="shared" si="63"/>
        <v>0</v>
      </c>
      <c r="AU82" s="45"/>
      <c r="AV82" s="46" t="e">
        <f t="shared" si="64"/>
        <v>#DIV/0!</v>
      </c>
      <c r="AW82" s="47" t="e">
        <f t="shared" si="65"/>
        <v>#DIV/0!</v>
      </c>
      <c r="AX82" s="45"/>
      <c r="AY82" s="46">
        <f t="shared" si="66"/>
        <v>0</v>
      </c>
      <c r="AZ82" s="47">
        <f t="shared" si="67"/>
        <v>0</v>
      </c>
      <c r="BA82" s="48" t="e">
        <f t="shared" si="68"/>
        <v>#DIV/0!</v>
      </c>
    </row>
    <row r="83" spans="1:53" hidden="1" thickBot="1">
      <c r="A83" s="30"/>
      <c r="B83" s="31"/>
      <c r="C83" s="31"/>
      <c r="D83" s="31"/>
      <c r="E83" s="32"/>
      <c r="F83" s="33"/>
      <c r="G83" s="74"/>
      <c r="H83" s="70"/>
      <c r="I83" s="77">
        <f>IF(H83=Tablas!$B$5,Tablas!$C$5,VLOOKUP(H83,Tablas!$B$5:$D$40,2,FALSE))</f>
        <v>1</v>
      </c>
      <c r="J83" s="65">
        <f>IF(I83=0,"",VLOOKUP(I83,Tablas!$C$5:$D$40,2,FALSE))</f>
        <v>0</v>
      </c>
      <c r="K83" s="34" t="str">
        <f t="shared" si="69"/>
        <v>0</v>
      </c>
      <c r="L83" s="35">
        <f t="shared" si="70"/>
        <v>0</v>
      </c>
      <c r="M83" s="35">
        <f t="shared" si="71"/>
        <v>0</v>
      </c>
      <c r="N83" s="35">
        <f t="shared" si="72"/>
        <v>0</v>
      </c>
      <c r="O83" s="35">
        <f t="shared" si="73"/>
        <v>0</v>
      </c>
      <c r="P83" s="35">
        <f t="shared" si="74"/>
        <v>0</v>
      </c>
      <c r="Q83" s="36">
        <v>0.75</v>
      </c>
      <c r="R83" s="37">
        <f t="shared" si="75"/>
        <v>0</v>
      </c>
      <c r="S83" s="36">
        <v>0.75</v>
      </c>
      <c r="T83" s="38">
        <f t="shared" si="76"/>
        <v>0</v>
      </c>
      <c r="U83" s="39">
        <f t="shared" si="77"/>
        <v>0</v>
      </c>
      <c r="V83" s="40">
        <f t="shared" si="53"/>
        <v>0</v>
      </c>
      <c r="W83" s="41">
        <f t="shared" si="78"/>
        <v>0</v>
      </c>
      <c r="X83" s="42">
        <f t="shared" si="79"/>
        <v>0</v>
      </c>
      <c r="Y83" s="43" t="s">
        <v>0</v>
      </c>
      <c r="Z83" s="36">
        <v>1</v>
      </c>
      <c r="AA83" s="44">
        <f t="shared" si="80"/>
        <v>0</v>
      </c>
      <c r="AB83" s="36">
        <v>1</v>
      </c>
      <c r="AC83" s="44">
        <f t="shared" si="81"/>
        <v>0</v>
      </c>
      <c r="AD83" s="36">
        <v>1</v>
      </c>
      <c r="AE83" s="44">
        <f t="shared" si="82"/>
        <v>0</v>
      </c>
      <c r="AF83" s="45"/>
      <c r="AG83" s="46" t="e">
        <f t="shared" si="54"/>
        <v>#DIV/0!</v>
      </c>
      <c r="AH83" s="47" t="e">
        <f t="shared" si="55"/>
        <v>#DIV/0!</v>
      </c>
      <c r="AI83" s="45"/>
      <c r="AJ83" s="46" t="e">
        <f t="shared" si="56"/>
        <v>#DIV/0!</v>
      </c>
      <c r="AK83" s="47" t="e">
        <f t="shared" si="57"/>
        <v>#DIV/0!</v>
      </c>
      <c r="AL83" s="45"/>
      <c r="AM83" s="46" t="e">
        <f t="shared" si="58"/>
        <v>#DIV/0!</v>
      </c>
      <c r="AN83" s="47" t="e">
        <f t="shared" si="59"/>
        <v>#DIV/0!</v>
      </c>
      <c r="AO83" s="45"/>
      <c r="AP83" s="46" t="e">
        <f t="shared" si="60"/>
        <v>#DIV/0!</v>
      </c>
      <c r="AQ83" s="47" t="e">
        <f t="shared" si="61"/>
        <v>#DIV/0!</v>
      </c>
      <c r="AR83" s="45"/>
      <c r="AS83" s="46">
        <f t="shared" si="62"/>
        <v>0</v>
      </c>
      <c r="AT83" s="47">
        <f t="shared" si="63"/>
        <v>0</v>
      </c>
      <c r="AU83" s="45"/>
      <c r="AV83" s="46" t="e">
        <f t="shared" si="64"/>
        <v>#DIV/0!</v>
      </c>
      <c r="AW83" s="47" t="e">
        <f t="shared" si="65"/>
        <v>#DIV/0!</v>
      </c>
      <c r="AX83" s="45"/>
      <c r="AY83" s="46">
        <f t="shared" si="66"/>
        <v>0</v>
      </c>
      <c r="AZ83" s="47">
        <f t="shared" si="67"/>
        <v>0</v>
      </c>
      <c r="BA83" s="48" t="e">
        <f t="shared" si="68"/>
        <v>#DIV/0!</v>
      </c>
    </row>
    <row r="84" spans="1:53" hidden="1" thickBot="1">
      <c r="A84" s="30"/>
      <c r="B84" s="31"/>
      <c r="C84" s="31"/>
      <c r="D84" s="31"/>
      <c r="E84" s="32"/>
      <c r="F84" s="33"/>
      <c r="G84" s="74"/>
      <c r="H84" s="70"/>
      <c r="I84" s="77">
        <f>IF(H84=Tablas!$B$5,Tablas!$C$5,VLOOKUP(H84,Tablas!$B$5:$D$40,2,FALSE))</f>
        <v>1</v>
      </c>
      <c r="J84" s="65">
        <f>IF(I84=0,"",VLOOKUP(I84,Tablas!$C$5:$D$40,2,FALSE))</f>
        <v>0</v>
      </c>
      <c r="K84" s="34" t="str">
        <f t="shared" si="69"/>
        <v>0</v>
      </c>
      <c r="L84" s="35">
        <f t="shared" si="70"/>
        <v>0</v>
      </c>
      <c r="M84" s="35">
        <f t="shared" si="71"/>
        <v>0</v>
      </c>
      <c r="N84" s="35">
        <f t="shared" si="72"/>
        <v>0</v>
      </c>
      <c r="O84" s="35">
        <f t="shared" si="73"/>
        <v>0</v>
      </c>
      <c r="P84" s="35">
        <f t="shared" si="74"/>
        <v>0</v>
      </c>
      <c r="Q84" s="36">
        <v>0.75</v>
      </c>
      <c r="R84" s="37">
        <f t="shared" si="75"/>
        <v>0</v>
      </c>
      <c r="S84" s="36">
        <v>0.75</v>
      </c>
      <c r="T84" s="38">
        <f t="shared" si="76"/>
        <v>0</v>
      </c>
      <c r="U84" s="39">
        <f t="shared" si="77"/>
        <v>0</v>
      </c>
      <c r="V84" s="40">
        <f t="shared" si="53"/>
        <v>0</v>
      </c>
      <c r="W84" s="41">
        <f t="shared" si="78"/>
        <v>0</v>
      </c>
      <c r="X84" s="42">
        <f t="shared" si="79"/>
        <v>0</v>
      </c>
      <c r="Y84" s="43" t="s">
        <v>0</v>
      </c>
      <c r="Z84" s="36">
        <v>1</v>
      </c>
      <c r="AA84" s="44">
        <f t="shared" si="80"/>
        <v>0</v>
      </c>
      <c r="AB84" s="36">
        <v>1</v>
      </c>
      <c r="AC84" s="44">
        <f t="shared" si="81"/>
        <v>0</v>
      </c>
      <c r="AD84" s="36">
        <v>1</v>
      </c>
      <c r="AE84" s="44">
        <f t="shared" si="82"/>
        <v>0</v>
      </c>
      <c r="AF84" s="45"/>
      <c r="AG84" s="46" t="e">
        <f t="shared" si="54"/>
        <v>#DIV/0!</v>
      </c>
      <c r="AH84" s="47" t="e">
        <f t="shared" si="55"/>
        <v>#DIV/0!</v>
      </c>
      <c r="AI84" s="45"/>
      <c r="AJ84" s="46" t="e">
        <f t="shared" si="56"/>
        <v>#DIV/0!</v>
      </c>
      <c r="AK84" s="47" t="e">
        <f t="shared" si="57"/>
        <v>#DIV/0!</v>
      </c>
      <c r="AL84" s="45"/>
      <c r="AM84" s="46" t="e">
        <f t="shared" si="58"/>
        <v>#DIV/0!</v>
      </c>
      <c r="AN84" s="47" t="e">
        <f t="shared" si="59"/>
        <v>#DIV/0!</v>
      </c>
      <c r="AO84" s="45"/>
      <c r="AP84" s="46" t="e">
        <f t="shared" si="60"/>
        <v>#DIV/0!</v>
      </c>
      <c r="AQ84" s="47" t="e">
        <f t="shared" si="61"/>
        <v>#DIV/0!</v>
      </c>
      <c r="AR84" s="45"/>
      <c r="AS84" s="46">
        <f t="shared" si="62"/>
        <v>0</v>
      </c>
      <c r="AT84" s="47">
        <f t="shared" si="63"/>
        <v>0</v>
      </c>
      <c r="AU84" s="45"/>
      <c r="AV84" s="46" t="e">
        <f t="shared" si="64"/>
        <v>#DIV/0!</v>
      </c>
      <c r="AW84" s="47" t="e">
        <f t="shared" si="65"/>
        <v>#DIV/0!</v>
      </c>
      <c r="AX84" s="45"/>
      <c r="AY84" s="46">
        <f t="shared" si="66"/>
        <v>0</v>
      </c>
      <c r="AZ84" s="47">
        <f t="shared" si="67"/>
        <v>0</v>
      </c>
      <c r="BA84" s="48" t="e">
        <f t="shared" si="68"/>
        <v>#DIV/0!</v>
      </c>
    </row>
    <row r="85" spans="1:53" hidden="1" thickBot="1">
      <c r="A85" s="30"/>
      <c r="B85" s="31"/>
      <c r="C85" s="31"/>
      <c r="D85" s="31"/>
      <c r="E85" s="32"/>
      <c r="F85" s="33"/>
      <c r="G85" s="74"/>
      <c r="H85" s="70"/>
      <c r="I85" s="77">
        <f>IF(H85=Tablas!$B$5,Tablas!$C$5,VLOOKUP(H85,Tablas!$B$5:$D$40,2,FALSE))</f>
        <v>1</v>
      </c>
      <c r="J85" s="65">
        <f>IF(I85=0,"",VLOOKUP(I85,Tablas!$C$5:$D$40,2,FALSE))</f>
        <v>0</v>
      </c>
      <c r="K85" s="34" t="str">
        <f t="shared" si="69"/>
        <v>0</v>
      </c>
      <c r="L85" s="35">
        <f t="shared" si="70"/>
        <v>0</v>
      </c>
      <c r="M85" s="35">
        <f t="shared" si="71"/>
        <v>0</v>
      </c>
      <c r="N85" s="35">
        <f t="shared" si="72"/>
        <v>0</v>
      </c>
      <c r="O85" s="35">
        <f t="shared" si="73"/>
        <v>0</v>
      </c>
      <c r="P85" s="35">
        <f t="shared" si="74"/>
        <v>0</v>
      </c>
      <c r="Q85" s="36">
        <v>0.75</v>
      </c>
      <c r="R85" s="37">
        <f t="shared" si="75"/>
        <v>0</v>
      </c>
      <c r="S85" s="36">
        <v>0.75</v>
      </c>
      <c r="T85" s="38">
        <f t="shared" si="76"/>
        <v>0</v>
      </c>
      <c r="U85" s="39">
        <f t="shared" si="77"/>
        <v>0</v>
      </c>
      <c r="V85" s="40">
        <f t="shared" si="53"/>
        <v>0</v>
      </c>
      <c r="W85" s="41">
        <f t="shared" si="78"/>
        <v>0</v>
      </c>
      <c r="X85" s="42">
        <f t="shared" si="79"/>
        <v>0</v>
      </c>
      <c r="Y85" s="43" t="s">
        <v>0</v>
      </c>
      <c r="Z85" s="36">
        <v>1</v>
      </c>
      <c r="AA85" s="44">
        <f t="shared" si="80"/>
        <v>0</v>
      </c>
      <c r="AB85" s="36">
        <v>1</v>
      </c>
      <c r="AC85" s="44">
        <f t="shared" si="81"/>
        <v>0</v>
      </c>
      <c r="AD85" s="36">
        <v>1</v>
      </c>
      <c r="AE85" s="44">
        <f t="shared" si="82"/>
        <v>0</v>
      </c>
      <c r="AF85" s="45"/>
      <c r="AG85" s="46" t="e">
        <f t="shared" si="54"/>
        <v>#DIV/0!</v>
      </c>
      <c r="AH85" s="47" t="e">
        <f t="shared" si="55"/>
        <v>#DIV/0!</v>
      </c>
      <c r="AI85" s="45"/>
      <c r="AJ85" s="46" t="e">
        <f t="shared" si="56"/>
        <v>#DIV/0!</v>
      </c>
      <c r="AK85" s="47" t="e">
        <f t="shared" si="57"/>
        <v>#DIV/0!</v>
      </c>
      <c r="AL85" s="45"/>
      <c r="AM85" s="46" t="e">
        <f t="shared" si="58"/>
        <v>#DIV/0!</v>
      </c>
      <c r="AN85" s="47" t="e">
        <f t="shared" si="59"/>
        <v>#DIV/0!</v>
      </c>
      <c r="AO85" s="45"/>
      <c r="AP85" s="46" t="e">
        <f t="shared" si="60"/>
        <v>#DIV/0!</v>
      </c>
      <c r="AQ85" s="47" t="e">
        <f t="shared" si="61"/>
        <v>#DIV/0!</v>
      </c>
      <c r="AR85" s="45"/>
      <c r="AS85" s="46">
        <f t="shared" si="62"/>
        <v>0</v>
      </c>
      <c r="AT85" s="47">
        <f t="shared" si="63"/>
        <v>0</v>
      </c>
      <c r="AU85" s="45"/>
      <c r="AV85" s="46" t="e">
        <f t="shared" si="64"/>
        <v>#DIV/0!</v>
      </c>
      <c r="AW85" s="47" t="e">
        <f t="shared" si="65"/>
        <v>#DIV/0!</v>
      </c>
      <c r="AX85" s="45"/>
      <c r="AY85" s="46">
        <f t="shared" si="66"/>
        <v>0</v>
      </c>
      <c r="AZ85" s="47">
        <f t="shared" si="67"/>
        <v>0</v>
      </c>
      <c r="BA85" s="48" t="e">
        <f t="shared" si="68"/>
        <v>#DIV/0!</v>
      </c>
    </row>
    <row r="86" spans="1:53" hidden="1" thickBot="1">
      <c r="A86" s="30"/>
      <c r="B86" s="31"/>
      <c r="C86" s="31"/>
      <c r="D86" s="31"/>
      <c r="E86" s="32"/>
      <c r="F86" s="33"/>
      <c r="G86" s="74"/>
      <c r="H86" s="70"/>
      <c r="I86" s="77">
        <f>IF(H86=Tablas!$B$5,Tablas!$C$5,VLOOKUP(H86,Tablas!$B$5:$D$40,2,FALSE))</f>
        <v>1</v>
      </c>
      <c r="J86" s="65">
        <f>IF(I86=0,"",VLOOKUP(I86,Tablas!$C$5:$D$40,2,FALSE))</f>
        <v>0</v>
      </c>
      <c r="K86" s="34" t="str">
        <f t="shared" si="69"/>
        <v>0</v>
      </c>
      <c r="L86" s="35">
        <f t="shared" si="70"/>
        <v>0</v>
      </c>
      <c r="M86" s="35">
        <f t="shared" si="71"/>
        <v>0</v>
      </c>
      <c r="N86" s="35">
        <f t="shared" si="72"/>
        <v>0</v>
      </c>
      <c r="O86" s="35">
        <f t="shared" si="73"/>
        <v>0</v>
      </c>
      <c r="P86" s="35">
        <f t="shared" si="74"/>
        <v>0</v>
      </c>
      <c r="Q86" s="36">
        <v>0.75</v>
      </c>
      <c r="R86" s="37">
        <f t="shared" si="75"/>
        <v>0</v>
      </c>
      <c r="S86" s="36">
        <v>0.75</v>
      </c>
      <c r="T86" s="38">
        <f t="shared" si="76"/>
        <v>0</v>
      </c>
      <c r="U86" s="39">
        <f t="shared" si="77"/>
        <v>0</v>
      </c>
      <c r="V86" s="40">
        <f t="shared" si="53"/>
        <v>0</v>
      </c>
      <c r="W86" s="41">
        <f t="shared" si="78"/>
        <v>0</v>
      </c>
      <c r="X86" s="42">
        <f t="shared" si="79"/>
        <v>0</v>
      </c>
      <c r="Y86" s="43" t="s">
        <v>0</v>
      </c>
      <c r="Z86" s="36">
        <v>1</v>
      </c>
      <c r="AA86" s="44">
        <f t="shared" si="80"/>
        <v>0</v>
      </c>
      <c r="AB86" s="36">
        <v>1</v>
      </c>
      <c r="AC86" s="44">
        <f t="shared" si="81"/>
        <v>0</v>
      </c>
      <c r="AD86" s="36">
        <v>1</v>
      </c>
      <c r="AE86" s="44">
        <f t="shared" si="82"/>
        <v>0</v>
      </c>
      <c r="AF86" s="45"/>
      <c r="AG86" s="46" t="e">
        <f t="shared" si="54"/>
        <v>#DIV/0!</v>
      </c>
      <c r="AH86" s="47" t="e">
        <f t="shared" si="55"/>
        <v>#DIV/0!</v>
      </c>
      <c r="AI86" s="45"/>
      <c r="AJ86" s="46" t="e">
        <f t="shared" si="56"/>
        <v>#DIV/0!</v>
      </c>
      <c r="AK86" s="47" t="e">
        <f t="shared" si="57"/>
        <v>#DIV/0!</v>
      </c>
      <c r="AL86" s="45"/>
      <c r="AM86" s="46" t="e">
        <f t="shared" si="58"/>
        <v>#DIV/0!</v>
      </c>
      <c r="AN86" s="47" t="e">
        <f t="shared" si="59"/>
        <v>#DIV/0!</v>
      </c>
      <c r="AO86" s="45"/>
      <c r="AP86" s="46" t="e">
        <f t="shared" si="60"/>
        <v>#DIV/0!</v>
      </c>
      <c r="AQ86" s="47" t="e">
        <f t="shared" si="61"/>
        <v>#DIV/0!</v>
      </c>
      <c r="AR86" s="45"/>
      <c r="AS86" s="46">
        <f t="shared" si="62"/>
        <v>0</v>
      </c>
      <c r="AT86" s="47">
        <f t="shared" si="63"/>
        <v>0</v>
      </c>
      <c r="AU86" s="45"/>
      <c r="AV86" s="46" t="e">
        <f t="shared" si="64"/>
        <v>#DIV/0!</v>
      </c>
      <c r="AW86" s="47" t="e">
        <f t="shared" si="65"/>
        <v>#DIV/0!</v>
      </c>
      <c r="AX86" s="45"/>
      <c r="AY86" s="46">
        <f t="shared" si="66"/>
        <v>0</v>
      </c>
      <c r="AZ86" s="47">
        <f t="shared" si="67"/>
        <v>0</v>
      </c>
      <c r="BA86" s="48" t="e">
        <f t="shared" si="68"/>
        <v>#DIV/0!</v>
      </c>
    </row>
    <row r="87" spans="1:53" hidden="1" thickBot="1">
      <c r="A87" s="30"/>
      <c r="B87" s="31"/>
      <c r="C87" s="31"/>
      <c r="D87" s="31"/>
      <c r="E87" s="32"/>
      <c r="F87" s="33"/>
      <c r="G87" s="74"/>
      <c r="H87" s="70"/>
      <c r="I87" s="77">
        <f>IF(H87=Tablas!$B$5,Tablas!$C$5,VLOOKUP(H87,Tablas!$B$5:$D$40,2,FALSE))</f>
        <v>1</v>
      </c>
      <c r="J87" s="65">
        <f>IF(I87=0,"",VLOOKUP(I87,Tablas!$C$5:$D$40,2,FALSE))</f>
        <v>0</v>
      </c>
      <c r="K87" s="34" t="str">
        <f t="shared" si="69"/>
        <v>0</v>
      </c>
      <c r="L87" s="35">
        <f t="shared" si="70"/>
        <v>0</v>
      </c>
      <c r="M87" s="35">
        <f t="shared" si="71"/>
        <v>0</v>
      </c>
      <c r="N87" s="35">
        <f t="shared" si="72"/>
        <v>0</v>
      </c>
      <c r="O87" s="35">
        <f t="shared" si="73"/>
        <v>0</v>
      </c>
      <c r="P87" s="35">
        <f t="shared" si="74"/>
        <v>0</v>
      </c>
      <c r="Q87" s="36">
        <v>0.75</v>
      </c>
      <c r="R87" s="37">
        <f t="shared" si="75"/>
        <v>0</v>
      </c>
      <c r="S87" s="36">
        <v>0.75</v>
      </c>
      <c r="T87" s="38">
        <f t="shared" si="76"/>
        <v>0</v>
      </c>
      <c r="U87" s="39">
        <f t="shared" si="77"/>
        <v>0</v>
      </c>
      <c r="V87" s="40">
        <f t="shared" si="53"/>
        <v>0</v>
      </c>
      <c r="W87" s="41">
        <f t="shared" si="78"/>
        <v>0</v>
      </c>
      <c r="X87" s="42">
        <f t="shared" si="79"/>
        <v>0</v>
      </c>
      <c r="Y87" s="43" t="s">
        <v>0</v>
      </c>
      <c r="Z87" s="36">
        <v>1</v>
      </c>
      <c r="AA87" s="44">
        <f t="shared" si="80"/>
        <v>0</v>
      </c>
      <c r="AB87" s="36">
        <v>1</v>
      </c>
      <c r="AC87" s="44">
        <f t="shared" si="81"/>
        <v>0</v>
      </c>
      <c r="AD87" s="36">
        <v>1</v>
      </c>
      <c r="AE87" s="44">
        <f t="shared" si="82"/>
        <v>0</v>
      </c>
      <c r="AF87" s="45"/>
      <c r="AG87" s="46" t="e">
        <f t="shared" si="54"/>
        <v>#DIV/0!</v>
      </c>
      <c r="AH87" s="47" t="e">
        <f t="shared" si="55"/>
        <v>#DIV/0!</v>
      </c>
      <c r="AI87" s="45"/>
      <c r="AJ87" s="46" t="e">
        <f t="shared" si="56"/>
        <v>#DIV/0!</v>
      </c>
      <c r="AK87" s="47" t="e">
        <f t="shared" si="57"/>
        <v>#DIV/0!</v>
      </c>
      <c r="AL87" s="45"/>
      <c r="AM87" s="46" t="e">
        <f t="shared" si="58"/>
        <v>#DIV/0!</v>
      </c>
      <c r="AN87" s="47" t="e">
        <f t="shared" si="59"/>
        <v>#DIV/0!</v>
      </c>
      <c r="AO87" s="45"/>
      <c r="AP87" s="46" t="e">
        <f t="shared" si="60"/>
        <v>#DIV/0!</v>
      </c>
      <c r="AQ87" s="47" t="e">
        <f t="shared" si="61"/>
        <v>#DIV/0!</v>
      </c>
      <c r="AR87" s="45"/>
      <c r="AS87" s="46">
        <f t="shared" si="62"/>
        <v>0</v>
      </c>
      <c r="AT87" s="47">
        <f t="shared" si="63"/>
        <v>0</v>
      </c>
      <c r="AU87" s="45"/>
      <c r="AV87" s="46" t="e">
        <f t="shared" si="64"/>
        <v>#DIV/0!</v>
      </c>
      <c r="AW87" s="47" t="e">
        <f t="shared" si="65"/>
        <v>#DIV/0!</v>
      </c>
      <c r="AX87" s="45"/>
      <c r="AY87" s="46">
        <f t="shared" si="66"/>
        <v>0</v>
      </c>
      <c r="AZ87" s="47">
        <f t="shared" si="67"/>
        <v>0</v>
      </c>
      <c r="BA87" s="48" t="e">
        <f t="shared" si="68"/>
        <v>#DIV/0!</v>
      </c>
    </row>
    <row r="88" spans="1:53" hidden="1" thickBot="1">
      <c r="A88" s="30"/>
      <c r="B88" s="31"/>
      <c r="C88" s="31"/>
      <c r="D88" s="31"/>
      <c r="E88" s="32"/>
      <c r="F88" s="33"/>
      <c r="G88" s="74"/>
      <c r="H88" s="70"/>
      <c r="I88" s="77">
        <f>IF(H88=Tablas!$B$5,Tablas!$C$5,VLOOKUP(H88,Tablas!$B$5:$D$40,2,FALSE))</f>
        <v>1</v>
      </c>
      <c r="J88" s="65">
        <f>IF(I88=0,"",VLOOKUP(I88,Tablas!$C$5:$D$40,2,FALSE))</f>
        <v>0</v>
      </c>
      <c r="K88" s="34" t="str">
        <f t="shared" si="69"/>
        <v>0</v>
      </c>
      <c r="L88" s="35">
        <f t="shared" si="70"/>
        <v>0</v>
      </c>
      <c r="M88" s="35">
        <f t="shared" si="71"/>
        <v>0</v>
      </c>
      <c r="N88" s="35">
        <f t="shared" si="72"/>
        <v>0</v>
      </c>
      <c r="O88" s="35">
        <f t="shared" si="73"/>
        <v>0</v>
      </c>
      <c r="P88" s="35">
        <f t="shared" si="74"/>
        <v>0</v>
      </c>
      <c r="Q88" s="36">
        <v>0.75</v>
      </c>
      <c r="R88" s="37">
        <f t="shared" si="75"/>
        <v>0</v>
      </c>
      <c r="S88" s="36">
        <v>0.75</v>
      </c>
      <c r="T88" s="38">
        <f t="shared" si="76"/>
        <v>0</v>
      </c>
      <c r="U88" s="39">
        <f t="shared" si="77"/>
        <v>0</v>
      </c>
      <c r="V88" s="40">
        <f t="shared" si="53"/>
        <v>0</v>
      </c>
      <c r="W88" s="41">
        <f t="shared" si="78"/>
        <v>0</v>
      </c>
      <c r="X88" s="42">
        <f t="shared" si="79"/>
        <v>0</v>
      </c>
      <c r="Y88" s="43" t="s">
        <v>0</v>
      </c>
      <c r="Z88" s="36">
        <v>1</v>
      </c>
      <c r="AA88" s="44">
        <f t="shared" si="80"/>
        <v>0</v>
      </c>
      <c r="AB88" s="36">
        <v>1</v>
      </c>
      <c r="AC88" s="44">
        <f t="shared" si="81"/>
        <v>0</v>
      </c>
      <c r="AD88" s="36">
        <v>1</v>
      </c>
      <c r="AE88" s="44">
        <f t="shared" si="82"/>
        <v>0</v>
      </c>
      <c r="AF88" s="45"/>
      <c r="AG88" s="46" t="e">
        <f t="shared" si="54"/>
        <v>#DIV/0!</v>
      </c>
      <c r="AH88" s="47" t="e">
        <f t="shared" si="55"/>
        <v>#DIV/0!</v>
      </c>
      <c r="AI88" s="45"/>
      <c r="AJ88" s="46" t="e">
        <f t="shared" si="56"/>
        <v>#DIV/0!</v>
      </c>
      <c r="AK88" s="47" t="e">
        <f t="shared" si="57"/>
        <v>#DIV/0!</v>
      </c>
      <c r="AL88" s="45"/>
      <c r="AM88" s="46" t="e">
        <f t="shared" si="58"/>
        <v>#DIV/0!</v>
      </c>
      <c r="AN88" s="47" t="e">
        <f t="shared" si="59"/>
        <v>#DIV/0!</v>
      </c>
      <c r="AO88" s="45"/>
      <c r="AP88" s="46" t="e">
        <f t="shared" si="60"/>
        <v>#DIV/0!</v>
      </c>
      <c r="AQ88" s="47" t="e">
        <f t="shared" si="61"/>
        <v>#DIV/0!</v>
      </c>
      <c r="AR88" s="45"/>
      <c r="AS88" s="46">
        <f t="shared" si="62"/>
        <v>0</v>
      </c>
      <c r="AT88" s="47">
        <f t="shared" si="63"/>
        <v>0</v>
      </c>
      <c r="AU88" s="45"/>
      <c r="AV88" s="46" t="e">
        <f t="shared" si="64"/>
        <v>#DIV/0!</v>
      </c>
      <c r="AW88" s="47" t="e">
        <f t="shared" si="65"/>
        <v>#DIV/0!</v>
      </c>
      <c r="AX88" s="45"/>
      <c r="AY88" s="46">
        <f t="shared" si="66"/>
        <v>0</v>
      </c>
      <c r="AZ88" s="47">
        <f t="shared" si="67"/>
        <v>0</v>
      </c>
      <c r="BA88" s="48" t="e">
        <f t="shared" si="68"/>
        <v>#DIV/0!</v>
      </c>
    </row>
    <row r="89" spans="1:53" hidden="1" thickBot="1">
      <c r="A89" s="30"/>
      <c r="B89" s="31"/>
      <c r="C89" s="31"/>
      <c r="D89" s="31"/>
      <c r="E89" s="32"/>
      <c r="F89" s="33"/>
      <c r="G89" s="74"/>
      <c r="H89" s="70"/>
      <c r="I89" s="77">
        <f>IF(H89=Tablas!$B$5,Tablas!$C$5,VLOOKUP(H89,Tablas!$B$5:$D$40,2,FALSE))</f>
        <v>1</v>
      </c>
      <c r="J89" s="65">
        <f>IF(I89=0,"",VLOOKUP(I89,Tablas!$C$5:$D$40,2,FALSE))</f>
        <v>0</v>
      </c>
      <c r="K89" s="34" t="str">
        <f t="shared" si="69"/>
        <v>0</v>
      </c>
      <c r="L89" s="35">
        <f t="shared" si="70"/>
        <v>0</v>
      </c>
      <c r="M89" s="35">
        <f t="shared" si="71"/>
        <v>0</v>
      </c>
      <c r="N89" s="35">
        <f t="shared" si="72"/>
        <v>0</v>
      </c>
      <c r="O89" s="35">
        <f t="shared" si="73"/>
        <v>0</v>
      </c>
      <c r="P89" s="35">
        <f t="shared" si="74"/>
        <v>0</v>
      </c>
      <c r="Q89" s="36">
        <v>0.75</v>
      </c>
      <c r="R89" s="37">
        <f t="shared" si="75"/>
        <v>0</v>
      </c>
      <c r="S89" s="36">
        <v>0.75</v>
      </c>
      <c r="T89" s="38">
        <f t="shared" si="76"/>
        <v>0</v>
      </c>
      <c r="U89" s="39">
        <f t="shared" si="77"/>
        <v>0</v>
      </c>
      <c r="V89" s="40">
        <f t="shared" si="53"/>
        <v>0</v>
      </c>
      <c r="W89" s="41">
        <f t="shared" si="78"/>
        <v>0</v>
      </c>
      <c r="X89" s="42">
        <f t="shared" si="79"/>
        <v>0</v>
      </c>
      <c r="Y89" s="43" t="s">
        <v>0</v>
      </c>
      <c r="Z89" s="36">
        <v>1</v>
      </c>
      <c r="AA89" s="44">
        <f t="shared" si="80"/>
        <v>0</v>
      </c>
      <c r="AB89" s="36">
        <v>1</v>
      </c>
      <c r="AC89" s="44">
        <f t="shared" si="81"/>
        <v>0</v>
      </c>
      <c r="AD89" s="36">
        <v>1</v>
      </c>
      <c r="AE89" s="44">
        <f t="shared" si="82"/>
        <v>0</v>
      </c>
      <c r="AF89" s="45"/>
      <c r="AG89" s="46" t="e">
        <f t="shared" si="54"/>
        <v>#DIV/0!</v>
      </c>
      <c r="AH89" s="47" t="e">
        <f t="shared" si="55"/>
        <v>#DIV/0!</v>
      </c>
      <c r="AI89" s="45"/>
      <c r="AJ89" s="46" t="e">
        <f t="shared" si="56"/>
        <v>#DIV/0!</v>
      </c>
      <c r="AK89" s="47" t="e">
        <f t="shared" si="57"/>
        <v>#DIV/0!</v>
      </c>
      <c r="AL89" s="45"/>
      <c r="AM89" s="46" t="e">
        <f t="shared" si="58"/>
        <v>#DIV/0!</v>
      </c>
      <c r="AN89" s="47" t="e">
        <f t="shared" si="59"/>
        <v>#DIV/0!</v>
      </c>
      <c r="AO89" s="45"/>
      <c r="AP89" s="46" t="e">
        <f t="shared" si="60"/>
        <v>#DIV/0!</v>
      </c>
      <c r="AQ89" s="47" t="e">
        <f t="shared" si="61"/>
        <v>#DIV/0!</v>
      </c>
      <c r="AR89" s="45"/>
      <c r="AS89" s="46">
        <f t="shared" si="62"/>
        <v>0</v>
      </c>
      <c r="AT89" s="47">
        <f t="shared" si="63"/>
        <v>0</v>
      </c>
      <c r="AU89" s="45"/>
      <c r="AV89" s="46" t="e">
        <f t="shared" si="64"/>
        <v>#DIV/0!</v>
      </c>
      <c r="AW89" s="47" t="e">
        <f t="shared" si="65"/>
        <v>#DIV/0!</v>
      </c>
      <c r="AX89" s="45"/>
      <c r="AY89" s="46">
        <f t="shared" si="66"/>
        <v>0</v>
      </c>
      <c r="AZ89" s="47">
        <f t="shared" si="67"/>
        <v>0</v>
      </c>
      <c r="BA89" s="48" t="e">
        <f t="shared" si="68"/>
        <v>#DIV/0!</v>
      </c>
    </row>
    <row r="90" spans="1:53" hidden="1" thickBot="1">
      <c r="A90" s="30"/>
      <c r="B90" s="31"/>
      <c r="C90" s="31"/>
      <c r="D90" s="31"/>
      <c r="E90" s="32"/>
      <c r="F90" s="33"/>
      <c r="G90" s="74"/>
      <c r="H90" s="70"/>
      <c r="I90" s="77">
        <f>IF(H90=Tablas!$B$5,Tablas!$C$5,VLOOKUP(H90,Tablas!$B$5:$D$40,2,FALSE))</f>
        <v>1</v>
      </c>
      <c r="J90" s="65">
        <f>IF(I90=0,"",VLOOKUP(I90,Tablas!$C$5:$D$40,2,FALSE))</f>
        <v>0</v>
      </c>
      <c r="K90" s="34" t="str">
        <f t="shared" si="69"/>
        <v>0</v>
      </c>
      <c r="L90" s="35">
        <f t="shared" si="70"/>
        <v>0</v>
      </c>
      <c r="M90" s="35">
        <f t="shared" si="71"/>
        <v>0</v>
      </c>
      <c r="N90" s="35">
        <f t="shared" si="72"/>
        <v>0</v>
      </c>
      <c r="O90" s="35">
        <f t="shared" si="73"/>
        <v>0</v>
      </c>
      <c r="P90" s="35">
        <f t="shared" si="74"/>
        <v>0</v>
      </c>
      <c r="Q90" s="36">
        <v>0.75</v>
      </c>
      <c r="R90" s="37">
        <f t="shared" si="75"/>
        <v>0</v>
      </c>
      <c r="S90" s="36">
        <v>0.75</v>
      </c>
      <c r="T90" s="38">
        <f t="shared" si="76"/>
        <v>0</v>
      </c>
      <c r="U90" s="39">
        <f t="shared" si="77"/>
        <v>0</v>
      </c>
      <c r="V90" s="40">
        <f t="shared" si="53"/>
        <v>0</v>
      </c>
      <c r="W90" s="41">
        <f t="shared" si="78"/>
        <v>0</v>
      </c>
      <c r="X90" s="42">
        <f t="shared" si="79"/>
        <v>0</v>
      </c>
      <c r="Y90" s="43" t="s">
        <v>0</v>
      </c>
      <c r="Z90" s="36">
        <v>1</v>
      </c>
      <c r="AA90" s="44">
        <f t="shared" si="80"/>
        <v>0</v>
      </c>
      <c r="AB90" s="36">
        <v>1</v>
      </c>
      <c r="AC90" s="44">
        <f t="shared" si="81"/>
        <v>0</v>
      </c>
      <c r="AD90" s="36">
        <v>1</v>
      </c>
      <c r="AE90" s="44">
        <f t="shared" si="82"/>
        <v>0</v>
      </c>
      <c r="AF90" s="45"/>
      <c r="AG90" s="46" t="e">
        <f t="shared" si="54"/>
        <v>#DIV/0!</v>
      </c>
      <c r="AH90" s="47" t="e">
        <f t="shared" si="55"/>
        <v>#DIV/0!</v>
      </c>
      <c r="AI90" s="45"/>
      <c r="AJ90" s="46" t="e">
        <f t="shared" si="56"/>
        <v>#DIV/0!</v>
      </c>
      <c r="AK90" s="47" t="e">
        <f t="shared" si="57"/>
        <v>#DIV/0!</v>
      </c>
      <c r="AL90" s="45"/>
      <c r="AM90" s="46" t="e">
        <f t="shared" si="58"/>
        <v>#DIV/0!</v>
      </c>
      <c r="AN90" s="47" t="e">
        <f t="shared" si="59"/>
        <v>#DIV/0!</v>
      </c>
      <c r="AO90" s="45"/>
      <c r="AP90" s="46" t="e">
        <f t="shared" si="60"/>
        <v>#DIV/0!</v>
      </c>
      <c r="AQ90" s="47" t="e">
        <f t="shared" si="61"/>
        <v>#DIV/0!</v>
      </c>
      <c r="AR90" s="45"/>
      <c r="AS90" s="46">
        <f t="shared" si="62"/>
        <v>0</v>
      </c>
      <c r="AT90" s="47">
        <f t="shared" si="63"/>
        <v>0</v>
      </c>
      <c r="AU90" s="45"/>
      <c r="AV90" s="46" t="e">
        <f t="shared" si="64"/>
        <v>#DIV/0!</v>
      </c>
      <c r="AW90" s="47" t="e">
        <f t="shared" si="65"/>
        <v>#DIV/0!</v>
      </c>
      <c r="AX90" s="45"/>
      <c r="AY90" s="46">
        <f t="shared" si="66"/>
        <v>0</v>
      </c>
      <c r="AZ90" s="47">
        <f t="shared" si="67"/>
        <v>0</v>
      </c>
      <c r="BA90" s="48" t="e">
        <f t="shared" si="68"/>
        <v>#DIV/0!</v>
      </c>
    </row>
    <row r="91" spans="1:53" hidden="1" thickBot="1">
      <c r="A91" s="30"/>
      <c r="B91" s="31"/>
      <c r="C91" s="31"/>
      <c r="D91" s="31"/>
      <c r="E91" s="32"/>
      <c r="F91" s="33"/>
      <c r="G91" s="74"/>
      <c r="H91" s="70"/>
      <c r="I91" s="77">
        <f>IF(H91=Tablas!$B$5,Tablas!$C$5,VLOOKUP(H91,Tablas!$B$5:$D$40,2,FALSE))</f>
        <v>1</v>
      </c>
      <c r="J91" s="65">
        <f>IF(I91=0,"",VLOOKUP(I91,Tablas!$C$5:$D$40,2,FALSE))</f>
        <v>0</v>
      </c>
      <c r="K91" s="34" t="str">
        <f t="shared" si="69"/>
        <v>0</v>
      </c>
      <c r="L91" s="35">
        <f t="shared" si="70"/>
        <v>0</v>
      </c>
      <c r="M91" s="35">
        <f t="shared" si="71"/>
        <v>0</v>
      </c>
      <c r="N91" s="35">
        <f t="shared" si="72"/>
        <v>0</v>
      </c>
      <c r="O91" s="35">
        <f t="shared" si="73"/>
        <v>0</v>
      </c>
      <c r="P91" s="35">
        <f t="shared" si="74"/>
        <v>0</v>
      </c>
      <c r="Q91" s="36">
        <v>0.75</v>
      </c>
      <c r="R91" s="37">
        <f t="shared" si="75"/>
        <v>0</v>
      </c>
      <c r="S91" s="36">
        <v>0.75</v>
      </c>
      <c r="T91" s="38">
        <f t="shared" si="76"/>
        <v>0</v>
      </c>
      <c r="U91" s="39">
        <f t="shared" si="77"/>
        <v>0</v>
      </c>
      <c r="V91" s="40">
        <f t="shared" si="53"/>
        <v>0</v>
      </c>
      <c r="W91" s="41">
        <f t="shared" si="78"/>
        <v>0</v>
      </c>
      <c r="X91" s="42">
        <f t="shared" si="79"/>
        <v>0</v>
      </c>
      <c r="Y91" s="43" t="s">
        <v>0</v>
      </c>
      <c r="Z91" s="36">
        <v>1</v>
      </c>
      <c r="AA91" s="44">
        <f t="shared" si="80"/>
        <v>0</v>
      </c>
      <c r="AB91" s="36">
        <v>1</v>
      </c>
      <c r="AC91" s="44">
        <f t="shared" si="81"/>
        <v>0</v>
      </c>
      <c r="AD91" s="36">
        <v>1</v>
      </c>
      <c r="AE91" s="44">
        <f t="shared" si="82"/>
        <v>0</v>
      </c>
      <c r="AF91" s="45"/>
      <c r="AG91" s="46" t="e">
        <f t="shared" si="54"/>
        <v>#DIV/0!</v>
      </c>
      <c r="AH91" s="47" t="e">
        <f t="shared" si="55"/>
        <v>#DIV/0!</v>
      </c>
      <c r="AI91" s="45"/>
      <c r="AJ91" s="46" t="e">
        <f t="shared" si="56"/>
        <v>#DIV/0!</v>
      </c>
      <c r="AK91" s="47" t="e">
        <f t="shared" si="57"/>
        <v>#DIV/0!</v>
      </c>
      <c r="AL91" s="45"/>
      <c r="AM91" s="46" t="e">
        <f t="shared" si="58"/>
        <v>#DIV/0!</v>
      </c>
      <c r="AN91" s="47" t="e">
        <f t="shared" si="59"/>
        <v>#DIV/0!</v>
      </c>
      <c r="AO91" s="45"/>
      <c r="AP91" s="46" t="e">
        <f t="shared" si="60"/>
        <v>#DIV/0!</v>
      </c>
      <c r="AQ91" s="47" t="e">
        <f t="shared" si="61"/>
        <v>#DIV/0!</v>
      </c>
      <c r="AR91" s="45"/>
      <c r="AS91" s="46">
        <f t="shared" si="62"/>
        <v>0</v>
      </c>
      <c r="AT91" s="47">
        <f t="shared" si="63"/>
        <v>0</v>
      </c>
      <c r="AU91" s="45"/>
      <c r="AV91" s="46" t="e">
        <f t="shared" si="64"/>
        <v>#DIV/0!</v>
      </c>
      <c r="AW91" s="47" t="e">
        <f t="shared" si="65"/>
        <v>#DIV/0!</v>
      </c>
      <c r="AX91" s="45"/>
      <c r="AY91" s="46">
        <f t="shared" si="66"/>
        <v>0</v>
      </c>
      <c r="AZ91" s="47">
        <f t="shared" si="67"/>
        <v>0</v>
      </c>
      <c r="BA91" s="48" t="e">
        <f t="shared" si="68"/>
        <v>#DIV/0!</v>
      </c>
    </row>
    <row r="92" spans="1:53" hidden="1" thickBot="1">
      <c r="A92" s="30"/>
      <c r="B92" s="31"/>
      <c r="C92" s="31"/>
      <c r="D92" s="31"/>
      <c r="E92" s="32"/>
      <c r="F92" s="33"/>
      <c r="G92" s="74"/>
      <c r="H92" s="70"/>
      <c r="I92" s="77">
        <f>IF(H92=Tablas!$B$5,Tablas!$C$5,VLOOKUP(H92,Tablas!$B$5:$D$40,2,FALSE))</f>
        <v>1</v>
      </c>
      <c r="J92" s="65">
        <f>IF(I92=0,"",VLOOKUP(I92,Tablas!$C$5:$D$40,2,FALSE))</f>
        <v>0</v>
      </c>
      <c r="K92" s="34" t="str">
        <f t="shared" si="69"/>
        <v>0</v>
      </c>
      <c r="L92" s="35">
        <f t="shared" si="70"/>
        <v>0</v>
      </c>
      <c r="M92" s="35">
        <f t="shared" si="71"/>
        <v>0</v>
      </c>
      <c r="N92" s="35">
        <f t="shared" si="72"/>
        <v>0</v>
      </c>
      <c r="O92" s="35">
        <f t="shared" si="73"/>
        <v>0</v>
      </c>
      <c r="P92" s="35">
        <f t="shared" si="74"/>
        <v>0</v>
      </c>
      <c r="Q92" s="36">
        <v>0.75</v>
      </c>
      <c r="R92" s="37">
        <f t="shared" si="75"/>
        <v>0</v>
      </c>
      <c r="S92" s="36">
        <v>0.75</v>
      </c>
      <c r="T92" s="38">
        <f t="shared" si="76"/>
        <v>0</v>
      </c>
      <c r="U92" s="39">
        <f t="shared" si="77"/>
        <v>0</v>
      </c>
      <c r="V92" s="40">
        <f t="shared" si="53"/>
        <v>0</v>
      </c>
      <c r="W92" s="41">
        <f t="shared" si="78"/>
        <v>0</v>
      </c>
      <c r="X92" s="42">
        <f t="shared" si="79"/>
        <v>0</v>
      </c>
      <c r="Y92" s="43" t="s">
        <v>0</v>
      </c>
      <c r="Z92" s="36">
        <v>1</v>
      </c>
      <c r="AA92" s="44">
        <f t="shared" si="80"/>
        <v>0</v>
      </c>
      <c r="AB92" s="36">
        <v>1</v>
      </c>
      <c r="AC92" s="44">
        <f t="shared" si="81"/>
        <v>0</v>
      </c>
      <c r="AD92" s="36">
        <v>1</v>
      </c>
      <c r="AE92" s="44">
        <f t="shared" si="82"/>
        <v>0</v>
      </c>
      <c r="AF92" s="45"/>
      <c r="AG92" s="46" t="e">
        <f t="shared" si="54"/>
        <v>#DIV/0!</v>
      </c>
      <c r="AH92" s="47" t="e">
        <f t="shared" si="55"/>
        <v>#DIV/0!</v>
      </c>
      <c r="AI92" s="45"/>
      <c r="AJ92" s="46" t="e">
        <f t="shared" si="56"/>
        <v>#DIV/0!</v>
      </c>
      <c r="AK92" s="47" t="e">
        <f t="shared" si="57"/>
        <v>#DIV/0!</v>
      </c>
      <c r="AL92" s="45"/>
      <c r="AM92" s="46" t="e">
        <f t="shared" si="58"/>
        <v>#DIV/0!</v>
      </c>
      <c r="AN92" s="47" t="e">
        <f t="shared" si="59"/>
        <v>#DIV/0!</v>
      </c>
      <c r="AO92" s="45"/>
      <c r="AP92" s="46" t="e">
        <f t="shared" si="60"/>
        <v>#DIV/0!</v>
      </c>
      <c r="AQ92" s="47" t="e">
        <f t="shared" si="61"/>
        <v>#DIV/0!</v>
      </c>
      <c r="AR92" s="45"/>
      <c r="AS92" s="46">
        <f t="shared" si="62"/>
        <v>0</v>
      </c>
      <c r="AT92" s="47">
        <f t="shared" si="63"/>
        <v>0</v>
      </c>
      <c r="AU92" s="45"/>
      <c r="AV92" s="46" t="e">
        <f t="shared" si="64"/>
        <v>#DIV/0!</v>
      </c>
      <c r="AW92" s="47" t="e">
        <f t="shared" si="65"/>
        <v>#DIV/0!</v>
      </c>
      <c r="AX92" s="45"/>
      <c r="AY92" s="46">
        <f t="shared" si="66"/>
        <v>0</v>
      </c>
      <c r="AZ92" s="47">
        <f t="shared" si="67"/>
        <v>0</v>
      </c>
      <c r="BA92" s="48" t="e">
        <f t="shared" si="68"/>
        <v>#DIV/0!</v>
      </c>
    </row>
    <row r="93" spans="1:53" hidden="1" thickBot="1">
      <c r="A93" s="30"/>
      <c r="B93" s="31"/>
      <c r="C93" s="31"/>
      <c r="D93" s="31"/>
      <c r="E93" s="32"/>
      <c r="F93" s="33"/>
      <c r="G93" s="74"/>
      <c r="H93" s="70"/>
      <c r="I93" s="77">
        <f>IF(H93=Tablas!$B$5,Tablas!$C$5,VLOOKUP(H93,Tablas!$B$5:$D$40,2,FALSE))</f>
        <v>1</v>
      </c>
      <c r="J93" s="65">
        <f>IF(I93=0,"",VLOOKUP(I93,Tablas!$C$5:$D$40,2,FALSE))</f>
        <v>0</v>
      </c>
      <c r="K93" s="34" t="str">
        <f t="shared" si="69"/>
        <v>0</v>
      </c>
      <c r="L93" s="35">
        <f t="shared" si="70"/>
        <v>0</v>
      </c>
      <c r="M93" s="35">
        <f t="shared" si="71"/>
        <v>0</v>
      </c>
      <c r="N93" s="35">
        <f t="shared" si="72"/>
        <v>0</v>
      </c>
      <c r="O93" s="35">
        <f t="shared" si="73"/>
        <v>0</v>
      </c>
      <c r="P93" s="35">
        <f t="shared" si="74"/>
        <v>0</v>
      </c>
      <c r="Q93" s="36">
        <v>0.75</v>
      </c>
      <c r="R93" s="37">
        <f t="shared" si="75"/>
        <v>0</v>
      </c>
      <c r="S93" s="36">
        <v>0.75</v>
      </c>
      <c r="T93" s="38">
        <f t="shared" si="76"/>
        <v>0</v>
      </c>
      <c r="U93" s="39">
        <f t="shared" si="77"/>
        <v>0</v>
      </c>
      <c r="V93" s="40">
        <f t="shared" si="53"/>
        <v>0</v>
      </c>
      <c r="W93" s="41">
        <f t="shared" si="78"/>
        <v>0</v>
      </c>
      <c r="X93" s="42">
        <f t="shared" si="79"/>
        <v>0</v>
      </c>
      <c r="Y93" s="43" t="s">
        <v>0</v>
      </c>
      <c r="Z93" s="36">
        <v>1</v>
      </c>
      <c r="AA93" s="44">
        <f t="shared" si="80"/>
        <v>0</v>
      </c>
      <c r="AB93" s="36">
        <v>1</v>
      </c>
      <c r="AC93" s="44">
        <f t="shared" si="81"/>
        <v>0</v>
      </c>
      <c r="AD93" s="36">
        <v>1</v>
      </c>
      <c r="AE93" s="44">
        <f t="shared" si="82"/>
        <v>0</v>
      </c>
      <c r="AF93" s="45"/>
      <c r="AG93" s="46" t="e">
        <f t="shared" si="54"/>
        <v>#DIV/0!</v>
      </c>
      <c r="AH93" s="47" t="e">
        <f t="shared" si="55"/>
        <v>#DIV/0!</v>
      </c>
      <c r="AI93" s="45"/>
      <c r="AJ93" s="46" t="e">
        <f t="shared" si="56"/>
        <v>#DIV/0!</v>
      </c>
      <c r="AK93" s="47" t="e">
        <f t="shared" si="57"/>
        <v>#DIV/0!</v>
      </c>
      <c r="AL93" s="45"/>
      <c r="AM93" s="46" t="e">
        <f t="shared" si="58"/>
        <v>#DIV/0!</v>
      </c>
      <c r="AN93" s="47" t="e">
        <f t="shared" si="59"/>
        <v>#DIV/0!</v>
      </c>
      <c r="AO93" s="45"/>
      <c r="AP93" s="46" t="e">
        <f t="shared" si="60"/>
        <v>#DIV/0!</v>
      </c>
      <c r="AQ93" s="47" t="e">
        <f t="shared" si="61"/>
        <v>#DIV/0!</v>
      </c>
      <c r="AR93" s="45"/>
      <c r="AS93" s="46">
        <f t="shared" si="62"/>
        <v>0</v>
      </c>
      <c r="AT93" s="47">
        <f t="shared" si="63"/>
        <v>0</v>
      </c>
      <c r="AU93" s="45"/>
      <c r="AV93" s="46" t="e">
        <f t="shared" si="64"/>
        <v>#DIV/0!</v>
      </c>
      <c r="AW93" s="47" t="e">
        <f t="shared" si="65"/>
        <v>#DIV/0!</v>
      </c>
      <c r="AX93" s="45"/>
      <c r="AY93" s="46">
        <f t="shared" si="66"/>
        <v>0</v>
      </c>
      <c r="AZ93" s="47">
        <f t="shared" si="67"/>
        <v>0</v>
      </c>
      <c r="BA93" s="48" t="e">
        <f t="shared" si="68"/>
        <v>#DIV/0!</v>
      </c>
    </row>
    <row r="94" spans="1:53" hidden="1" thickBot="1">
      <c r="A94" s="30"/>
      <c r="B94" s="31"/>
      <c r="C94" s="31"/>
      <c r="D94" s="31"/>
      <c r="E94" s="32"/>
      <c r="F94" s="33"/>
      <c r="G94" s="74"/>
      <c r="H94" s="70"/>
      <c r="I94" s="77">
        <f>IF(H94=Tablas!$B$5,Tablas!$C$5,VLOOKUP(H94,Tablas!$B$5:$D$40,2,FALSE))</f>
        <v>1</v>
      </c>
      <c r="J94" s="65">
        <f>IF(I94=0,"",VLOOKUP(I94,Tablas!$C$5:$D$40,2,FALSE))</f>
        <v>0</v>
      </c>
      <c r="K94" s="34" t="str">
        <f t="shared" si="69"/>
        <v>0</v>
      </c>
      <c r="L94" s="35">
        <f t="shared" si="70"/>
        <v>0</v>
      </c>
      <c r="M94" s="35">
        <f t="shared" si="71"/>
        <v>0</v>
      </c>
      <c r="N94" s="35">
        <f t="shared" si="72"/>
        <v>0</v>
      </c>
      <c r="O94" s="35">
        <f t="shared" si="73"/>
        <v>0</v>
      </c>
      <c r="P94" s="35">
        <f t="shared" si="74"/>
        <v>0</v>
      </c>
      <c r="Q94" s="36">
        <v>0.75</v>
      </c>
      <c r="R94" s="37">
        <f t="shared" si="75"/>
        <v>0</v>
      </c>
      <c r="S94" s="36">
        <v>0.75</v>
      </c>
      <c r="T94" s="38">
        <f t="shared" si="76"/>
        <v>0</v>
      </c>
      <c r="U94" s="39">
        <f t="shared" si="77"/>
        <v>0</v>
      </c>
      <c r="V94" s="40">
        <f t="shared" si="53"/>
        <v>0</v>
      </c>
      <c r="W94" s="41">
        <f t="shared" si="78"/>
        <v>0</v>
      </c>
      <c r="X94" s="42">
        <f t="shared" si="79"/>
        <v>0</v>
      </c>
      <c r="Y94" s="43" t="s">
        <v>0</v>
      </c>
      <c r="Z94" s="36">
        <v>1</v>
      </c>
      <c r="AA94" s="44">
        <f t="shared" si="80"/>
        <v>0</v>
      </c>
      <c r="AB94" s="36">
        <v>1</v>
      </c>
      <c r="AC94" s="44">
        <f t="shared" si="81"/>
        <v>0</v>
      </c>
      <c r="AD94" s="36">
        <v>1</v>
      </c>
      <c r="AE94" s="44">
        <f t="shared" si="82"/>
        <v>0</v>
      </c>
      <c r="AF94" s="45"/>
      <c r="AG94" s="46" t="e">
        <f t="shared" si="54"/>
        <v>#DIV/0!</v>
      </c>
      <c r="AH94" s="47" t="e">
        <f t="shared" si="55"/>
        <v>#DIV/0!</v>
      </c>
      <c r="AI94" s="45"/>
      <c r="AJ94" s="46" t="e">
        <f t="shared" si="56"/>
        <v>#DIV/0!</v>
      </c>
      <c r="AK94" s="47" t="e">
        <f t="shared" si="57"/>
        <v>#DIV/0!</v>
      </c>
      <c r="AL94" s="45"/>
      <c r="AM94" s="46" t="e">
        <f t="shared" si="58"/>
        <v>#DIV/0!</v>
      </c>
      <c r="AN94" s="47" t="e">
        <f t="shared" si="59"/>
        <v>#DIV/0!</v>
      </c>
      <c r="AO94" s="45"/>
      <c r="AP94" s="46" t="e">
        <f t="shared" si="60"/>
        <v>#DIV/0!</v>
      </c>
      <c r="AQ94" s="47" t="e">
        <f t="shared" si="61"/>
        <v>#DIV/0!</v>
      </c>
      <c r="AR94" s="45"/>
      <c r="AS94" s="46">
        <f t="shared" si="62"/>
        <v>0</v>
      </c>
      <c r="AT94" s="47">
        <f t="shared" si="63"/>
        <v>0</v>
      </c>
      <c r="AU94" s="45"/>
      <c r="AV94" s="46" t="e">
        <f t="shared" si="64"/>
        <v>#DIV/0!</v>
      </c>
      <c r="AW94" s="47" t="e">
        <f t="shared" si="65"/>
        <v>#DIV/0!</v>
      </c>
      <c r="AX94" s="45"/>
      <c r="AY94" s="46">
        <f t="shared" si="66"/>
        <v>0</v>
      </c>
      <c r="AZ94" s="47">
        <f t="shared" si="67"/>
        <v>0</v>
      </c>
      <c r="BA94" s="48" t="e">
        <f t="shared" si="68"/>
        <v>#DIV/0!</v>
      </c>
    </row>
    <row r="95" spans="1:53" hidden="1" thickBot="1">
      <c r="A95" s="30"/>
      <c r="B95" s="31"/>
      <c r="C95" s="31"/>
      <c r="D95" s="31"/>
      <c r="E95" s="32"/>
      <c r="F95" s="33"/>
      <c r="G95" s="74"/>
      <c r="H95" s="70"/>
      <c r="I95" s="77">
        <f>IF(H95=Tablas!$B$5,Tablas!$C$5,VLOOKUP(H95,Tablas!$B$5:$D$40,2,FALSE))</f>
        <v>1</v>
      </c>
      <c r="J95" s="65">
        <f>IF(I95=0,"",VLOOKUP(I95,Tablas!$C$5:$D$40,2,FALSE))</f>
        <v>0</v>
      </c>
      <c r="K95" s="34" t="str">
        <f t="shared" si="69"/>
        <v>0</v>
      </c>
      <c r="L95" s="35">
        <f t="shared" si="70"/>
        <v>0</v>
      </c>
      <c r="M95" s="35">
        <f t="shared" si="71"/>
        <v>0</v>
      </c>
      <c r="N95" s="35">
        <f t="shared" si="72"/>
        <v>0</v>
      </c>
      <c r="O95" s="35">
        <f t="shared" si="73"/>
        <v>0</v>
      </c>
      <c r="P95" s="35">
        <f t="shared" si="74"/>
        <v>0</v>
      </c>
      <c r="Q95" s="36">
        <v>0.75</v>
      </c>
      <c r="R95" s="37">
        <f t="shared" si="75"/>
        <v>0</v>
      </c>
      <c r="S95" s="36">
        <v>0.75</v>
      </c>
      <c r="T95" s="38">
        <f t="shared" si="76"/>
        <v>0</v>
      </c>
      <c r="U95" s="39">
        <f t="shared" si="77"/>
        <v>0</v>
      </c>
      <c r="V95" s="40">
        <f t="shared" si="53"/>
        <v>0</v>
      </c>
      <c r="W95" s="41">
        <f t="shared" si="78"/>
        <v>0</v>
      </c>
      <c r="X95" s="42">
        <f t="shared" si="79"/>
        <v>0</v>
      </c>
      <c r="Y95" s="43" t="s">
        <v>0</v>
      </c>
      <c r="Z95" s="36">
        <v>1</v>
      </c>
      <c r="AA95" s="44">
        <f t="shared" si="80"/>
        <v>0</v>
      </c>
      <c r="AB95" s="36">
        <v>1</v>
      </c>
      <c r="AC95" s="44">
        <f t="shared" si="81"/>
        <v>0</v>
      </c>
      <c r="AD95" s="36">
        <v>1</v>
      </c>
      <c r="AE95" s="44">
        <f t="shared" si="82"/>
        <v>0</v>
      </c>
      <c r="AF95" s="45"/>
      <c r="AG95" s="46" t="e">
        <f t="shared" si="54"/>
        <v>#DIV/0!</v>
      </c>
      <c r="AH95" s="47" t="e">
        <f t="shared" si="55"/>
        <v>#DIV/0!</v>
      </c>
      <c r="AI95" s="45"/>
      <c r="AJ95" s="46" t="e">
        <f t="shared" si="56"/>
        <v>#DIV/0!</v>
      </c>
      <c r="AK95" s="47" t="e">
        <f t="shared" si="57"/>
        <v>#DIV/0!</v>
      </c>
      <c r="AL95" s="45"/>
      <c r="AM95" s="46" t="e">
        <f t="shared" si="58"/>
        <v>#DIV/0!</v>
      </c>
      <c r="AN95" s="47" t="e">
        <f t="shared" si="59"/>
        <v>#DIV/0!</v>
      </c>
      <c r="AO95" s="45"/>
      <c r="AP95" s="46" t="e">
        <f t="shared" si="60"/>
        <v>#DIV/0!</v>
      </c>
      <c r="AQ95" s="47" t="e">
        <f t="shared" si="61"/>
        <v>#DIV/0!</v>
      </c>
      <c r="AR95" s="45"/>
      <c r="AS95" s="46">
        <f t="shared" si="62"/>
        <v>0</v>
      </c>
      <c r="AT95" s="47">
        <f t="shared" si="63"/>
        <v>0</v>
      </c>
      <c r="AU95" s="45"/>
      <c r="AV95" s="46" t="e">
        <f t="shared" si="64"/>
        <v>#DIV/0!</v>
      </c>
      <c r="AW95" s="47" t="e">
        <f t="shared" si="65"/>
        <v>#DIV/0!</v>
      </c>
      <c r="AX95" s="45"/>
      <c r="AY95" s="46">
        <f t="shared" si="66"/>
        <v>0</v>
      </c>
      <c r="AZ95" s="47">
        <f t="shared" si="67"/>
        <v>0</v>
      </c>
      <c r="BA95" s="48" t="e">
        <f t="shared" si="68"/>
        <v>#DIV/0!</v>
      </c>
    </row>
    <row r="96" spans="1:53" hidden="1" thickBot="1">
      <c r="A96" s="30"/>
      <c r="B96" s="31"/>
      <c r="C96" s="31"/>
      <c r="D96" s="31"/>
      <c r="E96" s="32"/>
      <c r="F96" s="33"/>
      <c r="G96" s="74"/>
      <c r="H96" s="70"/>
      <c r="I96" s="77">
        <f>IF(H96=Tablas!$B$5,Tablas!$C$5,VLOOKUP(H96,Tablas!$B$5:$D$40,2,FALSE))</f>
        <v>1</v>
      </c>
      <c r="J96" s="65">
        <f>IF(I96=0,"",VLOOKUP(I96,Tablas!$C$5:$D$40,2,FALSE))</f>
        <v>0</v>
      </c>
      <c r="K96" s="34" t="str">
        <f t="shared" si="69"/>
        <v>0</v>
      </c>
      <c r="L96" s="35">
        <f t="shared" si="70"/>
        <v>0</v>
      </c>
      <c r="M96" s="35">
        <f t="shared" si="71"/>
        <v>0</v>
      </c>
      <c r="N96" s="35">
        <f t="shared" si="72"/>
        <v>0</v>
      </c>
      <c r="O96" s="35">
        <f t="shared" si="73"/>
        <v>0</v>
      </c>
      <c r="P96" s="35">
        <f t="shared" si="74"/>
        <v>0</v>
      </c>
      <c r="Q96" s="36">
        <v>0.75</v>
      </c>
      <c r="R96" s="37">
        <f t="shared" si="75"/>
        <v>0</v>
      </c>
      <c r="S96" s="36">
        <v>0.75</v>
      </c>
      <c r="T96" s="38">
        <f t="shared" si="76"/>
        <v>0</v>
      </c>
      <c r="U96" s="39">
        <f t="shared" si="77"/>
        <v>0</v>
      </c>
      <c r="V96" s="40">
        <f t="shared" si="53"/>
        <v>0</v>
      </c>
      <c r="W96" s="41">
        <f t="shared" si="78"/>
        <v>0</v>
      </c>
      <c r="X96" s="42">
        <f t="shared" si="79"/>
        <v>0</v>
      </c>
      <c r="Y96" s="43" t="s">
        <v>0</v>
      </c>
      <c r="Z96" s="36">
        <v>1</v>
      </c>
      <c r="AA96" s="44">
        <f t="shared" si="80"/>
        <v>0</v>
      </c>
      <c r="AB96" s="36">
        <v>1</v>
      </c>
      <c r="AC96" s="44">
        <f t="shared" si="81"/>
        <v>0</v>
      </c>
      <c r="AD96" s="36">
        <v>1</v>
      </c>
      <c r="AE96" s="44">
        <f t="shared" si="82"/>
        <v>0</v>
      </c>
      <c r="AF96" s="45"/>
      <c r="AG96" s="46" t="e">
        <f t="shared" si="54"/>
        <v>#DIV/0!</v>
      </c>
      <c r="AH96" s="47" t="e">
        <f t="shared" si="55"/>
        <v>#DIV/0!</v>
      </c>
      <c r="AI96" s="45"/>
      <c r="AJ96" s="46" t="e">
        <f t="shared" si="56"/>
        <v>#DIV/0!</v>
      </c>
      <c r="AK96" s="47" t="e">
        <f t="shared" si="57"/>
        <v>#DIV/0!</v>
      </c>
      <c r="AL96" s="45"/>
      <c r="AM96" s="46" t="e">
        <f t="shared" si="58"/>
        <v>#DIV/0!</v>
      </c>
      <c r="AN96" s="47" t="e">
        <f t="shared" si="59"/>
        <v>#DIV/0!</v>
      </c>
      <c r="AO96" s="45"/>
      <c r="AP96" s="46" t="e">
        <f t="shared" si="60"/>
        <v>#DIV/0!</v>
      </c>
      <c r="AQ96" s="47" t="e">
        <f t="shared" si="61"/>
        <v>#DIV/0!</v>
      </c>
      <c r="AR96" s="45"/>
      <c r="AS96" s="46">
        <f t="shared" si="62"/>
        <v>0</v>
      </c>
      <c r="AT96" s="47">
        <f t="shared" si="63"/>
        <v>0</v>
      </c>
      <c r="AU96" s="45"/>
      <c r="AV96" s="46" t="e">
        <f t="shared" si="64"/>
        <v>#DIV/0!</v>
      </c>
      <c r="AW96" s="47" t="e">
        <f t="shared" si="65"/>
        <v>#DIV/0!</v>
      </c>
      <c r="AX96" s="45"/>
      <c r="AY96" s="46">
        <f t="shared" si="66"/>
        <v>0</v>
      </c>
      <c r="AZ96" s="47">
        <f t="shared" si="67"/>
        <v>0</v>
      </c>
      <c r="BA96" s="48" t="e">
        <f t="shared" si="68"/>
        <v>#DIV/0!</v>
      </c>
    </row>
    <row r="97" spans="1:53" hidden="1" thickBot="1">
      <c r="A97" s="30"/>
      <c r="B97" s="31"/>
      <c r="C97" s="31"/>
      <c r="D97" s="31"/>
      <c r="E97" s="32"/>
      <c r="F97" s="33"/>
      <c r="G97" s="74"/>
      <c r="H97" s="70"/>
      <c r="I97" s="77">
        <f>IF(H97=Tablas!$B$5,Tablas!$C$5,VLOOKUP(H97,Tablas!$B$5:$D$40,2,FALSE))</f>
        <v>1</v>
      </c>
      <c r="J97" s="65">
        <f>IF(I97=0,"",VLOOKUP(I97,Tablas!$C$5:$D$40,2,FALSE))</f>
        <v>0</v>
      </c>
      <c r="K97" s="34" t="str">
        <f t="shared" si="69"/>
        <v>0</v>
      </c>
      <c r="L97" s="35">
        <f t="shared" si="70"/>
        <v>0</v>
      </c>
      <c r="M97" s="35">
        <f t="shared" si="71"/>
        <v>0</v>
      </c>
      <c r="N97" s="35">
        <f t="shared" si="72"/>
        <v>0</v>
      </c>
      <c r="O97" s="35">
        <f t="shared" si="73"/>
        <v>0</v>
      </c>
      <c r="P97" s="35">
        <f t="shared" si="74"/>
        <v>0</v>
      </c>
      <c r="Q97" s="36">
        <v>0.75</v>
      </c>
      <c r="R97" s="37">
        <f t="shared" si="75"/>
        <v>0</v>
      </c>
      <c r="S97" s="36">
        <v>0.75</v>
      </c>
      <c r="T97" s="38">
        <f t="shared" si="76"/>
        <v>0</v>
      </c>
      <c r="U97" s="39">
        <f t="shared" si="77"/>
        <v>0</v>
      </c>
      <c r="V97" s="40">
        <f t="shared" si="53"/>
        <v>0</v>
      </c>
      <c r="W97" s="41">
        <f t="shared" si="78"/>
        <v>0</v>
      </c>
      <c r="X97" s="42">
        <f t="shared" si="79"/>
        <v>0</v>
      </c>
      <c r="Y97" s="43" t="s">
        <v>0</v>
      </c>
      <c r="Z97" s="36">
        <v>1</v>
      </c>
      <c r="AA97" s="44">
        <f t="shared" si="80"/>
        <v>0</v>
      </c>
      <c r="AB97" s="36">
        <v>1</v>
      </c>
      <c r="AC97" s="44">
        <f t="shared" si="81"/>
        <v>0</v>
      </c>
      <c r="AD97" s="36">
        <v>1</v>
      </c>
      <c r="AE97" s="44">
        <f t="shared" si="82"/>
        <v>0</v>
      </c>
      <c r="AF97" s="45"/>
      <c r="AG97" s="46" t="e">
        <f t="shared" si="54"/>
        <v>#DIV/0!</v>
      </c>
      <c r="AH97" s="47" t="e">
        <f t="shared" si="55"/>
        <v>#DIV/0!</v>
      </c>
      <c r="AI97" s="45"/>
      <c r="AJ97" s="46" t="e">
        <f t="shared" si="56"/>
        <v>#DIV/0!</v>
      </c>
      <c r="AK97" s="47" t="e">
        <f t="shared" si="57"/>
        <v>#DIV/0!</v>
      </c>
      <c r="AL97" s="45"/>
      <c r="AM97" s="46" t="e">
        <f t="shared" si="58"/>
        <v>#DIV/0!</v>
      </c>
      <c r="AN97" s="47" t="e">
        <f t="shared" si="59"/>
        <v>#DIV/0!</v>
      </c>
      <c r="AO97" s="45"/>
      <c r="AP97" s="46" t="e">
        <f t="shared" si="60"/>
        <v>#DIV/0!</v>
      </c>
      <c r="AQ97" s="47" t="e">
        <f t="shared" si="61"/>
        <v>#DIV/0!</v>
      </c>
      <c r="AR97" s="45"/>
      <c r="AS97" s="46">
        <f t="shared" si="62"/>
        <v>0</v>
      </c>
      <c r="AT97" s="47">
        <f t="shared" si="63"/>
        <v>0</v>
      </c>
      <c r="AU97" s="45"/>
      <c r="AV97" s="46" t="e">
        <f t="shared" si="64"/>
        <v>#DIV/0!</v>
      </c>
      <c r="AW97" s="47" t="e">
        <f t="shared" si="65"/>
        <v>#DIV/0!</v>
      </c>
      <c r="AX97" s="45"/>
      <c r="AY97" s="46">
        <f t="shared" si="66"/>
        <v>0</v>
      </c>
      <c r="AZ97" s="47">
        <f t="shared" si="67"/>
        <v>0</v>
      </c>
      <c r="BA97" s="48" t="e">
        <f t="shared" si="68"/>
        <v>#DIV/0!</v>
      </c>
    </row>
    <row r="98" spans="1:53" ht="16" hidden="1" thickBot="1">
      <c r="A98" s="30"/>
      <c r="B98" s="31"/>
      <c r="C98" s="31"/>
      <c r="D98" s="31"/>
      <c r="E98" s="32"/>
      <c r="F98" s="33"/>
      <c r="G98" s="74"/>
      <c r="H98" s="70"/>
      <c r="I98" s="77">
        <f>IF(H98=Tablas!$B$5,Tablas!$C$5,VLOOKUP(H98,Tablas!$B$5:$D$40,2,FALSE))</f>
        <v>1</v>
      </c>
      <c r="J98" s="65">
        <f>IF(I98=0,"",VLOOKUP(I98,Tablas!$C$5:$D$40,2,FALSE))</f>
        <v>0</v>
      </c>
      <c r="K98" s="34" t="str">
        <f t="shared" si="30"/>
        <v>0</v>
      </c>
      <c r="L98" s="35">
        <f t="shared" si="70"/>
        <v>0</v>
      </c>
      <c r="M98" s="35">
        <f t="shared" si="71"/>
        <v>0</v>
      </c>
      <c r="N98" s="35">
        <f t="shared" si="72"/>
        <v>0</v>
      </c>
      <c r="O98" s="35">
        <f t="shared" si="73"/>
        <v>0</v>
      </c>
      <c r="P98" s="35">
        <f t="shared" si="74"/>
        <v>0</v>
      </c>
      <c r="Q98" s="36">
        <v>0.75</v>
      </c>
      <c r="R98" s="37">
        <f t="shared" si="75"/>
        <v>0</v>
      </c>
      <c r="S98" s="36">
        <v>0.75</v>
      </c>
      <c r="T98" s="38">
        <f t="shared" si="76"/>
        <v>0</v>
      </c>
      <c r="U98" s="39">
        <f t="shared" si="77"/>
        <v>0</v>
      </c>
      <c r="V98" s="40">
        <f t="shared" si="9"/>
        <v>0</v>
      </c>
      <c r="W98" s="41">
        <f t="shared" si="78"/>
        <v>0</v>
      </c>
      <c r="X98" s="42">
        <f t="shared" si="79"/>
        <v>0</v>
      </c>
      <c r="Y98" s="43" t="s">
        <v>0</v>
      </c>
      <c r="Z98" s="36">
        <v>1</v>
      </c>
      <c r="AA98" s="44">
        <f t="shared" si="80"/>
        <v>0</v>
      </c>
      <c r="AB98" s="36">
        <v>1</v>
      </c>
      <c r="AC98" s="44">
        <f t="shared" si="81"/>
        <v>0</v>
      </c>
      <c r="AD98" s="36">
        <v>1</v>
      </c>
      <c r="AE98" s="44">
        <f t="shared" si="82"/>
        <v>0</v>
      </c>
      <c r="AF98" s="45"/>
      <c r="AG98" s="46" t="e">
        <f t="shared" si="15"/>
        <v>#DIV/0!</v>
      </c>
      <c r="AH98" s="47" t="e">
        <f t="shared" si="16"/>
        <v>#DIV/0!</v>
      </c>
      <c r="AI98" s="45"/>
      <c r="AJ98" s="46" t="e">
        <f t="shared" si="17"/>
        <v>#DIV/0!</v>
      </c>
      <c r="AK98" s="47" t="e">
        <f t="shared" si="18"/>
        <v>#DIV/0!</v>
      </c>
      <c r="AL98" s="45"/>
      <c r="AM98" s="46" t="e">
        <f t="shared" si="19"/>
        <v>#DIV/0!</v>
      </c>
      <c r="AN98" s="47" t="e">
        <f t="shared" si="20"/>
        <v>#DIV/0!</v>
      </c>
      <c r="AO98" s="45"/>
      <c r="AP98" s="46" t="e">
        <f t="shared" si="21"/>
        <v>#DIV/0!</v>
      </c>
      <c r="AQ98" s="47" t="e">
        <f t="shared" si="22"/>
        <v>#DIV/0!</v>
      </c>
      <c r="AR98" s="45"/>
      <c r="AS98" s="46">
        <f t="shared" si="23"/>
        <v>0</v>
      </c>
      <c r="AT98" s="47">
        <f t="shared" si="24"/>
        <v>0</v>
      </c>
      <c r="AU98" s="45"/>
      <c r="AV98" s="46" t="e">
        <f t="shared" si="25"/>
        <v>#DIV/0!</v>
      </c>
      <c r="AW98" s="47" t="e">
        <f t="shared" si="26"/>
        <v>#DIV/0!</v>
      </c>
      <c r="AX98" s="45"/>
      <c r="AY98" s="46">
        <f t="shared" si="27"/>
        <v>0</v>
      </c>
      <c r="AZ98" s="47">
        <f t="shared" si="28"/>
        <v>0</v>
      </c>
      <c r="BA98" s="48" t="e">
        <f t="shared" si="29"/>
        <v>#DIV/0!</v>
      </c>
    </row>
    <row r="99" spans="1:53" ht="16" thickBot="1">
      <c r="A99" s="3"/>
      <c r="B99" s="6"/>
      <c r="C99" s="6"/>
      <c r="D99" s="6"/>
      <c r="E99" s="6"/>
      <c r="F99" s="49">
        <f>SUM(F8:F98)</f>
        <v>1870.7899999999997</v>
      </c>
      <c r="G99" s="6"/>
      <c r="H99" s="6"/>
      <c r="I99" s="6"/>
      <c r="J99" s="6"/>
      <c r="K99" s="63"/>
      <c r="L99" s="50">
        <f>SUM(L8:L98)</f>
        <v>0</v>
      </c>
      <c r="M99" s="50">
        <f>SUM(M8:M98)</f>
        <v>0</v>
      </c>
      <c r="N99" s="50">
        <f>SUM(N8:N98)</f>
        <v>0</v>
      </c>
      <c r="O99" s="50">
        <f>SUM(O8:O98)</f>
        <v>0</v>
      </c>
      <c r="P99" s="50">
        <f>SUM(P8:P98)</f>
        <v>0</v>
      </c>
      <c r="Q99" s="51"/>
      <c r="R99" s="50">
        <f>SUM(R8:R98)</f>
        <v>0</v>
      </c>
      <c r="S99" s="52"/>
      <c r="T99" s="50">
        <f>SUM(T8:T98)</f>
        <v>0</v>
      </c>
      <c r="U99" s="50">
        <f>SUM(U8:U98)</f>
        <v>0</v>
      </c>
      <c r="V99" s="50">
        <f>SUM(V8:V98)</f>
        <v>0</v>
      </c>
      <c r="W99" s="50">
        <f>SUM(W8:W98)</f>
        <v>0</v>
      </c>
      <c r="X99" s="53"/>
      <c r="Y99" s="53"/>
      <c r="Z99" s="53"/>
      <c r="AA99" s="50">
        <f>SUM(AA8:AA98)</f>
        <v>0</v>
      </c>
      <c r="AB99" s="60"/>
      <c r="AC99" s="50">
        <f>SUM(AC8:AC98)</f>
        <v>0</v>
      </c>
      <c r="AD99" s="60"/>
      <c r="AE99" s="50">
        <f>SUM(AE8:AE98)</f>
        <v>0</v>
      </c>
      <c r="AF99" s="54">
        <f>SUM(AF8:AF98)</f>
        <v>107.08999999999997</v>
      </c>
      <c r="AG99" s="54"/>
      <c r="AH99" s="55" t="e">
        <f>SUM(AH8:AH98)</f>
        <v>#DIV/0!</v>
      </c>
      <c r="AI99" s="54">
        <f>SUM(AI8:AI98)</f>
        <v>228.55999999999992</v>
      </c>
      <c r="AJ99" s="54"/>
      <c r="AK99" s="55" t="e">
        <f>SUM(AK8:AK98)</f>
        <v>#DIV/0!</v>
      </c>
      <c r="AL99" s="54">
        <f>SUM(AL8:AL98)</f>
        <v>1562.3399999999995</v>
      </c>
      <c r="AM99" s="54"/>
      <c r="AN99" s="55" t="e">
        <f>SUM(AN8:AN98)</f>
        <v>#DIV/0!</v>
      </c>
      <c r="AO99" s="54">
        <f>SUM(AO8:AO98)</f>
        <v>0</v>
      </c>
      <c r="AP99" s="54"/>
      <c r="AQ99" s="55" t="e">
        <f>SUM(AQ8:AQ98)</f>
        <v>#DIV/0!</v>
      </c>
      <c r="AR99" s="54">
        <f>SUM(AR8:AR98)</f>
        <v>0</v>
      </c>
      <c r="AS99" s="54"/>
      <c r="AT99" s="55">
        <f>SUM(AT8:AT98)</f>
        <v>0</v>
      </c>
      <c r="AU99" s="54">
        <f>SUM(AU8:AU98)</f>
        <v>1562.3399999999995</v>
      </c>
      <c r="AV99" s="54"/>
      <c r="AW99" s="55" t="e">
        <f>SUM(AW8:AW98)</f>
        <v>#DIV/0!</v>
      </c>
      <c r="AX99" s="54">
        <f>SUM(AX8:AX98)</f>
        <v>0</v>
      </c>
      <c r="AY99" s="54"/>
      <c r="AZ99" s="55">
        <f>SUM(AZ8:AZ98)</f>
        <v>0</v>
      </c>
      <c r="BA99" s="56" t="e">
        <f>SUM(BA8:BA98)</f>
        <v>#DIV/0!</v>
      </c>
    </row>
    <row r="100" spans="1:53" ht="16" thickBot="1">
      <c r="AA100" s="390">
        <f>SUM(AA99:AE99)</f>
        <v>0</v>
      </c>
      <c r="AB100" s="391"/>
      <c r="AC100" s="391"/>
      <c r="AD100" s="391"/>
      <c r="AE100" s="392"/>
      <c r="AF100" s="385" t="e">
        <f>+AH99/4.345</f>
        <v>#DIV/0!</v>
      </c>
      <c r="AG100" s="385"/>
      <c r="AH100" s="385"/>
      <c r="AI100" s="385" t="e">
        <f>+AK99/4.345</f>
        <v>#DIV/0!</v>
      </c>
      <c r="AJ100" s="385"/>
      <c r="AK100" s="385"/>
      <c r="AL100" s="385" t="e">
        <f>+AN99/4.345</f>
        <v>#DIV/0!</v>
      </c>
      <c r="AM100" s="385"/>
      <c r="AN100" s="385"/>
      <c r="AO100" s="385" t="e">
        <f>+AQ99/4.345</f>
        <v>#DIV/0!</v>
      </c>
      <c r="AP100" s="385"/>
      <c r="AQ100" s="385"/>
      <c r="AR100" s="385">
        <f>+AT99/4.345</f>
        <v>0</v>
      </c>
      <c r="AS100" s="385"/>
      <c r="AT100" s="385"/>
      <c r="AU100" s="385" t="e">
        <f>+AW99/4.345</f>
        <v>#DIV/0!</v>
      </c>
      <c r="AV100" s="385"/>
      <c r="AW100" s="385"/>
      <c r="AX100" s="385">
        <f>+AZ99/4.345</f>
        <v>0</v>
      </c>
      <c r="AY100" s="385"/>
      <c r="AZ100" s="385"/>
      <c r="BA100" s="386" t="s">
        <v>12</v>
      </c>
    </row>
    <row r="101" spans="1:53" ht="17" thickTop="1" thickBot="1">
      <c r="AF101" s="388" t="s">
        <v>11</v>
      </c>
      <c r="AG101" s="388"/>
      <c r="AH101" s="388"/>
      <c r="AI101" s="388"/>
      <c r="AJ101" s="388"/>
      <c r="AK101" s="388"/>
      <c r="AL101" s="388"/>
      <c r="AM101" s="388"/>
      <c r="AN101" s="388"/>
      <c r="AO101" s="388"/>
      <c r="AP101" s="388"/>
      <c r="AQ101" s="388"/>
      <c r="AR101" s="388"/>
      <c r="AS101" s="388"/>
      <c r="AT101" s="388"/>
      <c r="AU101" s="388"/>
      <c r="AV101" s="388"/>
      <c r="AW101" s="388"/>
      <c r="AX101" s="388"/>
      <c r="AY101" s="388"/>
      <c r="AZ101" s="389"/>
      <c r="BA101" s="387"/>
    </row>
    <row r="103" spans="1:53">
      <c r="J103" s="57"/>
    </row>
  </sheetData>
  <sheetProtection algorithmName="SHA-512" hashValue="XjSNN6Ypl9Yxam0sDSAFG7e/boKKuASwYHfw8nWF7VXqsGhfpH7RY28kF70BRBxF5Nw7pYzewCQY8dqvBWSq+Q==" saltValue="lsbYaicNjswEpeyvnK6BKw==" spinCount="100000" sheet="1" selectLockedCells="1" autoFilter="0"/>
  <autoFilter ref="B7:BA100" xr:uid="{00000000-0009-0000-0000-000002000000}"/>
  <mergeCells count="42">
    <mergeCell ref="AU100:AW100"/>
    <mergeCell ref="AX100:AZ100"/>
    <mergeCell ref="BA100:BA101"/>
    <mergeCell ref="AF101:AZ101"/>
    <mergeCell ref="AA100:AE100"/>
    <mergeCell ref="AF100:AH100"/>
    <mergeCell ref="AI100:AK100"/>
    <mergeCell ref="AL100:AN100"/>
    <mergeCell ref="AO100:AQ100"/>
    <mergeCell ref="AR100:AT100"/>
    <mergeCell ref="BA4:BA5"/>
    <mergeCell ref="X5:AE5"/>
    <mergeCell ref="AS4:AS5"/>
    <mergeCell ref="AT4:AT5"/>
    <mergeCell ref="AU4:AU5"/>
    <mergeCell ref="AV4:AV5"/>
    <mergeCell ref="AW4:AW5"/>
    <mergeCell ref="AX4:AX5"/>
    <mergeCell ref="AM4:AM5"/>
    <mergeCell ref="AN4:AN5"/>
    <mergeCell ref="AO4:AO5"/>
    <mergeCell ref="AX3:AZ3"/>
    <mergeCell ref="AF4:AF5"/>
    <mergeCell ref="AG4:AG5"/>
    <mergeCell ref="AH4:AH5"/>
    <mergeCell ref="AI4:AI5"/>
    <mergeCell ref="AJ4:AJ5"/>
    <mergeCell ref="AK4:AK5"/>
    <mergeCell ref="AL4:AL5"/>
    <mergeCell ref="AO3:AQ3"/>
    <mergeCell ref="AP4:AP5"/>
    <mergeCell ref="AQ4:AQ5"/>
    <mergeCell ref="AR4:AR5"/>
    <mergeCell ref="AR3:AT3"/>
    <mergeCell ref="AU3:AW3"/>
    <mergeCell ref="AY4:AY5"/>
    <mergeCell ref="AZ4:AZ5"/>
    <mergeCell ref="B1:C1"/>
    <mergeCell ref="B3:D3"/>
    <mergeCell ref="AF3:AH3"/>
    <mergeCell ref="AI3:AK3"/>
    <mergeCell ref="AL3:AN3"/>
  </mergeCells>
  <hyperlinks>
    <hyperlink ref="B1:C1" location="Inici!A1" display="Inici" xr:uid="{00000000-0004-0000-0200-000000000000}"/>
  </hyperlinks>
  <printOptions horizontalCentered="1"/>
  <pageMargins left="0.19" right="0.19" top="0.74803149606299213" bottom="0.74803149606299213" header="0.31496062992125984" footer="0.31496062992125984"/>
  <pageSetup paperSize="9" scale="45" fitToHeight="3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ERROR" xr:uid="{00000000-0002-0000-0200-000000000000}">
          <x14:formula1>
            <xm:f>Tablas!$B$5:$B$40</xm:f>
          </x14:formula1>
          <xm:sqref>H8:H98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BA79"/>
  <sheetViews>
    <sheetView zoomScale="90" zoomScaleNormal="90" workbookViewId="0">
      <pane xSplit="6" ySplit="7" topLeftCell="AA8" activePane="bottomRight" state="frozen"/>
      <selection activeCell="X8" sqref="X8"/>
      <selection pane="topRight" activeCell="X8" sqref="X8"/>
      <selection pane="bottomLeft" activeCell="X8" sqref="X8"/>
      <selection pane="bottomRight" activeCell="AW4" sqref="AW4:AW5"/>
    </sheetView>
  </sheetViews>
  <sheetFormatPr baseColWidth="10" defaultColWidth="11.5" defaultRowHeight="15"/>
  <cols>
    <col min="1" max="1" width="2.83203125" style="2" customWidth="1"/>
    <col min="2" max="2" width="25.83203125" style="2" customWidth="1"/>
    <col min="3" max="3" width="10.33203125" style="2" bestFit="1" customWidth="1"/>
    <col min="4" max="4" width="22.5" style="2" bestFit="1" customWidth="1"/>
    <col min="5" max="5" width="16.5" style="2" customWidth="1"/>
    <col min="6" max="6" width="13.1640625" style="2" customWidth="1"/>
    <col min="7" max="7" width="13.5" style="2" customWidth="1"/>
    <col min="8" max="8" width="10" style="2" customWidth="1"/>
    <col min="9" max="9" width="12.5" style="2" hidden="1" customWidth="1"/>
    <col min="10" max="10" width="5.5" style="2" hidden="1" customWidth="1"/>
    <col min="11" max="11" width="7" style="2" bestFit="1" customWidth="1"/>
    <col min="12" max="12" width="8.1640625" style="2" bestFit="1" customWidth="1"/>
    <col min="13" max="13" width="8.5" style="2" customWidth="1"/>
    <col min="14" max="14" width="9.33203125" style="2" customWidth="1"/>
    <col min="15" max="16" width="8.5" style="2" customWidth="1"/>
    <col min="17" max="20" width="8.5" style="2" hidden="1" customWidth="1"/>
    <col min="21" max="21" width="9.33203125" style="2" customWidth="1"/>
    <col min="22" max="22" width="9.1640625" style="2" bestFit="1" customWidth="1"/>
    <col min="23" max="23" width="11" style="2" bestFit="1" customWidth="1"/>
    <col min="24" max="24" width="7" style="2" customWidth="1"/>
    <col min="25" max="25" width="4.1640625" style="2" bestFit="1" customWidth="1"/>
    <col min="26" max="26" width="5" style="2" bestFit="1" customWidth="1"/>
    <col min="27" max="27" width="8.1640625" style="2" bestFit="1" customWidth="1"/>
    <col min="28" max="28" width="7.33203125" style="2" customWidth="1"/>
    <col min="29" max="29" width="8.1640625" style="2" bestFit="1" customWidth="1"/>
    <col min="30" max="30" width="7.33203125" style="2" customWidth="1"/>
    <col min="31" max="31" width="6.5" style="2" bestFit="1" customWidth="1"/>
    <col min="32" max="32" width="7.6640625" style="2" bestFit="1" customWidth="1"/>
    <col min="33" max="33" width="5.5" style="2" bestFit="1" customWidth="1"/>
    <col min="34" max="34" width="14.6640625" style="2" bestFit="1" customWidth="1"/>
    <col min="35" max="35" width="8.6640625" style="2" bestFit="1" customWidth="1"/>
    <col min="36" max="36" width="6.1640625" style="2" bestFit="1" customWidth="1"/>
    <col min="37" max="37" width="14.6640625" style="2" bestFit="1" customWidth="1"/>
    <col min="38" max="38" width="8.5" style="2" bestFit="1" customWidth="1"/>
    <col min="39" max="39" width="7" style="2" bestFit="1" customWidth="1"/>
    <col min="40" max="40" width="14.6640625" style="2" bestFit="1" customWidth="1"/>
    <col min="41" max="41" width="8.1640625" style="2" customWidth="1"/>
    <col min="42" max="42" width="6.1640625" style="2" customWidth="1"/>
    <col min="43" max="43" width="9.5" style="2" customWidth="1"/>
    <col min="44" max="44" width="7" style="2" hidden="1" customWidth="1"/>
    <col min="45" max="45" width="5.6640625" style="2" hidden="1" customWidth="1"/>
    <col min="46" max="46" width="9.5" style="2" hidden="1" customWidth="1"/>
    <col min="47" max="47" width="8.6640625" style="2" customWidth="1"/>
    <col min="48" max="48" width="7" style="2" customWidth="1"/>
    <col min="49" max="49" width="9.5" style="2" customWidth="1"/>
    <col min="50" max="50" width="8.6640625" style="2" hidden="1" customWidth="1"/>
    <col min="51" max="51" width="6.33203125" style="2" hidden="1" customWidth="1"/>
    <col min="52" max="52" width="9.5" style="2" hidden="1" customWidth="1"/>
    <col min="53" max="53" width="13.6640625" style="2" bestFit="1" customWidth="1"/>
    <col min="54" max="16384" width="11.5" style="2"/>
  </cols>
  <sheetData>
    <row r="1" spans="1:53" ht="34" thickBot="1">
      <c r="A1" s="7"/>
      <c r="B1" s="401" t="s">
        <v>345</v>
      </c>
      <c r="C1" s="401"/>
      <c r="E1" s="8" t="str">
        <f>+'1'!E1</f>
        <v>Estudi Tecnic Ajuntament de Sant Feliu de Codines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 t="str">
        <f>+'Resum Estudi'!E5</f>
        <v>Escola Infantil Jaume Balmes</v>
      </c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6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6" thickBot="1">
      <c r="A2" s="7"/>
      <c r="B2" s="10"/>
      <c r="C2" s="11"/>
      <c r="D2" s="11"/>
      <c r="E2" s="1"/>
      <c r="F2" s="11"/>
      <c r="G2" s="11"/>
      <c r="H2" s="11"/>
      <c r="I2" s="11"/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1"/>
      <c r="X2" s="11"/>
      <c r="Y2" s="11"/>
      <c r="Z2" s="11"/>
      <c r="AA2" s="11"/>
      <c r="AB2" s="11"/>
      <c r="AC2" s="11"/>
      <c r="AD2" s="11"/>
      <c r="AE2" s="1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30.75" customHeight="1" thickBot="1">
      <c r="A3" s="7"/>
      <c r="B3" s="374" t="str">
        <f>+'1'!B3:D3</f>
        <v>Annex 4</v>
      </c>
      <c r="C3" s="374"/>
      <c r="D3" s="374"/>
      <c r="E3" s="13"/>
      <c r="F3" s="14"/>
      <c r="G3" s="14"/>
      <c r="H3" s="14"/>
      <c r="I3" s="14"/>
      <c r="J3" s="15"/>
      <c r="K3" s="12"/>
      <c r="L3" s="12"/>
      <c r="M3" s="12"/>
      <c r="N3" s="12"/>
      <c r="O3" s="12"/>
      <c r="P3" s="12"/>
      <c r="Q3" s="12"/>
      <c r="R3" s="12"/>
      <c r="S3" s="12"/>
      <c r="T3" s="12"/>
      <c r="U3" s="16"/>
      <c r="V3" s="12"/>
      <c r="W3" s="58" t="s">
        <v>21</v>
      </c>
      <c r="X3" s="62"/>
      <c r="Y3" s="62"/>
      <c r="Z3" s="62"/>
      <c r="AA3" s="62"/>
      <c r="AB3" s="62"/>
      <c r="AC3" s="62"/>
      <c r="AD3" s="62"/>
      <c r="AE3" s="62"/>
      <c r="AF3" s="375" t="s">
        <v>399</v>
      </c>
      <c r="AG3" s="375"/>
      <c r="AH3" s="375"/>
      <c r="AI3" s="375" t="s">
        <v>400</v>
      </c>
      <c r="AJ3" s="375"/>
      <c r="AK3" s="375"/>
      <c r="AL3" s="375" t="s">
        <v>402</v>
      </c>
      <c r="AM3" s="375"/>
      <c r="AN3" s="375"/>
      <c r="AO3" s="375" t="s">
        <v>340</v>
      </c>
      <c r="AP3" s="375"/>
      <c r="AQ3" s="375"/>
      <c r="AR3" s="375" t="s">
        <v>339</v>
      </c>
      <c r="AS3" s="375"/>
      <c r="AT3" s="375"/>
      <c r="AU3" s="375" t="s">
        <v>403</v>
      </c>
      <c r="AV3" s="375"/>
      <c r="AW3" s="375"/>
      <c r="AX3" s="376" t="s">
        <v>338</v>
      </c>
      <c r="AY3" s="376"/>
      <c r="AZ3" s="376"/>
      <c r="BA3" s="17" t="s">
        <v>12</v>
      </c>
    </row>
    <row r="4" spans="1:53" ht="15.75" customHeight="1" thickBot="1">
      <c r="A4" s="7"/>
      <c r="B4" s="10"/>
      <c r="C4" s="11"/>
      <c r="D4" s="11"/>
      <c r="E4" s="11"/>
      <c r="F4" s="11"/>
      <c r="G4" s="11"/>
      <c r="H4" s="11"/>
      <c r="I4" s="11"/>
      <c r="J4" s="6"/>
      <c r="K4" s="18" t="s">
        <v>1</v>
      </c>
      <c r="L4" s="19">
        <f t="shared" ref="L4:V4" si="0">+L75</f>
        <v>0</v>
      </c>
      <c r="M4" s="19">
        <f t="shared" si="0"/>
        <v>0</v>
      </c>
      <c r="N4" s="19">
        <f t="shared" si="0"/>
        <v>0</v>
      </c>
      <c r="O4" s="19">
        <f t="shared" si="0"/>
        <v>0</v>
      </c>
      <c r="P4" s="19">
        <f t="shared" si="0"/>
        <v>0</v>
      </c>
      <c r="Q4" s="19">
        <f t="shared" si="0"/>
        <v>0</v>
      </c>
      <c r="R4" s="19">
        <f t="shared" si="0"/>
        <v>0</v>
      </c>
      <c r="S4" s="19">
        <f t="shared" si="0"/>
        <v>0</v>
      </c>
      <c r="T4" s="19">
        <f t="shared" si="0"/>
        <v>0</v>
      </c>
      <c r="U4" s="19">
        <f t="shared" si="0"/>
        <v>0</v>
      </c>
      <c r="V4" s="19">
        <f t="shared" si="0"/>
        <v>0</v>
      </c>
      <c r="W4" s="20">
        <f>+'Resum Estudi'!I6</f>
        <v>11.25</v>
      </c>
      <c r="X4" s="21"/>
      <c r="Y4" s="21"/>
      <c r="Z4" s="21"/>
      <c r="AA4" s="21"/>
      <c r="AB4" s="21"/>
      <c r="AC4" s="21"/>
      <c r="AD4" s="21"/>
      <c r="AE4" s="21"/>
      <c r="AF4" s="377" t="s">
        <v>14</v>
      </c>
      <c r="AG4" s="378">
        <v>2</v>
      </c>
      <c r="AH4" s="397"/>
      <c r="AI4" s="399" t="s">
        <v>14</v>
      </c>
      <c r="AJ4" s="395">
        <v>2</v>
      </c>
      <c r="AK4" s="397"/>
      <c r="AL4" s="399" t="s">
        <v>14</v>
      </c>
      <c r="AM4" s="395">
        <v>1</v>
      </c>
      <c r="AN4" s="397"/>
      <c r="AO4" s="399" t="s">
        <v>14</v>
      </c>
      <c r="AP4" s="395">
        <v>1</v>
      </c>
      <c r="AQ4" s="397"/>
      <c r="AR4" s="399" t="s">
        <v>14</v>
      </c>
      <c r="AS4" s="395">
        <v>1</v>
      </c>
      <c r="AT4" s="397">
        <f>+'1'!AT4</f>
        <v>1000</v>
      </c>
      <c r="AU4" s="399" t="s">
        <v>14</v>
      </c>
      <c r="AV4" s="395">
        <v>1</v>
      </c>
      <c r="AW4" s="397"/>
      <c r="AX4" s="399" t="s">
        <v>14</v>
      </c>
      <c r="AY4" s="395">
        <v>1</v>
      </c>
      <c r="AZ4" s="397">
        <f>+'1'!AZ4</f>
        <v>1000</v>
      </c>
      <c r="BA4" s="393" t="e">
        <f>BA75</f>
        <v>#DIV/0!</v>
      </c>
    </row>
    <row r="5" spans="1:53" ht="15.75" customHeight="1" thickBot="1">
      <c r="A5" s="7"/>
      <c r="B5" s="10"/>
      <c r="C5" s="11"/>
      <c r="D5" s="11"/>
      <c r="E5" s="11"/>
      <c r="F5" s="11"/>
      <c r="G5" s="11"/>
      <c r="H5" s="11"/>
      <c r="I5" s="11"/>
      <c r="J5" s="1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381" t="s">
        <v>342</v>
      </c>
      <c r="Y5" s="382"/>
      <c r="Z5" s="383"/>
      <c r="AA5" s="383"/>
      <c r="AB5" s="382"/>
      <c r="AC5" s="382"/>
      <c r="AD5" s="382"/>
      <c r="AE5" s="384"/>
      <c r="AF5" s="377"/>
      <c r="AG5" s="378"/>
      <c r="AH5" s="398"/>
      <c r="AI5" s="400"/>
      <c r="AJ5" s="396"/>
      <c r="AK5" s="398"/>
      <c r="AL5" s="400"/>
      <c r="AM5" s="396"/>
      <c r="AN5" s="398"/>
      <c r="AO5" s="400"/>
      <c r="AP5" s="396"/>
      <c r="AQ5" s="398"/>
      <c r="AR5" s="400"/>
      <c r="AS5" s="396"/>
      <c r="AT5" s="398"/>
      <c r="AU5" s="400"/>
      <c r="AV5" s="396"/>
      <c r="AW5" s="398"/>
      <c r="AX5" s="400"/>
      <c r="AY5" s="396"/>
      <c r="AZ5" s="398"/>
      <c r="BA5" s="394"/>
    </row>
    <row r="6" spans="1:53" ht="30.75" customHeight="1" thickBot="1">
      <c r="A6" s="22"/>
      <c r="B6" s="303" t="s">
        <v>360</v>
      </c>
      <c r="C6" s="303" t="s">
        <v>15</v>
      </c>
      <c r="D6" s="303" t="s">
        <v>13</v>
      </c>
      <c r="E6" s="303" t="s">
        <v>361</v>
      </c>
      <c r="F6" s="303" t="s">
        <v>16</v>
      </c>
      <c r="G6" s="303" t="s">
        <v>404</v>
      </c>
      <c r="H6" s="303" t="s">
        <v>393</v>
      </c>
      <c r="I6" s="303"/>
      <c r="J6" s="303"/>
      <c r="K6" s="303" t="s">
        <v>394</v>
      </c>
      <c r="L6" s="303" t="s">
        <v>370</v>
      </c>
      <c r="M6" s="303" t="s">
        <v>371</v>
      </c>
      <c r="N6" s="303" t="s">
        <v>372</v>
      </c>
      <c r="O6" s="303" t="s">
        <v>373</v>
      </c>
      <c r="P6" s="303" t="s">
        <v>374</v>
      </c>
      <c r="Q6" s="303"/>
      <c r="R6" s="303" t="s">
        <v>375</v>
      </c>
      <c r="S6" s="303"/>
      <c r="T6" s="303" t="s">
        <v>376</v>
      </c>
      <c r="U6" s="303" t="s">
        <v>380</v>
      </c>
      <c r="V6" s="303" t="s">
        <v>381</v>
      </c>
      <c r="W6" s="303" t="s">
        <v>396</v>
      </c>
      <c r="X6" s="303" t="s">
        <v>17</v>
      </c>
      <c r="Y6" s="303" t="s">
        <v>397</v>
      </c>
      <c r="Z6" s="303" t="s">
        <v>398</v>
      </c>
      <c r="AA6" s="303"/>
      <c r="AB6" s="303" t="s">
        <v>378</v>
      </c>
      <c r="AC6" s="303"/>
      <c r="AD6" s="303" t="s">
        <v>379</v>
      </c>
      <c r="AE6" s="303"/>
      <c r="AF6" s="23"/>
      <c r="AG6" s="24" t="s">
        <v>19</v>
      </c>
      <c r="AH6" s="25" t="s">
        <v>401</v>
      </c>
      <c r="AI6" s="293"/>
      <c r="AJ6" s="24" t="s">
        <v>19</v>
      </c>
      <c r="AK6" s="25" t="s">
        <v>401</v>
      </c>
      <c r="AL6" s="293"/>
      <c r="AM6" s="24" t="s">
        <v>19</v>
      </c>
      <c r="AN6" s="25" t="s">
        <v>401</v>
      </c>
      <c r="AO6" s="293"/>
      <c r="AP6" s="24" t="s">
        <v>19</v>
      </c>
      <c r="AQ6" s="25" t="s">
        <v>341</v>
      </c>
      <c r="AR6" s="293"/>
      <c r="AS6" s="24" t="s">
        <v>19</v>
      </c>
      <c r="AT6" s="25" t="s">
        <v>341</v>
      </c>
      <c r="AU6" s="293"/>
      <c r="AV6" s="24" t="s">
        <v>19</v>
      </c>
      <c r="AW6" s="25" t="s">
        <v>341</v>
      </c>
      <c r="AX6" s="293"/>
      <c r="AY6" s="24" t="s">
        <v>19</v>
      </c>
      <c r="AZ6" s="25" t="s">
        <v>341</v>
      </c>
      <c r="BA6" s="26" t="s">
        <v>12</v>
      </c>
    </row>
    <row r="7" spans="1:53">
      <c r="A7" s="22"/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27"/>
      <c r="AG7" s="28"/>
      <c r="AH7" s="29"/>
      <c r="AI7" s="27"/>
      <c r="AJ7" s="28"/>
      <c r="AK7" s="29"/>
      <c r="AL7" s="27"/>
      <c r="AM7" s="28"/>
      <c r="AN7" s="29"/>
      <c r="AO7" s="27"/>
      <c r="AP7" s="28"/>
      <c r="AQ7" s="29"/>
      <c r="AR7" s="27"/>
      <c r="AS7" s="28"/>
      <c r="AT7" s="29"/>
      <c r="AU7" s="27"/>
      <c r="AV7" s="28"/>
      <c r="AW7" s="29"/>
      <c r="AX7" s="27"/>
      <c r="AY7" s="28"/>
      <c r="AZ7" s="29"/>
      <c r="BA7" s="59"/>
    </row>
    <row r="8" spans="1:53">
      <c r="A8" s="30"/>
      <c r="B8" s="31" t="s">
        <v>450</v>
      </c>
      <c r="C8" s="31" t="s">
        <v>415</v>
      </c>
      <c r="D8" s="31" t="s">
        <v>451</v>
      </c>
      <c r="E8" s="32" t="s">
        <v>448</v>
      </c>
      <c r="F8" s="33">
        <v>3.53</v>
      </c>
      <c r="G8" s="74"/>
      <c r="H8" s="70" t="s">
        <v>20</v>
      </c>
      <c r="I8" s="77">
        <f>IF(H8=Tablas!$B$5,Tablas!$C$5,VLOOKUP(H8,Tablas!$B$5:$D$40,2,FALSE))</f>
        <v>19</v>
      </c>
      <c r="J8" s="65">
        <f>IF(I8=0,"",VLOOKUP(I8,Tablas!$C$5:$D$40,2,FALSE))</f>
        <v>21.726190476190478</v>
      </c>
      <c r="K8" s="34" t="str">
        <f>IF(G8=0,"0",F8/G8)</f>
        <v>0</v>
      </c>
      <c r="L8" s="35">
        <f t="shared" ref="L8:L39" si="1">IF($X8=3,$K8,0)+IF($X8=4,$K8,0)+IF($X8=5,$K8,0)+IF($X8=6,$K8,0)+IF($X8=7,$K8,0)+IF($X8=10,$K8*2,0)+IF($X8=12,$K8*2,0)+IF($X8=14,$K8*2,0)+IF($X8=21,$K8*3,0)+IF($X8&lt;=1,$K8*$J8/21.75,0)+IF($X8=15,$K8*3,0)</f>
        <v>0</v>
      </c>
      <c r="M8" s="35">
        <f t="shared" ref="M8:M39" si="2">IF($X8=2,$K8,0)+IF($X8=4,$K8,0)+IF($X8=5,$K8,0)+IF($X8=6,$K8,0)+IF($X8=7,$K8,0)+IF($X8=10,$K8*2,0)+IF($X8=12,$K8*2,0)+IF($X8=14,$K8*2,0)+IF($X8=15,$K8*3,0)+IF($X8=21,$K8*3,0)+IF($X8&lt;=1,$K8*$J8/21.75,0)</f>
        <v>0</v>
      </c>
      <c r="N8" s="35">
        <f t="shared" ref="N8:N39" si="3">IF($X8=3,$K8,0)+IF($X8=4,$K8,0)+IF($X8=5,$K8,0)+IF($X8=6,$K8,0)+IF($X8=7,$K8,0)+IF($X8=10,$K8*2,0)+IF($X8=12,$K8*2,0)+IF($X8=14,$K8*2,0)+IF($X8=21,$K8*3,0)+IF($X8&lt;=1,$K8*$J8/21.75,0)+IF($X8=15,$K8*3,0)</f>
        <v>0</v>
      </c>
      <c r="O8" s="35">
        <f t="shared" ref="O8:O39" si="4">IF($X8=2,$K8,0)+IF($X8=4,$K8,0)+IF($X8=5,$K8,0)+IF($X8=6,$K8,0)+IF($X8=7,$K8,0)+IF($X8=10,$K8*2,0)+IF($X8=12,$K8*2,0)+IF($X8=14,$K8*2,0)+IF($X8=15,$K8*3,0)+IF($X8=21,$K8*3,0)+IF($X8&lt;=1,$K8*$J8/21.75,0)</f>
        <v>0</v>
      </c>
      <c r="P8" s="35">
        <f t="shared" ref="P8:P39" si="5">IF($X8=3,$K8,0)+IF($X8=4,$K8,0)+IF($X8=5,$K8,0)+IF($X8=6,$K8,0)+IF($X8=7,$K8,0)+IF($X8=10,$K8*2,0)+IF($X8=12,$K8*2,0)+IF($X8=14,$K8*2,0)+IF($X8=21,$K8*3,0)+IF($X8&lt;=1,$K8*$J8/21.75,0)+IF($X8=15,$K8*3,0)</f>
        <v>0</v>
      </c>
      <c r="Q8" s="36">
        <v>0.75</v>
      </c>
      <c r="R8" s="37">
        <f t="shared" ref="R8:R39" si="6">(IF($X8=6,$K8,)+IF($X8=7,$K8,)+IF($X8=12,$K8*2,)+IF($X8=18,$K8*3,)+IF($X8=21,$K8*3,)+IF($X8=14,$K8*2,))*Q8</f>
        <v>0</v>
      </c>
      <c r="S8" s="36">
        <v>0.75</v>
      </c>
      <c r="T8" s="38">
        <f t="shared" ref="T8:T39" si="7">(IF($X8=7,$K8,)+IF($X8=21,$K8*3,)+IF($X8=14,$K8*2,))*S8</f>
        <v>0</v>
      </c>
      <c r="U8" s="39">
        <f t="shared" ref="U8:U71" si="8">SUM(+L8+M8+N8+O8+P8+R8+T8)</f>
        <v>0</v>
      </c>
      <c r="V8" s="40">
        <f t="shared" ref="V8:V71" si="9">+U8*4.345</f>
        <v>0</v>
      </c>
      <c r="W8" s="41">
        <f t="shared" ref="W8:W39" si="10">IF(V8="","",$W$4*V8)</f>
        <v>0</v>
      </c>
      <c r="X8" s="42">
        <f t="shared" ref="X8:X39" si="11">ROUND(J8/4.3452380952381,1)</f>
        <v>5</v>
      </c>
      <c r="Y8" s="43" t="s">
        <v>395</v>
      </c>
      <c r="Z8" s="36">
        <v>1</v>
      </c>
      <c r="AA8" s="44">
        <f t="shared" ref="AA8:AA39" si="12">+IF($Y8="M",$U8,IF($Y8="MT",$U8/2,IF(Y8="MN",$U8/2,IF($Y8="MTN",$U8/3,0))))*Z8</f>
        <v>0</v>
      </c>
      <c r="AB8" s="36">
        <v>1</v>
      </c>
      <c r="AC8" s="44">
        <f t="shared" ref="AC8:AC39" si="13">+IF($Y8="T",$U8,IF($Y8="MT",$U8/2,IF($Y8="TN",$U8/2,IF($Y8="MTN",$U8/3,0))))*AB8</f>
        <v>0</v>
      </c>
      <c r="AD8" s="36">
        <v>1</v>
      </c>
      <c r="AE8" s="44">
        <f t="shared" ref="AE8:AE39" si="14">+IF($Y8="N",$U8,IF($Y8="MN",$U8/2,IF($Y8="TN",$U8/2,IF($Y8="MTN",$U8/3,0))))*AD8</f>
        <v>0</v>
      </c>
      <c r="AF8" s="45"/>
      <c r="AG8" s="46" t="e">
        <f t="shared" ref="AG8:AG16" si="15">+AF8/AH$4</f>
        <v>#DIV/0!</v>
      </c>
      <c r="AH8" s="47" t="e">
        <f t="shared" ref="AH8:AH16" si="16">AG8*AG$4/12</f>
        <v>#DIV/0!</v>
      </c>
      <c r="AI8" s="45"/>
      <c r="AJ8" s="46" t="e">
        <f t="shared" ref="AJ8:AJ16" si="17">+AI8/AK$4</f>
        <v>#DIV/0!</v>
      </c>
      <c r="AK8" s="47" t="e">
        <f t="shared" ref="AK8:AK16" si="18">AJ8*AJ$4/12</f>
        <v>#DIV/0!</v>
      </c>
      <c r="AL8" s="45">
        <v>3.53</v>
      </c>
      <c r="AM8" s="46" t="e">
        <f t="shared" ref="AM8:AM39" si="19">+AL8/AN$4</f>
        <v>#DIV/0!</v>
      </c>
      <c r="AN8" s="47" t="e">
        <f t="shared" ref="AN8:AN39" si="20">AM8*AM$4/12</f>
        <v>#DIV/0!</v>
      </c>
      <c r="AO8" s="45"/>
      <c r="AP8" s="46" t="e">
        <f t="shared" ref="AP8:AP39" si="21">+AO8/AQ$4</f>
        <v>#DIV/0!</v>
      </c>
      <c r="AQ8" s="47" t="e">
        <f t="shared" ref="AQ8:AQ39" si="22">AP8*AP$4/12</f>
        <v>#DIV/0!</v>
      </c>
      <c r="AR8" s="45"/>
      <c r="AS8" s="46">
        <f t="shared" ref="AS8:AS39" si="23">+AR8/AT$4</f>
        <v>0</v>
      </c>
      <c r="AT8" s="47">
        <f t="shared" ref="AT8:AT39" si="24">AS8*AS$4/12</f>
        <v>0</v>
      </c>
      <c r="AU8" s="45">
        <v>3.53</v>
      </c>
      <c r="AV8" s="46" t="e">
        <f t="shared" ref="AV8:AV16" si="25">+AU8/AW$4</f>
        <v>#DIV/0!</v>
      </c>
      <c r="AW8" s="47" t="e">
        <f t="shared" ref="AW8:AW16" si="26">AV8*AV$4/12</f>
        <v>#DIV/0!</v>
      </c>
      <c r="AX8" s="45"/>
      <c r="AY8" s="46">
        <f t="shared" ref="AY8:AY16" si="27">+AX8/AZ$4</f>
        <v>0</v>
      </c>
      <c r="AZ8" s="47">
        <f t="shared" ref="AZ8:AZ16" si="28">AY8*AY$4/12</f>
        <v>0</v>
      </c>
      <c r="BA8" s="48" t="e">
        <f t="shared" ref="BA8:BA16" si="29">+AH8+AK8+AN8+AQ8+AT8+AW8+AZ8</f>
        <v>#DIV/0!</v>
      </c>
    </row>
    <row r="9" spans="1:53">
      <c r="A9" s="30"/>
      <c r="B9" s="31" t="s">
        <v>450</v>
      </c>
      <c r="C9" s="31" t="s">
        <v>415</v>
      </c>
      <c r="D9" s="31" t="s">
        <v>452</v>
      </c>
      <c r="E9" s="32" t="s">
        <v>448</v>
      </c>
      <c r="F9" s="33">
        <v>89.15</v>
      </c>
      <c r="G9" s="74"/>
      <c r="H9" s="70" t="s">
        <v>20</v>
      </c>
      <c r="I9" s="77">
        <f>IF(H9=Tablas!$B$5,Tablas!$C$5,VLOOKUP(H9,Tablas!$B$5:$D$40,2,FALSE))</f>
        <v>19</v>
      </c>
      <c r="J9" s="65">
        <f>IF(I9=0,"",VLOOKUP(I9,Tablas!$C$5:$D$40,2,FALSE))</f>
        <v>21.726190476190478</v>
      </c>
      <c r="K9" s="34" t="str">
        <f t="shared" ref="K9:K72" si="30">IF(G9=0,"0",F9/G9)</f>
        <v>0</v>
      </c>
      <c r="L9" s="35">
        <f t="shared" si="1"/>
        <v>0</v>
      </c>
      <c r="M9" s="35">
        <f t="shared" si="2"/>
        <v>0</v>
      </c>
      <c r="N9" s="35">
        <f t="shared" si="3"/>
        <v>0</v>
      </c>
      <c r="O9" s="35">
        <f t="shared" si="4"/>
        <v>0</v>
      </c>
      <c r="P9" s="35">
        <f t="shared" si="5"/>
        <v>0</v>
      </c>
      <c r="Q9" s="36">
        <v>0.75</v>
      </c>
      <c r="R9" s="37">
        <f t="shared" si="6"/>
        <v>0</v>
      </c>
      <c r="S9" s="36">
        <v>0.75</v>
      </c>
      <c r="T9" s="38">
        <f t="shared" si="7"/>
        <v>0</v>
      </c>
      <c r="U9" s="39">
        <f t="shared" si="8"/>
        <v>0</v>
      </c>
      <c r="V9" s="40">
        <f t="shared" si="9"/>
        <v>0</v>
      </c>
      <c r="W9" s="41">
        <f t="shared" si="10"/>
        <v>0</v>
      </c>
      <c r="X9" s="42">
        <f t="shared" si="11"/>
        <v>5</v>
      </c>
      <c r="Y9" s="43" t="s">
        <v>395</v>
      </c>
      <c r="Z9" s="36">
        <v>1</v>
      </c>
      <c r="AA9" s="44">
        <f t="shared" si="12"/>
        <v>0</v>
      </c>
      <c r="AB9" s="36">
        <v>1</v>
      </c>
      <c r="AC9" s="44">
        <f t="shared" si="13"/>
        <v>0</v>
      </c>
      <c r="AD9" s="36">
        <v>1</v>
      </c>
      <c r="AE9" s="44">
        <f t="shared" si="14"/>
        <v>0</v>
      </c>
      <c r="AF9" s="45"/>
      <c r="AG9" s="46" t="e">
        <f t="shared" si="15"/>
        <v>#DIV/0!</v>
      </c>
      <c r="AH9" s="47" t="e">
        <f t="shared" si="16"/>
        <v>#DIV/0!</v>
      </c>
      <c r="AI9" s="45">
        <v>25</v>
      </c>
      <c r="AJ9" s="46" t="e">
        <f t="shared" si="17"/>
        <v>#DIV/0!</v>
      </c>
      <c r="AK9" s="47" t="e">
        <f t="shared" si="18"/>
        <v>#DIV/0!</v>
      </c>
      <c r="AL9" s="45">
        <v>89.15</v>
      </c>
      <c r="AM9" s="46" t="e">
        <f t="shared" si="19"/>
        <v>#DIV/0!</v>
      </c>
      <c r="AN9" s="47" t="e">
        <f t="shared" si="20"/>
        <v>#DIV/0!</v>
      </c>
      <c r="AO9" s="45"/>
      <c r="AP9" s="46" t="e">
        <f t="shared" si="21"/>
        <v>#DIV/0!</v>
      </c>
      <c r="AQ9" s="47" t="e">
        <f t="shared" si="22"/>
        <v>#DIV/0!</v>
      </c>
      <c r="AR9" s="45"/>
      <c r="AS9" s="46">
        <f t="shared" si="23"/>
        <v>0</v>
      </c>
      <c r="AT9" s="47">
        <f t="shared" si="24"/>
        <v>0</v>
      </c>
      <c r="AU9" s="45">
        <v>89.15</v>
      </c>
      <c r="AV9" s="46" t="e">
        <f t="shared" si="25"/>
        <v>#DIV/0!</v>
      </c>
      <c r="AW9" s="47" t="e">
        <f t="shared" si="26"/>
        <v>#DIV/0!</v>
      </c>
      <c r="AX9" s="45"/>
      <c r="AY9" s="46">
        <f t="shared" si="27"/>
        <v>0</v>
      </c>
      <c r="AZ9" s="47">
        <f t="shared" si="28"/>
        <v>0</v>
      </c>
      <c r="BA9" s="48" t="e">
        <f t="shared" si="29"/>
        <v>#DIV/0!</v>
      </c>
    </row>
    <row r="10" spans="1:53">
      <c r="A10" s="30"/>
      <c r="B10" s="31" t="s">
        <v>450</v>
      </c>
      <c r="C10" s="31" t="s">
        <v>415</v>
      </c>
      <c r="D10" s="31" t="s">
        <v>453</v>
      </c>
      <c r="E10" s="32" t="s">
        <v>448</v>
      </c>
      <c r="F10" s="33">
        <v>70.150000000000006</v>
      </c>
      <c r="G10" s="74"/>
      <c r="H10" s="70" t="s">
        <v>20</v>
      </c>
      <c r="I10" s="77">
        <f>IF(H10=Tablas!$B$5,Tablas!$C$5,VLOOKUP(H10,Tablas!$B$5:$D$40,2,FALSE))</f>
        <v>19</v>
      </c>
      <c r="J10" s="65">
        <f>IF(I10=0,"",VLOOKUP(I10,Tablas!$C$5:$D$40,2,FALSE))</f>
        <v>21.726190476190478</v>
      </c>
      <c r="K10" s="34" t="str">
        <f t="shared" si="30"/>
        <v>0</v>
      </c>
      <c r="L10" s="35">
        <f t="shared" si="1"/>
        <v>0</v>
      </c>
      <c r="M10" s="35">
        <f t="shared" si="2"/>
        <v>0</v>
      </c>
      <c r="N10" s="35">
        <f t="shared" si="3"/>
        <v>0</v>
      </c>
      <c r="O10" s="35">
        <f t="shared" si="4"/>
        <v>0</v>
      </c>
      <c r="P10" s="35">
        <f t="shared" si="5"/>
        <v>0</v>
      </c>
      <c r="Q10" s="36">
        <v>0.75</v>
      </c>
      <c r="R10" s="37">
        <f t="shared" si="6"/>
        <v>0</v>
      </c>
      <c r="S10" s="36">
        <v>0.75</v>
      </c>
      <c r="T10" s="38">
        <f t="shared" si="7"/>
        <v>0</v>
      </c>
      <c r="U10" s="39">
        <f t="shared" si="8"/>
        <v>0</v>
      </c>
      <c r="V10" s="40">
        <f t="shared" si="9"/>
        <v>0</v>
      </c>
      <c r="W10" s="41">
        <f t="shared" si="10"/>
        <v>0</v>
      </c>
      <c r="X10" s="42">
        <f t="shared" si="11"/>
        <v>5</v>
      </c>
      <c r="Y10" s="43" t="s">
        <v>395</v>
      </c>
      <c r="Z10" s="36">
        <v>1</v>
      </c>
      <c r="AA10" s="44">
        <f t="shared" si="12"/>
        <v>0</v>
      </c>
      <c r="AB10" s="36">
        <v>1</v>
      </c>
      <c r="AC10" s="44">
        <f t="shared" si="13"/>
        <v>0</v>
      </c>
      <c r="AD10" s="36">
        <v>1</v>
      </c>
      <c r="AE10" s="44">
        <f t="shared" si="14"/>
        <v>0</v>
      </c>
      <c r="AF10" s="45"/>
      <c r="AG10" s="46" t="e">
        <f t="shared" si="15"/>
        <v>#DIV/0!</v>
      </c>
      <c r="AH10" s="47" t="e">
        <f t="shared" si="16"/>
        <v>#DIV/0!</v>
      </c>
      <c r="AI10" s="45">
        <v>10</v>
      </c>
      <c r="AJ10" s="46" t="e">
        <f t="shared" si="17"/>
        <v>#DIV/0!</v>
      </c>
      <c r="AK10" s="47" t="e">
        <f t="shared" si="18"/>
        <v>#DIV/0!</v>
      </c>
      <c r="AL10" s="45">
        <v>70.150000000000006</v>
      </c>
      <c r="AM10" s="46" t="e">
        <f t="shared" si="19"/>
        <v>#DIV/0!</v>
      </c>
      <c r="AN10" s="47" t="e">
        <f t="shared" si="20"/>
        <v>#DIV/0!</v>
      </c>
      <c r="AO10" s="45"/>
      <c r="AP10" s="46" t="e">
        <f t="shared" si="21"/>
        <v>#DIV/0!</v>
      </c>
      <c r="AQ10" s="47" t="e">
        <f t="shared" si="22"/>
        <v>#DIV/0!</v>
      </c>
      <c r="AR10" s="45"/>
      <c r="AS10" s="46">
        <f t="shared" si="23"/>
        <v>0</v>
      </c>
      <c r="AT10" s="47">
        <f t="shared" si="24"/>
        <v>0</v>
      </c>
      <c r="AU10" s="45">
        <v>70.150000000000006</v>
      </c>
      <c r="AV10" s="46" t="e">
        <f t="shared" si="25"/>
        <v>#DIV/0!</v>
      </c>
      <c r="AW10" s="47" t="e">
        <f t="shared" si="26"/>
        <v>#DIV/0!</v>
      </c>
      <c r="AX10" s="45"/>
      <c r="AY10" s="46">
        <f t="shared" si="27"/>
        <v>0</v>
      </c>
      <c r="AZ10" s="47">
        <f t="shared" si="28"/>
        <v>0</v>
      </c>
      <c r="BA10" s="48" t="e">
        <f t="shared" si="29"/>
        <v>#DIV/0!</v>
      </c>
    </row>
    <row r="11" spans="1:53">
      <c r="A11" s="30"/>
      <c r="B11" s="31" t="s">
        <v>450</v>
      </c>
      <c r="C11" s="31" t="s">
        <v>415</v>
      </c>
      <c r="D11" s="31" t="s">
        <v>454</v>
      </c>
      <c r="E11" s="32" t="s">
        <v>448</v>
      </c>
      <c r="F11" s="33">
        <v>14.91</v>
      </c>
      <c r="G11" s="74"/>
      <c r="H11" s="70" t="s">
        <v>20</v>
      </c>
      <c r="I11" s="77">
        <f>IF(H11=Tablas!$B$5,Tablas!$C$5,VLOOKUP(H11,Tablas!$B$5:$D$40,2,FALSE))</f>
        <v>19</v>
      </c>
      <c r="J11" s="65">
        <f>IF(I11=0,"",VLOOKUP(I11,Tablas!$C$5:$D$40,2,FALSE))</f>
        <v>21.726190476190478</v>
      </c>
      <c r="K11" s="34" t="str">
        <f t="shared" si="30"/>
        <v>0</v>
      </c>
      <c r="L11" s="35">
        <f t="shared" si="1"/>
        <v>0</v>
      </c>
      <c r="M11" s="35">
        <f t="shared" si="2"/>
        <v>0</v>
      </c>
      <c r="N11" s="35">
        <f t="shared" si="3"/>
        <v>0</v>
      </c>
      <c r="O11" s="35">
        <f t="shared" si="4"/>
        <v>0</v>
      </c>
      <c r="P11" s="35">
        <f t="shared" si="5"/>
        <v>0</v>
      </c>
      <c r="Q11" s="36">
        <v>0.75</v>
      </c>
      <c r="R11" s="37">
        <f t="shared" si="6"/>
        <v>0</v>
      </c>
      <c r="S11" s="36">
        <v>0.75</v>
      </c>
      <c r="T11" s="38">
        <f t="shared" si="7"/>
        <v>0</v>
      </c>
      <c r="U11" s="39">
        <f t="shared" si="8"/>
        <v>0</v>
      </c>
      <c r="V11" s="40">
        <f t="shared" si="9"/>
        <v>0</v>
      </c>
      <c r="W11" s="41">
        <f t="shared" si="10"/>
        <v>0</v>
      </c>
      <c r="X11" s="42">
        <f t="shared" si="11"/>
        <v>5</v>
      </c>
      <c r="Y11" s="43" t="s">
        <v>395</v>
      </c>
      <c r="Z11" s="36">
        <v>1</v>
      </c>
      <c r="AA11" s="44">
        <f t="shared" si="12"/>
        <v>0</v>
      </c>
      <c r="AB11" s="36">
        <v>1</v>
      </c>
      <c r="AC11" s="44">
        <f t="shared" si="13"/>
        <v>0</v>
      </c>
      <c r="AD11" s="36">
        <v>1</v>
      </c>
      <c r="AE11" s="44">
        <f t="shared" si="14"/>
        <v>0</v>
      </c>
      <c r="AF11" s="45"/>
      <c r="AG11" s="46" t="e">
        <f t="shared" si="15"/>
        <v>#DIV/0!</v>
      </c>
      <c r="AH11" s="47" t="e">
        <f t="shared" si="16"/>
        <v>#DIV/0!</v>
      </c>
      <c r="AI11" s="45">
        <v>4</v>
      </c>
      <c r="AJ11" s="46" t="e">
        <f t="shared" si="17"/>
        <v>#DIV/0!</v>
      </c>
      <c r="AK11" s="47" t="e">
        <f t="shared" si="18"/>
        <v>#DIV/0!</v>
      </c>
      <c r="AL11" s="45">
        <v>14.91</v>
      </c>
      <c r="AM11" s="46" t="e">
        <f t="shared" si="19"/>
        <v>#DIV/0!</v>
      </c>
      <c r="AN11" s="47" t="e">
        <f t="shared" si="20"/>
        <v>#DIV/0!</v>
      </c>
      <c r="AO11" s="45"/>
      <c r="AP11" s="46" t="e">
        <f t="shared" si="21"/>
        <v>#DIV/0!</v>
      </c>
      <c r="AQ11" s="47" t="e">
        <f t="shared" si="22"/>
        <v>#DIV/0!</v>
      </c>
      <c r="AR11" s="45"/>
      <c r="AS11" s="46">
        <f t="shared" si="23"/>
        <v>0</v>
      </c>
      <c r="AT11" s="47">
        <f t="shared" si="24"/>
        <v>0</v>
      </c>
      <c r="AU11" s="45">
        <v>14.91</v>
      </c>
      <c r="AV11" s="46" t="e">
        <f t="shared" si="25"/>
        <v>#DIV/0!</v>
      </c>
      <c r="AW11" s="47" t="e">
        <f t="shared" si="26"/>
        <v>#DIV/0!</v>
      </c>
      <c r="AX11" s="45"/>
      <c r="AY11" s="46">
        <f t="shared" si="27"/>
        <v>0</v>
      </c>
      <c r="AZ11" s="47">
        <f t="shared" si="28"/>
        <v>0</v>
      </c>
      <c r="BA11" s="48" t="e">
        <f t="shared" si="29"/>
        <v>#DIV/0!</v>
      </c>
    </row>
    <row r="12" spans="1:53">
      <c r="A12" s="30"/>
      <c r="B12" s="31" t="s">
        <v>450</v>
      </c>
      <c r="C12" s="31" t="s">
        <v>415</v>
      </c>
      <c r="D12" s="31" t="s">
        <v>455</v>
      </c>
      <c r="E12" s="32" t="s">
        <v>448</v>
      </c>
      <c r="F12" s="33">
        <v>13.01</v>
      </c>
      <c r="G12" s="74"/>
      <c r="H12" s="70" t="s">
        <v>20</v>
      </c>
      <c r="I12" s="77">
        <f>IF(H12=Tablas!$B$5,Tablas!$C$5,VLOOKUP(H12,Tablas!$B$5:$D$40,2,FALSE))</f>
        <v>19</v>
      </c>
      <c r="J12" s="65">
        <f>IF(I12=0,"",VLOOKUP(I12,Tablas!$C$5:$D$40,2,FALSE))</f>
        <v>21.726190476190478</v>
      </c>
      <c r="K12" s="34" t="str">
        <f t="shared" si="30"/>
        <v>0</v>
      </c>
      <c r="L12" s="35">
        <f t="shared" si="1"/>
        <v>0</v>
      </c>
      <c r="M12" s="35">
        <f t="shared" si="2"/>
        <v>0</v>
      </c>
      <c r="N12" s="35">
        <f t="shared" si="3"/>
        <v>0</v>
      </c>
      <c r="O12" s="35">
        <f t="shared" si="4"/>
        <v>0</v>
      </c>
      <c r="P12" s="35">
        <f t="shared" si="5"/>
        <v>0</v>
      </c>
      <c r="Q12" s="36">
        <v>0.75</v>
      </c>
      <c r="R12" s="37">
        <f t="shared" si="6"/>
        <v>0</v>
      </c>
      <c r="S12" s="36">
        <v>0.75</v>
      </c>
      <c r="T12" s="38">
        <f t="shared" si="7"/>
        <v>0</v>
      </c>
      <c r="U12" s="39">
        <f t="shared" si="8"/>
        <v>0</v>
      </c>
      <c r="V12" s="40">
        <f t="shared" si="9"/>
        <v>0</v>
      </c>
      <c r="W12" s="41">
        <f t="shared" si="10"/>
        <v>0</v>
      </c>
      <c r="X12" s="42">
        <f t="shared" si="11"/>
        <v>5</v>
      </c>
      <c r="Y12" s="43" t="s">
        <v>395</v>
      </c>
      <c r="Z12" s="36">
        <v>1</v>
      </c>
      <c r="AA12" s="44">
        <f t="shared" si="12"/>
        <v>0</v>
      </c>
      <c r="AB12" s="36">
        <v>1</v>
      </c>
      <c r="AC12" s="44">
        <f t="shared" si="13"/>
        <v>0</v>
      </c>
      <c r="AD12" s="36">
        <v>1</v>
      </c>
      <c r="AE12" s="44">
        <f t="shared" si="14"/>
        <v>0</v>
      </c>
      <c r="AF12" s="45"/>
      <c r="AG12" s="46" t="e">
        <f t="shared" si="15"/>
        <v>#DIV/0!</v>
      </c>
      <c r="AH12" s="47" t="e">
        <f t="shared" si="16"/>
        <v>#DIV/0!</v>
      </c>
      <c r="AI12" s="45">
        <v>4.25</v>
      </c>
      <c r="AJ12" s="46" t="e">
        <f t="shared" si="17"/>
        <v>#DIV/0!</v>
      </c>
      <c r="AK12" s="47" t="e">
        <f t="shared" si="18"/>
        <v>#DIV/0!</v>
      </c>
      <c r="AL12" s="45">
        <v>13.01</v>
      </c>
      <c r="AM12" s="46" t="e">
        <f t="shared" si="19"/>
        <v>#DIV/0!</v>
      </c>
      <c r="AN12" s="47" t="e">
        <f t="shared" si="20"/>
        <v>#DIV/0!</v>
      </c>
      <c r="AO12" s="45"/>
      <c r="AP12" s="46" t="e">
        <f t="shared" si="21"/>
        <v>#DIV/0!</v>
      </c>
      <c r="AQ12" s="47" t="e">
        <f t="shared" si="22"/>
        <v>#DIV/0!</v>
      </c>
      <c r="AR12" s="45"/>
      <c r="AS12" s="46">
        <f t="shared" si="23"/>
        <v>0</v>
      </c>
      <c r="AT12" s="47">
        <f t="shared" si="24"/>
        <v>0</v>
      </c>
      <c r="AU12" s="45">
        <v>13.01</v>
      </c>
      <c r="AV12" s="46" t="e">
        <f t="shared" si="25"/>
        <v>#DIV/0!</v>
      </c>
      <c r="AW12" s="47" t="e">
        <f t="shared" si="26"/>
        <v>#DIV/0!</v>
      </c>
      <c r="AX12" s="45"/>
      <c r="AY12" s="46">
        <f t="shared" si="27"/>
        <v>0</v>
      </c>
      <c r="AZ12" s="47">
        <f t="shared" si="28"/>
        <v>0</v>
      </c>
      <c r="BA12" s="48" t="e">
        <f t="shared" si="29"/>
        <v>#DIV/0!</v>
      </c>
    </row>
    <row r="13" spans="1:53">
      <c r="A13" s="30"/>
      <c r="B13" s="31" t="s">
        <v>450</v>
      </c>
      <c r="C13" s="31" t="s">
        <v>415</v>
      </c>
      <c r="D13" s="31" t="s">
        <v>418</v>
      </c>
      <c r="E13" s="32" t="s">
        <v>448</v>
      </c>
      <c r="F13" s="33">
        <v>30.19</v>
      </c>
      <c r="G13" s="74"/>
      <c r="H13" s="70" t="s">
        <v>20</v>
      </c>
      <c r="I13" s="77">
        <f>IF(H13=Tablas!$B$5,Tablas!$C$5,VLOOKUP(H13,Tablas!$B$5:$D$40,2,FALSE))</f>
        <v>19</v>
      </c>
      <c r="J13" s="65">
        <f>IF(I13=0,"",VLOOKUP(I13,Tablas!$C$5:$D$40,2,FALSE))</f>
        <v>21.726190476190478</v>
      </c>
      <c r="K13" s="34" t="str">
        <f t="shared" si="30"/>
        <v>0</v>
      </c>
      <c r="L13" s="35">
        <f t="shared" si="1"/>
        <v>0</v>
      </c>
      <c r="M13" s="35">
        <f t="shared" si="2"/>
        <v>0</v>
      </c>
      <c r="N13" s="35">
        <f t="shared" si="3"/>
        <v>0</v>
      </c>
      <c r="O13" s="35">
        <f t="shared" si="4"/>
        <v>0</v>
      </c>
      <c r="P13" s="35">
        <f t="shared" si="5"/>
        <v>0</v>
      </c>
      <c r="Q13" s="36">
        <v>0.75</v>
      </c>
      <c r="R13" s="37">
        <f t="shared" si="6"/>
        <v>0</v>
      </c>
      <c r="S13" s="36">
        <v>0.75</v>
      </c>
      <c r="T13" s="38">
        <f t="shared" si="7"/>
        <v>0</v>
      </c>
      <c r="U13" s="39">
        <f t="shared" si="8"/>
        <v>0</v>
      </c>
      <c r="V13" s="40">
        <f t="shared" si="9"/>
        <v>0</v>
      </c>
      <c r="W13" s="41">
        <f t="shared" si="10"/>
        <v>0</v>
      </c>
      <c r="X13" s="42">
        <f t="shared" si="11"/>
        <v>5</v>
      </c>
      <c r="Y13" s="43" t="s">
        <v>395</v>
      </c>
      <c r="Z13" s="36">
        <v>1</v>
      </c>
      <c r="AA13" s="44">
        <f t="shared" si="12"/>
        <v>0</v>
      </c>
      <c r="AB13" s="36">
        <v>1</v>
      </c>
      <c r="AC13" s="44">
        <f t="shared" si="13"/>
        <v>0</v>
      </c>
      <c r="AD13" s="36">
        <v>1</v>
      </c>
      <c r="AE13" s="44">
        <f t="shared" si="14"/>
        <v>0</v>
      </c>
      <c r="AF13" s="45"/>
      <c r="AG13" s="46" t="e">
        <f t="shared" si="15"/>
        <v>#DIV/0!</v>
      </c>
      <c r="AH13" s="47" t="e">
        <f t="shared" si="16"/>
        <v>#DIV/0!</v>
      </c>
      <c r="AI13" s="45">
        <v>8.4</v>
      </c>
      <c r="AJ13" s="46" t="e">
        <f t="shared" si="17"/>
        <v>#DIV/0!</v>
      </c>
      <c r="AK13" s="47" t="e">
        <f t="shared" si="18"/>
        <v>#DIV/0!</v>
      </c>
      <c r="AL13" s="45">
        <v>30.19</v>
      </c>
      <c r="AM13" s="46" t="e">
        <f t="shared" si="19"/>
        <v>#DIV/0!</v>
      </c>
      <c r="AN13" s="47" t="e">
        <f t="shared" si="20"/>
        <v>#DIV/0!</v>
      </c>
      <c r="AO13" s="45"/>
      <c r="AP13" s="46" t="e">
        <f t="shared" si="21"/>
        <v>#DIV/0!</v>
      </c>
      <c r="AQ13" s="47" t="e">
        <f t="shared" si="22"/>
        <v>#DIV/0!</v>
      </c>
      <c r="AR13" s="45"/>
      <c r="AS13" s="46">
        <f t="shared" si="23"/>
        <v>0</v>
      </c>
      <c r="AT13" s="47">
        <f t="shared" si="24"/>
        <v>0</v>
      </c>
      <c r="AU13" s="45">
        <v>30.19</v>
      </c>
      <c r="AV13" s="46" t="e">
        <f t="shared" si="25"/>
        <v>#DIV/0!</v>
      </c>
      <c r="AW13" s="47" t="e">
        <f t="shared" si="26"/>
        <v>#DIV/0!</v>
      </c>
      <c r="AX13" s="45"/>
      <c r="AY13" s="46">
        <f t="shared" si="27"/>
        <v>0</v>
      </c>
      <c r="AZ13" s="47">
        <f t="shared" si="28"/>
        <v>0</v>
      </c>
      <c r="BA13" s="48" t="e">
        <f t="shared" si="29"/>
        <v>#DIV/0!</v>
      </c>
    </row>
    <row r="14" spans="1:53">
      <c r="A14" s="30"/>
      <c r="B14" s="31" t="s">
        <v>450</v>
      </c>
      <c r="C14" s="31" t="s">
        <v>415</v>
      </c>
      <c r="D14" s="31" t="s">
        <v>429</v>
      </c>
      <c r="E14" s="32" t="s">
        <v>448</v>
      </c>
      <c r="F14" s="33">
        <v>1.71</v>
      </c>
      <c r="G14" s="74"/>
      <c r="H14" s="70" t="s">
        <v>58</v>
      </c>
      <c r="I14" s="77">
        <f>IF(H14=Tablas!$B$5,Tablas!$C$5,VLOOKUP(H14,Tablas!$B$5:$D$40,2,FALSE))</f>
        <v>29</v>
      </c>
      <c r="J14" s="65">
        <f>IF(I14=0,"",VLOOKUP(I14,Tablas!$C$5:$D$40,2,FALSE))</f>
        <v>1</v>
      </c>
      <c r="K14" s="34" t="str">
        <f t="shared" si="30"/>
        <v>0</v>
      </c>
      <c r="L14" s="35">
        <f t="shared" si="1"/>
        <v>0</v>
      </c>
      <c r="M14" s="35">
        <f t="shared" si="2"/>
        <v>0</v>
      </c>
      <c r="N14" s="35">
        <f t="shared" si="3"/>
        <v>0</v>
      </c>
      <c r="O14" s="35">
        <f t="shared" si="4"/>
        <v>0</v>
      </c>
      <c r="P14" s="35">
        <f t="shared" si="5"/>
        <v>0</v>
      </c>
      <c r="Q14" s="36">
        <v>0.75</v>
      </c>
      <c r="R14" s="37">
        <f t="shared" si="6"/>
        <v>0</v>
      </c>
      <c r="S14" s="36">
        <v>0.75</v>
      </c>
      <c r="T14" s="38">
        <f t="shared" si="7"/>
        <v>0</v>
      </c>
      <c r="U14" s="39">
        <f t="shared" si="8"/>
        <v>0</v>
      </c>
      <c r="V14" s="40">
        <f t="shared" si="9"/>
        <v>0</v>
      </c>
      <c r="W14" s="41">
        <f t="shared" si="10"/>
        <v>0</v>
      </c>
      <c r="X14" s="42">
        <f t="shared" si="11"/>
        <v>0.2</v>
      </c>
      <c r="Y14" s="43" t="s">
        <v>395</v>
      </c>
      <c r="Z14" s="36">
        <v>1</v>
      </c>
      <c r="AA14" s="44">
        <f t="shared" si="12"/>
        <v>0</v>
      </c>
      <c r="AB14" s="36">
        <v>1</v>
      </c>
      <c r="AC14" s="44">
        <f t="shared" si="13"/>
        <v>0</v>
      </c>
      <c r="AD14" s="36">
        <v>1</v>
      </c>
      <c r="AE14" s="44">
        <f t="shared" si="14"/>
        <v>0</v>
      </c>
      <c r="AF14" s="45"/>
      <c r="AG14" s="46" t="e">
        <f t="shared" si="15"/>
        <v>#DIV/0!</v>
      </c>
      <c r="AH14" s="47" t="e">
        <f t="shared" si="16"/>
        <v>#DIV/0!</v>
      </c>
      <c r="AI14" s="45"/>
      <c r="AJ14" s="46" t="e">
        <f t="shared" si="17"/>
        <v>#DIV/0!</v>
      </c>
      <c r="AK14" s="47" t="e">
        <f t="shared" si="18"/>
        <v>#DIV/0!</v>
      </c>
      <c r="AL14" s="45">
        <v>1.71</v>
      </c>
      <c r="AM14" s="46" t="e">
        <f t="shared" si="19"/>
        <v>#DIV/0!</v>
      </c>
      <c r="AN14" s="47" t="e">
        <f t="shared" si="20"/>
        <v>#DIV/0!</v>
      </c>
      <c r="AO14" s="45"/>
      <c r="AP14" s="46" t="e">
        <f t="shared" si="21"/>
        <v>#DIV/0!</v>
      </c>
      <c r="AQ14" s="47" t="e">
        <f t="shared" si="22"/>
        <v>#DIV/0!</v>
      </c>
      <c r="AR14" s="45"/>
      <c r="AS14" s="46">
        <f t="shared" si="23"/>
        <v>0</v>
      </c>
      <c r="AT14" s="47">
        <f t="shared" si="24"/>
        <v>0</v>
      </c>
      <c r="AU14" s="45">
        <v>1.71</v>
      </c>
      <c r="AV14" s="46" t="e">
        <f t="shared" si="25"/>
        <v>#DIV/0!</v>
      </c>
      <c r="AW14" s="47" t="e">
        <f t="shared" si="26"/>
        <v>#DIV/0!</v>
      </c>
      <c r="AX14" s="45"/>
      <c r="AY14" s="46">
        <f t="shared" si="27"/>
        <v>0</v>
      </c>
      <c r="AZ14" s="47">
        <f t="shared" si="28"/>
        <v>0</v>
      </c>
      <c r="BA14" s="48" t="e">
        <f t="shared" si="29"/>
        <v>#DIV/0!</v>
      </c>
    </row>
    <row r="15" spans="1:53">
      <c r="A15" s="30"/>
      <c r="B15" s="31" t="s">
        <v>450</v>
      </c>
      <c r="C15" s="31" t="s">
        <v>415</v>
      </c>
      <c r="D15" s="31" t="s">
        <v>452</v>
      </c>
      <c r="E15" s="32" t="s">
        <v>448</v>
      </c>
      <c r="F15" s="33">
        <v>71.650000000000006</v>
      </c>
      <c r="G15" s="74"/>
      <c r="H15" s="70" t="s">
        <v>20</v>
      </c>
      <c r="I15" s="77">
        <f>IF(H15=Tablas!$B$5,Tablas!$C$5,VLOOKUP(H15,Tablas!$B$5:$D$40,2,FALSE))</f>
        <v>19</v>
      </c>
      <c r="J15" s="65">
        <f>IF(I15=0,"",VLOOKUP(I15,Tablas!$C$5:$D$40,2,FALSE))</f>
        <v>21.726190476190478</v>
      </c>
      <c r="K15" s="34" t="str">
        <f t="shared" si="30"/>
        <v>0</v>
      </c>
      <c r="L15" s="35">
        <f t="shared" si="1"/>
        <v>0</v>
      </c>
      <c r="M15" s="35">
        <f t="shared" si="2"/>
        <v>0</v>
      </c>
      <c r="N15" s="35">
        <f t="shared" si="3"/>
        <v>0</v>
      </c>
      <c r="O15" s="35">
        <f t="shared" si="4"/>
        <v>0</v>
      </c>
      <c r="P15" s="35">
        <f t="shared" si="5"/>
        <v>0</v>
      </c>
      <c r="Q15" s="36">
        <v>0.75</v>
      </c>
      <c r="R15" s="37">
        <f t="shared" si="6"/>
        <v>0</v>
      </c>
      <c r="S15" s="36">
        <v>0.75</v>
      </c>
      <c r="T15" s="38">
        <f t="shared" si="7"/>
        <v>0</v>
      </c>
      <c r="U15" s="39">
        <f t="shared" si="8"/>
        <v>0</v>
      </c>
      <c r="V15" s="40">
        <f t="shared" si="9"/>
        <v>0</v>
      </c>
      <c r="W15" s="41">
        <f t="shared" si="10"/>
        <v>0</v>
      </c>
      <c r="X15" s="42">
        <f t="shared" si="11"/>
        <v>5</v>
      </c>
      <c r="Y15" s="43" t="s">
        <v>395</v>
      </c>
      <c r="Z15" s="36">
        <v>1</v>
      </c>
      <c r="AA15" s="44">
        <f t="shared" si="12"/>
        <v>0</v>
      </c>
      <c r="AB15" s="36">
        <v>1</v>
      </c>
      <c r="AC15" s="44">
        <f t="shared" si="13"/>
        <v>0</v>
      </c>
      <c r="AD15" s="36">
        <v>1</v>
      </c>
      <c r="AE15" s="44">
        <f t="shared" si="14"/>
        <v>0</v>
      </c>
      <c r="AF15" s="45"/>
      <c r="AG15" s="46" t="e">
        <f t="shared" si="15"/>
        <v>#DIV/0!</v>
      </c>
      <c r="AH15" s="47" t="e">
        <f t="shared" si="16"/>
        <v>#DIV/0!</v>
      </c>
      <c r="AI15" s="45">
        <v>6</v>
      </c>
      <c r="AJ15" s="46" t="e">
        <f t="shared" si="17"/>
        <v>#DIV/0!</v>
      </c>
      <c r="AK15" s="47" t="e">
        <f t="shared" si="18"/>
        <v>#DIV/0!</v>
      </c>
      <c r="AL15" s="45">
        <v>71.650000000000006</v>
      </c>
      <c r="AM15" s="46" t="e">
        <f t="shared" si="19"/>
        <v>#DIV/0!</v>
      </c>
      <c r="AN15" s="47" t="e">
        <f t="shared" si="20"/>
        <v>#DIV/0!</v>
      </c>
      <c r="AO15" s="45"/>
      <c r="AP15" s="46" t="e">
        <f t="shared" si="21"/>
        <v>#DIV/0!</v>
      </c>
      <c r="AQ15" s="47" t="e">
        <f t="shared" si="22"/>
        <v>#DIV/0!</v>
      </c>
      <c r="AR15" s="45"/>
      <c r="AS15" s="46">
        <f t="shared" si="23"/>
        <v>0</v>
      </c>
      <c r="AT15" s="47">
        <f t="shared" si="24"/>
        <v>0</v>
      </c>
      <c r="AU15" s="45">
        <v>71.650000000000006</v>
      </c>
      <c r="AV15" s="46" t="e">
        <f t="shared" si="25"/>
        <v>#DIV/0!</v>
      </c>
      <c r="AW15" s="47" t="e">
        <f t="shared" si="26"/>
        <v>#DIV/0!</v>
      </c>
      <c r="AX15" s="45"/>
      <c r="AY15" s="46">
        <f t="shared" si="27"/>
        <v>0</v>
      </c>
      <c r="AZ15" s="47">
        <f t="shared" si="28"/>
        <v>0</v>
      </c>
      <c r="BA15" s="48" t="e">
        <f t="shared" si="29"/>
        <v>#DIV/0!</v>
      </c>
    </row>
    <row r="16" spans="1:53">
      <c r="A16" s="30"/>
      <c r="B16" s="31" t="s">
        <v>450</v>
      </c>
      <c r="C16" s="31" t="s">
        <v>415</v>
      </c>
      <c r="D16" s="31" t="s">
        <v>346</v>
      </c>
      <c r="E16" s="32" t="s">
        <v>448</v>
      </c>
      <c r="F16" s="33">
        <v>15.08</v>
      </c>
      <c r="G16" s="74"/>
      <c r="H16" s="70" t="s">
        <v>58</v>
      </c>
      <c r="I16" s="77">
        <f>IF(H16=Tablas!$B$5,Tablas!$C$5,VLOOKUP(H16,Tablas!$B$5:$D$40,2,FALSE))</f>
        <v>29</v>
      </c>
      <c r="J16" s="65">
        <f>IF(I16=0,"",VLOOKUP(I16,Tablas!$C$5:$D$40,2,FALSE))</f>
        <v>1</v>
      </c>
      <c r="K16" s="34" t="str">
        <f t="shared" si="30"/>
        <v>0</v>
      </c>
      <c r="L16" s="35">
        <f t="shared" si="1"/>
        <v>0</v>
      </c>
      <c r="M16" s="35">
        <f t="shared" si="2"/>
        <v>0</v>
      </c>
      <c r="N16" s="35">
        <f t="shared" si="3"/>
        <v>0</v>
      </c>
      <c r="O16" s="35">
        <f t="shared" si="4"/>
        <v>0</v>
      </c>
      <c r="P16" s="35">
        <f t="shared" si="5"/>
        <v>0</v>
      </c>
      <c r="Q16" s="36">
        <v>0.75</v>
      </c>
      <c r="R16" s="37">
        <f t="shared" si="6"/>
        <v>0</v>
      </c>
      <c r="S16" s="36">
        <v>0.75</v>
      </c>
      <c r="T16" s="38">
        <f t="shared" si="7"/>
        <v>0</v>
      </c>
      <c r="U16" s="39">
        <f t="shared" si="8"/>
        <v>0</v>
      </c>
      <c r="V16" s="40">
        <f t="shared" si="9"/>
        <v>0</v>
      </c>
      <c r="W16" s="41">
        <f t="shared" si="10"/>
        <v>0</v>
      </c>
      <c r="X16" s="42">
        <f t="shared" si="11"/>
        <v>0.2</v>
      </c>
      <c r="Y16" s="43" t="s">
        <v>395</v>
      </c>
      <c r="Z16" s="36">
        <v>1</v>
      </c>
      <c r="AA16" s="44">
        <f t="shared" si="12"/>
        <v>0</v>
      </c>
      <c r="AB16" s="36">
        <v>1</v>
      </c>
      <c r="AC16" s="44">
        <f t="shared" si="13"/>
        <v>0</v>
      </c>
      <c r="AD16" s="36">
        <v>1</v>
      </c>
      <c r="AE16" s="44">
        <f t="shared" si="14"/>
        <v>0</v>
      </c>
      <c r="AF16" s="45"/>
      <c r="AG16" s="46" t="e">
        <f t="shared" si="15"/>
        <v>#DIV/0!</v>
      </c>
      <c r="AH16" s="47" t="e">
        <f t="shared" si="16"/>
        <v>#DIV/0!</v>
      </c>
      <c r="AI16" s="45">
        <v>4.3</v>
      </c>
      <c r="AJ16" s="46" t="e">
        <f t="shared" si="17"/>
        <v>#DIV/0!</v>
      </c>
      <c r="AK16" s="47" t="e">
        <f t="shared" si="18"/>
        <v>#DIV/0!</v>
      </c>
      <c r="AL16" s="45">
        <v>15.08</v>
      </c>
      <c r="AM16" s="46" t="e">
        <f t="shared" si="19"/>
        <v>#DIV/0!</v>
      </c>
      <c r="AN16" s="47" t="e">
        <f t="shared" si="20"/>
        <v>#DIV/0!</v>
      </c>
      <c r="AO16" s="45"/>
      <c r="AP16" s="46" t="e">
        <f t="shared" si="21"/>
        <v>#DIV/0!</v>
      </c>
      <c r="AQ16" s="47" t="e">
        <f t="shared" si="22"/>
        <v>#DIV/0!</v>
      </c>
      <c r="AR16" s="45"/>
      <c r="AS16" s="46">
        <f t="shared" si="23"/>
        <v>0</v>
      </c>
      <c r="AT16" s="47">
        <f t="shared" si="24"/>
        <v>0</v>
      </c>
      <c r="AU16" s="45">
        <v>15.08</v>
      </c>
      <c r="AV16" s="46" t="e">
        <f t="shared" si="25"/>
        <v>#DIV/0!</v>
      </c>
      <c r="AW16" s="47" t="e">
        <f t="shared" si="26"/>
        <v>#DIV/0!</v>
      </c>
      <c r="AX16" s="45"/>
      <c r="AY16" s="46">
        <f t="shared" si="27"/>
        <v>0</v>
      </c>
      <c r="AZ16" s="47">
        <f t="shared" si="28"/>
        <v>0</v>
      </c>
      <c r="BA16" s="48" t="e">
        <f t="shared" si="29"/>
        <v>#DIV/0!</v>
      </c>
    </row>
    <row r="17" spans="1:53">
      <c r="A17" s="30"/>
      <c r="B17" s="31" t="s">
        <v>450</v>
      </c>
      <c r="C17" s="31" t="s">
        <v>415</v>
      </c>
      <c r="D17" s="31" t="s">
        <v>439</v>
      </c>
      <c r="E17" s="32" t="s">
        <v>448</v>
      </c>
      <c r="F17" s="33">
        <v>29.42</v>
      </c>
      <c r="G17" s="74"/>
      <c r="H17" s="70" t="s">
        <v>20</v>
      </c>
      <c r="I17" s="77">
        <f>IF(H17=Tablas!$B$5,Tablas!$C$5,VLOOKUP(H17,Tablas!$B$5:$D$40,2,FALSE))</f>
        <v>19</v>
      </c>
      <c r="J17" s="65">
        <f>IF(I17=0,"",VLOOKUP(I17,Tablas!$C$5:$D$40,2,FALSE))</f>
        <v>21.726190476190478</v>
      </c>
      <c r="K17" s="34" t="str">
        <f t="shared" si="30"/>
        <v>0</v>
      </c>
      <c r="L17" s="35">
        <f t="shared" si="1"/>
        <v>0</v>
      </c>
      <c r="M17" s="35">
        <f t="shared" si="2"/>
        <v>0</v>
      </c>
      <c r="N17" s="35">
        <f t="shared" si="3"/>
        <v>0</v>
      </c>
      <c r="O17" s="35">
        <f t="shared" si="4"/>
        <v>0</v>
      </c>
      <c r="P17" s="35">
        <f t="shared" si="5"/>
        <v>0</v>
      </c>
      <c r="Q17" s="36">
        <v>0.75</v>
      </c>
      <c r="R17" s="37">
        <f t="shared" si="6"/>
        <v>0</v>
      </c>
      <c r="S17" s="36">
        <v>0.75</v>
      </c>
      <c r="T17" s="38">
        <f t="shared" si="7"/>
        <v>0</v>
      </c>
      <c r="U17" s="39">
        <f t="shared" si="8"/>
        <v>0</v>
      </c>
      <c r="V17" s="40">
        <f t="shared" si="9"/>
        <v>0</v>
      </c>
      <c r="W17" s="41">
        <f t="shared" si="10"/>
        <v>0</v>
      </c>
      <c r="X17" s="42">
        <f t="shared" si="11"/>
        <v>5</v>
      </c>
      <c r="Y17" s="43" t="s">
        <v>395</v>
      </c>
      <c r="Z17" s="36">
        <v>1</v>
      </c>
      <c r="AA17" s="44">
        <f t="shared" si="12"/>
        <v>0</v>
      </c>
      <c r="AB17" s="36">
        <v>1</v>
      </c>
      <c r="AC17" s="44">
        <f t="shared" si="13"/>
        <v>0</v>
      </c>
      <c r="AD17" s="36">
        <v>1</v>
      </c>
      <c r="AE17" s="44">
        <f t="shared" si="14"/>
        <v>0</v>
      </c>
      <c r="AF17" s="45"/>
      <c r="AG17" s="46" t="e">
        <f t="shared" ref="AG17:AG22" si="31">+AF17/AH$4</f>
        <v>#DIV/0!</v>
      </c>
      <c r="AH17" s="47" t="e">
        <f t="shared" ref="AH17:AH22" si="32">AG17*AG$4/12</f>
        <v>#DIV/0!</v>
      </c>
      <c r="AI17" s="45">
        <v>8.5299999999999994</v>
      </c>
      <c r="AJ17" s="46" t="e">
        <f t="shared" ref="AJ17:AJ22" si="33">+AI17/AK$4</f>
        <v>#DIV/0!</v>
      </c>
      <c r="AK17" s="47" t="e">
        <f t="shared" ref="AK17:AK22" si="34">AJ17*AJ$4/12</f>
        <v>#DIV/0!</v>
      </c>
      <c r="AL17" s="45">
        <v>29.42</v>
      </c>
      <c r="AM17" s="46" t="e">
        <f t="shared" si="19"/>
        <v>#DIV/0!</v>
      </c>
      <c r="AN17" s="47" t="e">
        <f t="shared" si="20"/>
        <v>#DIV/0!</v>
      </c>
      <c r="AO17" s="45"/>
      <c r="AP17" s="46" t="e">
        <f t="shared" si="21"/>
        <v>#DIV/0!</v>
      </c>
      <c r="AQ17" s="47" t="e">
        <f t="shared" si="22"/>
        <v>#DIV/0!</v>
      </c>
      <c r="AR17" s="45"/>
      <c r="AS17" s="46">
        <f t="shared" si="23"/>
        <v>0</v>
      </c>
      <c r="AT17" s="47">
        <f t="shared" si="24"/>
        <v>0</v>
      </c>
      <c r="AU17" s="45">
        <v>29.42</v>
      </c>
      <c r="AV17" s="46" t="e">
        <f t="shared" ref="AV17:AV22" si="35">+AU17/AW$4</f>
        <v>#DIV/0!</v>
      </c>
      <c r="AW17" s="47" t="e">
        <f t="shared" ref="AW17:AW22" si="36">AV17*AV$4/12</f>
        <v>#DIV/0!</v>
      </c>
      <c r="AX17" s="45"/>
      <c r="AY17" s="46">
        <f t="shared" ref="AY17:AY22" si="37">+AX17/AZ$4</f>
        <v>0</v>
      </c>
      <c r="AZ17" s="47">
        <f t="shared" ref="AZ17:AZ22" si="38">AY17*AY$4/12</f>
        <v>0</v>
      </c>
      <c r="BA17" s="48" t="e">
        <f t="shared" ref="BA17:BA22" si="39">+AH17+AK17+AN17+AQ17+AT17+AW17+AZ17</f>
        <v>#DIV/0!</v>
      </c>
    </row>
    <row r="18" spans="1:53">
      <c r="A18" s="30"/>
      <c r="B18" s="31" t="s">
        <v>450</v>
      </c>
      <c r="C18" s="31" t="s">
        <v>415</v>
      </c>
      <c r="D18" s="31" t="s">
        <v>451</v>
      </c>
      <c r="E18" s="32" t="s">
        <v>448</v>
      </c>
      <c r="F18" s="33">
        <v>3.95</v>
      </c>
      <c r="G18" s="74"/>
      <c r="H18" s="70" t="s">
        <v>20</v>
      </c>
      <c r="I18" s="77">
        <f>IF(H18=Tablas!$B$5,Tablas!$C$5,VLOOKUP(H18,Tablas!$B$5:$D$40,2,FALSE))</f>
        <v>19</v>
      </c>
      <c r="J18" s="65">
        <f>IF(I18=0,"",VLOOKUP(I18,Tablas!$C$5:$D$40,2,FALSE))</f>
        <v>21.726190476190478</v>
      </c>
      <c r="K18" s="34" t="str">
        <f t="shared" si="30"/>
        <v>0</v>
      </c>
      <c r="L18" s="35">
        <f t="shared" si="1"/>
        <v>0</v>
      </c>
      <c r="M18" s="35">
        <f t="shared" si="2"/>
        <v>0</v>
      </c>
      <c r="N18" s="35">
        <f t="shared" si="3"/>
        <v>0</v>
      </c>
      <c r="O18" s="35">
        <f t="shared" si="4"/>
        <v>0</v>
      </c>
      <c r="P18" s="35">
        <f t="shared" si="5"/>
        <v>0</v>
      </c>
      <c r="Q18" s="36">
        <v>0.75</v>
      </c>
      <c r="R18" s="37">
        <f t="shared" si="6"/>
        <v>0</v>
      </c>
      <c r="S18" s="36">
        <v>0.75</v>
      </c>
      <c r="T18" s="38">
        <f t="shared" si="7"/>
        <v>0</v>
      </c>
      <c r="U18" s="39">
        <f t="shared" si="8"/>
        <v>0</v>
      </c>
      <c r="V18" s="40">
        <f t="shared" si="9"/>
        <v>0</v>
      </c>
      <c r="W18" s="41">
        <f t="shared" si="10"/>
        <v>0</v>
      </c>
      <c r="X18" s="42">
        <f t="shared" si="11"/>
        <v>5</v>
      </c>
      <c r="Y18" s="43" t="s">
        <v>395</v>
      </c>
      <c r="Z18" s="36">
        <v>1</v>
      </c>
      <c r="AA18" s="44">
        <f t="shared" si="12"/>
        <v>0</v>
      </c>
      <c r="AB18" s="36">
        <v>1</v>
      </c>
      <c r="AC18" s="44">
        <f t="shared" si="13"/>
        <v>0</v>
      </c>
      <c r="AD18" s="36">
        <v>1</v>
      </c>
      <c r="AE18" s="44">
        <f t="shared" si="14"/>
        <v>0</v>
      </c>
      <c r="AF18" s="45"/>
      <c r="AG18" s="46" t="e">
        <f t="shared" si="31"/>
        <v>#DIV/0!</v>
      </c>
      <c r="AH18" s="47" t="e">
        <f t="shared" si="32"/>
        <v>#DIV/0!</v>
      </c>
      <c r="AI18" s="45"/>
      <c r="AJ18" s="46" t="e">
        <f t="shared" si="33"/>
        <v>#DIV/0!</v>
      </c>
      <c r="AK18" s="47" t="e">
        <f t="shared" si="34"/>
        <v>#DIV/0!</v>
      </c>
      <c r="AL18" s="45">
        <v>3.95</v>
      </c>
      <c r="AM18" s="46" t="e">
        <f t="shared" si="19"/>
        <v>#DIV/0!</v>
      </c>
      <c r="AN18" s="47" t="e">
        <f t="shared" si="20"/>
        <v>#DIV/0!</v>
      </c>
      <c r="AO18" s="45"/>
      <c r="AP18" s="46" t="e">
        <f t="shared" si="21"/>
        <v>#DIV/0!</v>
      </c>
      <c r="AQ18" s="47" t="e">
        <f t="shared" si="22"/>
        <v>#DIV/0!</v>
      </c>
      <c r="AR18" s="45"/>
      <c r="AS18" s="46">
        <f t="shared" si="23"/>
        <v>0</v>
      </c>
      <c r="AT18" s="47">
        <f t="shared" si="24"/>
        <v>0</v>
      </c>
      <c r="AU18" s="45">
        <v>3.95</v>
      </c>
      <c r="AV18" s="46" t="e">
        <f t="shared" si="35"/>
        <v>#DIV/0!</v>
      </c>
      <c r="AW18" s="47" t="e">
        <f t="shared" si="36"/>
        <v>#DIV/0!</v>
      </c>
      <c r="AX18" s="45"/>
      <c r="AY18" s="46">
        <f t="shared" si="37"/>
        <v>0</v>
      </c>
      <c r="AZ18" s="47">
        <f t="shared" si="38"/>
        <v>0</v>
      </c>
      <c r="BA18" s="48" t="e">
        <f t="shared" si="39"/>
        <v>#DIV/0!</v>
      </c>
    </row>
    <row r="19" spans="1:53">
      <c r="A19" s="30"/>
      <c r="B19" s="31" t="s">
        <v>450</v>
      </c>
      <c r="C19" s="31" t="s">
        <v>415</v>
      </c>
      <c r="D19" s="31" t="s">
        <v>456</v>
      </c>
      <c r="E19" s="32" t="s">
        <v>448</v>
      </c>
      <c r="F19" s="33">
        <v>47.82</v>
      </c>
      <c r="G19" s="74"/>
      <c r="H19" s="70" t="s">
        <v>20</v>
      </c>
      <c r="I19" s="77">
        <f>IF(H19=Tablas!$B$5,Tablas!$C$5,VLOOKUP(H19,Tablas!$B$5:$D$40,2,FALSE))</f>
        <v>19</v>
      </c>
      <c r="J19" s="65">
        <f>IF(I19=0,"",VLOOKUP(I19,Tablas!$C$5:$D$40,2,FALSE))</f>
        <v>21.726190476190478</v>
      </c>
      <c r="K19" s="34" t="str">
        <f t="shared" si="30"/>
        <v>0</v>
      </c>
      <c r="L19" s="35">
        <f t="shared" si="1"/>
        <v>0</v>
      </c>
      <c r="M19" s="35">
        <f t="shared" si="2"/>
        <v>0</v>
      </c>
      <c r="N19" s="35">
        <f t="shared" si="3"/>
        <v>0</v>
      </c>
      <c r="O19" s="35">
        <f t="shared" si="4"/>
        <v>0</v>
      </c>
      <c r="P19" s="35">
        <f t="shared" si="5"/>
        <v>0</v>
      </c>
      <c r="Q19" s="36">
        <v>0.75</v>
      </c>
      <c r="R19" s="37">
        <f t="shared" si="6"/>
        <v>0</v>
      </c>
      <c r="S19" s="36">
        <v>0.75</v>
      </c>
      <c r="T19" s="38">
        <f t="shared" si="7"/>
        <v>0</v>
      </c>
      <c r="U19" s="39">
        <f t="shared" si="8"/>
        <v>0</v>
      </c>
      <c r="V19" s="40">
        <f t="shared" si="9"/>
        <v>0</v>
      </c>
      <c r="W19" s="41">
        <f t="shared" si="10"/>
        <v>0</v>
      </c>
      <c r="X19" s="42">
        <f t="shared" si="11"/>
        <v>5</v>
      </c>
      <c r="Y19" s="43" t="s">
        <v>395</v>
      </c>
      <c r="Z19" s="36">
        <v>1</v>
      </c>
      <c r="AA19" s="44">
        <f t="shared" si="12"/>
        <v>0</v>
      </c>
      <c r="AB19" s="36">
        <v>1</v>
      </c>
      <c r="AC19" s="44">
        <f t="shared" si="13"/>
        <v>0</v>
      </c>
      <c r="AD19" s="36">
        <v>1</v>
      </c>
      <c r="AE19" s="44">
        <f t="shared" si="14"/>
        <v>0</v>
      </c>
      <c r="AF19" s="45"/>
      <c r="AG19" s="46" t="e">
        <f t="shared" si="31"/>
        <v>#DIV/0!</v>
      </c>
      <c r="AH19" s="47" t="e">
        <f t="shared" si="32"/>
        <v>#DIV/0!</v>
      </c>
      <c r="AI19" s="45">
        <v>12</v>
      </c>
      <c r="AJ19" s="46" t="e">
        <f t="shared" si="33"/>
        <v>#DIV/0!</v>
      </c>
      <c r="AK19" s="47" t="e">
        <f t="shared" si="34"/>
        <v>#DIV/0!</v>
      </c>
      <c r="AL19" s="45">
        <v>47.82</v>
      </c>
      <c r="AM19" s="46" t="e">
        <f t="shared" si="19"/>
        <v>#DIV/0!</v>
      </c>
      <c r="AN19" s="47" t="e">
        <f t="shared" si="20"/>
        <v>#DIV/0!</v>
      </c>
      <c r="AO19" s="45"/>
      <c r="AP19" s="46" t="e">
        <f t="shared" si="21"/>
        <v>#DIV/0!</v>
      </c>
      <c r="AQ19" s="47" t="e">
        <f t="shared" si="22"/>
        <v>#DIV/0!</v>
      </c>
      <c r="AR19" s="45"/>
      <c r="AS19" s="46">
        <f t="shared" si="23"/>
        <v>0</v>
      </c>
      <c r="AT19" s="47">
        <f t="shared" si="24"/>
        <v>0</v>
      </c>
      <c r="AU19" s="45">
        <v>47.82</v>
      </c>
      <c r="AV19" s="46" t="e">
        <f t="shared" si="35"/>
        <v>#DIV/0!</v>
      </c>
      <c r="AW19" s="47" t="e">
        <f t="shared" si="36"/>
        <v>#DIV/0!</v>
      </c>
      <c r="AX19" s="45"/>
      <c r="AY19" s="46">
        <f t="shared" si="37"/>
        <v>0</v>
      </c>
      <c r="AZ19" s="47">
        <f t="shared" si="38"/>
        <v>0</v>
      </c>
      <c r="BA19" s="48" t="e">
        <f t="shared" si="39"/>
        <v>#DIV/0!</v>
      </c>
    </row>
    <row r="20" spans="1:53">
      <c r="A20" s="30"/>
      <c r="B20" s="31" t="s">
        <v>450</v>
      </c>
      <c r="C20" s="31" t="s">
        <v>415</v>
      </c>
      <c r="D20" s="31" t="s">
        <v>457</v>
      </c>
      <c r="E20" s="32" t="s">
        <v>448</v>
      </c>
      <c r="F20" s="33">
        <v>8.3000000000000007</v>
      </c>
      <c r="G20" s="74"/>
      <c r="H20" s="70" t="s">
        <v>20</v>
      </c>
      <c r="I20" s="77">
        <f>IF(H20=Tablas!$B$5,Tablas!$C$5,VLOOKUP(H20,Tablas!$B$5:$D$40,2,FALSE))</f>
        <v>19</v>
      </c>
      <c r="J20" s="65">
        <f>IF(I20=0,"",VLOOKUP(I20,Tablas!$C$5:$D$40,2,FALSE))</f>
        <v>21.726190476190478</v>
      </c>
      <c r="K20" s="34" t="str">
        <f t="shared" si="30"/>
        <v>0</v>
      </c>
      <c r="L20" s="35">
        <f t="shared" si="1"/>
        <v>0</v>
      </c>
      <c r="M20" s="35">
        <f t="shared" si="2"/>
        <v>0</v>
      </c>
      <c r="N20" s="35">
        <f t="shared" si="3"/>
        <v>0</v>
      </c>
      <c r="O20" s="35">
        <f t="shared" si="4"/>
        <v>0</v>
      </c>
      <c r="P20" s="35">
        <f t="shared" si="5"/>
        <v>0</v>
      </c>
      <c r="Q20" s="36">
        <v>0.75</v>
      </c>
      <c r="R20" s="37">
        <f t="shared" si="6"/>
        <v>0</v>
      </c>
      <c r="S20" s="36">
        <v>0.75</v>
      </c>
      <c r="T20" s="38">
        <f t="shared" si="7"/>
        <v>0</v>
      </c>
      <c r="U20" s="39">
        <f t="shared" si="8"/>
        <v>0</v>
      </c>
      <c r="V20" s="40">
        <f t="shared" si="9"/>
        <v>0</v>
      </c>
      <c r="W20" s="41">
        <f t="shared" si="10"/>
        <v>0</v>
      </c>
      <c r="X20" s="42">
        <f t="shared" si="11"/>
        <v>5</v>
      </c>
      <c r="Y20" s="43" t="s">
        <v>395</v>
      </c>
      <c r="Z20" s="36">
        <v>1</v>
      </c>
      <c r="AA20" s="44">
        <f t="shared" si="12"/>
        <v>0</v>
      </c>
      <c r="AB20" s="36">
        <v>1</v>
      </c>
      <c r="AC20" s="44">
        <f t="shared" si="13"/>
        <v>0</v>
      </c>
      <c r="AD20" s="36">
        <v>1</v>
      </c>
      <c r="AE20" s="44">
        <f t="shared" si="14"/>
        <v>0</v>
      </c>
      <c r="AF20" s="45"/>
      <c r="AG20" s="46" t="e">
        <f t="shared" si="31"/>
        <v>#DIV/0!</v>
      </c>
      <c r="AH20" s="47" t="e">
        <f t="shared" si="32"/>
        <v>#DIV/0!</v>
      </c>
      <c r="AI20" s="45">
        <v>2.25</v>
      </c>
      <c r="AJ20" s="46" t="e">
        <f t="shared" si="33"/>
        <v>#DIV/0!</v>
      </c>
      <c r="AK20" s="47" t="e">
        <f t="shared" si="34"/>
        <v>#DIV/0!</v>
      </c>
      <c r="AL20" s="45">
        <v>8.3000000000000007</v>
      </c>
      <c r="AM20" s="46" t="e">
        <f t="shared" si="19"/>
        <v>#DIV/0!</v>
      </c>
      <c r="AN20" s="47" t="e">
        <f t="shared" si="20"/>
        <v>#DIV/0!</v>
      </c>
      <c r="AO20" s="45"/>
      <c r="AP20" s="46" t="e">
        <f t="shared" si="21"/>
        <v>#DIV/0!</v>
      </c>
      <c r="AQ20" s="47" t="e">
        <f t="shared" si="22"/>
        <v>#DIV/0!</v>
      </c>
      <c r="AR20" s="45"/>
      <c r="AS20" s="46">
        <f t="shared" si="23"/>
        <v>0</v>
      </c>
      <c r="AT20" s="47">
        <f t="shared" si="24"/>
        <v>0</v>
      </c>
      <c r="AU20" s="45">
        <v>8.3000000000000007</v>
      </c>
      <c r="AV20" s="46" t="e">
        <f t="shared" si="35"/>
        <v>#DIV/0!</v>
      </c>
      <c r="AW20" s="47" t="e">
        <f t="shared" si="36"/>
        <v>#DIV/0!</v>
      </c>
      <c r="AX20" s="45"/>
      <c r="AY20" s="46">
        <f t="shared" si="37"/>
        <v>0</v>
      </c>
      <c r="AZ20" s="47">
        <f t="shared" si="38"/>
        <v>0</v>
      </c>
      <c r="BA20" s="48" t="e">
        <f t="shared" si="39"/>
        <v>#DIV/0!</v>
      </c>
    </row>
    <row r="21" spans="1:53">
      <c r="A21" s="30"/>
      <c r="B21" s="31" t="s">
        <v>450</v>
      </c>
      <c r="C21" s="31" t="s">
        <v>415</v>
      </c>
      <c r="D21" s="31" t="s">
        <v>456</v>
      </c>
      <c r="E21" s="32" t="s">
        <v>448</v>
      </c>
      <c r="F21" s="33">
        <v>49.63</v>
      </c>
      <c r="G21" s="74"/>
      <c r="H21" s="70" t="s">
        <v>20</v>
      </c>
      <c r="I21" s="77">
        <f>IF(H21=Tablas!$B$5,Tablas!$C$5,VLOOKUP(H21,Tablas!$B$5:$D$40,2,FALSE))</f>
        <v>19</v>
      </c>
      <c r="J21" s="65">
        <f>IF(I21=0,"",VLOOKUP(I21,Tablas!$C$5:$D$40,2,FALSE))</f>
        <v>21.726190476190478</v>
      </c>
      <c r="K21" s="34" t="str">
        <f t="shared" si="30"/>
        <v>0</v>
      </c>
      <c r="L21" s="35">
        <f t="shared" si="1"/>
        <v>0</v>
      </c>
      <c r="M21" s="35">
        <f t="shared" si="2"/>
        <v>0</v>
      </c>
      <c r="N21" s="35">
        <f t="shared" si="3"/>
        <v>0</v>
      </c>
      <c r="O21" s="35">
        <f t="shared" si="4"/>
        <v>0</v>
      </c>
      <c r="P21" s="35">
        <f t="shared" si="5"/>
        <v>0</v>
      </c>
      <c r="Q21" s="36">
        <v>0.75</v>
      </c>
      <c r="R21" s="37">
        <f t="shared" si="6"/>
        <v>0</v>
      </c>
      <c r="S21" s="36">
        <v>0.75</v>
      </c>
      <c r="T21" s="38">
        <f t="shared" si="7"/>
        <v>0</v>
      </c>
      <c r="U21" s="39">
        <f t="shared" si="8"/>
        <v>0</v>
      </c>
      <c r="V21" s="40">
        <f t="shared" si="9"/>
        <v>0</v>
      </c>
      <c r="W21" s="41">
        <f t="shared" si="10"/>
        <v>0</v>
      </c>
      <c r="X21" s="42">
        <f t="shared" si="11"/>
        <v>5</v>
      </c>
      <c r="Y21" s="43" t="s">
        <v>395</v>
      </c>
      <c r="Z21" s="36">
        <v>1</v>
      </c>
      <c r="AA21" s="44">
        <f t="shared" si="12"/>
        <v>0</v>
      </c>
      <c r="AB21" s="36">
        <v>1</v>
      </c>
      <c r="AC21" s="44">
        <f t="shared" si="13"/>
        <v>0</v>
      </c>
      <c r="AD21" s="36">
        <v>1</v>
      </c>
      <c r="AE21" s="44">
        <f t="shared" si="14"/>
        <v>0</v>
      </c>
      <c r="AF21" s="45"/>
      <c r="AG21" s="46" t="e">
        <f t="shared" si="31"/>
        <v>#DIV/0!</v>
      </c>
      <c r="AH21" s="47" t="e">
        <f t="shared" si="32"/>
        <v>#DIV/0!</v>
      </c>
      <c r="AI21" s="45">
        <v>12</v>
      </c>
      <c r="AJ21" s="46" t="e">
        <f t="shared" si="33"/>
        <v>#DIV/0!</v>
      </c>
      <c r="AK21" s="47" t="e">
        <f t="shared" si="34"/>
        <v>#DIV/0!</v>
      </c>
      <c r="AL21" s="45">
        <v>49.63</v>
      </c>
      <c r="AM21" s="46" t="e">
        <f t="shared" si="19"/>
        <v>#DIV/0!</v>
      </c>
      <c r="AN21" s="47" t="e">
        <f t="shared" si="20"/>
        <v>#DIV/0!</v>
      </c>
      <c r="AO21" s="45"/>
      <c r="AP21" s="46" t="e">
        <f t="shared" si="21"/>
        <v>#DIV/0!</v>
      </c>
      <c r="AQ21" s="47" t="e">
        <f t="shared" si="22"/>
        <v>#DIV/0!</v>
      </c>
      <c r="AR21" s="45"/>
      <c r="AS21" s="46">
        <f t="shared" si="23"/>
        <v>0</v>
      </c>
      <c r="AT21" s="47">
        <f t="shared" si="24"/>
        <v>0</v>
      </c>
      <c r="AU21" s="45">
        <v>49.63</v>
      </c>
      <c r="AV21" s="46" t="e">
        <f t="shared" si="35"/>
        <v>#DIV/0!</v>
      </c>
      <c r="AW21" s="47" t="e">
        <f t="shared" si="36"/>
        <v>#DIV/0!</v>
      </c>
      <c r="AX21" s="45"/>
      <c r="AY21" s="46">
        <f t="shared" si="37"/>
        <v>0</v>
      </c>
      <c r="AZ21" s="47">
        <f t="shared" si="38"/>
        <v>0</v>
      </c>
      <c r="BA21" s="48" t="e">
        <f t="shared" si="39"/>
        <v>#DIV/0!</v>
      </c>
    </row>
    <row r="22" spans="1:53">
      <c r="A22" s="30"/>
      <c r="B22" s="31" t="s">
        <v>450</v>
      </c>
      <c r="C22" s="31" t="s">
        <v>415</v>
      </c>
      <c r="D22" s="31" t="s">
        <v>458</v>
      </c>
      <c r="E22" s="32" t="s">
        <v>448</v>
      </c>
      <c r="F22" s="33">
        <v>46.79</v>
      </c>
      <c r="G22" s="74"/>
      <c r="H22" s="70" t="s">
        <v>20</v>
      </c>
      <c r="I22" s="77">
        <f>IF(H22=Tablas!$B$5,Tablas!$C$5,VLOOKUP(H22,Tablas!$B$5:$D$40,2,FALSE))</f>
        <v>19</v>
      </c>
      <c r="J22" s="65">
        <f>IF(I22=0,"",VLOOKUP(I22,Tablas!$C$5:$D$40,2,FALSE))</f>
        <v>21.726190476190478</v>
      </c>
      <c r="K22" s="34" t="str">
        <f t="shared" si="30"/>
        <v>0</v>
      </c>
      <c r="L22" s="35">
        <f t="shared" si="1"/>
        <v>0</v>
      </c>
      <c r="M22" s="35">
        <f t="shared" si="2"/>
        <v>0</v>
      </c>
      <c r="N22" s="35">
        <f t="shared" si="3"/>
        <v>0</v>
      </c>
      <c r="O22" s="35">
        <f t="shared" si="4"/>
        <v>0</v>
      </c>
      <c r="P22" s="35">
        <f t="shared" si="5"/>
        <v>0</v>
      </c>
      <c r="Q22" s="36">
        <v>0.75</v>
      </c>
      <c r="R22" s="37">
        <f t="shared" si="6"/>
        <v>0</v>
      </c>
      <c r="S22" s="36">
        <v>0.75</v>
      </c>
      <c r="T22" s="38">
        <f t="shared" si="7"/>
        <v>0</v>
      </c>
      <c r="U22" s="39">
        <f t="shared" si="8"/>
        <v>0</v>
      </c>
      <c r="V22" s="40">
        <f t="shared" si="9"/>
        <v>0</v>
      </c>
      <c r="W22" s="41">
        <f t="shared" si="10"/>
        <v>0</v>
      </c>
      <c r="X22" s="42">
        <f t="shared" si="11"/>
        <v>5</v>
      </c>
      <c r="Y22" s="43" t="s">
        <v>395</v>
      </c>
      <c r="Z22" s="36">
        <v>1</v>
      </c>
      <c r="AA22" s="44">
        <f t="shared" si="12"/>
        <v>0</v>
      </c>
      <c r="AB22" s="36">
        <v>1</v>
      </c>
      <c r="AC22" s="44">
        <f t="shared" si="13"/>
        <v>0</v>
      </c>
      <c r="AD22" s="36">
        <v>1</v>
      </c>
      <c r="AE22" s="44">
        <f t="shared" si="14"/>
        <v>0</v>
      </c>
      <c r="AF22" s="45"/>
      <c r="AG22" s="46" t="e">
        <f t="shared" si="31"/>
        <v>#DIV/0!</v>
      </c>
      <c r="AH22" s="47" t="e">
        <f t="shared" si="32"/>
        <v>#DIV/0!</v>
      </c>
      <c r="AI22" s="45">
        <v>12</v>
      </c>
      <c r="AJ22" s="46" t="e">
        <f t="shared" si="33"/>
        <v>#DIV/0!</v>
      </c>
      <c r="AK22" s="47" t="e">
        <f t="shared" si="34"/>
        <v>#DIV/0!</v>
      </c>
      <c r="AL22" s="45">
        <v>46.79</v>
      </c>
      <c r="AM22" s="46" t="e">
        <f t="shared" si="19"/>
        <v>#DIV/0!</v>
      </c>
      <c r="AN22" s="47" t="e">
        <f t="shared" si="20"/>
        <v>#DIV/0!</v>
      </c>
      <c r="AO22" s="45"/>
      <c r="AP22" s="46" t="e">
        <f t="shared" si="21"/>
        <v>#DIV/0!</v>
      </c>
      <c r="AQ22" s="47" t="e">
        <f t="shared" si="22"/>
        <v>#DIV/0!</v>
      </c>
      <c r="AR22" s="45"/>
      <c r="AS22" s="46">
        <f t="shared" si="23"/>
        <v>0</v>
      </c>
      <c r="AT22" s="47">
        <f t="shared" si="24"/>
        <v>0</v>
      </c>
      <c r="AU22" s="45">
        <v>46.79</v>
      </c>
      <c r="AV22" s="46" t="e">
        <f t="shared" si="35"/>
        <v>#DIV/0!</v>
      </c>
      <c r="AW22" s="47" t="e">
        <f t="shared" si="36"/>
        <v>#DIV/0!</v>
      </c>
      <c r="AX22" s="45"/>
      <c r="AY22" s="46">
        <f t="shared" si="37"/>
        <v>0</v>
      </c>
      <c r="AZ22" s="47">
        <f t="shared" si="38"/>
        <v>0</v>
      </c>
      <c r="BA22" s="48" t="e">
        <f t="shared" si="39"/>
        <v>#DIV/0!</v>
      </c>
    </row>
    <row r="23" spans="1:53">
      <c r="A23" s="30"/>
      <c r="B23" s="31" t="s">
        <v>450</v>
      </c>
      <c r="C23" s="31" t="s">
        <v>415</v>
      </c>
      <c r="D23" s="31" t="s">
        <v>459</v>
      </c>
      <c r="E23" s="32" t="s">
        <v>448</v>
      </c>
      <c r="F23" s="33">
        <v>10.53</v>
      </c>
      <c r="G23" s="74"/>
      <c r="H23" s="70" t="s">
        <v>20</v>
      </c>
      <c r="I23" s="77">
        <f>IF(H23=Tablas!$B$5,Tablas!$C$5,VLOOKUP(H23,Tablas!$B$5:$D$40,2,FALSE))</f>
        <v>19</v>
      </c>
      <c r="J23" s="65">
        <f>IF(I23=0,"",VLOOKUP(I23,Tablas!$C$5:$D$40,2,FALSE))</f>
        <v>21.726190476190478</v>
      </c>
      <c r="K23" s="34" t="str">
        <f t="shared" si="30"/>
        <v>0</v>
      </c>
      <c r="L23" s="35">
        <f t="shared" si="1"/>
        <v>0</v>
      </c>
      <c r="M23" s="35">
        <f t="shared" si="2"/>
        <v>0</v>
      </c>
      <c r="N23" s="35">
        <f t="shared" si="3"/>
        <v>0</v>
      </c>
      <c r="O23" s="35">
        <f t="shared" si="4"/>
        <v>0</v>
      </c>
      <c r="P23" s="35">
        <f t="shared" si="5"/>
        <v>0</v>
      </c>
      <c r="Q23" s="36">
        <v>0.75</v>
      </c>
      <c r="R23" s="37">
        <f t="shared" si="6"/>
        <v>0</v>
      </c>
      <c r="S23" s="36">
        <v>0.75</v>
      </c>
      <c r="T23" s="38">
        <f t="shared" si="7"/>
        <v>0</v>
      </c>
      <c r="U23" s="39">
        <f t="shared" si="8"/>
        <v>0</v>
      </c>
      <c r="V23" s="40">
        <f t="shared" si="9"/>
        <v>0</v>
      </c>
      <c r="W23" s="41">
        <f t="shared" si="10"/>
        <v>0</v>
      </c>
      <c r="X23" s="42">
        <f t="shared" si="11"/>
        <v>5</v>
      </c>
      <c r="Y23" s="43" t="s">
        <v>395</v>
      </c>
      <c r="Z23" s="36">
        <v>1</v>
      </c>
      <c r="AA23" s="44">
        <f t="shared" si="12"/>
        <v>0</v>
      </c>
      <c r="AB23" s="36">
        <v>1</v>
      </c>
      <c r="AC23" s="44">
        <f t="shared" si="13"/>
        <v>0</v>
      </c>
      <c r="AD23" s="36">
        <v>1</v>
      </c>
      <c r="AE23" s="44">
        <f t="shared" si="14"/>
        <v>0</v>
      </c>
      <c r="AF23" s="45"/>
      <c r="AG23" s="46" t="e">
        <f t="shared" ref="AG23:AG29" si="40">+AF23/AH$4</f>
        <v>#DIV/0!</v>
      </c>
      <c r="AH23" s="47" t="e">
        <f t="shared" ref="AH23:AH29" si="41">AG23*AG$4/12</f>
        <v>#DIV/0!</v>
      </c>
      <c r="AI23" s="45">
        <v>2.25</v>
      </c>
      <c r="AJ23" s="46" t="e">
        <f t="shared" ref="AJ23:AJ29" si="42">+AI23/AK$4</f>
        <v>#DIV/0!</v>
      </c>
      <c r="AK23" s="47" t="e">
        <f t="shared" ref="AK23:AK29" si="43">AJ23*AJ$4/12</f>
        <v>#DIV/0!</v>
      </c>
      <c r="AL23" s="45">
        <v>10.53</v>
      </c>
      <c r="AM23" s="46" t="e">
        <f t="shared" si="19"/>
        <v>#DIV/0!</v>
      </c>
      <c r="AN23" s="47" t="e">
        <f t="shared" si="20"/>
        <v>#DIV/0!</v>
      </c>
      <c r="AO23" s="45"/>
      <c r="AP23" s="46" t="e">
        <f t="shared" si="21"/>
        <v>#DIV/0!</v>
      </c>
      <c r="AQ23" s="47" t="e">
        <f t="shared" si="22"/>
        <v>#DIV/0!</v>
      </c>
      <c r="AR23" s="45"/>
      <c r="AS23" s="46">
        <f t="shared" si="23"/>
        <v>0</v>
      </c>
      <c r="AT23" s="47">
        <f t="shared" si="24"/>
        <v>0</v>
      </c>
      <c r="AU23" s="45">
        <v>10.53</v>
      </c>
      <c r="AV23" s="46" t="e">
        <f t="shared" ref="AV23:AV29" si="44">+AU23/AW$4</f>
        <v>#DIV/0!</v>
      </c>
      <c r="AW23" s="47" t="e">
        <f t="shared" ref="AW23:AW29" si="45">AV23*AV$4/12</f>
        <v>#DIV/0!</v>
      </c>
      <c r="AX23" s="45"/>
      <c r="AY23" s="46">
        <f t="shared" ref="AY23:AY29" si="46">+AX23/AZ$4</f>
        <v>0</v>
      </c>
      <c r="AZ23" s="47">
        <f t="shared" ref="AZ23:AZ29" si="47">AY23*AY$4/12</f>
        <v>0</v>
      </c>
      <c r="BA23" s="48" t="e">
        <f t="shared" ref="BA23:BA29" si="48">+AH23+AK23+AN23+AQ23+AT23+AW23+AZ23</f>
        <v>#DIV/0!</v>
      </c>
    </row>
    <row r="24" spans="1:53">
      <c r="A24" s="30"/>
      <c r="B24" s="31" t="s">
        <v>450</v>
      </c>
      <c r="C24" s="31" t="s">
        <v>415</v>
      </c>
      <c r="D24" s="31" t="s">
        <v>458</v>
      </c>
      <c r="E24" s="32" t="s">
        <v>448</v>
      </c>
      <c r="F24" s="33">
        <v>50.53</v>
      </c>
      <c r="G24" s="74"/>
      <c r="H24" s="70" t="s">
        <v>20</v>
      </c>
      <c r="I24" s="77">
        <f>IF(H24=Tablas!$B$5,Tablas!$C$5,VLOOKUP(H24,Tablas!$B$5:$D$40,2,FALSE))</f>
        <v>19</v>
      </c>
      <c r="J24" s="65">
        <f>IF(I24=0,"",VLOOKUP(I24,Tablas!$C$5:$D$40,2,FALSE))</f>
        <v>21.726190476190478</v>
      </c>
      <c r="K24" s="34" t="str">
        <f t="shared" si="30"/>
        <v>0</v>
      </c>
      <c r="L24" s="35">
        <f t="shared" si="1"/>
        <v>0</v>
      </c>
      <c r="M24" s="35">
        <f t="shared" si="2"/>
        <v>0</v>
      </c>
      <c r="N24" s="35">
        <f t="shared" si="3"/>
        <v>0</v>
      </c>
      <c r="O24" s="35">
        <f t="shared" si="4"/>
        <v>0</v>
      </c>
      <c r="P24" s="35">
        <f t="shared" si="5"/>
        <v>0</v>
      </c>
      <c r="Q24" s="36">
        <v>0.75</v>
      </c>
      <c r="R24" s="37">
        <f t="shared" si="6"/>
        <v>0</v>
      </c>
      <c r="S24" s="36">
        <v>0.75</v>
      </c>
      <c r="T24" s="38">
        <f t="shared" si="7"/>
        <v>0</v>
      </c>
      <c r="U24" s="39">
        <f t="shared" si="8"/>
        <v>0</v>
      </c>
      <c r="V24" s="40">
        <f t="shared" si="9"/>
        <v>0</v>
      </c>
      <c r="W24" s="41">
        <f t="shared" si="10"/>
        <v>0</v>
      </c>
      <c r="X24" s="42">
        <f t="shared" si="11"/>
        <v>5</v>
      </c>
      <c r="Y24" s="43" t="s">
        <v>395</v>
      </c>
      <c r="Z24" s="36">
        <v>1</v>
      </c>
      <c r="AA24" s="44">
        <f t="shared" si="12"/>
        <v>0</v>
      </c>
      <c r="AB24" s="36">
        <v>1</v>
      </c>
      <c r="AC24" s="44">
        <f t="shared" si="13"/>
        <v>0</v>
      </c>
      <c r="AD24" s="36">
        <v>1</v>
      </c>
      <c r="AE24" s="44">
        <f t="shared" si="14"/>
        <v>0</v>
      </c>
      <c r="AF24" s="45"/>
      <c r="AG24" s="46" t="e">
        <f t="shared" si="40"/>
        <v>#DIV/0!</v>
      </c>
      <c r="AH24" s="47" t="e">
        <f t="shared" si="41"/>
        <v>#DIV/0!</v>
      </c>
      <c r="AI24" s="45">
        <v>12</v>
      </c>
      <c r="AJ24" s="46" t="e">
        <f t="shared" si="42"/>
        <v>#DIV/0!</v>
      </c>
      <c r="AK24" s="47" t="e">
        <f t="shared" si="43"/>
        <v>#DIV/0!</v>
      </c>
      <c r="AL24" s="45">
        <v>50.53</v>
      </c>
      <c r="AM24" s="46" t="e">
        <f t="shared" si="19"/>
        <v>#DIV/0!</v>
      </c>
      <c r="AN24" s="47" t="e">
        <f t="shared" si="20"/>
        <v>#DIV/0!</v>
      </c>
      <c r="AO24" s="45"/>
      <c r="AP24" s="46" t="e">
        <f t="shared" si="21"/>
        <v>#DIV/0!</v>
      </c>
      <c r="AQ24" s="47" t="e">
        <f t="shared" si="22"/>
        <v>#DIV/0!</v>
      </c>
      <c r="AR24" s="45"/>
      <c r="AS24" s="46">
        <f t="shared" si="23"/>
        <v>0</v>
      </c>
      <c r="AT24" s="47">
        <f t="shared" si="24"/>
        <v>0</v>
      </c>
      <c r="AU24" s="45">
        <v>50.53</v>
      </c>
      <c r="AV24" s="46" t="e">
        <f t="shared" si="44"/>
        <v>#DIV/0!</v>
      </c>
      <c r="AW24" s="47" t="e">
        <f t="shared" si="45"/>
        <v>#DIV/0!</v>
      </c>
      <c r="AX24" s="45"/>
      <c r="AY24" s="46">
        <f t="shared" si="46"/>
        <v>0</v>
      </c>
      <c r="AZ24" s="47">
        <f t="shared" si="47"/>
        <v>0</v>
      </c>
      <c r="BA24" s="48" t="e">
        <f t="shared" si="48"/>
        <v>#DIV/0!</v>
      </c>
    </row>
    <row r="25" spans="1:53">
      <c r="A25" s="30"/>
      <c r="B25" s="31" t="s">
        <v>450</v>
      </c>
      <c r="C25" s="31" t="s">
        <v>415</v>
      </c>
      <c r="D25" s="31" t="s">
        <v>460</v>
      </c>
      <c r="E25" s="32" t="s">
        <v>448</v>
      </c>
      <c r="F25" s="33">
        <v>47.4</v>
      </c>
      <c r="G25" s="74"/>
      <c r="H25" s="70" t="s">
        <v>20</v>
      </c>
      <c r="I25" s="77">
        <f>IF(H25=Tablas!$B$5,Tablas!$C$5,VLOOKUP(H25,Tablas!$B$5:$D$40,2,FALSE))</f>
        <v>19</v>
      </c>
      <c r="J25" s="65">
        <f>IF(I25=0,"",VLOOKUP(I25,Tablas!$C$5:$D$40,2,FALSE))</f>
        <v>21.726190476190478</v>
      </c>
      <c r="K25" s="34" t="str">
        <f t="shared" si="30"/>
        <v>0</v>
      </c>
      <c r="L25" s="35">
        <f t="shared" si="1"/>
        <v>0</v>
      </c>
      <c r="M25" s="35">
        <f t="shared" si="2"/>
        <v>0</v>
      </c>
      <c r="N25" s="35">
        <f t="shared" si="3"/>
        <v>0</v>
      </c>
      <c r="O25" s="35">
        <f t="shared" si="4"/>
        <v>0</v>
      </c>
      <c r="P25" s="35">
        <f t="shared" si="5"/>
        <v>0</v>
      </c>
      <c r="Q25" s="36">
        <v>0.75</v>
      </c>
      <c r="R25" s="37">
        <f t="shared" si="6"/>
        <v>0</v>
      </c>
      <c r="S25" s="36">
        <v>0.75</v>
      </c>
      <c r="T25" s="38">
        <f t="shared" si="7"/>
        <v>0</v>
      </c>
      <c r="U25" s="39">
        <f t="shared" si="8"/>
        <v>0</v>
      </c>
      <c r="V25" s="40">
        <f t="shared" si="9"/>
        <v>0</v>
      </c>
      <c r="W25" s="41">
        <f t="shared" si="10"/>
        <v>0</v>
      </c>
      <c r="X25" s="42">
        <f t="shared" si="11"/>
        <v>5</v>
      </c>
      <c r="Y25" s="43" t="s">
        <v>395</v>
      </c>
      <c r="Z25" s="36">
        <v>1</v>
      </c>
      <c r="AA25" s="44">
        <f t="shared" si="12"/>
        <v>0</v>
      </c>
      <c r="AB25" s="36">
        <v>1</v>
      </c>
      <c r="AC25" s="44">
        <f t="shared" si="13"/>
        <v>0</v>
      </c>
      <c r="AD25" s="36">
        <v>1</v>
      </c>
      <c r="AE25" s="44">
        <f t="shared" si="14"/>
        <v>0</v>
      </c>
      <c r="AF25" s="45"/>
      <c r="AG25" s="46" t="e">
        <f t="shared" si="40"/>
        <v>#DIV/0!</v>
      </c>
      <c r="AH25" s="47" t="e">
        <f t="shared" si="41"/>
        <v>#DIV/0!</v>
      </c>
      <c r="AI25" s="45">
        <v>12</v>
      </c>
      <c r="AJ25" s="46" t="e">
        <f t="shared" si="42"/>
        <v>#DIV/0!</v>
      </c>
      <c r="AK25" s="47" t="e">
        <f t="shared" si="43"/>
        <v>#DIV/0!</v>
      </c>
      <c r="AL25" s="45">
        <v>47.4</v>
      </c>
      <c r="AM25" s="46" t="e">
        <f t="shared" si="19"/>
        <v>#DIV/0!</v>
      </c>
      <c r="AN25" s="47" t="e">
        <f t="shared" si="20"/>
        <v>#DIV/0!</v>
      </c>
      <c r="AO25" s="45"/>
      <c r="AP25" s="46" t="e">
        <f t="shared" si="21"/>
        <v>#DIV/0!</v>
      </c>
      <c r="AQ25" s="47" t="e">
        <f t="shared" si="22"/>
        <v>#DIV/0!</v>
      </c>
      <c r="AR25" s="45"/>
      <c r="AS25" s="46">
        <f t="shared" si="23"/>
        <v>0</v>
      </c>
      <c r="AT25" s="47">
        <f t="shared" si="24"/>
        <v>0</v>
      </c>
      <c r="AU25" s="45">
        <v>47.4</v>
      </c>
      <c r="AV25" s="46" t="e">
        <f t="shared" si="44"/>
        <v>#DIV/0!</v>
      </c>
      <c r="AW25" s="47" t="e">
        <f t="shared" si="45"/>
        <v>#DIV/0!</v>
      </c>
      <c r="AX25" s="45"/>
      <c r="AY25" s="46">
        <f t="shared" si="46"/>
        <v>0</v>
      </c>
      <c r="AZ25" s="47">
        <f t="shared" si="47"/>
        <v>0</v>
      </c>
      <c r="BA25" s="48" t="e">
        <f t="shared" si="48"/>
        <v>#DIV/0!</v>
      </c>
    </row>
    <row r="26" spans="1:53">
      <c r="A26" s="30"/>
      <c r="B26" s="31" t="s">
        <v>450</v>
      </c>
      <c r="C26" s="31" t="s">
        <v>415</v>
      </c>
      <c r="D26" s="31" t="s">
        <v>461</v>
      </c>
      <c r="E26" s="32" t="s">
        <v>448</v>
      </c>
      <c r="F26" s="33">
        <v>6.99</v>
      </c>
      <c r="G26" s="74"/>
      <c r="H26" s="70" t="s">
        <v>20</v>
      </c>
      <c r="I26" s="77">
        <f>IF(H26=Tablas!$B$5,Tablas!$C$5,VLOOKUP(H26,Tablas!$B$5:$D$40,2,FALSE))</f>
        <v>19</v>
      </c>
      <c r="J26" s="65">
        <f>IF(I26=0,"",VLOOKUP(I26,Tablas!$C$5:$D$40,2,FALSE))</f>
        <v>21.726190476190478</v>
      </c>
      <c r="K26" s="34" t="str">
        <f t="shared" si="30"/>
        <v>0</v>
      </c>
      <c r="L26" s="35">
        <f t="shared" si="1"/>
        <v>0</v>
      </c>
      <c r="M26" s="35">
        <f t="shared" si="2"/>
        <v>0</v>
      </c>
      <c r="N26" s="35">
        <f t="shared" si="3"/>
        <v>0</v>
      </c>
      <c r="O26" s="35">
        <f t="shared" si="4"/>
        <v>0</v>
      </c>
      <c r="P26" s="35">
        <f t="shared" si="5"/>
        <v>0</v>
      </c>
      <c r="Q26" s="36">
        <v>0.75</v>
      </c>
      <c r="R26" s="37">
        <f t="shared" si="6"/>
        <v>0</v>
      </c>
      <c r="S26" s="36">
        <v>0.75</v>
      </c>
      <c r="T26" s="38">
        <f t="shared" si="7"/>
        <v>0</v>
      </c>
      <c r="U26" s="39">
        <f t="shared" si="8"/>
        <v>0</v>
      </c>
      <c r="V26" s="40">
        <f t="shared" si="9"/>
        <v>0</v>
      </c>
      <c r="W26" s="41">
        <f t="shared" si="10"/>
        <v>0</v>
      </c>
      <c r="X26" s="42">
        <f t="shared" si="11"/>
        <v>5</v>
      </c>
      <c r="Y26" s="43" t="s">
        <v>395</v>
      </c>
      <c r="Z26" s="36">
        <v>1</v>
      </c>
      <c r="AA26" s="44">
        <f t="shared" si="12"/>
        <v>0</v>
      </c>
      <c r="AB26" s="36">
        <v>1</v>
      </c>
      <c r="AC26" s="44">
        <f t="shared" si="13"/>
        <v>0</v>
      </c>
      <c r="AD26" s="36">
        <v>1</v>
      </c>
      <c r="AE26" s="44">
        <f t="shared" si="14"/>
        <v>0</v>
      </c>
      <c r="AF26" s="45"/>
      <c r="AG26" s="46" t="e">
        <f t="shared" si="40"/>
        <v>#DIV/0!</v>
      </c>
      <c r="AH26" s="47" t="e">
        <f t="shared" si="41"/>
        <v>#DIV/0!</v>
      </c>
      <c r="AI26" s="45">
        <v>2.25</v>
      </c>
      <c r="AJ26" s="46" t="e">
        <f t="shared" si="42"/>
        <v>#DIV/0!</v>
      </c>
      <c r="AK26" s="47" t="e">
        <f t="shared" si="43"/>
        <v>#DIV/0!</v>
      </c>
      <c r="AL26" s="45">
        <v>6.99</v>
      </c>
      <c r="AM26" s="46" t="e">
        <f t="shared" si="19"/>
        <v>#DIV/0!</v>
      </c>
      <c r="AN26" s="47" t="e">
        <f t="shared" si="20"/>
        <v>#DIV/0!</v>
      </c>
      <c r="AO26" s="45"/>
      <c r="AP26" s="46" t="e">
        <f t="shared" si="21"/>
        <v>#DIV/0!</v>
      </c>
      <c r="AQ26" s="47" t="e">
        <f t="shared" si="22"/>
        <v>#DIV/0!</v>
      </c>
      <c r="AR26" s="45"/>
      <c r="AS26" s="46">
        <f t="shared" si="23"/>
        <v>0</v>
      </c>
      <c r="AT26" s="47">
        <f t="shared" si="24"/>
        <v>0</v>
      </c>
      <c r="AU26" s="45">
        <v>6.99</v>
      </c>
      <c r="AV26" s="46" t="e">
        <f t="shared" si="44"/>
        <v>#DIV/0!</v>
      </c>
      <c r="AW26" s="47" t="e">
        <f t="shared" si="45"/>
        <v>#DIV/0!</v>
      </c>
      <c r="AX26" s="45"/>
      <c r="AY26" s="46">
        <f t="shared" si="46"/>
        <v>0</v>
      </c>
      <c r="AZ26" s="47">
        <f t="shared" si="47"/>
        <v>0</v>
      </c>
      <c r="BA26" s="48" t="e">
        <f t="shared" si="48"/>
        <v>#DIV/0!</v>
      </c>
    </row>
    <row r="27" spans="1:53">
      <c r="A27" s="30"/>
      <c r="B27" s="31" t="s">
        <v>450</v>
      </c>
      <c r="C27" s="31" t="s">
        <v>415</v>
      </c>
      <c r="D27" s="31" t="s">
        <v>460</v>
      </c>
      <c r="E27" s="32" t="s">
        <v>448</v>
      </c>
      <c r="F27" s="33">
        <v>49.1</v>
      </c>
      <c r="G27" s="74"/>
      <c r="H27" s="70" t="s">
        <v>20</v>
      </c>
      <c r="I27" s="77">
        <f>IF(H27=Tablas!$B$5,Tablas!$C$5,VLOOKUP(H27,Tablas!$B$5:$D$40,2,FALSE))</f>
        <v>19</v>
      </c>
      <c r="J27" s="65">
        <f>IF(I27=0,"",VLOOKUP(I27,Tablas!$C$5:$D$40,2,FALSE))</f>
        <v>21.726190476190478</v>
      </c>
      <c r="K27" s="34" t="str">
        <f t="shared" si="30"/>
        <v>0</v>
      </c>
      <c r="L27" s="35">
        <f t="shared" si="1"/>
        <v>0</v>
      </c>
      <c r="M27" s="35">
        <f t="shared" si="2"/>
        <v>0</v>
      </c>
      <c r="N27" s="35">
        <f t="shared" si="3"/>
        <v>0</v>
      </c>
      <c r="O27" s="35">
        <f t="shared" si="4"/>
        <v>0</v>
      </c>
      <c r="P27" s="35">
        <f t="shared" si="5"/>
        <v>0</v>
      </c>
      <c r="Q27" s="36">
        <v>0.75</v>
      </c>
      <c r="R27" s="37">
        <f t="shared" si="6"/>
        <v>0</v>
      </c>
      <c r="S27" s="36">
        <v>0.75</v>
      </c>
      <c r="T27" s="38">
        <f t="shared" si="7"/>
        <v>0</v>
      </c>
      <c r="U27" s="39">
        <f t="shared" si="8"/>
        <v>0</v>
      </c>
      <c r="V27" s="40">
        <f t="shared" si="9"/>
        <v>0</v>
      </c>
      <c r="W27" s="41">
        <f t="shared" si="10"/>
        <v>0</v>
      </c>
      <c r="X27" s="42">
        <f t="shared" si="11"/>
        <v>5</v>
      </c>
      <c r="Y27" s="43" t="s">
        <v>395</v>
      </c>
      <c r="Z27" s="36">
        <v>1</v>
      </c>
      <c r="AA27" s="44">
        <f t="shared" si="12"/>
        <v>0</v>
      </c>
      <c r="AB27" s="36">
        <v>1</v>
      </c>
      <c r="AC27" s="44">
        <f t="shared" si="13"/>
        <v>0</v>
      </c>
      <c r="AD27" s="36">
        <v>1</v>
      </c>
      <c r="AE27" s="44">
        <f t="shared" si="14"/>
        <v>0</v>
      </c>
      <c r="AF27" s="45"/>
      <c r="AG27" s="46" t="e">
        <f t="shared" si="40"/>
        <v>#DIV/0!</v>
      </c>
      <c r="AH27" s="47" t="e">
        <f t="shared" si="41"/>
        <v>#DIV/0!</v>
      </c>
      <c r="AI27" s="45">
        <v>12</v>
      </c>
      <c r="AJ27" s="46" t="e">
        <f t="shared" si="42"/>
        <v>#DIV/0!</v>
      </c>
      <c r="AK27" s="47" t="e">
        <f t="shared" si="43"/>
        <v>#DIV/0!</v>
      </c>
      <c r="AL27" s="45">
        <v>49.1</v>
      </c>
      <c r="AM27" s="46" t="e">
        <f t="shared" si="19"/>
        <v>#DIV/0!</v>
      </c>
      <c r="AN27" s="47" t="e">
        <f t="shared" si="20"/>
        <v>#DIV/0!</v>
      </c>
      <c r="AO27" s="45"/>
      <c r="AP27" s="46" t="e">
        <f t="shared" si="21"/>
        <v>#DIV/0!</v>
      </c>
      <c r="AQ27" s="47" t="e">
        <f t="shared" si="22"/>
        <v>#DIV/0!</v>
      </c>
      <c r="AR27" s="45"/>
      <c r="AS27" s="46">
        <f t="shared" si="23"/>
        <v>0</v>
      </c>
      <c r="AT27" s="47">
        <f t="shared" si="24"/>
        <v>0</v>
      </c>
      <c r="AU27" s="45">
        <v>49.1</v>
      </c>
      <c r="AV27" s="46" t="e">
        <f t="shared" si="44"/>
        <v>#DIV/0!</v>
      </c>
      <c r="AW27" s="47" t="e">
        <f t="shared" si="45"/>
        <v>#DIV/0!</v>
      </c>
      <c r="AX27" s="45"/>
      <c r="AY27" s="46">
        <f t="shared" si="46"/>
        <v>0</v>
      </c>
      <c r="AZ27" s="47">
        <f t="shared" si="47"/>
        <v>0</v>
      </c>
      <c r="BA27" s="48" t="e">
        <f t="shared" si="48"/>
        <v>#DIV/0!</v>
      </c>
    </row>
    <row r="28" spans="1:53">
      <c r="A28" s="30"/>
      <c r="B28" s="31" t="s">
        <v>450</v>
      </c>
      <c r="C28" s="31" t="s">
        <v>415</v>
      </c>
      <c r="D28" s="31" t="s">
        <v>435</v>
      </c>
      <c r="E28" s="32"/>
      <c r="F28" s="33"/>
      <c r="G28" s="365">
        <v>0</v>
      </c>
      <c r="H28" s="70"/>
      <c r="I28" s="77">
        <f>IF(H28=Tablas!$B$5,Tablas!$C$5,VLOOKUP(H28,Tablas!$B$5:$D$40,2,FALSE))</f>
        <v>1</v>
      </c>
      <c r="J28" s="65">
        <f>IF(I28=0,"",VLOOKUP(I28,Tablas!$C$5:$D$40,2,FALSE))</f>
        <v>0</v>
      </c>
      <c r="K28" s="34" t="str">
        <f t="shared" si="30"/>
        <v>0</v>
      </c>
      <c r="L28" s="35">
        <f t="shared" si="1"/>
        <v>0</v>
      </c>
      <c r="M28" s="35">
        <f t="shared" si="2"/>
        <v>0</v>
      </c>
      <c r="N28" s="35">
        <f t="shared" si="3"/>
        <v>0</v>
      </c>
      <c r="O28" s="35">
        <f t="shared" si="4"/>
        <v>0</v>
      </c>
      <c r="P28" s="35">
        <f t="shared" si="5"/>
        <v>0</v>
      </c>
      <c r="Q28" s="36">
        <v>0.75</v>
      </c>
      <c r="R28" s="37">
        <f t="shared" si="6"/>
        <v>0</v>
      </c>
      <c r="S28" s="36">
        <v>0.75</v>
      </c>
      <c r="T28" s="38">
        <f t="shared" si="7"/>
        <v>0</v>
      </c>
      <c r="U28" s="39">
        <f t="shared" si="8"/>
        <v>0</v>
      </c>
      <c r="V28" s="40">
        <f t="shared" si="9"/>
        <v>0</v>
      </c>
      <c r="W28" s="41">
        <f t="shared" si="10"/>
        <v>0</v>
      </c>
      <c r="X28" s="42">
        <f t="shared" si="11"/>
        <v>0</v>
      </c>
      <c r="Y28" s="43" t="s">
        <v>395</v>
      </c>
      <c r="Z28" s="36">
        <v>1</v>
      </c>
      <c r="AA28" s="44">
        <f t="shared" si="12"/>
        <v>0</v>
      </c>
      <c r="AB28" s="36">
        <v>1</v>
      </c>
      <c r="AC28" s="44">
        <f t="shared" si="13"/>
        <v>0</v>
      </c>
      <c r="AD28" s="36">
        <v>1</v>
      </c>
      <c r="AE28" s="44">
        <f t="shared" si="14"/>
        <v>0</v>
      </c>
      <c r="AF28" s="45"/>
      <c r="AG28" s="46" t="e">
        <f t="shared" si="40"/>
        <v>#DIV/0!</v>
      </c>
      <c r="AH28" s="47" t="e">
        <f t="shared" si="41"/>
        <v>#DIV/0!</v>
      </c>
      <c r="AI28" s="45"/>
      <c r="AJ28" s="46" t="e">
        <f t="shared" si="42"/>
        <v>#DIV/0!</v>
      </c>
      <c r="AK28" s="47" t="e">
        <f t="shared" si="43"/>
        <v>#DIV/0!</v>
      </c>
      <c r="AL28" s="45"/>
      <c r="AM28" s="46" t="e">
        <f t="shared" si="19"/>
        <v>#DIV/0!</v>
      </c>
      <c r="AN28" s="47" t="e">
        <f t="shared" si="20"/>
        <v>#DIV/0!</v>
      </c>
      <c r="AO28" s="45"/>
      <c r="AP28" s="46" t="e">
        <f t="shared" si="21"/>
        <v>#DIV/0!</v>
      </c>
      <c r="AQ28" s="47" t="e">
        <f t="shared" si="22"/>
        <v>#DIV/0!</v>
      </c>
      <c r="AR28" s="45"/>
      <c r="AS28" s="46">
        <f t="shared" si="23"/>
        <v>0</v>
      </c>
      <c r="AT28" s="47">
        <f t="shared" si="24"/>
        <v>0</v>
      </c>
      <c r="AU28" s="45"/>
      <c r="AV28" s="46" t="e">
        <f t="shared" si="44"/>
        <v>#DIV/0!</v>
      </c>
      <c r="AW28" s="47" t="e">
        <f t="shared" si="45"/>
        <v>#DIV/0!</v>
      </c>
      <c r="AX28" s="45"/>
      <c r="AY28" s="46">
        <f t="shared" si="46"/>
        <v>0</v>
      </c>
      <c r="AZ28" s="47">
        <f t="shared" si="47"/>
        <v>0</v>
      </c>
      <c r="BA28" s="48" t="e">
        <f t="shared" si="48"/>
        <v>#DIV/0!</v>
      </c>
    </row>
    <row r="29" spans="1:53">
      <c r="A29" s="30"/>
      <c r="B29" s="31" t="s">
        <v>450</v>
      </c>
      <c r="C29" s="31" t="s">
        <v>415</v>
      </c>
      <c r="D29" s="31" t="s">
        <v>435</v>
      </c>
      <c r="E29" s="32"/>
      <c r="F29" s="33"/>
      <c r="G29" s="365">
        <v>0</v>
      </c>
      <c r="H29" s="70"/>
      <c r="I29" s="77">
        <f>IF(H29=Tablas!$B$5,Tablas!$C$5,VLOOKUP(H29,Tablas!$B$5:$D$40,2,FALSE))</f>
        <v>1</v>
      </c>
      <c r="J29" s="65">
        <f>IF(I29=0,"",VLOOKUP(I29,Tablas!$C$5:$D$40,2,FALSE))</f>
        <v>0</v>
      </c>
      <c r="K29" s="34" t="str">
        <f t="shared" si="30"/>
        <v>0</v>
      </c>
      <c r="L29" s="35">
        <f t="shared" si="1"/>
        <v>0</v>
      </c>
      <c r="M29" s="35">
        <f t="shared" si="2"/>
        <v>0</v>
      </c>
      <c r="N29" s="35">
        <f t="shared" si="3"/>
        <v>0</v>
      </c>
      <c r="O29" s="35">
        <f t="shared" si="4"/>
        <v>0</v>
      </c>
      <c r="P29" s="35">
        <f t="shared" si="5"/>
        <v>0</v>
      </c>
      <c r="Q29" s="36">
        <v>0.75</v>
      </c>
      <c r="R29" s="37">
        <f t="shared" si="6"/>
        <v>0</v>
      </c>
      <c r="S29" s="36">
        <v>0.75</v>
      </c>
      <c r="T29" s="38">
        <f t="shared" si="7"/>
        <v>0</v>
      </c>
      <c r="U29" s="39">
        <f t="shared" si="8"/>
        <v>0</v>
      </c>
      <c r="V29" s="40">
        <f t="shared" si="9"/>
        <v>0</v>
      </c>
      <c r="W29" s="41">
        <f t="shared" si="10"/>
        <v>0</v>
      </c>
      <c r="X29" s="42">
        <f t="shared" si="11"/>
        <v>0</v>
      </c>
      <c r="Y29" s="43" t="s">
        <v>395</v>
      </c>
      <c r="Z29" s="36">
        <v>1</v>
      </c>
      <c r="AA29" s="44">
        <f t="shared" si="12"/>
        <v>0</v>
      </c>
      <c r="AB29" s="36">
        <v>1</v>
      </c>
      <c r="AC29" s="44">
        <f t="shared" si="13"/>
        <v>0</v>
      </c>
      <c r="AD29" s="36">
        <v>1</v>
      </c>
      <c r="AE29" s="44">
        <f t="shared" si="14"/>
        <v>0</v>
      </c>
      <c r="AF29" s="45"/>
      <c r="AG29" s="46" t="e">
        <f t="shared" si="40"/>
        <v>#DIV/0!</v>
      </c>
      <c r="AH29" s="47" t="e">
        <f t="shared" si="41"/>
        <v>#DIV/0!</v>
      </c>
      <c r="AI29" s="45"/>
      <c r="AJ29" s="46" t="e">
        <f t="shared" si="42"/>
        <v>#DIV/0!</v>
      </c>
      <c r="AK29" s="47" t="e">
        <f t="shared" si="43"/>
        <v>#DIV/0!</v>
      </c>
      <c r="AL29" s="45"/>
      <c r="AM29" s="46" t="e">
        <f t="shared" si="19"/>
        <v>#DIV/0!</v>
      </c>
      <c r="AN29" s="47" t="e">
        <f t="shared" si="20"/>
        <v>#DIV/0!</v>
      </c>
      <c r="AO29" s="45"/>
      <c r="AP29" s="46" t="e">
        <f t="shared" si="21"/>
        <v>#DIV/0!</v>
      </c>
      <c r="AQ29" s="47" t="e">
        <f t="shared" si="22"/>
        <v>#DIV/0!</v>
      </c>
      <c r="AR29" s="45"/>
      <c r="AS29" s="46">
        <f t="shared" si="23"/>
        <v>0</v>
      </c>
      <c r="AT29" s="47">
        <f t="shared" si="24"/>
        <v>0</v>
      </c>
      <c r="AU29" s="45"/>
      <c r="AV29" s="46" t="e">
        <f t="shared" si="44"/>
        <v>#DIV/0!</v>
      </c>
      <c r="AW29" s="47" t="e">
        <f t="shared" si="45"/>
        <v>#DIV/0!</v>
      </c>
      <c r="AX29" s="45"/>
      <c r="AY29" s="46">
        <f t="shared" si="46"/>
        <v>0</v>
      </c>
      <c r="AZ29" s="47">
        <f t="shared" si="47"/>
        <v>0</v>
      </c>
      <c r="BA29" s="48" t="e">
        <f t="shared" si="48"/>
        <v>#DIV/0!</v>
      </c>
    </row>
    <row r="30" spans="1:53">
      <c r="A30" s="30"/>
      <c r="B30" s="31" t="s">
        <v>450</v>
      </c>
      <c r="C30" s="31" t="s">
        <v>415</v>
      </c>
      <c r="D30" s="31" t="s">
        <v>435</v>
      </c>
      <c r="E30" s="32"/>
      <c r="F30" s="33"/>
      <c r="G30" s="365">
        <v>0</v>
      </c>
      <c r="H30" s="70"/>
      <c r="I30" s="77">
        <f>IF(H30=Tablas!$B$5,Tablas!$C$5,VLOOKUP(H30,Tablas!$B$5:$D$40,2,FALSE))</f>
        <v>1</v>
      </c>
      <c r="J30" s="65">
        <f>IF(I30=0,"",VLOOKUP(I30,Tablas!$C$5:$D$40,2,FALSE))</f>
        <v>0</v>
      </c>
      <c r="K30" s="34" t="str">
        <f t="shared" si="30"/>
        <v>0</v>
      </c>
      <c r="L30" s="35">
        <f t="shared" si="1"/>
        <v>0</v>
      </c>
      <c r="M30" s="35">
        <f t="shared" si="2"/>
        <v>0</v>
      </c>
      <c r="N30" s="35">
        <f t="shared" si="3"/>
        <v>0</v>
      </c>
      <c r="O30" s="35">
        <f t="shared" si="4"/>
        <v>0</v>
      </c>
      <c r="P30" s="35">
        <f t="shared" si="5"/>
        <v>0</v>
      </c>
      <c r="Q30" s="36">
        <v>0.75</v>
      </c>
      <c r="R30" s="37">
        <f t="shared" si="6"/>
        <v>0</v>
      </c>
      <c r="S30" s="36">
        <v>0.75</v>
      </c>
      <c r="T30" s="38">
        <f t="shared" si="7"/>
        <v>0</v>
      </c>
      <c r="U30" s="39">
        <f t="shared" si="8"/>
        <v>0</v>
      </c>
      <c r="V30" s="40">
        <f t="shared" si="9"/>
        <v>0</v>
      </c>
      <c r="W30" s="41">
        <f t="shared" si="10"/>
        <v>0</v>
      </c>
      <c r="X30" s="42">
        <f t="shared" si="11"/>
        <v>0</v>
      </c>
      <c r="Y30" s="43" t="s">
        <v>395</v>
      </c>
      <c r="Z30" s="36">
        <v>1</v>
      </c>
      <c r="AA30" s="44">
        <f t="shared" si="12"/>
        <v>0</v>
      </c>
      <c r="AB30" s="36">
        <v>1</v>
      </c>
      <c r="AC30" s="44">
        <f t="shared" si="13"/>
        <v>0</v>
      </c>
      <c r="AD30" s="36">
        <v>1</v>
      </c>
      <c r="AE30" s="44">
        <f t="shared" si="14"/>
        <v>0</v>
      </c>
      <c r="AF30" s="45"/>
      <c r="AG30" s="46" t="e">
        <f t="shared" ref="AG30:AG35" si="49">+AF30/AH$4</f>
        <v>#DIV/0!</v>
      </c>
      <c r="AH30" s="47" t="e">
        <f t="shared" ref="AH30:AH35" si="50">AG30*AG$4/12</f>
        <v>#DIV/0!</v>
      </c>
      <c r="AI30" s="45"/>
      <c r="AJ30" s="46" t="e">
        <f t="shared" ref="AJ30:AJ35" si="51">+AI30/AK$4</f>
        <v>#DIV/0!</v>
      </c>
      <c r="AK30" s="47" t="e">
        <f t="shared" ref="AK30:AK35" si="52">AJ30*AJ$4/12</f>
        <v>#DIV/0!</v>
      </c>
      <c r="AL30" s="45"/>
      <c r="AM30" s="46" t="e">
        <f t="shared" si="19"/>
        <v>#DIV/0!</v>
      </c>
      <c r="AN30" s="47" t="e">
        <f t="shared" si="20"/>
        <v>#DIV/0!</v>
      </c>
      <c r="AO30" s="45"/>
      <c r="AP30" s="46" t="e">
        <f t="shared" si="21"/>
        <v>#DIV/0!</v>
      </c>
      <c r="AQ30" s="47" t="e">
        <f t="shared" si="22"/>
        <v>#DIV/0!</v>
      </c>
      <c r="AR30" s="45"/>
      <c r="AS30" s="46">
        <f t="shared" si="23"/>
        <v>0</v>
      </c>
      <c r="AT30" s="47">
        <f t="shared" si="24"/>
        <v>0</v>
      </c>
      <c r="AU30" s="45"/>
      <c r="AV30" s="46" t="e">
        <f t="shared" ref="AV30:AV35" si="53">+AU30/AW$4</f>
        <v>#DIV/0!</v>
      </c>
      <c r="AW30" s="47" t="e">
        <f t="shared" ref="AW30:AW35" si="54">AV30*AV$4/12</f>
        <v>#DIV/0!</v>
      </c>
      <c r="AX30" s="45"/>
      <c r="AY30" s="46">
        <f t="shared" ref="AY30:AY35" si="55">+AX30/AZ$4</f>
        <v>0</v>
      </c>
      <c r="AZ30" s="47">
        <f t="shared" ref="AZ30:AZ35" si="56">AY30*AY$4/12</f>
        <v>0</v>
      </c>
      <c r="BA30" s="48" t="e">
        <f t="shared" ref="BA30:BA35" si="57">+AH30+AK30+AN30+AQ30+AT30+AW30+AZ30</f>
        <v>#DIV/0!</v>
      </c>
    </row>
    <row r="31" spans="1:53">
      <c r="A31" s="30"/>
      <c r="B31" s="31" t="s">
        <v>450</v>
      </c>
      <c r="C31" s="31" t="s">
        <v>415</v>
      </c>
      <c r="D31" s="31" t="s">
        <v>435</v>
      </c>
      <c r="E31" s="32"/>
      <c r="F31" s="33"/>
      <c r="G31" s="365">
        <v>0</v>
      </c>
      <c r="H31" s="70"/>
      <c r="I31" s="77">
        <f>IF(H31=Tablas!$B$5,Tablas!$C$5,VLOOKUP(H31,Tablas!$B$5:$D$40,2,FALSE))</f>
        <v>1</v>
      </c>
      <c r="J31" s="65">
        <f>IF(I31=0,"",VLOOKUP(I31,Tablas!$C$5:$D$40,2,FALSE))</f>
        <v>0</v>
      </c>
      <c r="K31" s="34" t="str">
        <f t="shared" si="30"/>
        <v>0</v>
      </c>
      <c r="L31" s="35">
        <f t="shared" si="1"/>
        <v>0</v>
      </c>
      <c r="M31" s="35">
        <f t="shared" si="2"/>
        <v>0</v>
      </c>
      <c r="N31" s="35">
        <f t="shared" si="3"/>
        <v>0</v>
      </c>
      <c r="O31" s="35">
        <f t="shared" si="4"/>
        <v>0</v>
      </c>
      <c r="P31" s="35">
        <f t="shared" si="5"/>
        <v>0</v>
      </c>
      <c r="Q31" s="36">
        <v>0.75</v>
      </c>
      <c r="R31" s="37">
        <f t="shared" si="6"/>
        <v>0</v>
      </c>
      <c r="S31" s="36">
        <v>0.75</v>
      </c>
      <c r="T31" s="38">
        <f t="shared" si="7"/>
        <v>0</v>
      </c>
      <c r="U31" s="39">
        <f t="shared" si="8"/>
        <v>0</v>
      </c>
      <c r="V31" s="40">
        <f t="shared" si="9"/>
        <v>0</v>
      </c>
      <c r="W31" s="41">
        <f t="shared" si="10"/>
        <v>0</v>
      </c>
      <c r="X31" s="42">
        <f t="shared" si="11"/>
        <v>0</v>
      </c>
      <c r="Y31" s="43" t="s">
        <v>395</v>
      </c>
      <c r="Z31" s="36">
        <v>1</v>
      </c>
      <c r="AA31" s="44">
        <f t="shared" si="12"/>
        <v>0</v>
      </c>
      <c r="AB31" s="36">
        <v>1</v>
      </c>
      <c r="AC31" s="44">
        <f t="shared" si="13"/>
        <v>0</v>
      </c>
      <c r="AD31" s="36">
        <v>1</v>
      </c>
      <c r="AE31" s="44">
        <f t="shared" si="14"/>
        <v>0</v>
      </c>
      <c r="AF31" s="45"/>
      <c r="AG31" s="46" t="e">
        <f t="shared" si="49"/>
        <v>#DIV/0!</v>
      </c>
      <c r="AH31" s="47" t="e">
        <f t="shared" si="50"/>
        <v>#DIV/0!</v>
      </c>
      <c r="AI31" s="45"/>
      <c r="AJ31" s="46" t="e">
        <f t="shared" si="51"/>
        <v>#DIV/0!</v>
      </c>
      <c r="AK31" s="47" t="e">
        <f t="shared" si="52"/>
        <v>#DIV/0!</v>
      </c>
      <c r="AL31" s="45"/>
      <c r="AM31" s="46" t="e">
        <f t="shared" si="19"/>
        <v>#DIV/0!</v>
      </c>
      <c r="AN31" s="47" t="e">
        <f t="shared" si="20"/>
        <v>#DIV/0!</v>
      </c>
      <c r="AO31" s="45"/>
      <c r="AP31" s="46" t="e">
        <f t="shared" si="21"/>
        <v>#DIV/0!</v>
      </c>
      <c r="AQ31" s="47" t="e">
        <f t="shared" si="22"/>
        <v>#DIV/0!</v>
      </c>
      <c r="AR31" s="45"/>
      <c r="AS31" s="46">
        <f t="shared" si="23"/>
        <v>0</v>
      </c>
      <c r="AT31" s="47">
        <f t="shared" si="24"/>
        <v>0</v>
      </c>
      <c r="AU31" s="45"/>
      <c r="AV31" s="46" t="e">
        <f t="shared" si="53"/>
        <v>#DIV/0!</v>
      </c>
      <c r="AW31" s="47" t="e">
        <f t="shared" si="54"/>
        <v>#DIV/0!</v>
      </c>
      <c r="AX31" s="45"/>
      <c r="AY31" s="46">
        <f t="shared" si="55"/>
        <v>0</v>
      </c>
      <c r="AZ31" s="47">
        <f t="shared" si="56"/>
        <v>0</v>
      </c>
      <c r="BA31" s="48" t="e">
        <f t="shared" si="57"/>
        <v>#DIV/0!</v>
      </c>
    </row>
    <row r="32" spans="1:53">
      <c r="A32" s="30"/>
      <c r="B32" s="31" t="s">
        <v>450</v>
      </c>
      <c r="C32" s="31" t="s">
        <v>415</v>
      </c>
      <c r="D32" s="31" t="s">
        <v>462</v>
      </c>
      <c r="E32" s="32" t="s">
        <v>472</v>
      </c>
      <c r="F32" s="33"/>
      <c r="G32" s="365">
        <v>0</v>
      </c>
      <c r="H32" s="70"/>
      <c r="I32" s="77">
        <f>IF(H32=Tablas!$B$5,Tablas!$C$5,VLOOKUP(H32,Tablas!$B$5:$D$40,2,FALSE))</f>
        <v>1</v>
      </c>
      <c r="J32" s="65">
        <f>IF(I32=0,"",VLOOKUP(I32,Tablas!$C$5:$D$40,2,FALSE))</f>
        <v>0</v>
      </c>
      <c r="K32" s="34" t="str">
        <f t="shared" si="30"/>
        <v>0</v>
      </c>
      <c r="L32" s="35">
        <f t="shared" si="1"/>
        <v>0</v>
      </c>
      <c r="M32" s="35">
        <f t="shared" si="2"/>
        <v>0</v>
      </c>
      <c r="N32" s="35">
        <f t="shared" si="3"/>
        <v>0</v>
      </c>
      <c r="O32" s="35">
        <f t="shared" si="4"/>
        <v>0</v>
      </c>
      <c r="P32" s="35">
        <f t="shared" si="5"/>
        <v>0</v>
      </c>
      <c r="Q32" s="36">
        <v>0.75</v>
      </c>
      <c r="R32" s="37">
        <f t="shared" si="6"/>
        <v>0</v>
      </c>
      <c r="S32" s="36">
        <v>0.75</v>
      </c>
      <c r="T32" s="38">
        <f t="shared" si="7"/>
        <v>0</v>
      </c>
      <c r="U32" s="39">
        <f t="shared" si="8"/>
        <v>0</v>
      </c>
      <c r="V32" s="40">
        <f t="shared" si="9"/>
        <v>0</v>
      </c>
      <c r="W32" s="41">
        <f t="shared" si="10"/>
        <v>0</v>
      </c>
      <c r="X32" s="42">
        <f t="shared" si="11"/>
        <v>0</v>
      </c>
      <c r="Y32" s="43" t="s">
        <v>395</v>
      </c>
      <c r="Z32" s="36">
        <v>1</v>
      </c>
      <c r="AA32" s="44">
        <f t="shared" si="12"/>
        <v>0</v>
      </c>
      <c r="AB32" s="36">
        <v>1</v>
      </c>
      <c r="AC32" s="44">
        <f t="shared" si="13"/>
        <v>0</v>
      </c>
      <c r="AD32" s="36">
        <v>1</v>
      </c>
      <c r="AE32" s="44">
        <f t="shared" si="14"/>
        <v>0</v>
      </c>
      <c r="AF32" s="45"/>
      <c r="AG32" s="46" t="e">
        <f t="shared" si="49"/>
        <v>#DIV/0!</v>
      </c>
      <c r="AH32" s="47" t="e">
        <f t="shared" si="50"/>
        <v>#DIV/0!</v>
      </c>
      <c r="AI32" s="45"/>
      <c r="AJ32" s="46" t="e">
        <f t="shared" si="51"/>
        <v>#DIV/0!</v>
      </c>
      <c r="AK32" s="47" t="e">
        <f t="shared" si="52"/>
        <v>#DIV/0!</v>
      </c>
      <c r="AL32" s="45"/>
      <c r="AM32" s="46" t="e">
        <f t="shared" si="19"/>
        <v>#DIV/0!</v>
      </c>
      <c r="AN32" s="47" t="e">
        <f t="shared" si="20"/>
        <v>#DIV/0!</v>
      </c>
      <c r="AO32" s="45"/>
      <c r="AP32" s="46" t="e">
        <f t="shared" si="21"/>
        <v>#DIV/0!</v>
      </c>
      <c r="AQ32" s="47" t="e">
        <f t="shared" si="22"/>
        <v>#DIV/0!</v>
      </c>
      <c r="AR32" s="45"/>
      <c r="AS32" s="46">
        <f t="shared" si="23"/>
        <v>0</v>
      </c>
      <c r="AT32" s="47">
        <f t="shared" si="24"/>
        <v>0</v>
      </c>
      <c r="AU32" s="45"/>
      <c r="AV32" s="46" t="e">
        <f t="shared" si="53"/>
        <v>#DIV/0!</v>
      </c>
      <c r="AW32" s="47" t="e">
        <f t="shared" si="54"/>
        <v>#DIV/0!</v>
      </c>
      <c r="AX32" s="45"/>
      <c r="AY32" s="46">
        <f t="shared" si="55"/>
        <v>0</v>
      </c>
      <c r="AZ32" s="47">
        <f t="shared" si="56"/>
        <v>0</v>
      </c>
      <c r="BA32" s="48" t="e">
        <f t="shared" si="57"/>
        <v>#DIV/0!</v>
      </c>
    </row>
    <row r="33" spans="1:53">
      <c r="A33" s="30"/>
      <c r="B33" s="31" t="s">
        <v>450</v>
      </c>
      <c r="C33" s="31" t="s">
        <v>415</v>
      </c>
      <c r="D33" s="31" t="s">
        <v>463</v>
      </c>
      <c r="E33" s="32"/>
      <c r="F33" s="33"/>
      <c r="G33" s="365">
        <v>0</v>
      </c>
      <c r="H33" s="70"/>
      <c r="I33" s="77">
        <f>IF(H33=Tablas!$B$5,Tablas!$C$5,VLOOKUP(H33,Tablas!$B$5:$D$40,2,FALSE))</f>
        <v>1</v>
      </c>
      <c r="J33" s="65">
        <f>IF(I33=0,"",VLOOKUP(I33,Tablas!$C$5:$D$40,2,FALSE))</f>
        <v>0</v>
      </c>
      <c r="K33" s="34" t="str">
        <f t="shared" si="30"/>
        <v>0</v>
      </c>
      <c r="L33" s="35">
        <f t="shared" si="1"/>
        <v>0</v>
      </c>
      <c r="M33" s="35">
        <f t="shared" si="2"/>
        <v>0</v>
      </c>
      <c r="N33" s="35">
        <f t="shared" si="3"/>
        <v>0</v>
      </c>
      <c r="O33" s="35">
        <f t="shared" si="4"/>
        <v>0</v>
      </c>
      <c r="P33" s="35">
        <f t="shared" si="5"/>
        <v>0</v>
      </c>
      <c r="Q33" s="36">
        <v>0.75</v>
      </c>
      <c r="R33" s="37">
        <f t="shared" si="6"/>
        <v>0</v>
      </c>
      <c r="S33" s="36">
        <v>0.75</v>
      </c>
      <c r="T33" s="38">
        <f t="shared" si="7"/>
        <v>0</v>
      </c>
      <c r="U33" s="39">
        <f t="shared" si="8"/>
        <v>0</v>
      </c>
      <c r="V33" s="40">
        <f t="shared" si="9"/>
        <v>0</v>
      </c>
      <c r="W33" s="41">
        <f t="shared" si="10"/>
        <v>0</v>
      </c>
      <c r="X33" s="42">
        <f t="shared" si="11"/>
        <v>0</v>
      </c>
      <c r="Y33" s="43" t="s">
        <v>395</v>
      </c>
      <c r="Z33" s="36">
        <v>1</v>
      </c>
      <c r="AA33" s="44">
        <f t="shared" si="12"/>
        <v>0</v>
      </c>
      <c r="AB33" s="36">
        <v>1</v>
      </c>
      <c r="AC33" s="44">
        <f t="shared" si="13"/>
        <v>0</v>
      </c>
      <c r="AD33" s="36">
        <v>1</v>
      </c>
      <c r="AE33" s="44">
        <f t="shared" si="14"/>
        <v>0</v>
      </c>
      <c r="AF33" s="45"/>
      <c r="AG33" s="46" t="e">
        <f t="shared" si="49"/>
        <v>#DIV/0!</v>
      </c>
      <c r="AH33" s="47" t="e">
        <f t="shared" si="50"/>
        <v>#DIV/0!</v>
      </c>
      <c r="AI33" s="45"/>
      <c r="AJ33" s="46" t="e">
        <f t="shared" si="51"/>
        <v>#DIV/0!</v>
      </c>
      <c r="AK33" s="47" t="e">
        <f t="shared" si="52"/>
        <v>#DIV/0!</v>
      </c>
      <c r="AL33" s="45"/>
      <c r="AM33" s="46" t="e">
        <f t="shared" si="19"/>
        <v>#DIV/0!</v>
      </c>
      <c r="AN33" s="47" t="e">
        <f t="shared" si="20"/>
        <v>#DIV/0!</v>
      </c>
      <c r="AO33" s="45"/>
      <c r="AP33" s="46" t="e">
        <f t="shared" si="21"/>
        <v>#DIV/0!</v>
      </c>
      <c r="AQ33" s="47" t="e">
        <f t="shared" si="22"/>
        <v>#DIV/0!</v>
      </c>
      <c r="AR33" s="45"/>
      <c r="AS33" s="46">
        <f t="shared" si="23"/>
        <v>0</v>
      </c>
      <c r="AT33" s="47">
        <f t="shared" si="24"/>
        <v>0</v>
      </c>
      <c r="AU33" s="45"/>
      <c r="AV33" s="46" t="e">
        <f t="shared" si="53"/>
        <v>#DIV/0!</v>
      </c>
      <c r="AW33" s="47" t="e">
        <f t="shared" si="54"/>
        <v>#DIV/0!</v>
      </c>
      <c r="AX33" s="45"/>
      <c r="AY33" s="46">
        <f t="shared" si="55"/>
        <v>0</v>
      </c>
      <c r="AZ33" s="47">
        <f t="shared" si="56"/>
        <v>0</v>
      </c>
      <c r="BA33" s="48" t="e">
        <f t="shared" si="57"/>
        <v>#DIV/0!</v>
      </c>
    </row>
    <row r="34" spans="1:53">
      <c r="A34" s="30"/>
      <c r="B34" s="31" t="s">
        <v>450</v>
      </c>
      <c r="C34" s="31" t="s">
        <v>415</v>
      </c>
      <c r="D34" s="31" t="s">
        <v>464</v>
      </c>
      <c r="E34" s="32" t="s">
        <v>472</v>
      </c>
      <c r="F34" s="33"/>
      <c r="G34" s="365">
        <v>0</v>
      </c>
      <c r="H34" s="70"/>
      <c r="I34" s="77">
        <f>IF(H34=Tablas!$B$5,Tablas!$C$5,VLOOKUP(H34,Tablas!$B$5:$D$40,2,FALSE))</f>
        <v>1</v>
      </c>
      <c r="J34" s="65">
        <f>IF(I34=0,"",VLOOKUP(I34,Tablas!$C$5:$D$40,2,FALSE))</f>
        <v>0</v>
      </c>
      <c r="K34" s="34" t="str">
        <f t="shared" si="30"/>
        <v>0</v>
      </c>
      <c r="L34" s="35">
        <f t="shared" si="1"/>
        <v>0</v>
      </c>
      <c r="M34" s="35">
        <f t="shared" si="2"/>
        <v>0</v>
      </c>
      <c r="N34" s="35">
        <f t="shared" si="3"/>
        <v>0</v>
      </c>
      <c r="O34" s="35">
        <f t="shared" si="4"/>
        <v>0</v>
      </c>
      <c r="P34" s="35">
        <f t="shared" si="5"/>
        <v>0</v>
      </c>
      <c r="Q34" s="36">
        <v>0.75</v>
      </c>
      <c r="R34" s="37">
        <f t="shared" si="6"/>
        <v>0</v>
      </c>
      <c r="S34" s="36">
        <v>0.75</v>
      </c>
      <c r="T34" s="38">
        <f t="shared" si="7"/>
        <v>0</v>
      </c>
      <c r="U34" s="39">
        <f t="shared" si="8"/>
        <v>0</v>
      </c>
      <c r="V34" s="40">
        <f t="shared" si="9"/>
        <v>0</v>
      </c>
      <c r="W34" s="41">
        <f t="shared" si="10"/>
        <v>0</v>
      </c>
      <c r="X34" s="42">
        <f t="shared" si="11"/>
        <v>0</v>
      </c>
      <c r="Y34" s="43" t="s">
        <v>395</v>
      </c>
      <c r="Z34" s="36">
        <v>1</v>
      </c>
      <c r="AA34" s="44">
        <f t="shared" si="12"/>
        <v>0</v>
      </c>
      <c r="AB34" s="36">
        <v>1</v>
      </c>
      <c r="AC34" s="44">
        <f t="shared" si="13"/>
        <v>0</v>
      </c>
      <c r="AD34" s="36">
        <v>1</v>
      </c>
      <c r="AE34" s="44">
        <f t="shared" si="14"/>
        <v>0</v>
      </c>
      <c r="AF34" s="45"/>
      <c r="AG34" s="46" t="e">
        <f t="shared" si="49"/>
        <v>#DIV/0!</v>
      </c>
      <c r="AH34" s="47" t="e">
        <f t="shared" si="50"/>
        <v>#DIV/0!</v>
      </c>
      <c r="AI34" s="45"/>
      <c r="AJ34" s="46" t="e">
        <f t="shared" si="51"/>
        <v>#DIV/0!</v>
      </c>
      <c r="AK34" s="47" t="e">
        <f t="shared" si="52"/>
        <v>#DIV/0!</v>
      </c>
      <c r="AL34" s="45"/>
      <c r="AM34" s="46" t="e">
        <f t="shared" si="19"/>
        <v>#DIV/0!</v>
      </c>
      <c r="AN34" s="47" t="e">
        <f t="shared" si="20"/>
        <v>#DIV/0!</v>
      </c>
      <c r="AO34" s="45"/>
      <c r="AP34" s="46" t="e">
        <f t="shared" si="21"/>
        <v>#DIV/0!</v>
      </c>
      <c r="AQ34" s="47" t="e">
        <f t="shared" si="22"/>
        <v>#DIV/0!</v>
      </c>
      <c r="AR34" s="45"/>
      <c r="AS34" s="46">
        <f t="shared" si="23"/>
        <v>0</v>
      </c>
      <c r="AT34" s="47">
        <f t="shared" si="24"/>
        <v>0</v>
      </c>
      <c r="AU34" s="45"/>
      <c r="AV34" s="46" t="e">
        <f t="shared" si="53"/>
        <v>#DIV/0!</v>
      </c>
      <c r="AW34" s="47" t="e">
        <f t="shared" si="54"/>
        <v>#DIV/0!</v>
      </c>
      <c r="AX34" s="45"/>
      <c r="AY34" s="46">
        <f t="shared" si="55"/>
        <v>0</v>
      </c>
      <c r="AZ34" s="47">
        <f t="shared" si="56"/>
        <v>0</v>
      </c>
      <c r="BA34" s="48" t="e">
        <f t="shared" si="57"/>
        <v>#DIV/0!</v>
      </c>
    </row>
    <row r="35" spans="1:53">
      <c r="A35" s="30"/>
      <c r="B35" s="31" t="s">
        <v>450</v>
      </c>
      <c r="C35" s="31" t="s">
        <v>415</v>
      </c>
      <c r="D35" s="31" t="s">
        <v>465</v>
      </c>
      <c r="E35" s="32"/>
      <c r="F35" s="33"/>
      <c r="G35" s="365">
        <v>0</v>
      </c>
      <c r="H35" s="70"/>
      <c r="I35" s="77">
        <f>IF(H35=Tablas!$B$5,Tablas!$C$5,VLOOKUP(H35,Tablas!$B$5:$D$40,2,FALSE))</f>
        <v>1</v>
      </c>
      <c r="J35" s="65">
        <f>IF(I35=0,"",VLOOKUP(I35,Tablas!$C$5:$D$40,2,FALSE))</f>
        <v>0</v>
      </c>
      <c r="K35" s="34" t="str">
        <f t="shared" si="30"/>
        <v>0</v>
      </c>
      <c r="L35" s="35">
        <f t="shared" si="1"/>
        <v>0</v>
      </c>
      <c r="M35" s="35">
        <f t="shared" si="2"/>
        <v>0</v>
      </c>
      <c r="N35" s="35">
        <f t="shared" si="3"/>
        <v>0</v>
      </c>
      <c r="O35" s="35">
        <f t="shared" si="4"/>
        <v>0</v>
      </c>
      <c r="P35" s="35">
        <f t="shared" si="5"/>
        <v>0</v>
      </c>
      <c r="Q35" s="36">
        <v>0.75</v>
      </c>
      <c r="R35" s="37">
        <f t="shared" si="6"/>
        <v>0</v>
      </c>
      <c r="S35" s="36">
        <v>0.75</v>
      </c>
      <c r="T35" s="38">
        <f t="shared" si="7"/>
        <v>0</v>
      </c>
      <c r="U35" s="39">
        <f t="shared" si="8"/>
        <v>0</v>
      </c>
      <c r="V35" s="40">
        <f t="shared" si="9"/>
        <v>0</v>
      </c>
      <c r="W35" s="41">
        <f t="shared" si="10"/>
        <v>0</v>
      </c>
      <c r="X35" s="42">
        <f t="shared" si="11"/>
        <v>0</v>
      </c>
      <c r="Y35" s="43" t="s">
        <v>395</v>
      </c>
      <c r="Z35" s="36">
        <v>1</v>
      </c>
      <c r="AA35" s="44">
        <f t="shared" si="12"/>
        <v>0</v>
      </c>
      <c r="AB35" s="36">
        <v>1</v>
      </c>
      <c r="AC35" s="44">
        <f t="shared" si="13"/>
        <v>0</v>
      </c>
      <c r="AD35" s="36">
        <v>1</v>
      </c>
      <c r="AE35" s="44">
        <f t="shared" si="14"/>
        <v>0</v>
      </c>
      <c r="AF35" s="45"/>
      <c r="AG35" s="46" t="e">
        <f t="shared" si="49"/>
        <v>#DIV/0!</v>
      </c>
      <c r="AH35" s="47" t="e">
        <f t="shared" si="50"/>
        <v>#DIV/0!</v>
      </c>
      <c r="AI35" s="45"/>
      <c r="AJ35" s="46" t="e">
        <f t="shared" si="51"/>
        <v>#DIV/0!</v>
      </c>
      <c r="AK35" s="47" t="e">
        <f t="shared" si="52"/>
        <v>#DIV/0!</v>
      </c>
      <c r="AL35" s="45"/>
      <c r="AM35" s="46" t="e">
        <f t="shared" si="19"/>
        <v>#DIV/0!</v>
      </c>
      <c r="AN35" s="47" t="e">
        <f t="shared" si="20"/>
        <v>#DIV/0!</v>
      </c>
      <c r="AO35" s="45"/>
      <c r="AP35" s="46" t="e">
        <f t="shared" si="21"/>
        <v>#DIV/0!</v>
      </c>
      <c r="AQ35" s="47" t="e">
        <f t="shared" si="22"/>
        <v>#DIV/0!</v>
      </c>
      <c r="AR35" s="45"/>
      <c r="AS35" s="46">
        <f t="shared" si="23"/>
        <v>0</v>
      </c>
      <c r="AT35" s="47">
        <f t="shared" si="24"/>
        <v>0</v>
      </c>
      <c r="AU35" s="45"/>
      <c r="AV35" s="46" t="e">
        <f t="shared" si="53"/>
        <v>#DIV/0!</v>
      </c>
      <c r="AW35" s="47" t="e">
        <f t="shared" si="54"/>
        <v>#DIV/0!</v>
      </c>
      <c r="AX35" s="45"/>
      <c r="AY35" s="46">
        <f t="shared" si="55"/>
        <v>0</v>
      </c>
      <c r="AZ35" s="47">
        <f t="shared" si="56"/>
        <v>0</v>
      </c>
      <c r="BA35" s="48" t="e">
        <f t="shared" si="57"/>
        <v>#DIV/0!</v>
      </c>
    </row>
    <row r="36" spans="1:53">
      <c r="A36" s="30"/>
      <c r="B36" s="31" t="s">
        <v>450</v>
      </c>
      <c r="C36" s="31" t="s">
        <v>415</v>
      </c>
      <c r="D36" s="31" t="s">
        <v>466</v>
      </c>
      <c r="E36" s="32"/>
      <c r="F36" s="33"/>
      <c r="G36" s="365">
        <v>0</v>
      </c>
      <c r="H36" s="70"/>
      <c r="I36" s="77">
        <f>IF(H36=Tablas!$B$5,Tablas!$C$5,VLOOKUP(H36,Tablas!$B$5:$D$40,2,FALSE))</f>
        <v>1</v>
      </c>
      <c r="J36" s="65">
        <f>IF(I36=0,"",VLOOKUP(I36,Tablas!$C$5:$D$40,2,FALSE))</f>
        <v>0</v>
      </c>
      <c r="K36" s="34" t="str">
        <f t="shared" si="30"/>
        <v>0</v>
      </c>
      <c r="L36" s="35">
        <f t="shared" si="1"/>
        <v>0</v>
      </c>
      <c r="M36" s="35">
        <f t="shared" si="2"/>
        <v>0</v>
      </c>
      <c r="N36" s="35">
        <f t="shared" si="3"/>
        <v>0</v>
      </c>
      <c r="O36" s="35">
        <f t="shared" si="4"/>
        <v>0</v>
      </c>
      <c r="P36" s="35">
        <f t="shared" si="5"/>
        <v>0</v>
      </c>
      <c r="Q36" s="36">
        <v>0.75</v>
      </c>
      <c r="R36" s="37">
        <f t="shared" si="6"/>
        <v>0</v>
      </c>
      <c r="S36" s="36">
        <v>0.75</v>
      </c>
      <c r="T36" s="38">
        <f t="shared" si="7"/>
        <v>0</v>
      </c>
      <c r="U36" s="39">
        <f t="shared" si="8"/>
        <v>0</v>
      </c>
      <c r="V36" s="40">
        <f t="shared" si="9"/>
        <v>0</v>
      </c>
      <c r="W36" s="41">
        <f t="shared" si="10"/>
        <v>0</v>
      </c>
      <c r="X36" s="42">
        <f t="shared" si="11"/>
        <v>0</v>
      </c>
      <c r="Y36" s="43" t="s">
        <v>395</v>
      </c>
      <c r="Z36" s="36">
        <v>1</v>
      </c>
      <c r="AA36" s="44">
        <f t="shared" si="12"/>
        <v>0</v>
      </c>
      <c r="AB36" s="36">
        <v>1</v>
      </c>
      <c r="AC36" s="44">
        <f t="shared" si="13"/>
        <v>0</v>
      </c>
      <c r="AD36" s="36">
        <v>1</v>
      </c>
      <c r="AE36" s="44">
        <f t="shared" si="14"/>
        <v>0</v>
      </c>
      <c r="AF36" s="45"/>
      <c r="AG36" s="46" t="e">
        <f t="shared" ref="AG36:AG43" si="58">+AF36/AH$4</f>
        <v>#DIV/0!</v>
      </c>
      <c r="AH36" s="47" t="e">
        <f t="shared" ref="AH36:AH43" si="59">AG36*AG$4/12</f>
        <v>#DIV/0!</v>
      </c>
      <c r="AI36" s="45"/>
      <c r="AJ36" s="46" t="e">
        <f t="shared" ref="AJ36:AJ43" si="60">+AI36/AK$4</f>
        <v>#DIV/0!</v>
      </c>
      <c r="AK36" s="47" t="e">
        <f t="shared" ref="AK36:AK43" si="61">AJ36*AJ$4/12</f>
        <v>#DIV/0!</v>
      </c>
      <c r="AL36" s="45"/>
      <c r="AM36" s="46" t="e">
        <f t="shared" si="19"/>
        <v>#DIV/0!</v>
      </c>
      <c r="AN36" s="47" t="e">
        <f t="shared" si="20"/>
        <v>#DIV/0!</v>
      </c>
      <c r="AO36" s="45"/>
      <c r="AP36" s="46" t="e">
        <f t="shared" si="21"/>
        <v>#DIV/0!</v>
      </c>
      <c r="AQ36" s="47" t="e">
        <f t="shared" si="22"/>
        <v>#DIV/0!</v>
      </c>
      <c r="AR36" s="45"/>
      <c r="AS36" s="46">
        <f t="shared" si="23"/>
        <v>0</v>
      </c>
      <c r="AT36" s="47">
        <f t="shared" si="24"/>
        <v>0</v>
      </c>
      <c r="AU36" s="45"/>
      <c r="AV36" s="46" t="e">
        <f t="shared" ref="AV36:AV43" si="62">+AU36/AW$4</f>
        <v>#DIV/0!</v>
      </c>
      <c r="AW36" s="47" t="e">
        <f t="shared" ref="AW36:AW43" si="63">AV36*AV$4/12</f>
        <v>#DIV/0!</v>
      </c>
      <c r="AX36" s="45"/>
      <c r="AY36" s="46">
        <f t="shared" ref="AY36:AY43" si="64">+AX36/AZ$4</f>
        <v>0</v>
      </c>
      <c r="AZ36" s="47">
        <f t="shared" ref="AZ36:AZ43" si="65">AY36*AY$4/12</f>
        <v>0</v>
      </c>
      <c r="BA36" s="48" t="e">
        <f t="shared" ref="BA36:BA43" si="66">+AH36+AK36+AN36+AQ36+AT36+AW36+AZ36</f>
        <v>#DIV/0!</v>
      </c>
    </row>
    <row r="37" spans="1:53">
      <c r="A37" s="30"/>
      <c r="B37" s="31" t="s">
        <v>450</v>
      </c>
      <c r="C37" s="31" t="s">
        <v>415</v>
      </c>
      <c r="D37" s="31" t="s">
        <v>467</v>
      </c>
      <c r="E37" s="32"/>
      <c r="F37" s="33"/>
      <c r="G37" s="365">
        <v>0</v>
      </c>
      <c r="H37" s="70"/>
      <c r="I37" s="77">
        <f>IF(H37=Tablas!$B$5,Tablas!$C$5,VLOOKUP(H37,Tablas!$B$5:$D$40,2,FALSE))</f>
        <v>1</v>
      </c>
      <c r="J37" s="65">
        <f>IF(I37=0,"",VLOOKUP(I37,Tablas!$C$5:$D$40,2,FALSE))</f>
        <v>0</v>
      </c>
      <c r="K37" s="34" t="str">
        <f t="shared" si="30"/>
        <v>0</v>
      </c>
      <c r="L37" s="35">
        <f t="shared" si="1"/>
        <v>0</v>
      </c>
      <c r="M37" s="35">
        <f t="shared" si="2"/>
        <v>0</v>
      </c>
      <c r="N37" s="35">
        <f t="shared" si="3"/>
        <v>0</v>
      </c>
      <c r="O37" s="35">
        <f t="shared" si="4"/>
        <v>0</v>
      </c>
      <c r="P37" s="35">
        <f t="shared" si="5"/>
        <v>0</v>
      </c>
      <c r="Q37" s="36">
        <v>0.75</v>
      </c>
      <c r="R37" s="37">
        <f t="shared" si="6"/>
        <v>0</v>
      </c>
      <c r="S37" s="36">
        <v>0.75</v>
      </c>
      <c r="T37" s="38">
        <f t="shared" si="7"/>
        <v>0</v>
      </c>
      <c r="U37" s="39">
        <f t="shared" si="8"/>
        <v>0</v>
      </c>
      <c r="V37" s="40">
        <f t="shared" si="9"/>
        <v>0</v>
      </c>
      <c r="W37" s="41">
        <f t="shared" si="10"/>
        <v>0</v>
      </c>
      <c r="X37" s="42">
        <f t="shared" si="11"/>
        <v>0</v>
      </c>
      <c r="Y37" s="43" t="s">
        <v>395</v>
      </c>
      <c r="Z37" s="36">
        <v>1</v>
      </c>
      <c r="AA37" s="44">
        <f t="shared" si="12"/>
        <v>0</v>
      </c>
      <c r="AB37" s="36">
        <v>1</v>
      </c>
      <c r="AC37" s="44">
        <f t="shared" si="13"/>
        <v>0</v>
      </c>
      <c r="AD37" s="36">
        <v>1</v>
      </c>
      <c r="AE37" s="44">
        <f t="shared" si="14"/>
        <v>0</v>
      </c>
      <c r="AF37" s="45"/>
      <c r="AG37" s="46" t="e">
        <f t="shared" si="58"/>
        <v>#DIV/0!</v>
      </c>
      <c r="AH37" s="47" t="e">
        <f t="shared" si="59"/>
        <v>#DIV/0!</v>
      </c>
      <c r="AI37" s="45"/>
      <c r="AJ37" s="46" t="e">
        <f t="shared" si="60"/>
        <v>#DIV/0!</v>
      </c>
      <c r="AK37" s="47" t="e">
        <f t="shared" si="61"/>
        <v>#DIV/0!</v>
      </c>
      <c r="AL37" s="45"/>
      <c r="AM37" s="46" t="e">
        <f t="shared" si="19"/>
        <v>#DIV/0!</v>
      </c>
      <c r="AN37" s="47" t="e">
        <f t="shared" si="20"/>
        <v>#DIV/0!</v>
      </c>
      <c r="AO37" s="45"/>
      <c r="AP37" s="46" t="e">
        <f t="shared" si="21"/>
        <v>#DIV/0!</v>
      </c>
      <c r="AQ37" s="47" t="e">
        <f t="shared" si="22"/>
        <v>#DIV/0!</v>
      </c>
      <c r="AR37" s="45"/>
      <c r="AS37" s="46">
        <f t="shared" si="23"/>
        <v>0</v>
      </c>
      <c r="AT37" s="47">
        <f t="shared" si="24"/>
        <v>0</v>
      </c>
      <c r="AU37" s="45"/>
      <c r="AV37" s="46" t="e">
        <f t="shared" si="62"/>
        <v>#DIV/0!</v>
      </c>
      <c r="AW37" s="47" t="e">
        <f t="shared" si="63"/>
        <v>#DIV/0!</v>
      </c>
      <c r="AX37" s="45"/>
      <c r="AY37" s="46">
        <f t="shared" si="64"/>
        <v>0</v>
      </c>
      <c r="AZ37" s="47">
        <f t="shared" si="65"/>
        <v>0</v>
      </c>
      <c r="BA37" s="48" t="e">
        <f t="shared" si="66"/>
        <v>#DIV/0!</v>
      </c>
    </row>
    <row r="38" spans="1:53">
      <c r="A38" s="30"/>
      <c r="B38" s="31" t="s">
        <v>450</v>
      </c>
      <c r="C38" s="31" t="s">
        <v>415</v>
      </c>
      <c r="D38" s="31" t="s">
        <v>468</v>
      </c>
      <c r="E38" s="32"/>
      <c r="F38" s="33"/>
      <c r="G38" s="365">
        <v>0</v>
      </c>
      <c r="H38" s="70"/>
      <c r="I38" s="77">
        <f>IF(H38=Tablas!$B$5,Tablas!$C$5,VLOOKUP(H38,Tablas!$B$5:$D$40,2,FALSE))</f>
        <v>1</v>
      </c>
      <c r="J38" s="65">
        <f>IF(I38=0,"",VLOOKUP(I38,Tablas!$C$5:$D$40,2,FALSE))</f>
        <v>0</v>
      </c>
      <c r="K38" s="34" t="str">
        <f t="shared" si="30"/>
        <v>0</v>
      </c>
      <c r="L38" s="35">
        <f t="shared" si="1"/>
        <v>0</v>
      </c>
      <c r="M38" s="35">
        <f t="shared" si="2"/>
        <v>0</v>
      </c>
      <c r="N38" s="35">
        <f t="shared" si="3"/>
        <v>0</v>
      </c>
      <c r="O38" s="35">
        <f t="shared" si="4"/>
        <v>0</v>
      </c>
      <c r="P38" s="35">
        <f t="shared" si="5"/>
        <v>0</v>
      </c>
      <c r="Q38" s="36">
        <v>0.75</v>
      </c>
      <c r="R38" s="37">
        <f t="shared" si="6"/>
        <v>0</v>
      </c>
      <c r="S38" s="36">
        <v>0.75</v>
      </c>
      <c r="T38" s="38">
        <f t="shared" si="7"/>
        <v>0</v>
      </c>
      <c r="U38" s="39">
        <f t="shared" si="8"/>
        <v>0</v>
      </c>
      <c r="V38" s="40">
        <f t="shared" si="9"/>
        <v>0</v>
      </c>
      <c r="W38" s="41">
        <f t="shared" si="10"/>
        <v>0</v>
      </c>
      <c r="X38" s="42">
        <f t="shared" si="11"/>
        <v>0</v>
      </c>
      <c r="Y38" s="43" t="s">
        <v>395</v>
      </c>
      <c r="Z38" s="36">
        <v>1</v>
      </c>
      <c r="AA38" s="44">
        <f t="shared" si="12"/>
        <v>0</v>
      </c>
      <c r="AB38" s="36">
        <v>1</v>
      </c>
      <c r="AC38" s="44">
        <f t="shared" si="13"/>
        <v>0</v>
      </c>
      <c r="AD38" s="36">
        <v>1</v>
      </c>
      <c r="AE38" s="44">
        <f t="shared" si="14"/>
        <v>0</v>
      </c>
      <c r="AF38" s="45"/>
      <c r="AG38" s="46" t="e">
        <f t="shared" si="58"/>
        <v>#DIV/0!</v>
      </c>
      <c r="AH38" s="47" t="e">
        <f t="shared" si="59"/>
        <v>#DIV/0!</v>
      </c>
      <c r="AI38" s="45"/>
      <c r="AJ38" s="46" t="e">
        <f t="shared" si="60"/>
        <v>#DIV/0!</v>
      </c>
      <c r="AK38" s="47" t="e">
        <f t="shared" si="61"/>
        <v>#DIV/0!</v>
      </c>
      <c r="AL38" s="45"/>
      <c r="AM38" s="46" t="e">
        <f t="shared" si="19"/>
        <v>#DIV/0!</v>
      </c>
      <c r="AN38" s="47" t="e">
        <f t="shared" si="20"/>
        <v>#DIV/0!</v>
      </c>
      <c r="AO38" s="45"/>
      <c r="AP38" s="46" t="e">
        <f t="shared" si="21"/>
        <v>#DIV/0!</v>
      </c>
      <c r="AQ38" s="47" t="e">
        <f t="shared" si="22"/>
        <v>#DIV/0!</v>
      </c>
      <c r="AR38" s="45"/>
      <c r="AS38" s="46">
        <f t="shared" si="23"/>
        <v>0</v>
      </c>
      <c r="AT38" s="47">
        <f t="shared" si="24"/>
        <v>0</v>
      </c>
      <c r="AU38" s="45"/>
      <c r="AV38" s="46" t="e">
        <f t="shared" si="62"/>
        <v>#DIV/0!</v>
      </c>
      <c r="AW38" s="47" t="e">
        <f t="shared" si="63"/>
        <v>#DIV/0!</v>
      </c>
      <c r="AX38" s="45"/>
      <c r="AY38" s="46">
        <f t="shared" si="64"/>
        <v>0</v>
      </c>
      <c r="AZ38" s="47">
        <f t="shared" si="65"/>
        <v>0</v>
      </c>
      <c r="BA38" s="48" t="e">
        <f t="shared" si="66"/>
        <v>#DIV/0!</v>
      </c>
    </row>
    <row r="39" spans="1:53">
      <c r="A39" s="30"/>
      <c r="B39" s="31" t="s">
        <v>450</v>
      </c>
      <c r="C39" s="31" t="s">
        <v>415</v>
      </c>
      <c r="D39" s="31" t="s">
        <v>435</v>
      </c>
      <c r="E39" s="32"/>
      <c r="F39" s="33"/>
      <c r="G39" s="365">
        <v>0</v>
      </c>
      <c r="H39" s="70"/>
      <c r="I39" s="77">
        <f>IF(H39=Tablas!$B$5,Tablas!$C$5,VLOOKUP(H39,Tablas!$B$5:$D$40,2,FALSE))</f>
        <v>1</v>
      </c>
      <c r="J39" s="65">
        <f>IF(I39=0,"",VLOOKUP(I39,Tablas!$C$5:$D$40,2,FALSE))</f>
        <v>0</v>
      </c>
      <c r="K39" s="34" t="str">
        <f t="shared" si="30"/>
        <v>0</v>
      </c>
      <c r="L39" s="35">
        <f t="shared" si="1"/>
        <v>0</v>
      </c>
      <c r="M39" s="35">
        <f t="shared" si="2"/>
        <v>0</v>
      </c>
      <c r="N39" s="35">
        <f t="shared" si="3"/>
        <v>0</v>
      </c>
      <c r="O39" s="35">
        <f t="shared" si="4"/>
        <v>0</v>
      </c>
      <c r="P39" s="35">
        <f t="shared" si="5"/>
        <v>0</v>
      </c>
      <c r="Q39" s="36">
        <v>0.75</v>
      </c>
      <c r="R39" s="37">
        <f t="shared" si="6"/>
        <v>0</v>
      </c>
      <c r="S39" s="36">
        <v>0.75</v>
      </c>
      <c r="T39" s="38">
        <f t="shared" si="7"/>
        <v>0</v>
      </c>
      <c r="U39" s="39">
        <f t="shared" si="8"/>
        <v>0</v>
      </c>
      <c r="V39" s="40">
        <f t="shared" si="9"/>
        <v>0</v>
      </c>
      <c r="W39" s="41">
        <f t="shared" si="10"/>
        <v>0</v>
      </c>
      <c r="X39" s="42">
        <f t="shared" si="11"/>
        <v>0</v>
      </c>
      <c r="Y39" s="43" t="s">
        <v>395</v>
      </c>
      <c r="Z39" s="36">
        <v>1</v>
      </c>
      <c r="AA39" s="44">
        <f t="shared" si="12"/>
        <v>0</v>
      </c>
      <c r="AB39" s="36">
        <v>1</v>
      </c>
      <c r="AC39" s="44">
        <f t="shared" si="13"/>
        <v>0</v>
      </c>
      <c r="AD39" s="36">
        <v>1</v>
      </c>
      <c r="AE39" s="44">
        <f t="shared" si="14"/>
        <v>0</v>
      </c>
      <c r="AF39" s="45"/>
      <c r="AG39" s="46" t="e">
        <f t="shared" si="58"/>
        <v>#DIV/0!</v>
      </c>
      <c r="AH39" s="47" t="e">
        <f t="shared" si="59"/>
        <v>#DIV/0!</v>
      </c>
      <c r="AI39" s="45"/>
      <c r="AJ39" s="46" t="e">
        <f t="shared" si="60"/>
        <v>#DIV/0!</v>
      </c>
      <c r="AK39" s="47" t="e">
        <f t="shared" si="61"/>
        <v>#DIV/0!</v>
      </c>
      <c r="AL39" s="45"/>
      <c r="AM39" s="46" t="e">
        <f t="shared" si="19"/>
        <v>#DIV/0!</v>
      </c>
      <c r="AN39" s="47" t="e">
        <f t="shared" si="20"/>
        <v>#DIV/0!</v>
      </c>
      <c r="AO39" s="45"/>
      <c r="AP39" s="46" t="e">
        <f t="shared" si="21"/>
        <v>#DIV/0!</v>
      </c>
      <c r="AQ39" s="47" t="e">
        <f t="shared" si="22"/>
        <v>#DIV/0!</v>
      </c>
      <c r="AR39" s="45"/>
      <c r="AS39" s="46">
        <f t="shared" si="23"/>
        <v>0</v>
      </c>
      <c r="AT39" s="47">
        <f t="shared" si="24"/>
        <v>0</v>
      </c>
      <c r="AU39" s="45"/>
      <c r="AV39" s="46" t="e">
        <f t="shared" si="62"/>
        <v>#DIV/0!</v>
      </c>
      <c r="AW39" s="47" t="e">
        <f t="shared" si="63"/>
        <v>#DIV/0!</v>
      </c>
      <c r="AX39" s="45"/>
      <c r="AY39" s="46">
        <f t="shared" si="64"/>
        <v>0</v>
      </c>
      <c r="AZ39" s="47">
        <f t="shared" si="65"/>
        <v>0</v>
      </c>
      <c r="BA39" s="48" t="e">
        <f t="shared" si="66"/>
        <v>#DIV/0!</v>
      </c>
    </row>
    <row r="40" spans="1:53">
      <c r="A40" s="30"/>
      <c r="B40" s="31" t="s">
        <v>450</v>
      </c>
      <c r="C40" s="31" t="s">
        <v>415</v>
      </c>
      <c r="D40" s="31" t="s">
        <v>435</v>
      </c>
      <c r="E40" s="32"/>
      <c r="F40" s="33"/>
      <c r="G40" s="365">
        <v>0</v>
      </c>
      <c r="H40" s="70"/>
      <c r="I40" s="77">
        <f>IF(H40=Tablas!$B$5,Tablas!$C$5,VLOOKUP(H40,Tablas!$B$5:$D$40,2,FALSE))</f>
        <v>1</v>
      </c>
      <c r="J40" s="65">
        <f>IF(I40=0,"",VLOOKUP(I40,Tablas!$C$5:$D$40,2,FALSE))</f>
        <v>0</v>
      </c>
      <c r="K40" s="34" t="str">
        <f t="shared" si="30"/>
        <v>0</v>
      </c>
      <c r="L40" s="35">
        <f t="shared" ref="L40:L74" si="67">IF($X40=3,$K40,0)+IF($X40=4,$K40,0)+IF($X40=5,$K40,0)+IF($X40=6,$K40,0)+IF($X40=7,$K40,0)+IF($X40=10,$K40*2,0)+IF($X40=12,$K40*2,0)+IF($X40=14,$K40*2,0)+IF($X40=21,$K40*3,0)+IF($X40&lt;=1,$K40*$J40/21.75,0)+IF($X40=15,$K40*3,0)</f>
        <v>0</v>
      </c>
      <c r="M40" s="35">
        <f t="shared" ref="M40:M74" si="68">IF($X40=2,$K40,0)+IF($X40=4,$K40,0)+IF($X40=5,$K40,0)+IF($X40=6,$K40,0)+IF($X40=7,$K40,0)+IF($X40=10,$K40*2,0)+IF($X40=12,$K40*2,0)+IF($X40=14,$K40*2,0)+IF($X40=15,$K40*3,0)+IF($X40=21,$K40*3,0)+IF($X40&lt;=1,$K40*$J40/21.75,0)</f>
        <v>0</v>
      </c>
      <c r="N40" s="35">
        <f t="shared" ref="N40:N74" si="69">IF($X40=3,$K40,0)+IF($X40=4,$K40,0)+IF($X40=5,$K40,0)+IF($X40=6,$K40,0)+IF($X40=7,$K40,0)+IF($X40=10,$K40*2,0)+IF($X40=12,$K40*2,0)+IF($X40=14,$K40*2,0)+IF($X40=21,$K40*3,0)+IF($X40&lt;=1,$K40*$J40/21.75,0)+IF($X40=15,$K40*3,0)</f>
        <v>0</v>
      </c>
      <c r="O40" s="35">
        <f t="shared" ref="O40:O74" si="70">IF($X40=2,$K40,0)+IF($X40=4,$K40,0)+IF($X40=5,$K40,0)+IF($X40=6,$K40,0)+IF($X40=7,$K40,0)+IF($X40=10,$K40*2,0)+IF($X40=12,$K40*2,0)+IF($X40=14,$K40*2,0)+IF($X40=15,$K40*3,0)+IF($X40=21,$K40*3,0)+IF($X40&lt;=1,$K40*$J40/21.75,0)</f>
        <v>0</v>
      </c>
      <c r="P40" s="35">
        <f t="shared" ref="P40:P74" si="71">IF($X40=3,$K40,0)+IF($X40=4,$K40,0)+IF($X40=5,$K40,0)+IF($X40=6,$K40,0)+IF($X40=7,$K40,0)+IF($X40=10,$K40*2,0)+IF($X40=12,$K40*2,0)+IF($X40=14,$K40*2,0)+IF($X40=21,$K40*3,0)+IF($X40&lt;=1,$K40*$J40/21.75,0)+IF($X40=15,$K40*3,0)</f>
        <v>0</v>
      </c>
      <c r="Q40" s="36">
        <v>0.75</v>
      </c>
      <c r="R40" s="37">
        <f t="shared" ref="R40:R71" si="72">(IF($X40=6,$K40,)+IF($X40=7,$K40,)+IF($X40=12,$K40*2,)+IF($X40=18,$K40*3,)+IF($X40=21,$K40*3,)+IF($X40=14,$K40*2,))*Q40</f>
        <v>0</v>
      </c>
      <c r="S40" s="36">
        <v>0.75</v>
      </c>
      <c r="T40" s="38">
        <f t="shared" ref="T40:T71" si="73">(IF($X40=7,$K40,)+IF($X40=21,$K40*3,)+IF($X40=14,$K40*2,))*S40</f>
        <v>0</v>
      </c>
      <c r="U40" s="39">
        <f t="shared" si="8"/>
        <v>0</v>
      </c>
      <c r="V40" s="40">
        <f t="shared" si="9"/>
        <v>0</v>
      </c>
      <c r="W40" s="41">
        <f t="shared" ref="W40:W71" si="74">IF(V40="","",$W$4*V40)</f>
        <v>0</v>
      </c>
      <c r="X40" s="42">
        <f t="shared" ref="X40:X74" si="75">ROUND(J40/4.3452380952381,1)</f>
        <v>0</v>
      </c>
      <c r="Y40" s="43" t="s">
        <v>395</v>
      </c>
      <c r="Z40" s="36">
        <v>1</v>
      </c>
      <c r="AA40" s="44">
        <f t="shared" ref="AA40:AA71" si="76">+IF($Y40="M",$U40,IF($Y40="MT",$U40/2,IF(Y40="MN",$U40/2,IF($Y40="MTN",$U40/3,0))))*Z40</f>
        <v>0</v>
      </c>
      <c r="AB40" s="36">
        <v>1</v>
      </c>
      <c r="AC40" s="44">
        <f t="shared" ref="AC40:AC71" si="77">+IF($Y40="T",$U40,IF($Y40="MT",$U40/2,IF($Y40="TN",$U40/2,IF($Y40="MTN",$U40/3,0))))*AB40</f>
        <v>0</v>
      </c>
      <c r="AD40" s="36">
        <v>1</v>
      </c>
      <c r="AE40" s="44">
        <f t="shared" ref="AE40:AE71" si="78">+IF($Y40="N",$U40,IF($Y40="MN",$U40/2,IF($Y40="TN",$U40/2,IF($Y40="MTN",$U40/3,0))))*AD40</f>
        <v>0</v>
      </c>
      <c r="AF40" s="45"/>
      <c r="AG40" s="46" t="e">
        <f t="shared" si="58"/>
        <v>#DIV/0!</v>
      </c>
      <c r="AH40" s="47" t="e">
        <f t="shared" si="59"/>
        <v>#DIV/0!</v>
      </c>
      <c r="AI40" s="45"/>
      <c r="AJ40" s="46" t="e">
        <f t="shared" si="60"/>
        <v>#DIV/0!</v>
      </c>
      <c r="AK40" s="47" t="e">
        <f t="shared" si="61"/>
        <v>#DIV/0!</v>
      </c>
      <c r="AL40" s="45"/>
      <c r="AM40" s="46" t="e">
        <f t="shared" ref="AM40:AM71" si="79">+AL40/AN$4</f>
        <v>#DIV/0!</v>
      </c>
      <c r="AN40" s="47" t="e">
        <f t="shared" ref="AN40:AN71" si="80">AM40*AM$4/12</f>
        <v>#DIV/0!</v>
      </c>
      <c r="AO40" s="45"/>
      <c r="AP40" s="46" t="e">
        <f t="shared" ref="AP40:AP71" si="81">+AO40/AQ$4</f>
        <v>#DIV/0!</v>
      </c>
      <c r="AQ40" s="47" t="e">
        <f t="shared" ref="AQ40:AQ71" si="82">AP40*AP$4/12</f>
        <v>#DIV/0!</v>
      </c>
      <c r="AR40" s="45"/>
      <c r="AS40" s="46">
        <f t="shared" ref="AS40:AS71" si="83">+AR40/AT$4</f>
        <v>0</v>
      </c>
      <c r="AT40" s="47">
        <f t="shared" ref="AT40:AT71" si="84">AS40*AS$4/12</f>
        <v>0</v>
      </c>
      <c r="AU40" s="45"/>
      <c r="AV40" s="46" t="e">
        <f t="shared" si="62"/>
        <v>#DIV/0!</v>
      </c>
      <c r="AW40" s="47" t="e">
        <f t="shared" si="63"/>
        <v>#DIV/0!</v>
      </c>
      <c r="AX40" s="45"/>
      <c r="AY40" s="46">
        <f t="shared" si="64"/>
        <v>0</v>
      </c>
      <c r="AZ40" s="47">
        <f t="shared" si="65"/>
        <v>0</v>
      </c>
      <c r="BA40" s="48" t="e">
        <f t="shared" si="66"/>
        <v>#DIV/0!</v>
      </c>
    </row>
    <row r="41" spans="1:53">
      <c r="A41" s="30"/>
      <c r="B41" s="31" t="s">
        <v>450</v>
      </c>
      <c r="C41" s="31" t="s">
        <v>415</v>
      </c>
      <c r="D41" s="31" t="s">
        <v>469</v>
      </c>
      <c r="E41" s="32"/>
      <c r="F41" s="33">
        <v>16.03</v>
      </c>
      <c r="G41" s="74"/>
      <c r="H41" s="70" t="s">
        <v>20</v>
      </c>
      <c r="I41" s="77">
        <f>IF(H41=Tablas!$B$5,Tablas!$C$5,VLOOKUP(H41,Tablas!$B$5:$D$40,2,FALSE))</f>
        <v>19</v>
      </c>
      <c r="J41" s="65">
        <f>IF(I41=0,"",VLOOKUP(I41,Tablas!$C$5:$D$40,2,FALSE))</f>
        <v>21.726190476190478</v>
      </c>
      <c r="K41" s="34" t="str">
        <f t="shared" si="30"/>
        <v>0</v>
      </c>
      <c r="L41" s="35">
        <f t="shared" si="67"/>
        <v>0</v>
      </c>
      <c r="M41" s="35">
        <f t="shared" si="68"/>
        <v>0</v>
      </c>
      <c r="N41" s="35">
        <f t="shared" si="69"/>
        <v>0</v>
      </c>
      <c r="O41" s="35">
        <f t="shared" si="70"/>
        <v>0</v>
      </c>
      <c r="P41" s="35">
        <f t="shared" si="71"/>
        <v>0</v>
      </c>
      <c r="Q41" s="36">
        <v>0.75</v>
      </c>
      <c r="R41" s="37">
        <f t="shared" si="72"/>
        <v>0</v>
      </c>
      <c r="S41" s="36">
        <v>0.75</v>
      </c>
      <c r="T41" s="38">
        <f t="shared" si="73"/>
        <v>0</v>
      </c>
      <c r="U41" s="39">
        <f t="shared" si="8"/>
        <v>0</v>
      </c>
      <c r="V41" s="40">
        <f t="shared" si="9"/>
        <v>0</v>
      </c>
      <c r="W41" s="41">
        <f t="shared" si="74"/>
        <v>0</v>
      </c>
      <c r="X41" s="42">
        <f t="shared" si="75"/>
        <v>5</v>
      </c>
      <c r="Y41" s="43" t="s">
        <v>395</v>
      </c>
      <c r="Z41" s="36">
        <v>1</v>
      </c>
      <c r="AA41" s="44">
        <f t="shared" si="76"/>
        <v>0</v>
      </c>
      <c r="AB41" s="36">
        <v>1</v>
      </c>
      <c r="AC41" s="44">
        <f t="shared" si="77"/>
        <v>0</v>
      </c>
      <c r="AD41" s="36">
        <v>1</v>
      </c>
      <c r="AE41" s="44">
        <f t="shared" si="78"/>
        <v>0</v>
      </c>
      <c r="AF41" s="45"/>
      <c r="AG41" s="46" t="e">
        <f t="shared" si="58"/>
        <v>#DIV/0!</v>
      </c>
      <c r="AH41" s="47" t="e">
        <f t="shared" si="59"/>
        <v>#DIV/0!</v>
      </c>
      <c r="AI41" s="45"/>
      <c r="AJ41" s="46" t="e">
        <f t="shared" si="60"/>
        <v>#DIV/0!</v>
      </c>
      <c r="AK41" s="47" t="e">
        <f t="shared" si="61"/>
        <v>#DIV/0!</v>
      </c>
      <c r="AL41" s="45">
        <v>16.03</v>
      </c>
      <c r="AM41" s="46" t="e">
        <f t="shared" si="79"/>
        <v>#DIV/0!</v>
      </c>
      <c r="AN41" s="47" t="e">
        <f t="shared" si="80"/>
        <v>#DIV/0!</v>
      </c>
      <c r="AO41" s="45"/>
      <c r="AP41" s="46" t="e">
        <f t="shared" si="81"/>
        <v>#DIV/0!</v>
      </c>
      <c r="AQ41" s="47" t="e">
        <f t="shared" si="82"/>
        <v>#DIV/0!</v>
      </c>
      <c r="AR41" s="45"/>
      <c r="AS41" s="46">
        <f t="shared" si="83"/>
        <v>0</v>
      </c>
      <c r="AT41" s="47">
        <f t="shared" si="84"/>
        <v>0</v>
      </c>
      <c r="AU41" s="45">
        <v>16.03</v>
      </c>
      <c r="AV41" s="46" t="e">
        <f t="shared" si="62"/>
        <v>#DIV/0!</v>
      </c>
      <c r="AW41" s="47" t="e">
        <f t="shared" si="63"/>
        <v>#DIV/0!</v>
      </c>
      <c r="AX41" s="45"/>
      <c r="AY41" s="46">
        <f t="shared" si="64"/>
        <v>0</v>
      </c>
      <c r="AZ41" s="47">
        <f t="shared" si="65"/>
        <v>0</v>
      </c>
      <c r="BA41" s="48" t="e">
        <f t="shared" si="66"/>
        <v>#DIV/0!</v>
      </c>
    </row>
    <row r="42" spans="1:53">
      <c r="A42" s="30"/>
      <c r="B42" s="31" t="s">
        <v>450</v>
      </c>
      <c r="C42" s="31" t="s">
        <v>415</v>
      </c>
      <c r="D42" s="31" t="s">
        <v>469</v>
      </c>
      <c r="E42" s="32"/>
      <c r="F42" s="33">
        <v>16.100000000000001</v>
      </c>
      <c r="G42" s="74"/>
      <c r="H42" s="70" t="s">
        <v>20</v>
      </c>
      <c r="I42" s="77">
        <f>IF(H42=Tablas!$B$5,Tablas!$C$5,VLOOKUP(H42,Tablas!$B$5:$D$40,2,FALSE))</f>
        <v>19</v>
      </c>
      <c r="J42" s="65">
        <f>IF(I42=0,"",VLOOKUP(I42,Tablas!$C$5:$D$40,2,FALSE))</f>
        <v>21.726190476190478</v>
      </c>
      <c r="K42" s="34" t="str">
        <f t="shared" si="30"/>
        <v>0</v>
      </c>
      <c r="L42" s="35">
        <f t="shared" si="67"/>
        <v>0</v>
      </c>
      <c r="M42" s="35">
        <f t="shared" si="68"/>
        <v>0</v>
      </c>
      <c r="N42" s="35">
        <f t="shared" si="69"/>
        <v>0</v>
      </c>
      <c r="O42" s="35">
        <f t="shared" si="70"/>
        <v>0</v>
      </c>
      <c r="P42" s="35">
        <f t="shared" si="71"/>
        <v>0</v>
      </c>
      <c r="Q42" s="36">
        <v>0.75</v>
      </c>
      <c r="R42" s="37">
        <f t="shared" si="72"/>
        <v>0</v>
      </c>
      <c r="S42" s="36">
        <v>0.75</v>
      </c>
      <c r="T42" s="38">
        <f t="shared" si="73"/>
        <v>0</v>
      </c>
      <c r="U42" s="39">
        <f t="shared" si="8"/>
        <v>0</v>
      </c>
      <c r="V42" s="40">
        <f t="shared" si="9"/>
        <v>0</v>
      </c>
      <c r="W42" s="41">
        <f t="shared" si="74"/>
        <v>0</v>
      </c>
      <c r="X42" s="42">
        <f t="shared" si="75"/>
        <v>5</v>
      </c>
      <c r="Y42" s="43" t="s">
        <v>395</v>
      </c>
      <c r="Z42" s="36">
        <v>1</v>
      </c>
      <c r="AA42" s="44">
        <f t="shared" si="76"/>
        <v>0</v>
      </c>
      <c r="AB42" s="36">
        <v>1</v>
      </c>
      <c r="AC42" s="44">
        <f t="shared" si="77"/>
        <v>0</v>
      </c>
      <c r="AD42" s="36">
        <v>1</v>
      </c>
      <c r="AE42" s="44">
        <f t="shared" si="78"/>
        <v>0</v>
      </c>
      <c r="AF42" s="45"/>
      <c r="AG42" s="46" t="e">
        <f t="shared" si="58"/>
        <v>#DIV/0!</v>
      </c>
      <c r="AH42" s="47" t="e">
        <f t="shared" si="59"/>
        <v>#DIV/0!</v>
      </c>
      <c r="AI42" s="45"/>
      <c r="AJ42" s="46" t="e">
        <f t="shared" si="60"/>
        <v>#DIV/0!</v>
      </c>
      <c r="AK42" s="47" t="e">
        <f t="shared" si="61"/>
        <v>#DIV/0!</v>
      </c>
      <c r="AL42" s="45">
        <v>16.100000000000001</v>
      </c>
      <c r="AM42" s="46" t="e">
        <f t="shared" si="79"/>
        <v>#DIV/0!</v>
      </c>
      <c r="AN42" s="47" t="e">
        <f t="shared" si="80"/>
        <v>#DIV/0!</v>
      </c>
      <c r="AO42" s="45"/>
      <c r="AP42" s="46" t="e">
        <f t="shared" si="81"/>
        <v>#DIV/0!</v>
      </c>
      <c r="AQ42" s="47" t="e">
        <f t="shared" si="82"/>
        <v>#DIV/0!</v>
      </c>
      <c r="AR42" s="45"/>
      <c r="AS42" s="46">
        <f t="shared" si="83"/>
        <v>0</v>
      </c>
      <c r="AT42" s="47">
        <f t="shared" si="84"/>
        <v>0</v>
      </c>
      <c r="AU42" s="45">
        <v>16.100000000000001</v>
      </c>
      <c r="AV42" s="46" t="e">
        <f t="shared" si="62"/>
        <v>#DIV/0!</v>
      </c>
      <c r="AW42" s="47" t="e">
        <f t="shared" si="63"/>
        <v>#DIV/0!</v>
      </c>
      <c r="AX42" s="45"/>
      <c r="AY42" s="46">
        <f t="shared" si="64"/>
        <v>0</v>
      </c>
      <c r="AZ42" s="47">
        <f t="shared" si="65"/>
        <v>0</v>
      </c>
      <c r="BA42" s="48" t="e">
        <f t="shared" si="66"/>
        <v>#DIV/0!</v>
      </c>
    </row>
    <row r="43" spans="1:53">
      <c r="A43" s="30"/>
      <c r="B43" s="31" t="s">
        <v>450</v>
      </c>
      <c r="C43" s="31" t="s">
        <v>415</v>
      </c>
      <c r="D43" s="31" t="s">
        <v>470</v>
      </c>
      <c r="E43" s="32"/>
      <c r="F43" s="33">
        <v>2.33</v>
      </c>
      <c r="G43" s="74"/>
      <c r="H43" s="70" t="s">
        <v>20</v>
      </c>
      <c r="I43" s="77">
        <f>IF(H43=Tablas!$B$5,Tablas!$C$5,VLOOKUP(H43,Tablas!$B$5:$D$40,2,FALSE))</f>
        <v>19</v>
      </c>
      <c r="J43" s="65">
        <f>IF(I43=0,"",VLOOKUP(I43,Tablas!$C$5:$D$40,2,FALSE))</f>
        <v>21.726190476190478</v>
      </c>
      <c r="K43" s="34" t="str">
        <f t="shared" si="30"/>
        <v>0</v>
      </c>
      <c r="L43" s="35">
        <f t="shared" si="67"/>
        <v>0</v>
      </c>
      <c r="M43" s="35">
        <f t="shared" si="68"/>
        <v>0</v>
      </c>
      <c r="N43" s="35">
        <f t="shared" si="69"/>
        <v>0</v>
      </c>
      <c r="O43" s="35">
        <f t="shared" si="70"/>
        <v>0</v>
      </c>
      <c r="P43" s="35">
        <f t="shared" si="71"/>
        <v>0</v>
      </c>
      <c r="Q43" s="36">
        <v>0.75</v>
      </c>
      <c r="R43" s="37">
        <f t="shared" si="72"/>
        <v>0</v>
      </c>
      <c r="S43" s="36">
        <v>0.75</v>
      </c>
      <c r="T43" s="38">
        <f t="shared" si="73"/>
        <v>0</v>
      </c>
      <c r="U43" s="39">
        <f t="shared" si="8"/>
        <v>0</v>
      </c>
      <c r="V43" s="40">
        <f t="shared" si="9"/>
        <v>0</v>
      </c>
      <c r="W43" s="41">
        <f t="shared" si="74"/>
        <v>0</v>
      </c>
      <c r="X43" s="42">
        <f t="shared" si="75"/>
        <v>5</v>
      </c>
      <c r="Y43" s="43" t="s">
        <v>395</v>
      </c>
      <c r="Z43" s="36">
        <v>1</v>
      </c>
      <c r="AA43" s="44">
        <f t="shared" si="76"/>
        <v>0</v>
      </c>
      <c r="AB43" s="36">
        <v>1</v>
      </c>
      <c r="AC43" s="44">
        <f t="shared" si="77"/>
        <v>0</v>
      </c>
      <c r="AD43" s="36">
        <v>1</v>
      </c>
      <c r="AE43" s="44">
        <f t="shared" si="78"/>
        <v>0</v>
      </c>
      <c r="AF43" s="45"/>
      <c r="AG43" s="46" t="e">
        <f t="shared" si="58"/>
        <v>#DIV/0!</v>
      </c>
      <c r="AH43" s="47" t="e">
        <f t="shared" si="59"/>
        <v>#DIV/0!</v>
      </c>
      <c r="AI43" s="45"/>
      <c r="AJ43" s="46" t="e">
        <f t="shared" si="60"/>
        <v>#DIV/0!</v>
      </c>
      <c r="AK43" s="47" t="e">
        <f t="shared" si="61"/>
        <v>#DIV/0!</v>
      </c>
      <c r="AL43" s="45">
        <v>2.33</v>
      </c>
      <c r="AM43" s="46" t="e">
        <f t="shared" si="79"/>
        <v>#DIV/0!</v>
      </c>
      <c r="AN43" s="47" t="e">
        <f t="shared" si="80"/>
        <v>#DIV/0!</v>
      </c>
      <c r="AO43" s="45"/>
      <c r="AP43" s="46" t="e">
        <f t="shared" si="81"/>
        <v>#DIV/0!</v>
      </c>
      <c r="AQ43" s="47" t="e">
        <f t="shared" si="82"/>
        <v>#DIV/0!</v>
      </c>
      <c r="AR43" s="45"/>
      <c r="AS43" s="46">
        <f t="shared" si="83"/>
        <v>0</v>
      </c>
      <c r="AT43" s="47">
        <f t="shared" si="84"/>
        <v>0</v>
      </c>
      <c r="AU43" s="45">
        <v>2.33</v>
      </c>
      <c r="AV43" s="46" t="e">
        <f t="shared" si="62"/>
        <v>#DIV/0!</v>
      </c>
      <c r="AW43" s="47" t="e">
        <f t="shared" si="63"/>
        <v>#DIV/0!</v>
      </c>
      <c r="AX43" s="45"/>
      <c r="AY43" s="46">
        <f t="shared" si="64"/>
        <v>0</v>
      </c>
      <c r="AZ43" s="47">
        <f t="shared" si="65"/>
        <v>0</v>
      </c>
      <c r="BA43" s="48" t="e">
        <f t="shared" si="66"/>
        <v>#DIV/0!</v>
      </c>
    </row>
    <row r="44" spans="1:53">
      <c r="A44" s="30"/>
      <c r="B44" s="31" t="s">
        <v>450</v>
      </c>
      <c r="C44" s="31" t="s">
        <v>415</v>
      </c>
      <c r="D44" s="31" t="s">
        <v>470</v>
      </c>
      <c r="E44" s="32"/>
      <c r="F44" s="33">
        <v>2.35</v>
      </c>
      <c r="G44" s="74"/>
      <c r="H44" s="70" t="s">
        <v>20</v>
      </c>
      <c r="I44" s="77">
        <f>IF(H44=Tablas!$B$5,Tablas!$C$5,VLOOKUP(H44,Tablas!$B$5:$D$40,2,FALSE))</f>
        <v>19</v>
      </c>
      <c r="J44" s="65">
        <f>IF(I44=0,"",VLOOKUP(I44,Tablas!$C$5:$D$40,2,FALSE))</f>
        <v>21.726190476190478</v>
      </c>
      <c r="K44" s="34" t="str">
        <f t="shared" si="30"/>
        <v>0</v>
      </c>
      <c r="L44" s="35">
        <f t="shared" si="67"/>
        <v>0</v>
      </c>
      <c r="M44" s="35">
        <f t="shared" si="68"/>
        <v>0</v>
      </c>
      <c r="N44" s="35">
        <f t="shared" si="69"/>
        <v>0</v>
      </c>
      <c r="O44" s="35">
        <f t="shared" si="70"/>
        <v>0</v>
      </c>
      <c r="P44" s="35">
        <f t="shared" si="71"/>
        <v>0</v>
      </c>
      <c r="Q44" s="36">
        <v>0.75</v>
      </c>
      <c r="R44" s="37">
        <f t="shared" si="72"/>
        <v>0</v>
      </c>
      <c r="S44" s="36">
        <v>0.75</v>
      </c>
      <c r="T44" s="38">
        <f t="shared" si="73"/>
        <v>0</v>
      </c>
      <c r="U44" s="39">
        <f t="shared" si="8"/>
        <v>0</v>
      </c>
      <c r="V44" s="40">
        <f t="shared" si="9"/>
        <v>0</v>
      </c>
      <c r="W44" s="41">
        <f t="shared" si="74"/>
        <v>0</v>
      </c>
      <c r="X44" s="42">
        <f t="shared" si="75"/>
        <v>5</v>
      </c>
      <c r="Y44" s="43" t="s">
        <v>395</v>
      </c>
      <c r="Z44" s="36">
        <v>1</v>
      </c>
      <c r="AA44" s="44">
        <f t="shared" si="76"/>
        <v>0</v>
      </c>
      <c r="AB44" s="36">
        <v>1</v>
      </c>
      <c r="AC44" s="44">
        <f t="shared" si="77"/>
        <v>0</v>
      </c>
      <c r="AD44" s="36">
        <v>1</v>
      </c>
      <c r="AE44" s="44">
        <f t="shared" si="78"/>
        <v>0</v>
      </c>
      <c r="AF44" s="45"/>
      <c r="AG44" s="46" t="e">
        <f t="shared" ref="AG44:AG49" si="85">+AF44/AH$4</f>
        <v>#DIV/0!</v>
      </c>
      <c r="AH44" s="47" t="e">
        <f t="shared" ref="AH44:AH49" si="86">AG44*AG$4/12</f>
        <v>#DIV/0!</v>
      </c>
      <c r="AI44" s="45"/>
      <c r="AJ44" s="46" t="e">
        <f t="shared" ref="AJ44:AJ49" si="87">+AI44/AK$4</f>
        <v>#DIV/0!</v>
      </c>
      <c r="AK44" s="47" t="e">
        <f t="shared" ref="AK44:AK49" si="88">AJ44*AJ$4/12</f>
        <v>#DIV/0!</v>
      </c>
      <c r="AL44" s="45">
        <v>2.35</v>
      </c>
      <c r="AM44" s="46" t="e">
        <f t="shared" si="79"/>
        <v>#DIV/0!</v>
      </c>
      <c r="AN44" s="47" t="e">
        <f t="shared" si="80"/>
        <v>#DIV/0!</v>
      </c>
      <c r="AO44" s="45"/>
      <c r="AP44" s="46" t="e">
        <f t="shared" si="81"/>
        <v>#DIV/0!</v>
      </c>
      <c r="AQ44" s="47" t="e">
        <f t="shared" si="82"/>
        <v>#DIV/0!</v>
      </c>
      <c r="AR44" s="45"/>
      <c r="AS44" s="46">
        <f t="shared" si="83"/>
        <v>0</v>
      </c>
      <c r="AT44" s="47">
        <f t="shared" si="84"/>
        <v>0</v>
      </c>
      <c r="AU44" s="45">
        <v>2.35</v>
      </c>
      <c r="AV44" s="46" t="e">
        <f t="shared" ref="AV44:AV49" si="89">+AU44/AW$4</f>
        <v>#DIV/0!</v>
      </c>
      <c r="AW44" s="47" t="e">
        <f t="shared" ref="AW44:AW49" si="90">AV44*AV$4/12</f>
        <v>#DIV/0!</v>
      </c>
      <c r="AX44" s="45"/>
      <c r="AY44" s="46">
        <f t="shared" ref="AY44:AY49" si="91">+AX44/AZ$4</f>
        <v>0</v>
      </c>
      <c r="AZ44" s="47">
        <f t="shared" ref="AZ44:AZ49" si="92">AY44*AY$4/12</f>
        <v>0</v>
      </c>
      <c r="BA44" s="48" t="e">
        <f t="shared" ref="BA44:BA49" si="93">+AH44+AK44+AN44+AQ44+AT44+AW44+AZ44</f>
        <v>#DIV/0!</v>
      </c>
    </row>
    <row r="45" spans="1:53" ht="16" thickBot="1">
      <c r="A45" s="30"/>
      <c r="B45" s="31" t="s">
        <v>450</v>
      </c>
      <c r="C45" s="31" t="s">
        <v>415</v>
      </c>
      <c r="D45" s="31" t="s">
        <v>471</v>
      </c>
      <c r="E45" s="32"/>
      <c r="F45" s="33">
        <v>36.68</v>
      </c>
      <c r="G45" s="74"/>
      <c r="H45" s="70" t="s">
        <v>20</v>
      </c>
      <c r="I45" s="77">
        <f>IF(H45=Tablas!$B$5,Tablas!$C$5,VLOOKUP(H45,Tablas!$B$5:$D$40,2,FALSE))</f>
        <v>19</v>
      </c>
      <c r="J45" s="65">
        <f>IF(I45=0,"",VLOOKUP(I45,Tablas!$C$5:$D$40,2,FALSE))</f>
        <v>21.726190476190478</v>
      </c>
      <c r="K45" s="34" t="str">
        <f t="shared" si="30"/>
        <v>0</v>
      </c>
      <c r="L45" s="35">
        <f t="shared" si="67"/>
        <v>0</v>
      </c>
      <c r="M45" s="35">
        <f t="shared" si="68"/>
        <v>0</v>
      </c>
      <c r="N45" s="35">
        <f t="shared" si="69"/>
        <v>0</v>
      </c>
      <c r="O45" s="35">
        <f t="shared" si="70"/>
        <v>0</v>
      </c>
      <c r="P45" s="35">
        <f t="shared" si="71"/>
        <v>0</v>
      </c>
      <c r="Q45" s="36">
        <v>0.75</v>
      </c>
      <c r="R45" s="37">
        <f t="shared" si="72"/>
        <v>0</v>
      </c>
      <c r="S45" s="36">
        <v>0.75</v>
      </c>
      <c r="T45" s="38">
        <f t="shared" si="73"/>
        <v>0</v>
      </c>
      <c r="U45" s="39">
        <f t="shared" si="8"/>
        <v>0</v>
      </c>
      <c r="V45" s="40">
        <f t="shared" si="9"/>
        <v>0</v>
      </c>
      <c r="W45" s="41">
        <f t="shared" si="74"/>
        <v>0</v>
      </c>
      <c r="X45" s="42">
        <f t="shared" si="75"/>
        <v>5</v>
      </c>
      <c r="Y45" s="43" t="s">
        <v>395</v>
      </c>
      <c r="Z45" s="36">
        <v>1</v>
      </c>
      <c r="AA45" s="44">
        <f t="shared" si="76"/>
        <v>0</v>
      </c>
      <c r="AB45" s="36">
        <v>1</v>
      </c>
      <c r="AC45" s="44">
        <f t="shared" si="77"/>
        <v>0</v>
      </c>
      <c r="AD45" s="36">
        <v>1</v>
      </c>
      <c r="AE45" s="44">
        <f t="shared" si="78"/>
        <v>0</v>
      </c>
      <c r="AF45" s="45"/>
      <c r="AG45" s="46" t="e">
        <f t="shared" si="85"/>
        <v>#DIV/0!</v>
      </c>
      <c r="AH45" s="47" t="e">
        <f t="shared" si="86"/>
        <v>#DIV/0!</v>
      </c>
      <c r="AI45" s="45"/>
      <c r="AJ45" s="46" t="e">
        <f t="shared" si="87"/>
        <v>#DIV/0!</v>
      </c>
      <c r="AK45" s="47" t="e">
        <f t="shared" si="88"/>
        <v>#DIV/0!</v>
      </c>
      <c r="AL45" s="45">
        <v>36.68</v>
      </c>
      <c r="AM45" s="46" t="e">
        <f t="shared" si="79"/>
        <v>#DIV/0!</v>
      </c>
      <c r="AN45" s="47" t="e">
        <f t="shared" si="80"/>
        <v>#DIV/0!</v>
      </c>
      <c r="AO45" s="45"/>
      <c r="AP45" s="46" t="e">
        <f t="shared" si="81"/>
        <v>#DIV/0!</v>
      </c>
      <c r="AQ45" s="47" t="e">
        <f t="shared" si="82"/>
        <v>#DIV/0!</v>
      </c>
      <c r="AR45" s="45"/>
      <c r="AS45" s="46">
        <f t="shared" si="83"/>
        <v>0</v>
      </c>
      <c r="AT45" s="47">
        <f t="shared" si="84"/>
        <v>0</v>
      </c>
      <c r="AU45" s="45">
        <v>36.68</v>
      </c>
      <c r="AV45" s="46" t="e">
        <f t="shared" si="89"/>
        <v>#DIV/0!</v>
      </c>
      <c r="AW45" s="47" t="e">
        <f t="shared" si="90"/>
        <v>#DIV/0!</v>
      </c>
      <c r="AX45" s="45"/>
      <c r="AY45" s="46">
        <f t="shared" si="91"/>
        <v>0</v>
      </c>
      <c r="AZ45" s="47">
        <f t="shared" si="92"/>
        <v>0</v>
      </c>
      <c r="BA45" s="48" t="e">
        <f t="shared" si="93"/>
        <v>#DIV/0!</v>
      </c>
    </row>
    <row r="46" spans="1:53" hidden="1">
      <c r="A46" s="30"/>
      <c r="B46" s="31"/>
      <c r="C46" s="31"/>
      <c r="D46" s="31"/>
      <c r="E46" s="32"/>
      <c r="F46" s="33"/>
      <c r="G46" s="74"/>
      <c r="H46" s="70"/>
      <c r="I46" s="77">
        <f>IF(H46=Tablas!$B$5,Tablas!$C$5,VLOOKUP(H46,Tablas!$B$5:$D$40,2,FALSE))</f>
        <v>1</v>
      </c>
      <c r="J46" s="65">
        <f>IF(I46=0,"",VLOOKUP(I46,Tablas!$C$5:$D$40,2,FALSE))</f>
        <v>0</v>
      </c>
      <c r="K46" s="34" t="str">
        <f t="shared" si="30"/>
        <v>0</v>
      </c>
      <c r="L46" s="35">
        <f t="shared" si="67"/>
        <v>0</v>
      </c>
      <c r="M46" s="35">
        <f t="shared" si="68"/>
        <v>0</v>
      </c>
      <c r="N46" s="35">
        <f t="shared" si="69"/>
        <v>0</v>
      </c>
      <c r="O46" s="35">
        <f t="shared" si="70"/>
        <v>0</v>
      </c>
      <c r="P46" s="35">
        <f t="shared" si="71"/>
        <v>0</v>
      </c>
      <c r="Q46" s="36">
        <v>0.75</v>
      </c>
      <c r="R46" s="37">
        <f t="shared" si="72"/>
        <v>0</v>
      </c>
      <c r="S46" s="36">
        <v>0.75</v>
      </c>
      <c r="T46" s="38">
        <f t="shared" si="73"/>
        <v>0</v>
      </c>
      <c r="U46" s="39">
        <f t="shared" si="8"/>
        <v>0</v>
      </c>
      <c r="V46" s="40">
        <f t="shared" si="9"/>
        <v>0</v>
      </c>
      <c r="W46" s="41">
        <f t="shared" si="74"/>
        <v>0</v>
      </c>
      <c r="X46" s="42">
        <f t="shared" si="75"/>
        <v>0</v>
      </c>
      <c r="Y46" s="43" t="s">
        <v>0</v>
      </c>
      <c r="Z46" s="36">
        <v>1</v>
      </c>
      <c r="AA46" s="44">
        <f t="shared" si="76"/>
        <v>0</v>
      </c>
      <c r="AB46" s="36">
        <v>1</v>
      </c>
      <c r="AC46" s="44">
        <f t="shared" si="77"/>
        <v>0</v>
      </c>
      <c r="AD46" s="36">
        <v>1</v>
      </c>
      <c r="AE46" s="44">
        <f t="shared" si="78"/>
        <v>0</v>
      </c>
      <c r="AF46" s="45"/>
      <c r="AG46" s="46" t="e">
        <f t="shared" si="85"/>
        <v>#DIV/0!</v>
      </c>
      <c r="AH46" s="47" t="e">
        <f t="shared" si="86"/>
        <v>#DIV/0!</v>
      </c>
      <c r="AI46" s="45"/>
      <c r="AJ46" s="46" t="e">
        <f t="shared" si="87"/>
        <v>#DIV/0!</v>
      </c>
      <c r="AK46" s="47" t="e">
        <f t="shared" si="88"/>
        <v>#DIV/0!</v>
      </c>
      <c r="AL46" s="45"/>
      <c r="AM46" s="46" t="e">
        <f t="shared" si="79"/>
        <v>#DIV/0!</v>
      </c>
      <c r="AN46" s="47" t="e">
        <f t="shared" si="80"/>
        <v>#DIV/0!</v>
      </c>
      <c r="AO46" s="45"/>
      <c r="AP46" s="46" t="e">
        <f t="shared" si="81"/>
        <v>#DIV/0!</v>
      </c>
      <c r="AQ46" s="47" t="e">
        <f t="shared" si="82"/>
        <v>#DIV/0!</v>
      </c>
      <c r="AR46" s="45"/>
      <c r="AS46" s="46">
        <f t="shared" si="83"/>
        <v>0</v>
      </c>
      <c r="AT46" s="47">
        <f t="shared" si="84"/>
        <v>0</v>
      </c>
      <c r="AU46" s="45"/>
      <c r="AV46" s="46" t="e">
        <f t="shared" si="89"/>
        <v>#DIV/0!</v>
      </c>
      <c r="AW46" s="47" t="e">
        <f t="shared" si="90"/>
        <v>#DIV/0!</v>
      </c>
      <c r="AX46" s="45"/>
      <c r="AY46" s="46">
        <f t="shared" si="91"/>
        <v>0</v>
      </c>
      <c r="AZ46" s="47">
        <f t="shared" si="92"/>
        <v>0</v>
      </c>
      <c r="BA46" s="48" t="e">
        <f t="shared" si="93"/>
        <v>#DIV/0!</v>
      </c>
    </row>
    <row r="47" spans="1:53" hidden="1">
      <c r="A47" s="30"/>
      <c r="B47" s="31"/>
      <c r="C47" s="31"/>
      <c r="D47" s="31"/>
      <c r="E47" s="32"/>
      <c r="F47" s="33"/>
      <c r="G47" s="74"/>
      <c r="H47" s="70"/>
      <c r="I47" s="77">
        <f>IF(H47=Tablas!$B$5,Tablas!$C$5,VLOOKUP(H47,Tablas!$B$5:$D$40,2,FALSE))</f>
        <v>1</v>
      </c>
      <c r="J47" s="65">
        <f>IF(I47=0,"",VLOOKUP(I47,Tablas!$C$5:$D$40,2,FALSE))</f>
        <v>0</v>
      </c>
      <c r="K47" s="34" t="str">
        <f t="shared" si="30"/>
        <v>0</v>
      </c>
      <c r="L47" s="35">
        <f t="shared" si="67"/>
        <v>0</v>
      </c>
      <c r="M47" s="35">
        <f t="shared" si="68"/>
        <v>0</v>
      </c>
      <c r="N47" s="35">
        <f t="shared" si="69"/>
        <v>0</v>
      </c>
      <c r="O47" s="35">
        <f t="shared" si="70"/>
        <v>0</v>
      </c>
      <c r="P47" s="35">
        <f t="shared" si="71"/>
        <v>0</v>
      </c>
      <c r="Q47" s="36">
        <v>0.75</v>
      </c>
      <c r="R47" s="37">
        <f t="shared" si="72"/>
        <v>0</v>
      </c>
      <c r="S47" s="36">
        <v>0.75</v>
      </c>
      <c r="T47" s="38">
        <f t="shared" si="73"/>
        <v>0</v>
      </c>
      <c r="U47" s="39">
        <f t="shared" si="8"/>
        <v>0</v>
      </c>
      <c r="V47" s="40">
        <f t="shared" si="9"/>
        <v>0</v>
      </c>
      <c r="W47" s="41">
        <f t="shared" si="74"/>
        <v>0</v>
      </c>
      <c r="X47" s="42">
        <f t="shared" si="75"/>
        <v>0</v>
      </c>
      <c r="Y47" s="43" t="s">
        <v>0</v>
      </c>
      <c r="Z47" s="36">
        <v>1</v>
      </c>
      <c r="AA47" s="44">
        <f t="shared" si="76"/>
        <v>0</v>
      </c>
      <c r="AB47" s="36">
        <v>1</v>
      </c>
      <c r="AC47" s="44">
        <f t="shared" si="77"/>
        <v>0</v>
      </c>
      <c r="AD47" s="36">
        <v>1</v>
      </c>
      <c r="AE47" s="44">
        <f t="shared" si="78"/>
        <v>0</v>
      </c>
      <c r="AF47" s="45"/>
      <c r="AG47" s="46" t="e">
        <f t="shared" si="85"/>
        <v>#DIV/0!</v>
      </c>
      <c r="AH47" s="47" t="e">
        <f t="shared" si="86"/>
        <v>#DIV/0!</v>
      </c>
      <c r="AI47" s="45"/>
      <c r="AJ47" s="46" t="e">
        <f t="shared" si="87"/>
        <v>#DIV/0!</v>
      </c>
      <c r="AK47" s="47" t="e">
        <f t="shared" si="88"/>
        <v>#DIV/0!</v>
      </c>
      <c r="AL47" s="45"/>
      <c r="AM47" s="46" t="e">
        <f t="shared" si="79"/>
        <v>#DIV/0!</v>
      </c>
      <c r="AN47" s="47" t="e">
        <f t="shared" si="80"/>
        <v>#DIV/0!</v>
      </c>
      <c r="AO47" s="45"/>
      <c r="AP47" s="46" t="e">
        <f t="shared" si="81"/>
        <v>#DIV/0!</v>
      </c>
      <c r="AQ47" s="47" t="e">
        <f t="shared" si="82"/>
        <v>#DIV/0!</v>
      </c>
      <c r="AR47" s="45"/>
      <c r="AS47" s="46">
        <f t="shared" si="83"/>
        <v>0</v>
      </c>
      <c r="AT47" s="47">
        <f t="shared" si="84"/>
        <v>0</v>
      </c>
      <c r="AU47" s="45"/>
      <c r="AV47" s="46" t="e">
        <f t="shared" si="89"/>
        <v>#DIV/0!</v>
      </c>
      <c r="AW47" s="47" t="e">
        <f t="shared" si="90"/>
        <v>#DIV/0!</v>
      </c>
      <c r="AX47" s="45"/>
      <c r="AY47" s="46">
        <f t="shared" si="91"/>
        <v>0</v>
      </c>
      <c r="AZ47" s="47">
        <f t="shared" si="92"/>
        <v>0</v>
      </c>
      <c r="BA47" s="48" t="e">
        <f t="shared" si="93"/>
        <v>#DIV/0!</v>
      </c>
    </row>
    <row r="48" spans="1:53" hidden="1">
      <c r="A48" s="30"/>
      <c r="B48" s="31"/>
      <c r="C48" s="31"/>
      <c r="D48" s="31"/>
      <c r="E48" s="32"/>
      <c r="F48" s="33"/>
      <c r="G48" s="74"/>
      <c r="H48" s="70"/>
      <c r="I48" s="77">
        <f>IF(H48=Tablas!$B$5,Tablas!$C$5,VLOOKUP(H48,Tablas!$B$5:$D$40,2,FALSE))</f>
        <v>1</v>
      </c>
      <c r="J48" s="65">
        <f>IF(I48=0,"",VLOOKUP(I48,Tablas!$C$5:$D$40,2,FALSE))</f>
        <v>0</v>
      </c>
      <c r="K48" s="34" t="str">
        <f t="shared" si="30"/>
        <v>0</v>
      </c>
      <c r="L48" s="35">
        <f t="shared" si="67"/>
        <v>0</v>
      </c>
      <c r="M48" s="35">
        <f t="shared" si="68"/>
        <v>0</v>
      </c>
      <c r="N48" s="35">
        <f t="shared" si="69"/>
        <v>0</v>
      </c>
      <c r="O48" s="35">
        <f t="shared" si="70"/>
        <v>0</v>
      </c>
      <c r="P48" s="35">
        <f t="shared" si="71"/>
        <v>0</v>
      </c>
      <c r="Q48" s="36">
        <v>0.75</v>
      </c>
      <c r="R48" s="37">
        <f t="shared" si="72"/>
        <v>0</v>
      </c>
      <c r="S48" s="36">
        <v>0.75</v>
      </c>
      <c r="T48" s="38">
        <f t="shared" si="73"/>
        <v>0</v>
      </c>
      <c r="U48" s="39">
        <f t="shared" si="8"/>
        <v>0</v>
      </c>
      <c r="V48" s="40">
        <f t="shared" si="9"/>
        <v>0</v>
      </c>
      <c r="W48" s="41">
        <f t="shared" si="74"/>
        <v>0</v>
      </c>
      <c r="X48" s="42">
        <f t="shared" si="75"/>
        <v>0</v>
      </c>
      <c r="Y48" s="43" t="s">
        <v>0</v>
      </c>
      <c r="Z48" s="36">
        <v>1</v>
      </c>
      <c r="AA48" s="44">
        <f t="shared" si="76"/>
        <v>0</v>
      </c>
      <c r="AB48" s="36">
        <v>1</v>
      </c>
      <c r="AC48" s="44">
        <f t="shared" si="77"/>
        <v>0</v>
      </c>
      <c r="AD48" s="36">
        <v>1</v>
      </c>
      <c r="AE48" s="44">
        <f t="shared" si="78"/>
        <v>0</v>
      </c>
      <c r="AF48" s="45"/>
      <c r="AG48" s="46" t="e">
        <f t="shared" si="85"/>
        <v>#DIV/0!</v>
      </c>
      <c r="AH48" s="47" t="e">
        <f t="shared" si="86"/>
        <v>#DIV/0!</v>
      </c>
      <c r="AI48" s="45"/>
      <c r="AJ48" s="46" t="e">
        <f t="shared" si="87"/>
        <v>#DIV/0!</v>
      </c>
      <c r="AK48" s="47" t="e">
        <f t="shared" si="88"/>
        <v>#DIV/0!</v>
      </c>
      <c r="AL48" s="45"/>
      <c r="AM48" s="46" t="e">
        <f t="shared" si="79"/>
        <v>#DIV/0!</v>
      </c>
      <c r="AN48" s="47" t="e">
        <f t="shared" si="80"/>
        <v>#DIV/0!</v>
      </c>
      <c r="AO48" s="45"/>
      <c r="AP48" s="46" t="e">
        <f t="shared" si="81"/>
        <v>#DIV/0!</v>
      </c>
      <c r="AQ48" s="47" t="e">
        <f t="shared" si="82"/>
        <v>#DIV/0!</v>
      </c>
      <c r="AR48" s="45"/>
      <c r="AS48" s="46">
        <f t="shared" si="83"/>
        <v>0</v>
      </c>
      <c r="AT48" s="47">
        <f t="shared" si="84"/>
        <v>0</v>
      </c>
      <c r="AU48" s="45"/>
      <c r="AV48" s="46" t="e">
        <f t="shared" si="89"/>
        <v>#DIV/0!</v>
      </c>
      <c r="AW48" s="47" t="e">
        <f t="shared" si="90"/>
        <v>#DIV/0!</v>
      </c>
      <c r="AX48" s="45"/>
      <c r="AY48" s="46">
        <f t="shared" si="91"/>
        <v>0</v>
      </c>
      <c r="AZ48" s="47">
        <f t="shared" si="92"/>
        <v>0</v>
      </c>
      <c r="BA48" s="48" t="e">
        <f t="shared" si="93"/>
        <v>#DIV/0!</v>
      </c>
    </row>
    <row r="49" spans="1:53" hidden="1">
      <c r="A49" s="30"/>
      <c r="B49" s="31"/>
      <c r="C49" s="31"/>
      <c r="D49" s="31"/>
      <c r="E49" s="32"/>
      <c r="F49" s="33"/>
      <c r="G49" s="74"/>
      <c r="H49" s="70"/>
      <c r="I49" s="77">
        <f>IF(H49=Tablas!$B$5,Tablas!$C$5,VLOOKUP(H49,Tablas!$B$5:$D$40,2,FALSE))</f>
        <v>1</v>
      </c>
      <c r="J49" s="65">
        <f>IF(I49=0,"",VLOOKUP(I49,Tablas!$C$5:$D$40,2,FALSE))</f>
        <v>0</v>
      </c>
      <c r="K49" s="34" t="str">
        <f t="shared" si="30"/>
        <v>0</v>
      </c>
      <c r="L49" s="35">
        <f t="shared" si="67"/>
        <v>0</v>
      </c>
      <c r="M49" s="35">
        <f t="shared" si="68"/>
        <v>0</v>
      </c>
      <c r="N49" s="35">
        <f t="shared" si="69"/>
        <v>0</v>
      </c>
      <c r="O49" s="35">
        <f t="shared" si="70"/>
        <v>0</v>
      </c>
      <c r="P49" s="35">
        <f t="shared" si="71"/>
        <v>0</v>
      </c>
      <c r="Q49" s="36">
        <v>0.75</v>
      </c>
      <c r="R49" s="37">
        <f t="shared" si="72"/>
        <v>0</v>
      </c>
      <c r="S49" s="36">
        <v>0.75</v>
      </c>
      <c r="T49" s="38">
        <f t="shared" si="73"/>
        <v>0</v>
      </c>
      <c r="U49" s="39">
        <f t="shared" si="8"/>
        <v>0</v>
      </c>
      <c r="V49" s="40">
        <f t="shared" si="9"/>
        <v>0</v>
      </c>
      <c r="W49" s="41">
        <f t="shared" si="74"/>
        <v>0</v>
      </c>
      <c r="X49" s="42">
        <f t="shared" si="75"/>
        <v>0</v>
      </c>
      <c r="Y49" s="43" t="s">
        <v>0</v>
      </c>
      <c r="Z49" s="36">
        <v>1</v>
      </c>
      <c r="AA49" s="44">
        <f t="shared" si="76"/>
        <v>0</v>
      </c>
      <c r="AB49" s="36">
        <v>1</v>
      </c>
      <c r="AC49" s="44">
        <f t="shared" si="77"/>
        <v>0</v>
      </c>
      <c r="AD49" s="36">
        <v>1</v>
      </c>
      <c r="AE49" s="44">
        <f t="shared" si="78"/>
        <v>0</v>
      </c>
      <c r="AF49" s="45"/>
      <c r="AG49" s="46" t="e">
        <f t="shared" si="85"/>
        <v>#DIV/0!</v>
      </c>
      <c r="AH49" s="47" t="e">
        <f t="shared" si="86"/>
        <v>#DIV/0!</v>
      </c>
      <c r="AI49" s="45"/>
      <c r="AJ49" s="46" t="e">
        <f t="shared" si="87"/>
        <v>#DIV/0!</v>
      </c>
      <c r="AK49" s="47" t="e">
        <f t="shared" si="88"/>
        <v>#DIV/0!</v>
      </c>
      <c r="AL49" s="45"/>
      <c r="AM49" s="46" t="e">
        <f t="shared" si="79"/>
        <v>#DIV/0!</v>
      </c>
      <c r="AN49" s="47" t="e">
        <f t="shared" si="80"/>
        <v>#DIV/0!</v>
      </c>
      <c r="AO49" s="45"/>
      <c r="AP49" s="46" t="e">
        <f t="shared" si="81"/>
        <v>#DIV/0!</v>
      </c>
      <c r="AQ49" s="47" t="e">
        <f t="shared" si="82"/>
        <v>#DIV/0!</v>
      </c>
      <c r="AR49" s="45"/>
      <c r="AS49" s="46">
        <f t="shared" si="83"/>
        <v>0</v>
      </c>
      <c r="AT49" s="47">
        <f t="shared" si="84"/>
        <v>0</v>
      </c>
      <c r="AU49" s="45"/>
      <c r="AV49" s="46" t="e">
        <f t="shared" si="89"/>
        <v>#DIV/0!</v>
      </c>
      <c r="AW49" s="47" t="e">
        <f t="shared" si="90"/>
        <v>#DIV/0!</v>
      </c>
      <c r="AX49" s="45"/>
      <c r="AY49" s="46">
        <f t="shared" si="91"/>
        <v>0</v>
      </c>
      <c r="AZ49" s="47">
        <f t="shared" si="92"/>
        <v>0</v>
      </c>
      <c r="BA49" s="48" t="e">
        <f t="shared" si="93"/>
        <v>#DIV/0!</v>
      </c>
    </row>
    <row r="50" spans="1:53" hidden="1">
      <c r="A50" s="30"/>
      <c r="B50" s="31"/>
      <c r="C50" s="31"/>
      <c r="D50" s="31"/>
      <c r="E50" s="32"/>
      <c r="F50" s="33"/>
      <c r="G50" s="74"/>
      <c r="H50" s="70"/>
      <c r="I50" s="77">
        <f>IF(H50=Tablas!$B$5,Tablas!$C$5,VLOOKUP(H50,Tablas!$B$5:$D$40,2,FALSE))</f>
        <v>1</v>
      </c>
      <c r="J50" s="65">
        <f>IF(I50=0,"",VLOOKUP(I50,Tablas!$C$5:$D$40,2,FALSE))</f>
        <v>0</v>
      </c>
      <c r="K50" s="34" t="str">
        <f t="shared" si="30"/>
        <v>0</v>
      </c>
      <c r="L50" s="35">
        <f t="shared" si="67"/>
        <v>0</v>
      </c>
      <c r="M50" s="35">
        <f t="shared" si="68"/>
        <v>0</v>
      </c>
      <c r="N50" s="35">
        <f t="shared" si="69"/>
        <v>0</v>
      </c>
      <c r="O50" s="35">
        <f t="shared" si="70"/>
        <v>0</v>
      </c>
      <c r="P50" s="35">
        <f t="shared" si="71"/>
        <v>0</v>
      </c>
      <c r="Q50" s="36">
        <v>0.75</v>
      </c>
      <c r="R50" s="37">
        <f t="shared" si="72"/>
        <v>0</v>
      </c>
      <c r="S50" s="36">
        <v>0.75</v>
      </c>
      <c r="T50" s="38">
        <f t="shared" si="73"/>
        <v>0</v>
      </c>
      <c r="U50" s="39">
        <f t="shared" si="8"/>
        <v>0</v>
      </c>
      <c r="V50" s="40">
        <f t="shared" si="9"/>
        <v>0</v>
      </c>
      <c r="W50" s="41">
        <f t="shared" si="74"/>
        <v>0</v>
      </c>
      <c r="X50" s="42">
        <f t="shared" si="75"/>
        <v>0</v>
      </c>
      <c r="Y50" s="43" t="s">
        <v>0</v>
      </c>
      <c r="Z50" s="36">
        <v>1</v>
      </c>
      <c r="AA50" s="44">
        <f t="shared" si="76"/>
        <v>0</v>
      </c>
      <c r="AB50" s="36">
        <v>1</v>
      </c>
      <c r="AC50" s="44">
        <f t="shared" si="77"/>
        <v>0</v>
      </c>
      <c r="AD50" s="36">
        <v>1</v>
      </c>
      <c r="AE50" s="44">
        <f t="shared" si="78"/>
        <v>0</v>
      </c>
      <c r="AF50" s="45"/>
      <c r="AG50" s="46" t="e">
        <f t="shared" ref="AG50:AG57" si="94">+AF50/AH$4</f>
        <v>#DIV/0!</v>
      </c>
      <c r="AH50" s="47" t="e">
        <f t="shared" ref="AH50:AH57" si="95">AG50*AG$4/12</f>
        <v>#DIV/0!</v>
      </c>
      <c r="AI50" s="45"/>
      <c r="AJ50" s="46" t="e">
        <f t="shared" ref="AJ50:AJ57" si="96">+AI50/AK$4</f>
        <v>#DIV/0!</v>
      </c>
      <c r="AK50" s="47" t="e">
        <f t="shared" ref="AK50:AK57" si="97">AJ50*AJ$4/12</f>
        <v>#DIV/0!</v>
      </c>
      <c r="AL50" s="45"/>
      <c r="AM50" s="46" t="e">
        <f t="shared" si="79"/>
        <v>#DIV/0!</v>
      </c>
      <c r="AN50" s="47" t="e">
        <f t="shared" si="80"/>
        <v>#DIV/0!</v>
      </c>
      <c r="AO50" s="45"/>
      <c r="AP50" s="46" t="e">
        <f t="shared" si="81"/>
        <v>#DIV/0!</v>
      </c>
      <c r="AQ50" s="47" t="e">
        <f t="shared" si="82"/>
        <v>#DIV/0!</v>
      </c>
      <c r="AR50" s="45"/>
      <c r="AS50" s="46">
        <f t="shared" si="83"/>
        <v>0</v>
      </c>
      <c r="AT50" s="47">
        <f t="shared" si="84"/>
        <v>0</v>
      </c>
      <c r="AU50" s="45"/>
      <c r="AV50" s="46" t="e">
        <f t="shared" ref="AV50:AV57" si="98">+AU50/AW$4</f>
        <v>#DIV/0!</v>
      </c>
      <c r="AW50" s="47" t="e">
        <f t="shared" ref="AW50:AW57" si="99">AV50*AV$4/12</f>
        <v>#DIV/0!</v>
      </c>
      <c r="AX50" s="45"/>
      <c r="AY50" s="46">
        <f t="shared" ref="AY50:AY57" si="100">+AX50/AZ$4</f>
        <v>0</v>
      </c>
      <c r="AZ50" s="47">
        <f t="shared" ref="AZ50:AZ57" si="101">AY50*AY$4/12</f>
        <v>0</v>
      </c>
      <c r="BA50" s="48" t="e">
        <f t="shared" ref="BA50:BA57" si="102">+AH50+AK50+AN50+AQ50+AT50+AW50+AZ50</f>
        <v>#DIV/0!</v>
      </c>
    </row>
    <row r="51" spans="1:53" hidden="1">
      <c r="A51" s="30"/>
      <c r="B51" s="31"/>
      <c r="C51" s="31"/>
      <c r="D51" s="31"/>
      <c r="E51" s="32"/>
      <c r="F51" s="33"/>
      <c r="G51" s="74"/>
      <c r="H51" s="70"/>
      <c r="I51" s="77">
        <f>IF(H51=Tablas!$B$5,Tablas!$C$5,VLOOKUP(H51,Tablas!$B$5:$D$40,2,FALSE))</f>
        <v>1</v>
      </c>
      <c r="J51" s="65">
        <f>IF(I51=0,"",VLOOKUP(I51,Tablas!$C$5:$D$40,2,FALSE))</f>
        <v>0</v>
      </c>
      <c r="K51" s="34" t="str">
        <f t="shared" si="30"/>
        <v>0</v>
      </c>
      <c r="L51" s="35">
        <f t="shared" si="67"/>
        <v>0</v>
      </c>
      <c r="M51" s="35">
        <f t="shared" si="68"/>
        <v>0</v>
      </c>
      <c r="N51" s="35">
        <f t="shared" si="69"/>
        <v>0</v>
      </c>
      <c r="O51" s="35">
        <f t="shared" si="70"/>
        <v>0</v>
      </c>
      <c r="P51" s="35">
        <f t="shared" si="71"/>
        <v>0</v>
      </c>
      <c r="Q51" s="36">
        <v>0.75</v>
      </c>
      <c r="R51" s="37">
        <f t="shared" si="72"/>
        <v>0</v>
      </c>
      <c r="S51" s="36">
        <v>0.75</v>
      </c>
      <c r="T51" s="38">
        <f t="shared" si="73"/>
        <v>0</v>
      </c>
      <c r="U51" s="39">
        <f t="shared" si="8"/>
        <v>0</v>
      </c>
      <c r="V51" s="40">
        <f t="shared" si="9"/>
        <v>0</v>
      </c>
      <c r="W51" s="41">
        <f t="shared" si="74"/>
        <v>0</v>
      </c>
      <c r="X51" s="42">
        <f t="shared" si="75"/>
        <v>0</v>
      </c>
      <c r="Y51" s="43" t="s">
        <v>0</v>
      </c>
      <c r="Z51" s="36">
        <v>1</v>
      </c>
      <c r="AA51" s="44">
        <f t="shared" si="76"/>
        <v>0</v>
      </c>
      <c r="AB51" s="36">
        <v>1</v>
      </c>
      <c r="AC51" s="44">
        <f t="shared" si="77"/>
        <v>0</v>
      </c>
      <c r="AD51" s="36">
        <v>1</v>
      </c>
      <c r="AE51" s="44">
        <f t="shared" si="78"/>
        <v>0</v>
      </c>
      <c r="AF51" s="45"/>
      <c r="AG51" s="46" t="e">
        <f t="shared" si="94"/>
        <v>#DIV/0!</v>
      </c>
      <c r="AH51" s="47" t="e">
        <f t="shared" si="95"/>
        <v>#DIV/0!</v>
      </c>
      <c r="AI51" s="45"/>
      <c r="AJ51" s="46" t="e">
        <f t="shared" si="96"/>
        <v>#DIV/0!</v>
      </c>
      <c r="AK51" s="47" t="e">
        <f t="shared" si="97"/>
        <v>#DIV/0!</v>
      </c>
      <c r="AL51" s="45"/>
      <c r="AM51" s="46" t="e">
        <f t="shared" si="79"/>
        <v>#DIV/0!</v>
      </c>
      <c r="AN51" s="47" t="e">
        <f t="shared" si="80"/>
        <v>#DIV/0!</v>
      </c>
      <c r="AO51" s="45"/>
      <c r="AP51" s="46" t="e">
        <f t="shared" si="81"/>
        <v>#DIV/0!</v>
      </c>
      <c r="AQ51" s="47" t="e">
        <f t="shared" si="82"/>
        <v>#DIV/0!</v>
      </c>
      <c r="AR51" s="45"/>
      <c r="AS51" s="46">
        <f t="shared" si="83"/>
        <v>0</v>
      </c>
      <c r="AT51" s="47">
        <f t="shared" si="84"/>
        <v>0</v>
      </c>
      <c r="AU51" s="45"/>
      <c r="AV51" s="46" t="e">
        <f t="shared" si="98"/>
        <v>#DIV/0!</v>
      </c>
      <c r="AW51" s="47" t="e">
        <f t="shared" si="99"/>
        <v>#DIV/0!</v>
      </c>
      <c r="AX51" s="45"/>
      <c r="AY51" s="46">
        <f t="shared" si="100"/>
        <v>0</v>
      </c>
      <c r="AZ51" s="47">
        <f t="shared" si="101"/>
        <v>0</v>
      </c>
      <c r="BA51" s="48" t="e">
        <f t="shared" si="102"/>
        <v>#DIV/0!</v>
      </c>
    </row>
    <row r="52" spans="1:53" hidden="1">
      <c r="A52" s="30"/>
      <c r="B52" s="31"/>
      <c r="C52" s="31"/>
      <c r="D52" s="31"/>
      <c r="E52" s="32"/>
      <c r="F52" s="33"/>
      <c r="G52" s="74"/>
      <c r="H52" s="70"/>
      <c r="I52" s="77">
        <f>IF(H52=Tablas!$B$5,Tablas!$C$5,VLOOKUP(H52,Tablas!$B$5:$D$40,2,FALSE))</f>
        <v>1</v>
      </c>
      <c r="J52" s="65">
        <f>IF(I52=0,"",VLOOKUP(I52,Tablas!$C$5:$D$40,2,FALSE))</f>
        <v>0</v>
      </c>
      <c r="K52" s="34" t="str">
        <f t="shared" si="30"/>
        <v>0</v>
      </c>
      <c r="L52" s="35">
        <f t="shared" si="67"/>
        <v>0</v>
      </c>
      <c r="M52" s="35">
        <f t="shared" si="68"/>
        <v>0</v>
      </c>
      <c r="N52" s="35">
        <f t="shared" si="69"/>
        <v>0</v>
      </c>
      <c r="O52" s="35">
        <f t="shared" si="70"/>
        <v>0</v>
      </c>
      <c r="P52" s="35">
        <f t="shared" si="71"/>
        <v>0</v>
      </c>
      <c r="Q52" s="36">
        <v>0.75</v>
      </c>
      <c r="R52" s="37">
        <f t="shared" si="72"/>
        <v>0</v>
      </c>
      <c r="S52" s="36">
        <v>0.75</v>
      </c>
      <c r="T52" s="38">
        <f t="shared" si="73"/>
        <v>0</v>
      </c>
      <c r="U52" s="39">
        <f t="shared" si="8"/>
        <v>0</v>
      </c>
      <c r="V52" s="40">
        <f t="shared" si="9"/>
        <v>0</v>
      </c>
      <c r="W52" s="41">
        <f t="shared" si="74"/>
        <v>0</v>
      </c>
      <c r="X52" s="42">
        <f t="shared" si="75"/>
        <v>0</v>
      </c>
      <c r="Y52" s="43" t="s">
        <v>0</v>
      </c>
      <c r="Z52" s="36">
        <v>1</v>
      </c>
      <c r="AA52" s="44">
        <f t="shared" si="76"/>
        <v>0</v>
      </c>
      <c r="AB52" s="36">
        <v>1</v>
      </c>
      <c r="AC52" s="44">
        <f t="shared" si="77"/>
        <v>0</v>
      </c>
      <c r="AD52" s="36">
        <v>1</v>
      </c>
      <c r="AE52" s="44">
        <f t="shared" si="78"/>
        <v>0</v>
      </c>
      <c r="AF52" s="45"/>
      <c r="AG52" s="46" t="e">
        <f t="shared" si="94"/>
        <v>#DIV/0!</v>
      </c>
      <c r="AH52" s="47" t="e">
        <f t="shared" si="95"/>
        <v>#DIV/0!</v>
      </c>
      <c r="AI52" s="45"/>
      <c r="AJ52" s="46" t="e">
        <f t="shared" si="96"/>
        <v>#DIV/0!</v>
      </c>
      <c r="AK52" s="47" t="e">
        <f t="shared" si="97"/>
        <v>#DIV/0!</v>
      </c>
      <c r="AL52" s="45"/>
      <c r="AM52" s="46" t="e">
        <f t="shared" si="79"/>
        <v>#DIV/0!</v>
      </c>
      <c r="AN52" s="47" t="e">
        <f t="shared" si="80"/>
        <v>#DIV/0!</v>
      </c>
      <c r="AO52" s="45"/>
      <c r="AP52" s="46" t="e">
        <f t="shared" si="81"/>
        <v>#DIV/0!</v>
      </c>
      <c r="AQ52" s="47" t="e">
        <f t="shared" si="82"/>
        <v>#DIV/0!</v>
      </c>
      <c r="AR52" s="45"/>
      <c r="AS52" s="46">
        <f t="shared" si="83"/>
        <v>0</v>
      </c>
      <c r="AT52" s="47">
        <f t="shared" si="84"/>
        <v>0</v>
      </c>
      <c r="AU52" s="45"/>
      <c r="AV52" s="46" t="e">
        <f t="shared" si="98"/>
        <v>#DIV/0!</v>
      </c>
      <c r="AW52" s="47" t="e">
        <f t="shared" si="99"/>
        <v>#DIV/0!</v>
      </c>
      <c r="AX52" s="45"/>
      <c r="AY52" s="46">
        <f t="shared" si="100"/>
        <v>0</v>
      </c>
      <c r="AZ52" s="47">
        <f t="shared" si="101"/>
        <v>0</v>
      </c>
      <c r="BA52" s="48" t="e">
        <f t="shared" si="102"/>
        <v>#DIV/0!</v>
      </c>
    </row>
    <row r="53" spans="1:53" hidden="1">
      <c r="A53" s="30"/>
      <c r="B53" s="31"/>
      <c r="C53" s="31"/>
      <c r="D53" s="31"/>
      <c r="E53" s="32"/>
      <c r="F53" s="33"/>
      <c r="G53" s="74"/>
      <c r="H53" s="70"/>
      <c r="I53" s="77">
        <f>IF(H53=Tablas!$B$5,Tablas!$C$5,VLOOKUP(H53,Tablas!$B$5:$D$40,2,FALSE))</f>
        <v>1</v>
      </c>
      <c r="J53" s="65">
        <f>IF(I53=0,"",VLOOKUP(I53,Tablas!$C$5:$D$40,2,FALSE))</f>
        <v>0</v>
      </c>
      <c r="K53" s="34" t="str">
        <f t="shared" si="30"/>
        <v>0</v>
      </c>
      <c r="L53" s="35">
        <f t="shared" si="67"/>
        <v>0</v>
      </c>
      <c r="M53" s="35">
        <f t="shared" si="68"/>
        <v>0</v>
      </c>
      <c r="N53" s="35">
        <f t="shared" si="69"/>
        <v>0</v>
      </c>
      <c r="O53" s="35">
        <f t="shared" si="70"/>
        <v>0</v>
      </c>
      <c r="P53" s="35">
        <f t="shared" si="71"/>
        <v>0</v>
      </c>
      <c r="Q53" s="36">
        <v>0.75</v>
      </c>
      <c r="R53" s="37">
        <f t="shared" si="72"/>
        <v>0</v>
      </c>
      <c r="S53" s="36">
        <v>0.75</v>
      </c>
      <c r="T53" s="38">
        <f t="shared" si="73"/>
        <v>0</v>
      </c>
      <c r="U53" s="39">
        <f t="shared" si="8"/>
        <v>0</v>
      </c>
      <c r="V53" s="40">
        <f t="shared" si="9"/>
        <v>0</v>
      </c>
      <c r="W53" s="41">
        <f t="shared" si="74"/>
        <v>0</v>
      </c>
      <c r="X53" s="42">
        <f t="shared" si="75"/>
        <v>0</v>
      </c>
      <c r="Y53" s="43" t="s">
        <v>0</v>
      </c>
      <c r="Z53" s="36">
        <v>1</v>
      </c>
      <c r="AA53" s="44">
        <f t="shared" si="76"/>
        <v>0</v>
      </c>
      <c r="AB53" s="36">
        <v>1</v>
      </c>
      <c r="AC53" s="44">
        <f t="shared" si="77"/>
        <v>0</v>
      </c>
      <c r="AD53" s="36">
        <v>1</v>
      </c>
      <c r="AE53" s="44">
        <f t="shared" si="78"/>
        <v>0</v>
      </c>
      <c r="AF53" s="45"/>
      <c r="AG53" s="46" t="e">
        <f t="shared" si="94"/>
        <v>#DIV/0!</v>
      </c>
      <c r="AH53" s="47" t="e">
        <f t="shared" si="95"/>
        <v>#DIV/0!</v>
      </c>
      <c r="AI53" s="45"/>
      <c r="AJ53" s="46" t="e">
        <f t="shared" si="96"/>
        <v>#DIV/0!</v>
      </c>
      <c r="AK53" s="47" t="e">
        <f t="shared" si="97"/>
        <v>#DIV/0!</v>
      </c>
      <c r="AL53" s="45"/>
      <c r="AM53" s="46" t="e">
        <f t="shared" si="79"/>
        <v>#DIV/0!</v>
      </c>
      <c r="AN53" s="47" t="e">
        <f t="shared" si="80"/>
        <v>#DIV/0!</v>
      </c>
      <c r="AO53" s="45"/>
      <c r="AP53" s="46" t="e">
        <f t="shared" si="81"/>
        <v>#DIV/0!</v>
      </c>
      <c r="AQ53" s="47" t="e">
        <f t="shared" si="82"/>
        <v>#DIV/0!</v>
      </c>
      <c r="AR53" s="45"/>
      <c r="AS53" s="46">
        <f t="shared" si="83"/>
        <v>0</v>
      </c>
      <c r="AT53" s="47">
        <f t="shared" si="84"/>
        <v>0</v>
      </c>
      <c r="AU53" s="45"/>
      <c r="AV53" s="46" t="e">
        <f t="shared" si="98"/>
        <v>#DIV/0!</v>
      </c>
      <c r="AW53" s="47" t="e">
        <f t="shared" si="99"/>
        <v>#DIV/0!</v>
      </c>
      <c r="AX53" s="45"/>
      <c r="AY53" s="46">
        <f t="shared" si="100"/>
        <v>0</v>
      </c>
      <c r="AZ53" s="47">
        <f t="shared" si="101"/>
        <v>0</v>
      </c>
      <c r="BA53" s="48" t="e">
        <f t="shared" si="102"/>
        <v>#DIV/0!</v>
      </c>
    </row>
    <row r="54" spans="1:53" hidden="1">
      <c r="A54" s="30"/>
      <c r="B54" s="31"/>
      <c r="C54" s="31"/>
      <c r="D54" s="31"/>
      <c r="E54" s="32"/>
      <c r="F54" s="33"/>
      <c r="G54" s="74"/>
      <c r="H54" s="70"/>
      <c r="I54" s="77">
        <f>IF(H54=Tablas!$B$5,Tablas!$C$5,VLOOKUP(H54,Tablas!$B$5:$D$40,2,FALSE))</f>
        <v>1</v>
      </c>
      <c r="J54" s="65">
        <f>IF(I54=0,"",VLOOKUP(I54,Tablas!$C$5:$D$40,2,FALSE))</f>
        <v>0</v>
      </c>
      <c r="K54" s="34" t="str">
        <f t="shared" si="30"/>
        <v>0</v>
      </c>
      <c r="L54" s="35">
        <f t="shared" si="67"/>
        <v>0</v>
      </c>
      <c r="M54" s="35">
        <f t="shared" si="68"/>
        <v>0</v>
      </c>
      <c r="N54" s="35">
        <f t="shared" si="69"/>
        <v>0</v>
      </c>
      <c r="O54" s="35">
        <f t="shared" si="70"/>
        <v>0</v>
      </c>
      <c r="P54" s="35">
        <f t="shared" si="71"/>
        <v>0</v>
      </c>
      <c r="Q54" s="36">
        <v>0.75</v>
      </c>
      <c r="R54" s="37">
        <f t="shared" si="72"/>
        <v>0</v>
      </c>
      <c r="S54" s="36">
        <v>0.75</v>
      </c>
      <c r="T54" s="38">
        <f t="shared" si="73"/>
        <v>0</v>
      </c>
      <c r="U54" s="39">
        <f t="shared" si="8"/>
        <v>0</v>
      </c>
      <c r="V54" s="40">
        <f t="shared" si="9"/>
        <v>0</v>
      </c>
      <c r="W54" s="41">
        <f t="shared" si="74"/>
        <v>0</v>
      </c>
      <c r="X54" s="42">
        <f t="shared" si="75"/>
        <v>0</v>
      </c>
      <c r="Y54" s="43" t="s">
        <v>0</v>
      </c>
      <c r="Z54" s="36">
        <v>1</v>
      </c>
      <c r="AA54" s="44">
        <f t="shared" si="76"/>
        <v>0</v>
      </c>
      <c r="AB54" s="36">
        <v>1</v>
      </c>
      <c r="AC54" s="44">
        <f t="shared" si="77"/>
        <v>0</v>
      </c>
      <c r="AD54" s="36">
        <v>1</v>
      </c>
      <c r="AE54" s="44">
        <f t="shared" si="78"/>
        <v>0</v>
      </c>
      <c r="AF54" s="45"/>
      <c r="AG54" s="46" t="e">
        <f t="shared" si="94"/>
        <v>#DIV/0!</v>
      </c>
      <c r="AH54" s="47" t="e">
        <f t="shared" si="95"/>
        <v>#DIV/0!</v>
      </c>
      <c r="AI54" s="45"/>
      <c r="AJ54" s="46" t="e">
        <f t="shared" si="96"/>
        <v>#DIV/0!</v>
      </c>
      <c r="AK54" s="47" t="e">
        <f t="shared" si="97"/>
        <v>#DIV/0!</v>
      </c>
      <c r="AL54" s="45"/>
      <c r="AM54" s="46" t="e">
        <f t="shared" si="79"/>
        <v>#DIV/0!</v>
      </c>
      <c r="AN54" s="47" t="e">
        <f t="shared" si="80"/>
        <v>#DIV/0!</v>
      </c>
      <c r="AO54" s="45"/>
      <c r="AP54" s="46" t="e">
        <f t="shared" si="81"/>
        <v>#DIV/0!</v>
      </c>
      <c r="AQ54" s="47" t="e">
        <f t="shared" si="82"/>
        <v>#DIV/0!</v>
      </c>
      <c r="AR54" s="45"/>
      <c r="AS54" s="46">
        <f t="shared" si="83"/>
        <v>0</v>
      </c>
      <c r="AT54" s="47">
        <f t="shared" si="84"/>
        <v>0</v>
      </c>
      <c r="AU54" s="45"/>
      <c r="AV54" s="46" t="e">
        <f t="shared" si="98"/>
        <v>#DIV/0!</v>
      </c>
      <c r="AW54" s="47" t="e">
        <f t="shared" si="99"/>
        <v>#DIV/0!</v>
      </c>
      <c r="AX54" s="45"/>
      <c r="AY54" s="46">
        <f t="shared" si="100"/>
        <v>0</v>
      </c>
      <c r="AZ54" s="47">
        <f t="shared" si="101"/>
        <v>0</v>
      </c>
      <c r="BA54" s="48" t="e">
        <f t="shared" si="102"/>
        <v>#DIV/0!</v>
      </c>
    </row>
    <row r="55" spans="1:53" hidden="1">
      <c r="A55" s="30"/>
      <c r="B55" s="31"/>
      <c r="C55" s="31"/>
      <c r="D55" s="31"/>
      <c r="E55" s="32"/>
      <c r="F55" s="33"/>
      <c r="G55" s="74"/>
      <c r="H55" s="70"/>
      <c r="I55" s="77">
        <f>IF(H55=Tablas!$B$5,Tablas!$C$5,VLOOKUP(H55,Tablas!$B$5:$D$40,2,FALSE))</f>
        <v>1</v>
      </c>
      <c r="J55" s="65">
        <f>IF(I55=0,"",VLOOKUP(I55,Tablas!$C$5:$D$40,2,FALSE))</f>
        <v>0</v>
      </c>
      <c r="K55" s="34" t="str">
        <f t="shared" si="30"/>
        <v>0</v>
      </c>
      <c r="L55" s="35">
        <f t="shared" si="67"/>
        <v>0</v>
      </c>
      <c r="M55" s="35">
        <f t="shared" si="68"/>
        <v>0</v>
      </c>
      <c r="N55" s="35">
        <f t="shared" si="69"/>
        <v>0</v>
      </c>
      <c r="O55" s="35">
        <f t="shared" si="70"/>
        <v>0</v>
      </c>
      <c r="P55" s="35">
        <f t="shared" si="71"/>
        <v>0</v>
      </c>
      <c r="Q55" s="36">
        <v>0.75</v>
      </c>
      <c r="R55" s="37">
        <f t="shared" si="72"/>
        <v>0</v>
      </c>
      <c r="S55" s="36">
        <v>0.75</v>
      </c>
      <c r="T55" s="38">
        <f t="shared" si="73"/>
        <v>0</v>
      </c>
      <c r="U55" s="39">
        <f t="shared" si="8"/>
        <v>0</v>
      </c>
      <c r="V55" s="40">
        <f t="shared" si="9"/>
        <v>0</v>
      </c>
      <c r="W55" s="41">
        <f t="shared" si="74"/>
        <v>0</v>
      </c>
      <c r="X55" s="42">
        <f t="shared" si="75"/>
        <v>0</v>
      </c>
      <c r="Y55" s="43" t="s">
        <v>0</v>
      </c>
      <c r="Z55" s="36">
        <v>1</v>
      </c>
      <c r="AA55" s="44">
        <f t="shared" si="76"/>
        <v>0</v>
      </c>
      <c r="AB55" s="36">
        <v>1</v>
      </c>
      <c r="AC55" s="44">
        <f t="shared" si="77"/>
        <v>0</v>
      </c>
      <c r="AD55" s="36">
        <v>1</v>
      </c>
      <c r="AE55" s="44">
        <f t="shared" si="78"/>
        <v>0</v>
      </c>
      <c r="AF55" s="45"/>
      <c r="AG55" s="46" t="e">
        <f t="shared" si="94"/>
        <v>#DIV/0!</v>
      </c>
      <c r="AH55" s="47" t="e">
        <f t="shared" si="95"/>
        <v>#DIV/0!</v>
      </c>
      <c r="AI55" s="45"/>
      <c r="AJ55" s="46" t="e">
        <f t="shared" si="96"/>
        <v>#DIV/0!</v>
      </c>
      <c r="AK55" s="47" t="e">
        <f t="shared" si="97"/>
        <v>#DIV/0!</v>
      </c>
      <c r="AL55" s="45"/>
      <c r="AM55" s="46" t="e">
        <f t="shared" si="79"/>
        <v>#DIV/0!</v>
      </c>
      <c r="AN55" s="47" t="e">
        <f t="shared" si="80"/>
        <v>#DIV/0!</v>
      </c>
      <c r="AO55" s="45"/>
      <c r="AP55" s="46" t="e">
        <f t="shared" si="81"/>
        <v>#DIV/0!</v>
      </c>
      <c r="AQ55" s="47" t="e">
        <f t="shared" si="82"/>
        <v>#DIV/0!</v>
      </c>
      <c r="AR55" s="45"/>
      <c r="AS55" s="46">
        <f t="shared" si="83"/>
        <v>0</v>
      </c>
      <c r="AT55" s="47">
        <f t="shared" si="84"/>
        <v>0</v>
      </c>
      <c r="AU55" s="45"/>
      <c r="AV55" s="46" t="e">
        <f t="shared" si="98"/>
        <v>#DIV/0!</v>
      </c>
      <c r="AW55" s="47" t="e">
        <f t="shared" si="99"/>
        <v>#DIV/0!</v>
      </c>
      <c r="AX55" s="45"/>
      <c r="AY55" s="46">
        <f t="shared" si="100"/>
        <v>0</v>
      </c>
      <c r="AZ55" s="47">
        <f t="shared" si="101"/>
        <v>0</v>
      </c>
      <c r="BA55" s="48" t="e">
        <f t="shared" si="102"/>
        <v>#DIV/0!</v>
      </c>
    </row>
    <row r="56" spans="1:53" hidden="1">
      <c r="A56" s="30"/>
      <c r="B56" s="31"/>
      <c r="C56" s="31"/>
      <c r="D56" s="31"/>
      <c r="E56" s="32"/>
      <c r="F56" s="33"/>
      <c r="G56" s="74"/>
      <c r="H56" s="70"/>
      <c r="I56" s="77">
        <f>IF(H56=Tablas!$B$5,Tablas!$C$5,VLOOKUP(H56,Tablas!$B$5:$D$40,2,FALSE))</f>
        <v>1</v>
      </c>
      <c r="J56" s="65">
        <f>IF(I56=0,"",VLOOKUP(I56,Tablas!$C$5:$D$40,2,FALSE))</f>
        <v>0</v>
      </c>
      <c r="K56" s="34" t="str">
        <f t="shared" si="30"/>
        <v>0</v>
      </c>
      <c r="L56" s="35">
        <f t="shared" si="67"/>
        <v>0</v>
      </c>
      <c r="M56" s="35">
        <f t="shared" si="68"/>
        <v>0</v>
      </c>
      <c r="N56" s="35">
        <f t="shared" si="69"/>
        <v>0</v>
      </c>
      <c r="O56" s="35">
        <f t="shared" si="70"/>
        <v>0</v>
      </c>
      <c r="P56" s="35">
        <f t="shared" si="71"/>
        <v>0</v>
      </c>
      <c r="Q56" s="36">
        <v>0.75</v>
      </c>
      <c r="R56" s="37">
        <f t="shared" si="72"/>
        <v>0</v>
      </c>
      <c r="S56" s="36">
        <v>0.75</v>
      </c>
      <c r="T56" s="38">
        <f t="shared" si="73"/>
        <v>0</v>
      </c>
      <c r="U56" s="39">
        <f t="shared" si="8"/>
        <v>0</v>
      </c>
      <c r="V56" s="40">
        <f t="shared" si="9"/>
        <v>0</v>
      </c>
      <c r="W56" s="41">
        <f t="shared" si="74"/>
        <v>0</v>
      </c>
      <c r="X56" s="42">
        <f t="shared" si="75"/>
        <v>0</v>
      </c>
      <c r="Y56" s="43" t="s">
        <v>0</v>
      </c>
      <c r="Z56" s="36">
        <v>1</v>
      </c>
      <c r="AA56" s="44">
        <f t="shared" si="76"/>
        <v>0</v>
      </c>
      <c r="AB56" s="36">
        <v>1</v>
      </c>
      <c r="AC56" s="44">
        <f t="shared" si="77"/>
        <v>0</v>
      </c>
      <c r="AD56" s="36">
        <v>1</v>
      </c>
      <c r="AE56" s="44">
        <f t="shared" si="78"/>
        <v>0</v>
      </c>
      <c r="AF56" s="45"/>
      <c r="AG56" s="46" t="e">
        <f t="shared" si="94"/>
        <v>#DIV/0!</v>
      </c>
      <c r="AH56" s="47" t="e">
        <f t="shared" si="95"/>
        <v>#DIV/0!</v>
      </c>
      <c r="AI56" s="45"/>
      <c r="AJ56" s="46" t="e">
        <f t="shared" si="96"/>
        <v>#DIV/0!</v>
      </c>
      <c r="AK56" s="47" t="e">
        <f t="shared" si="97"/>
        <v>#DIV/0!</v>
      </c>
      <c r="AL56" s="45"/>
      <c r="AM56" s="46" t="e">
        <f t="shared" si="79"/>
        <v>#DIV/0!</v>
      </c>
      <c r="AN56" s="47" t="e">
        <f t="shared" si="80"/>
        <v>#DIV/0!</v>
      </c>
      <c r="AO56" s="45"/>
      <c r="AP56" s="46" t="e">
        <f t="shared" si="81"/>
        <v>#DIV/0!</v>
      </c>
      <c r="AQ56" s="47" t="e">
        <f t="shared" si="82"/>
        <v>#DIV/0!</v>
      </c>
      <c r="AR56" s="45"/>
      <c r="AS56" s="46">
        <f t="shared" si="83"/>
        <v>0</v>
      </c>
      <c r="AT56" s="47">
        <f t="shared" si="84"/>
        <v>0</v>
      </c>
      <c r="AU56" s="45"/>
      <c r="AV56" s="46" t="e">
        <f t="shared" si="98"/>
        <v>#DIV/0!</v>
      </c>
      <c r="AW56" s="47" t="e">
        <f t="shared" si="99"/>
        <v>#DIV/0!</v>
      </c>
      <c r="AX56" s="45"/>
      <c r="AY56" s="46">
        <f t="shared" si="100"/>
        <v>0</v>
      </c>
      <c r="AZ56" s="47">
        <f t="shared" si="101"/>
        <v>0</v>
      </c>
      <c r="BA56" s="48" t="e">
        <f t="shared" si="102"/>
        <v>#DIV/0!</v>
      </c>
    </row>
    <row r="57" spans="1:53" hidden="1">
      <c r="A57" s="30"/>
      <c r="B57" s="31"/>
      <c r="C57" s="31"/>
      <c r="D57" s="31"/>
      <c r="E57" s="32"/>
      <c r="F57" s="33"/>
      <c r="G57" s="74"/>
      <c r="H57" s="70"/>
      <c r="I57" s="77">
        <f>IF(H57=Tablas!$B$5,Tablas!$C$5,VLOOKUP(H57,Tablas!$B$5:$D$40,2,FALSE))</f>
        <v>1</v>
      </c>
      <c r="J57" s="65">
        <f>IF(I57=0,"",VLOOKUP(I57,Tablas!$C$5:$D$40,2,FALSE))</f>
        <v>0</v>
      </c>
      <c r="K57" s="34" t="str">
        <f t="shared" si="30"/>
        <v>0</v>
      </c>
      <c r="L57" s="35">
        <f t="shared" si="67"/>
        <v>0</v>
      </c>
      <c r="M57" s="35">
        <f t="shared" si="68"/>
        <v>0</v>
      </c>
      <c r="N57" s="35">
        <f t="shared" si="69"/>
        <v>0</v>
      </c>
      <c r="O57" s="35">
        <f t="shared" si="70"/>
        <v>0</v>
      </c>
      <c r="P57" s="35">
        <f t="shared" si="71"/>
        <v>0</v>
      </c>
      <c r="Q57" s="36">
        <v>0.75</v>
      </c>
      <c r="R57" s="37">
        <f t="shared" si="72"/>
        <v>0</v>
      </c>
      <c r="S57" s="36">
        <v>0.75</v>
      </c>
      <c r="T57" s="38">
        <f t="shared" si="73"/>
        <v>0</v>
      </c>
      <c r="U57" s="39">
        <f t="shared" si="8"/>
        <v>0</v>
      </c>
      <c r="V57" s="40">
        <f t="shared" si="9"/>
        <v>0</v>
      </c>
      <c r="W57" s="41">
        <f t="shared" si="74"/>
        <v>0</v>
      </c>
      <c r="X57" s="42">
        <f t="shared" si="75"/>
        <v>0</v>
      </c>
      <c r="Y57" s="43" t="s">
        <v>0</v>
      </c>
      <c r="Z57" s="36">
        <v>1</v>
      </c>
      <c r="AA57" s="44">
        <f t="shared" si="76"/>
        <v>0</v>
      </c>
      <c r="AB57" s="36">
        <v>1</v>
      </c>
      <c r="AC57" s="44">
        <f t="shared" si="77"/>
        <v>0</v>
      </c>
      <c r="AD57" s="36">
        <v>1</v>
      </c>
      <c r="AE57" s="44">
        <f t="shared" si="78"/>
        <v>0</v>
      </c>
      <c r="AF57" s="45"/>
      <c r="AG57" s="46" t="e">
        <f t="shared" si="94"/>
        <v>#DIV/0!</v>
      </c>
      <c r="AH57" s="47" t="e">
        <f t="shared" si="95"/>
        <v>#DIV/0!</v>
      </c>
      <c r="AI57" s="45"/>
      <c r="AJ57" s="46" t="e">
        <f t="shared" si="96"/>
        <v>#DIV/0!</v>
      </c>
      <c r="AK57" s="47" t="e">
        <f t="shared" si="97"/>
        <v>#DIV/0!</v>
      </c>
      <c r="AL57" s="45"/>
      <c r="AM57" s="46" t="e">
        <f t="shared" si="79"/>
        <v>#DIV/0!</v>
      </c>
      <c r="AN57" s="47" t="e">
        <f t="shared" si="80"/>
        <v>#DIV/0!</v>
      </c>
      <c r="AO57" s="45"/>
      <c r="AP57" s="46" t="e">
        <f t="shared" si="81"/>
        <v>#DIV/0!</v>
      </c>
      <c r="AQ57" s="47" t="e">
        <f t="shared" si="82"/>
        <v>#DIV/0!</v>
      </c>
      <c r="AR57" s="45"/>
      <c r="AS57" s="46">
        <f t="shared" si="83"/>
        <v>0</v>
      </c>
      <c r="AT57" s="47">
        <f t="shared" si="84"/>
        <v>0</v>
      </c>
      <c r="AU57" s="45"/>
      <c r="AV57" s="46" t="e">
        <f t="shared" si="98"/>
        <v>#DIV/0!</v>
      </c>
      <c r="AW57" s="47" t="e">
        <f t="shared" si="99"/>
        <v>#DIV/0!</v>
      </c>
      <c r="AX57" s="45"/>
      <c r="AY57" s="46">
        <f t="shared" si="100"/>
        <v>0</v>
      </c>
      <c r="AZ57" s="47">
        <f t="shared" si="101"/>
        <v>0</v>
      </c>
      <c r="BA57" s="48" t="e">
        <f t="shared" si="102"/>
        <v>#DIV/0!</v>
      </c>
    </row>
    <row r="58" spans="1:53" hidden="1">
      <c r="A58" s="30"/>
      <c r="B58" s="31"/>
      <c r="C58" s="31"/>
      <c r="D58" s="31"/>
      <c r="E58" s="32"/>
      <c r="F58" s="33"/>
      <c r="G58" s="74"/>
      <c r="H58" s="70"/>
      <c r="I58" s="77">
        <f>IF(H58=Tablas!$B$5,Tablas!$C$5,VLOOKUP(H58,Tablas!$B$5:$D$40,2,FALSE))</f>
        <v>1</v>
      </c>
      <c r="J58" s="65">
        <f>IF(I58=0,"",VLOOKUP(I58,Tablas!$C$5:$D$40,2,FALSE))</f>
        <v>0</v>
      </c>
      <c r="K58" s="34" t="str">
        <f t="shared" si="30"/>
        <v>0</v>
      </c>
      <c r="L58" s="35">
        <f t="shared" si="67"/>
        <v>0</v>
      </c>
      <c r="M58" s="35">
        <f t="shared" si="68"/>
        <v>0</v>
      </c>
      <c r="N58" s="35">
        <f t="shared" si="69"/>
        <v>0</v>
      </c>
      <c r="O58" s="35">
        <f t="shared" si="70"/>
        <v>0</v>
      </c>
      <c r="P58" s="35">
        <f t="shared" si="71"/>
        <v>0</v>
      </c>
      <c r="Q58" s="36">
        <v>0.75</v>
      </c>
      <c r="R58" s="37">
        <f t="shared" si="72"/>
        <v>0</v>
      </c>
      <c r="S58" s="36">
        <v>0.75</v>
      </c>
      <c r="T58" s="38">
        <f t="shared" si="73"/>
        <v>0</v>
      </c>
      <c r="U58" s="39">
        <f t="shared" si="8"/>
        <v>0</v>
      </c>
      <c r="V58" s="40">
        <f t="shared" si="9"/>
        <v>0</v>
      </c>
      <c r="W58" s="41">
        <f t="shared" si="74"/>
        <v>0</v>
      </c>
      <c r="X58" s="42">
        <f t="shared" si="75"/>
        <v>0</v>
      </c>
      <c r="Y58" s="43" t="s">
        <v>0</v>
      </c>
      <c r="Z58" s="36">
        <v>1</v>
      </c>
      <c r="AA58" s="44">
        <f t="shared" si="76"/>
        <v>0</v>
      </c>
      <c r="AB58" s="36">
        <v>1</v>
      </c>
      <c r="AC58" s="44">
        <f t="shared" si="77"/>
        <v>0</v>
      </c>
      <c r="AD58" s="36">
        <v>1</v>
      </c>
      <c r="AE58" s="44">
        <f t="shared" si="78"/>
        <v>0</v>
      </c>
      <c r="AF58" s="45"/>
      <c r="AG58" s="46" t="e">
        <f t="shared" ref="AG58:AG63" si="103">+AF58/AH$4</f>
        <v>#DIV/0!</v>
      </c>
      <c r="AH58" s="47" t="e">
        <f t="shared" ref="AH58:AH63" si="104">AG58*AG$4/12</f>
        <v>#DIV/0!</v>
      </c>
      <c r="AI58" s="45"/>
      <c r="AJ58" s="46" t="e">
        <f t="shared" ref="AJ58:AJ63" si="105">+AI58/AK$4</f>
        <v>#DIV/0!</v>
      </c>
      <c r="AK58" s="47" t="e">
        <f t="shared" ref="AK58:AK63" si="106">AJ58*AJ$4/12</f>
        <v>#DIV/0!</v>
      </c>
      <c r="AL58" s="45"/>
      <c r="AM58" s="46" t="e">
        <f t="shared" si="79"/>
        <v>#DIV/0!</v>
      </c>
      <c r="AN58" s="47" t="e">
        <f t="shared" si="80"/>
        <v>#DIV/0!</v>
      </c>
      <c r="AO58" s="45"/>
      <c r="AP58" s="46" t="e">
        <f t="shared" si="81"/>
        <v>#DIV/0!</v>
      </c>
      <c r="AQ58" s="47" t="e">
        <f t="shared" si="82"/>
        <v>#DIV/0!</v>
      </c>
      <c r="AR58" s="45"/>
      <c r="AS58" s="46">
        <f t="shared" si="83"/>
        <v>0</v>
      </c>
      <c r="AT58" s="47">
        <f t="shared" si="84"/>
        <v>0</v>
      </c>
      <c r="AU58" s="45"/>
      <c r="AV58" s="46" t="e">
        <f t="shared" ref="AV58:AV63" si="107">+AU58/AW$4</f>
        <v>#DIV/0!</v>
      </c>
      <c r="AW58" s="47" t="e">
        <f t="shared" ref="AW58:AW63" si="108">AV58*AV$4/12</f>
        <v>#DIV/0!</v>
      </c>
      <c r="AX58" s="45"/>
      <c r="AY58" s="46">
        <f t="shared" ref="AY58:AY63" si="109">+AX58/AZ$4</f>
        <v>0</v>
      </c>
      <c r="AZ58" s="47">
        <f t="shared" ref="AZ58:AZ63" si="110">AY58*AY$4/12</f>
        <v>0</v>
      </c>
      <c r="BA58" s="48" t="e">
        <f t="shared" ref="BA58:BA63" si="111">+AH58+AK58+AN58+AQ58+AT58+AW58+AZ58</f>
        <v>#DIV/0!</v>
      </c>
    </row>
    <row r="59" spans="1:53" hidden="1">
      <c r="A59" s="30"/>
      <c r="B59" s="31"/>
      <c r="C59" s="31"/>
      <c r="D59" s="31"/>
      <c r="E59" s="32"/>
      <c r="F59" s="33"/>
      <c r="G59" s="74"/>
      <c r="H59" s="70"/>
      <c r="I59" s="77">
        <f>IF(H59=Tablas!$B$5,Tablas!$C$5,VLOOKUP(H59,Tablas!$B$5:$D$40,2,FALSE))</f>
        <v>1</v>
      </c>
      <c r="J59" s="65">
        <f>IF(I59=0,"",VLOOKUP(I59,Tablas!$C$5:$D$40,2,FALSE))</f>
        <v>0</v>
      </c>
      <c r="K59" s="34" t="str">
        <f t="shared" si="30"/>
        <v>0</v>
      </c>
      <c r="L59" s="35">
        <f t="shared" si="67"/>
        <v>0</v>
      </c>
      <c r="M59" s="35">
        <f t="shared" si="68"/>
        <v>0</v>
      </c>
      <c r="N59" s="35">
        <f t="shared" si="69"/>
        <v>0</v>
      </c>
      <c r="O59" s="35">
        <f t="shared" si="70"/>
        <v>0</v>
      </c>
      <c r="P59" s="35">
        <f t="shared" si="71"/>
        <v>0</v>
      </c>
      <c r="Q59" s="36">
        <v>0.75</v>
      </c>
      <c r="R59" s="37">
        <f t="shared" si="72"/>
        <v>0</v>
      </c>
      <c r="S59" s="36">
        <v>0.75</v>
      </c>
      <c r="T59" s="38">
        <f t="shared" si="73"/>
        <v>0</v>
      </c>
      <c r="U59" s="39">
        <f t="shared" si="8"/>
        <v>0</v>
      </c>
      <c r="V59" s="40">
        <f t="shared" si="9"/>
        <v>0</v>
      </c>
      <c r="W59" s="41">
        <f t="shared" si="74"/>
        <v>0</v>
      </c>
      <c r="X59" s="42">
        <f t="shared" si="75"/>
        <v>0</v>
      </c>
      <c r="Y59" s="43" t="s">
        <v>0</v>
      </c>
      <c r="Z59" s="36">
        <v>1</v>
      </c>
      <c r="AA59" s="44">
        <f t="shared" si="76"/>
        <v>0</v>
      </c>
      <c r="AB59" s="36">
        <v>1</v>
      </c>
      <c r="AC59" s="44">
        <f t="shared" si="77"/>
        <v>0</v>
      </c>
      <c r="AD59" s="36">
        <v>1</v>
      </c>
      <c r="AE59" s="44">
        <f t="shared" si="78"/>
        <v>0</v>
      </c>
      <c r="AF59" s="45"/>
      <c r="AG59" s="46" t="e">
        <f t="shared" si="103"/>
        <v>#DIV/0!</v>
      </c>
      <c r="AH59" s="47" t="e">
        <f t="shared" si="104"/>
        <v>#DIV/0!</v>
      </c>
      <c r="AI59" s="45"/>
      <c r="AJ59" s="46" t="e">
        <f t="shared" si="105"/>
        <v>#DIV/0!</v>
      </c>
      <c r="AK59" s="47" t="e">
        <f t="shared" si="106"/>
        <v>#DIV/0!</v>
      </c>
      <c r="AL59" s="45"/>
      <c r="AM59" s="46" t="e">
        <f t="shared" si="79"/>
        <v>#DIV/0!</v>
      </c>
      <c r="AN59" s="47" t="e">
        <f t="shared" si="80"/>
        <v>#DIV/0!</v>
      </c>
      <c r="AO59" s="45"/>
      <c r="AP59" s="46" t="e">
        <f t="shared" si="81"/>
        <v>#DIV/0!</v>
      </c>
      <c r="AQ59" s="47" t="e">
        <f t="shared" si="82"/>
        <v>#DIV/0!</v>
      </c>
      <c r="AR59" s="45"/>
      <c r="AS59" s="46">
        <f t="shared" si="83"/>
        <v>0</v>
      </c>
      <c r="AT59" s="47">
        <f t="shared" si="84"/>
        <v>0</v>
      </c>
      <c r="AU59" s="45"/>
      <c r="AV59" s="46" t="e">
        <f t="shared" si="107"/>
        <v>#DIV/0!</v>
      </c>
      <c r="AW59" s="47" t="e">
        <f t="shared" si="108"/>
        <v>#DIV/0!</v>
      </c>
      <c r="AX59" s="45"/>
      <c r="AY59" s="46">
        <f t="shared" si="109"/>
        <v>0</v>
      </c>
      <c r="AZ59" s="47">
        <f t="shared" si="110"/>
        <v>0</v>
      </c>
      <c r="BA59" s="48" t="e">
        <f t="shared" si="111"/>
        <v>#DIV/0!</v>
      </c>
    </row>
    <row r="60" spans="1:53" hidden="1">
      <c r="A60" s="30"/>
      <c r="B60" s="31"/>
      <c r="C60" s="31"/>
      <c r="D60" s="31"/>
      <c r="E60" s="32"/>
      <c r="F60" s="33"/>
      <c r="G60" s="74"/>
      <c r="H60" s="70"/>
      <c r="I60" s="77">
        <f>IF(H60=Tablas!$B$5,Tablas!$C$5,VLOOKUP(H60,Tablas!$B$5:$D$40,2,FALSE))</f>
        <v>1</v>
      </c>
      <c r="J60" s="65">
        <f>IF(I60=0,"",VLOOKUP(I60,Tablas!$C$5:$D$40,2,FALSE))</f>
        <v>0</v>
      </c>
      <c r="K60" s="34" t="str">
        <f t="shared" si="30"/>
        <v>0</v>
      </c>
      <c r="L60" s="35">
        <f t="shared" si="67"/>
        <v>0</v>
      </c>
      <c r="M60" s="35">
        <f t="shared" si="68"/>
        <v>0</v>
      </c>
      <c r="N60" s="35">
        <f t="shared" si="69"/>
        <v>0</v>
      </c>
      <c r="O60" s="35">
        <f t="shared" si="70"/>
        <v>0</v>
      </c>
      <c r="P60" s="35">
        <f t="shared" si="71"/>
        <v>0</v>
      </c>
      <c r="Q60" s="36">
        <v>0.75</v>
      </c>
      <c r="R60" s="37">
        <f t="shared" si="72"/>
        <v>0</v>
      </c>
      <c r="S60" s="36">
        <v>0.75</v>
      </c>
      <c r="T60" s="38">
        <f t="shared" si="73"/>
        <v>0</v>
      </c>
      <c r="U60" s="39">
        <f t="shared" si="8"/>
        <v>0</v>
      </c>
      <c r="V60" s="40">
        <f t="shared" si="9"/>
        <v>0</v>
      </c>
      <c r="W60" s="41">
        <f t="shared" si="74"/>
        <v>0</v>
      </c>
      <c r="X60" s="42">
        <f t="shared" si="75"/>
        <v>0</v>
      </c>
      <c r="Y60" s="43" t="s">
        <v>0</v>
      </c>
      <c r="Z60" s="36">
        <v>1</v>
      </c>
      <c r="AA60" s="44">
        <f t="shared" si="76"/>
        <v>0</v>
      </c>
      <c r="AB60" s="36">
        <v>1</v>
      </c>
      <c r="AC60" s="44">
        <f t="shared" si="77"/>
        <v>0</v>
      </c>
      <c r="AD60" s="36">
        <v>1</v>
      </c>
      <c r="AE60" s="44">
        <f t="shared" si="78"/>
        <v>0</v>
      </c>
      <c r="AF60" s="45"/>
      <c r="AG60" s="46" t="e">
        <f t="shared" si="103"/>
        <v>#DIV/0!</v>
      </c>
      <c r="AH60" s="47" t="e">
        <f t="shared" si="104"/>
        <v>#DIV/0!</v>
      </c>
      <c r="AI60" s="45"/>
      <c r="AJ60" s="46" t="e">
        <f t="shared" si="105"/>
        <v>#DIV/0!</v>
      </c>
      <c r="AK60" s="47" t="e">
        <f t="shared" si="106"/>
        <v>#DIV/0!</v>
      </c>
      <c r="AL60" s="45"/>
      <c r="AM60" s="46" t="e">
        <f t="shared" si="79"/>
        <v>#DIV/0!</v>
      </c>
      <c r="AN60" s="47" t="e">
        <f t="shared" si="80"/>
        <v>#DIV/0!</v>
      </c>
      <c r="AO60" s="45"/>
      <c r="AP60" s="46" t="e">
        <f t="shared" si="81"/>
        <v>#DIV/0!</v>
      </c>
      <c r="AQ60" s="47" t="e">
        <f t="shared" si="82"/>
        <v>#DIV/0!</v>
      </c>
      <c r="AR60" s="45"/>
      <c r="AS60" s="46">
        <f t="shared" si="83"/>
        <v>0</v>
      </c>
      <c r="AT60" s="47">
        <f t="shared" si="84"/>
        <v>0</v>
      </c>
      <c r="AU60" s="45"/>
      <c r="AV60" s="46" t="e">
        <f t="shared" si="107"/>
        <v>#DIV/0!</v>
      </c>
      <c r="AW60" s="47" t="e">
        <f t="shared" si="108"/>
        <v>#DIV/0!</v>
      </c>
      <c r="AX60" s="45"/>
      <c r="AY60" s="46">
        <f t="shared" si="109"/>
        <v>0</v>
      </c>
      <c r="AZ60" s="47">
        <f t="shared" si="110"/>
        <v>0</v>
      </c>
      <c r="BA60" s="48" t="e">
        <f t="shared" si="111"/>
        <v>#DIV/0!</v>
      </c>
    </row>
    <row r="61" spans="1:53" hidden="1">
      <c r="A61" s="30"/>
      <c r="B61" s="31"/>
      <c r="C61" s="31"/>
      <c r="D61" s="31"/>
      <c r="E61" s="32"/>
      <c r="F61" s="33"/>
      <c r="G61" s="74"/>
      <c r="H61" s="70"/>
      <c r="I61" s="77">
        <f>IF(H61=Tablas!$B$5,Tablas!$C$5,VLOOKUP(H61,Tablas!$B$5:$D$40,2,FALSE))</f>
        <v>1</v>
      </c>
      <c r="J61" s="65">
        <f>IF(I61=0,"",VLOOKUP(I61,Tablas!$C$5:$D$40,2,FALSE))</f>
        <v>0</v>
      </c>
      <c r="K61" s="34" t="str">
        <f t="shared" si="30"/>
        <v>0</v>
      </c>
      <c r="L61" s="35">
        <f t="shared" si="67"/>
        <v>0</v>
      </c>
      <c r="M61" s="35">
        <f t="shared" si="68"/>
        <v>0</v>
      </c>
      <c r="N61" s="35">
        <f t="shared" si="69"/>
        <v>0</v>
      </c>
      <c r="O61" s="35">
        <f t="shared" si="70"/>
        <v>0</v>
      </c>
      <c r="P61" s="35">
        <f t="shared" si="71"/>
        <v>0</v>
      </c>
      <c r="Q61" s="36">
        <v>0.75</v>
      </c>
      <c r="R61" s="37">
        <f t="shared" si="72"/>
        <v>0</v>
      </c>
      <c r="S61" s="36">
        <v>0.75</v>
      </c>
      <c r="T61" s="38">
        <f t="shared" si="73"/>
        <v>0</v>
      </c>
      <c r="U61" s="39">
        <f t="shared" si="8"/>
        <v>0</v>
      </c>
      <c r="V61" s="40">
        <f t="shared" si="9"/>
        <v>0</v>
      </c>
      <c r="W61" s="41">
        <f t="shared" si="74"/>
        <v>0</v>
      </c>
      <c r="X61" s="42">
        <f t="shared" si="75"/>
        <v>0</v>
      </c>
      <c r="Y61" s="43" t="s">
        <v>0</v>
      </c>
      <c r="Z61" s="36">
        <v>1</v>
      </c>
      <c r="AA61" s="44">
        <f t="shared" si="76"/>
        <v>0</v>
      </c>
      <c r="AB61" s="36">
        <v>1</v>
      </c>
      <c r="AC61" s="44">
        <f t="shared" si="77"/>
        <v>0</v>
      </c>
      <c r="AD61" s="36">
        <v>1</v>
      </c>
      <c r="AE61" s="44">
        <f t="shared" si="78"/>
        <v>0</v>
      </c>
      <c r="AF61" s="45"/>
      <c r="AG61" s="46" t="e">
        <f t="shared" si="103"/>
        <v>#DIV/0!</v>
      </c>
      <c r="AH61" s="47" t="e">
        <f t="shared" si="104"/>
        <v>#DIV/0!</v>
      </c>
      <c r="AI61" s="45"/>
      <c r="AJ61" s="46" t="e">
        <f t="shared" si="105"/>
        <v>#DIV/0!</v>
      </c>
      <c r="AK61" s="47" t="e">
        <f t="shared" si="106"/>
        <v>#DIV/0!</v>
      </c>
      <c r="AL61" s="45"/>
      <c r="AM61" s="46" t="e">
        <f t="shared" si="79"/>
        <v>#DIV/0!</v>
      </c>
      <c r="AN61" s="47" t="e">
        <f t="shared" si="80"/>
        <v>#DIV/0!</v>
      </c>
      <c r="AO61" s="45"/>
      <c r="AP61" s="46" t="e">
        <f t="shared" si="81"/>
        <v>#DIV/0!</v>
      </c>
      <c r="AQ61" s="47" t="e">
        <f t="shared" si="82"/>
        <v>#DIV/0!</v>
      </c>
      <c r="AR61" s="45"/>
      <c r="AS61" s="46">
        <f t="shared" si="83"/>
        <v>0</v>
      </c>
      <c r="AT61" s="47">
        <f t="shared" si="84"/>
        <v>0</v>
      </c>
      <c r="AU61" s="45"/>
      <c r="AV61" s="46" t="e">
        <f t="shared" si="107"/>
        <v>#DIV/0!</v>
      </c>
      <c r="AW61" s="47" t="e">
        <f t="shared" si="108"/>
        <v>#DIV/0!</v>
      </c>
      <c r="AX61" s="45"/>
      <c r="AY61" s="46">
        <f t="shared" si="109"/>
        <v>0</v>
      </c>
      <c r="AZ61" s="47">
        <f t="shared" si="110"/>
        <v>0</v>
      </c>
      <c r="BA61" s="48" t="e">
        <f t="shared" si="111"/>
        <v>#DIV/0!</v>
      </c>
    </row>
    <row r="62" spans="1:53" hidden="1">
      <c r="A62" s="30"/>
      <c r="B62" s="31"/>
      <c r="C62" s="31"/>
      <c r="D62" s="31"/>
      <c r="E62" s="32"/>
      <c r="F62" s="33"/>
      <c r="G62" s="74"/>
      <c r="H62" s="70"/>
      <c r="I62" s="77">
        <f>IF(H62=Tablas!$B$5,Tablas!$C$5,VLOOKUP(H62,Tablas!$B$5:$D$40,2,FALSE))</f>
        <v>1</v>
      </c>
      <c r="J62" s="65">
        <f>IF(I62=0,"",VLOOKUP(I62,Tablas!$C$5:$D$40,2,FALSE))</f>
        <v>0</v>
      </c>
      <c r="K62" s="34" t="str">
        <f t="shared" si="30"/>
        <v>0</v>
      </c>
      <c r="L62" s="35">
        <f t="shared" si="67"/>
        <v>0</v>
      </c>
      <c r="M62" s="35">
        <f t="shared" si="68"/>
        <v>0</v>
      </c>
      <c r="N62" s="35">
        <f t="shared" si="69"/>
        <v>0</v>
      </c>
      <c r="O62" s="35">
        <f t="shared" si="70"/>
        <v>0</v>
      </c>
      <c r="P62" s="35">
        <f t="shared" si="71"/>
        <v>0</v>
      </c>
      <c r="Q62" s="36">
        <v>0.75</v>
      </c>
      <c r="R62" s="37">
        <f t="shared" si="72"/>
        <v>0</v>
      </c>
      <c r="S62" s="36">
        <v>0.75</v>
      </c>
      <c r="T62" s="38">
        <f t="shared" si="73"/>
        <v>0</v>
      </c>
      <c r="U62" s="39">
        <f t="shared" si="8"/>
        <v>0</v>
      </c>
      <c r="V62" s="40">
        <f t="shared" si="9"/>
        <v>0</v>
      </c>
      <c r="W62" s="41">
        <f t="shared" si="74"/>
        <v>0</v>
      </c>
      <c r="X62" s="42">
        <f t="shared" si="75"/>
        <v>0</v>
      </c>
      <c r="Y62" s="43" t="s">
        <v>0</v>
      </c>
      <c r="Z62" s="36">
        <v>1</v>
      </c>
      <c r="AA62" s="44">
        <f t="shared" si="76"/>
        <v>0</v>
      </c>
      <c r="AB62" s="36">
        <v>1</v>
      </c>
      <c r="AC62" s="44">
        <f t="shared" si="77"/>
        <v>0</v>
      </c>
      <c r="AD62" s="36">
        <v>1</v>
      </c>
      <c r="AE62" s="44">
        <f t="shared" si="78"/>
        <v>0</v>
      </c>
      <c r="AF62" s="45"/>
      <c r="AG62" s="46" t="e">
        <f t="shared" si="103"/>
        <v>#DIV/0!</v>
      </c>
      <c r="AH62" s="47" t="e">
        <f t="shared" si="104"/>
        <v>#DIV/0!</v>
      </c>
      <c r="AI62" s="45"/>
      <c r="AJ62" s="46" t="e">
        <f t="shared" si="105"/>
        <v>#DIV/0!</v>
      </c>
      <c r="AK62" s="47" t="e">
        <f t="shared" si="106"/>
        <v>#DIV/0!</v>
      </c>
      <c r="AL62" s="45"/>
      <c r="AM62" s="46" t="e">
        <f t="shared" si="79"/>
        <v>#DIV/0!</v>
      </c>
      <c r="AN62" s="47" t="e">
        <f t="shared" si="80"/>
        <v>#DIV/0!</v>
      </c>
      <c r="AO62" s="45"/>
      <c r="AP62" s="46" t="e">
        <f t="shared" si="81"/>
        <v>#DIV/0!</v>
      </c>
      <c r="AQ62" s="47" t="e">
        <f t="shared" si="82"/>
        <v>#DIV/0!</v>
      </c>
      <c r="AR62" s="45"/>
      <c r="AS62" s="46">
        <f t="shared" si="83"/>
        <v>0</v>
      </c>
      <c r="AT62" s="47">
        <f t="shared" si="84"/>
        <v>0</v>
      </c>
      <c r="AU62" s="45"/>
      <c r="AV62" s="46" t="e">
        <f t="shared" si="107"/>
        <v>#DIV/0!</v>
      </c>
      <c r="AW62" s="47" t="e">
        <f t="shared" si="108"/>
        <v>#DIV/0!</v>
      </c>
      <c r="AX62" s="45"/>
      <c r="AY62" s="46">
        <f t="shared" si="109"/>
        <v>0</v>
      </c>
      <c r="AZ62" s="47">
        <f t="shared" si="110"/>
        <v>0</v>
      </c>
      <c r="BA62" s="48" t="e">
        <f t="shared" si="111"/>
        <v>#DIV/0!</v>
      </c>
    </row>
    <row r="63" spans="1:53" hidden="1">
      <c r="A63" s="30"/>
      <c r="B63" s="31"/>
      <c r="C63" s="31"/>
      <c r="D63" s="31"/>
      <c r="E63" s="32"/>
      <c r="F63" s="33"/>
      <c r="G63" s="74"/>
      <c r="H63" s="70"/>
      <c r="I63" s="77">
        <f>IF(H63=Tablas!$B$5,Tablas!$C$5,VLOOKUP(H63,Tablas!$B$5:$D$40,2,FALSE))</f>
        <v>1</v>
      </c>
      <c r="J63" s="65">
        <f>IF(I63=0,"",VLOOKUP(I63,Tablas!$C$5:$D$40,2,FALSE))</f>
        <v>0</v>
      </c>
      <c r="K63" s="34" t="str">
        <f t="shared" si="30"/>
        <v>0</v>
      </c>
      <c r="L63" s="35">
        <f t="shared" si="67"/>
        <v>0</v>
      </c>
      <c r="M63" s="35">
        <f t="shared" si="68"/>
        <v>0</v>
      </c>
      <c r="N63" s="35">
        <f t="shared" si="69"/>
        <v>0</v>
      </c>
      <c r="O63" s="35">
        <f t="shared" si="70"/>
        <v>0</v>
      </c>
      <c r="P63" s="35">
        <f t="shared" si="71"/>
        <v>0</v>
      </c>
      <c r="Q63" s="36">
        <v>0.75</v>
      </c>
      <c r="R63" s="37">
        <f t="shared" si="72"/>
        <v>0</v>
      </c>
      <c r="S63" s="36">
        <v>0.75</v>
      </c>
      <c r="T63" s="38">
        <f t="shared" si="73"/>
        <v>0</v>
      </c>
      <c r="U63" s="39">
        <f t="shared" si="8"/>
        <v>0</v>
      </c>
      <c r="V63" s="40">
        <f t="shared" si="9"/>
        <v>0</v>
      </c>
      <c r="W63" s="41">
        <f t="shared" si="74"/>
        <v>0</v>
      </c>
      <c r="X63" s="42">
        <f t="shared" si="75"/>
        <v>0</v>
      </c>
      <c r="Y63" s="43" t="s">
        <v>0</v>
      </c>
      <c r="Z63" s="36">
        <v>1</v>
      </c>
      <c r="AA63" s="44">
        <f t="shared" si="76"/>
        <v>0</v>
      </c>
      <c r="AB63" s="36">
        <v>1</v>
      </c>
      <c r="AC63" s="44">
        <f t="shared" si="77"/>
        <v>0</v>
      </c>
      <c r="AD63" s="36">
        <v>1</v>
      </c>
      <c r="AE63" s="44">
        <f t="shared" si="78"/>
        <v>0</v>
      </c>
      <c r="AF63" s="45"/>
      <c r="AG63" s="46" t="e">
        <f t="shared" si="103"/>
        <v>#DIV/0!</v>
      </c>
      <c r="AH63" s="47" t="e">
        <f t="shared" si="104"/>
        <v>#DIV/0!</v>
      </c>
      <c r="AI63" s="45"/>
      <c r="AJ63" s="46" t="e">
        <f t="shared" si="105"/>
        <v>#DIV/0!</v>
      </c>
      <c r="AK63" s="47" t="e">
        <f t="shared" si="106"/>
        <v>#DIV/0!</v>
      </c>
      <c r="AL63" s="45"/>
      <c r="AM63" s="46" t="e">
        <f t="shared" si="79"/>
        <v>#DIV/0!</v>
      </c>
      <c r="AN63" s="47" t="e">
        <f t="shared" si="80"/>
        <v>#DIV/0!</v>
      </c>
      <c r="AO63" s="45"/>
      <c r="AP63" s="46" t="e">
        <f t="shared" si="81"/>
        <v>#DIV/0!</v>
      </c>
      <c r="AQ63" s="47" t="e">
        <f t="shared" si="82"/>
        <v>#DIV/0!</v>
      </c>
      <c r="AR63" s="45"/>
      <c r="AS63" s="46">
        <f t="shared" si="83"/>
        <v>0</v>
      </c>
      <c r="AT63" s="47">
        <f t="shared" si="84"/>
        <v>0</v>
      </c>
      <c r="AU63" s="45"/>
      <c r="AV63" s="46" t="e">
        <f t="shared" si="107"/>
        <v>#DIV/0!</v>
      </c>
      <c r="AW63" s="47" t="e">
        <f t="shared" si="108"/>
        <v>#DIV/0!</v>
      </c>
      <c r="AX63" s="45"/>
      <c r="AY63" s="46">
        <f t="shared" si="109"/>
        <v>0</v>
      </c>
      <c r="AZ63" s="47">
        <f t="shared" si="110"/>
        <v>0</v>
      </c>
      <c r="BA63" s="48" t="e">
        <f t="shared" si="111"/>
        <v>#DIV/0!</v>
      </c>
    </row>
    <row r="64" spans="1:53" hidden="1">
      <c r="A64" s="30"/>
      <c r="B64" s="31"/>
      <c r="C64" s="31"/>
      <c r="D64" s="31"/>
      <c r="E64" s="32"/>
      <c r="F64" s="33"/>
      <c r="G64" s="74"/>
      <c r="H64" s="70"/>
      <c r="I64" s="77">
        <f>IF(H64=Tablas!$B$5,Tablas!$C$5,VLOOKUP(H64,Tablas!$B$5:$D$40,2,FALSE))</f>
        <v>1</v>
      </c>
      <c r="J64" s="65">
        <f>IF(I64=0,"",VLOOKUP(I64,Tablas!$C$5:$D$40,2,FALSE))</f>
        <v>0</v>
      </c>
      <c r="K64" s="34" t="str">
        <f t="shared" si="30"/>
        <v>0</v>
      </c>
      <c r="L64" s="35">
        <f t="shared" si="67"/>
        <v>0</v>
      </c>
      <c r="M64" s="35">
        <f t="shared" si="68"/>
        <v>0</v>
      </c>
      <c r="N64" s="35">
        <f t="shared" si="69"/>
        <v>0</v>
      </c>
      <c r="O64" s="35">
        <f t="shared" si="70"/>
        <v>0</v>
      </c>
      <c r="P64" s="35">
        <f t="shared" si="71"/>
        <v>0</v>
      </c>
      <c r="Q64" s="36">
        <v>0.75</v>
      </c>
      <c r="R64" s="37">
        <f t="shared" si="72"/>
        <v>0</v>
      </c>
      <c r="S64" s="36">
        <v>0.75</v>
      </c>
      <c r="T64" s="38">
        <f t="shared" si="73"/>
        <v>0</v>
      </c>
      <c r="U64" s="39">
        <f t="shared" si="8"/>
        <v>0</v>
      </c>
      <c r="V64" s="40">
        <f t="shared" si="9"/>
        <v>0</v>
      </c>
      <c r="W64" s="41">
        <f t="shared" si="74"/>
        <v>0</v>
      </c>
      <c r="X64" s="42">
        <f t="shared" si="75"/>
        <v>0</v>
      </c>
      <c r="Y64" s="43" t="s">
        <v>0</v>
      </c>
      <c r="Z64" s="36">
        <v>1</v>
      </c>
      <c r="AA64" s="44">
        <f t="shared" si="76"/>
        <v>0</v>
      </c>
      <c r="AB64" s="36">
        <v>1</v>
      </c>
      <c r="AC64" s="44">
        <f t="shared" si="77"/>
        <v>0</v>
      </c>
      <c r="AD64" s="36">
        <v>1</v>
      </c>
      <c r="AE64" s="44">
        <f t="shared" si="78"/>
        <v>0</v>
      </c>
      <c r="AF64" s="45"/>
      <c r="AG64" s="46" t="e">
        <f t="shared" ref="AG64:AG70" si="112">+AF64/AH$4</f>
        <v>#DIV/0!</v>
      </c>
      <c r="AH64" s="47" t="e">
        <f t="shared" ref="AH64:AH70" si="113">AG64*AG$4/12</f>
        <v>#DIV/0!</v>
      </c>
      <c r="AI64" s="45"/>
      <c r="AJ64" s="46" t="e">
        <f t="shared" ref="AJ64:AJ70" si="114">+AI64/AK$4</f>
        <v>#DIV/0!</v>
      </c>
      <c r="AK64" s="47" t="e">
        <f t="shared" ref="AK64:AK70" si="115">AJ64*AJ$4/12</f>
        <v>#DIV/0!</v>
      </c>
      <c r="AL64" s="45"/>
      <c r="AM64" s="46" t="e">
        <f t="shared" si="79"/>
        <v>#DIV/0!</v>
      </c>
      <c r="AN64" s="47" t="e">
        <f t="shared" si="80"/>
        <v>#DIV/0!</v>
      </c>
      <c r="AO64" s="45"/>
      <c r="AP64" s="46" t="e">
        <f t="shared" si="81"/>
        <v>#DIV/0!</v>
      </c>
      <c r="AQ64" s="47" t="e">
        <f t="shared" si="82"/>
        <v>#DIV/0!</v>
      </c>
      <c r="AR64" s="45"/>
      <c r="AS64" s="46">
        <f t="shared" si="83"/>
        <v>0</v>
      </c>
      <c r="AT64" s="47">
        <f t="shared" si="84"/>
        <v>0</v>
      </c>
      <c r="AU64" s="45"/>
      <c r="AV64" s="46" t="e">
        <f t="shared" ref="AV64:AV70" si="116">+AU64/AW$4</f>
        <v>#DIV/0!</v>
      </c>
      <c r="AW64" s="47" t="e">
        <f t="shared" ref="AW64:AW70" si="117">AV64*AV$4/12</f>
        <v>#DIV/0!</v>
      </c>
      <c r="AX64" s="45"/>
      <c r="AY64" s="46">
        <f t="shared" ref="AY64:AY70" si="118">+AX64/AZ$4</f>
        <v>0</v>
      </c>
      <c r="AZ64" s="47">
        <f t="shared" ref="AZ64:AZ70" si="119">AY64*AY$4/12</f>
        <v>0</v>
      </c>
      <c r="BA64" s="48" t="e">
        <f t="shared" ref="BA64:BA70" si="120">+AH64+AK64+AN64+AQ64+AT64+AW64+AZ64</f>
        <v>#DIV/0!</v>
      </c>
    </row>
    <row r="65" spans="1:53" hidden="1">
      <c r="A65" s="30"/>
      <c r="B65" s="31"/>
      <c r="C65" s="31"/>
      <c r="D65" s="31"/>
      <c r="E65" s="32"/>
      <c r="F65" s="33"/>
      <c r="G65" s="74"/>
      <c r="H65" s="70"/>
      <c r="I65" s="77">
        <f>IF(H65=Tablas!$B$5,Tablas!$C$5,VLOOKUP(H65,Tablas!$B$5:$D$40,2,FALSE))</f>
        <v>1</v>
      </c>
      <c r="J65" s="65">
        <f>IF(I65=0,"",VLOOKUP(I65,Tablas!$C$5:$D$40,2,FALSE))</f>
        <v>0</v>
      </c>
      <c r="K65" s="34" t="str">
        <f t="shared" si="30"/>
        <v>0</v>
      </c>
      <c r="L65" s="35">
        <f t="shared" si="67"/>
        <v>0</v>
      </c>
      <c r="M65" s="35">
        <f t="shared" si="68"/>
        <v>0</v>
      </c>
      <c r="N65" s="35">
        <f t="shared" si="69"/>
        <v>0</v>
      </c>
      <c r="O65" s="35">
        <f t="shared" si="70"/>
        <v>0</v>
      </c>
      <c r="P65" s="35">
        <f t="shared" si="71"/>
        <v>0</v>
      </c>
      <c r="Q65" s="36">
        <v>0.75</v>
      </c>
      <c r="R65" s="37">
        <f t="shared" si="72"/>
        <v>0</v>
      </c>
      <c r="S65" s="36">
        <v>0.75</v>
      </c>
      <c r="T65" s="38">
        <f t="shared" si="73"/>
        <v>0</v>
      </c>
      <c r="U65" s="39">
        <f t="shared" si="8"/>
        <v>0</v>
      </c>
      <c r="V65" s="40">
        <f t="shared" si="9"/>
        <v>0</v>
      </c>
      <c r="W65" s="41">
        <f t="shared" si="74"/>
        <v>0</v>
      </c>
      <c r="X65" s="42">
        <f t="shared" si="75"/>
        <v>0</v>
      </c>
      <c r="Y65" s="43" t="s">
        <v>0</v>
      </c>
      <c r="Z65" s="36">
        <v>1</v>
      </c>
      <c r="AA65" s="44">
        <f t="shared" si="76"/>
        <v>0</v>
      </c>
      <c r="AB65" s="36">
        <v>1</v>
      </c>
      <c r="AC65" s="44">
        <f t="shared" si="77"/>
        <v>0</v>
      </c>
      <c r="AD65" s="36">
        <v>1</v>
      </c>
      <c r="AE65" s="44">
        <f t="shared" si="78"/>
        <v>0</v>
      </c>
      <c r="AF65" s="45"/>
      <c r="AG65" s="46" t="e">
        <f t="shared" si="112"/>
        <v>#DIV/0!</v>
      </c>
      <c r="AH65" s="47" t="e">
        <f t="shared" si="113"/>
        <v>#DIV/0!</v>
      </c>
      <c r="AI65" s="45"/>
      <c r="AJ65" s="46" t="e">
        <f t="shared" si="114"/>
        <v>#DIV/0!</v>
      </c>
      <c r="AK65" s="47" t="e">
        <f t="shared" si="115"/>
        <v>#DIV/0!</v>
      </c>
      <c r="AL65" s="45"/>
      <c r="AM65" s="46" t="e">
        <f t="shared" si="79"/>
        <v>#DIV/0!</v>
      </c>
      <c r="AN65" s="47" t="e">
        <f t="shared" si="80"/>
        <v>#DIV/0!</v>
      </c>
      <c r="AO65" s="45"/>
      <c r="AP65" s="46" t="e">
        <f t="shared" si="81"/>
        <v>#DIV/0!</v>
      </c>
      <c r="AQ65" s="47" t="e">
        <f t="shared" si="82"/>
        <v>#DIV/0!</v>
      </c>
      <c r="AR65" s="45"/>
      <c r="AS65" s="46">
        <f t="shared" si="83"/>
        <v>0</v>
      </c>
      <c r="AT65" s="47">
        <f t="shared" si="84"/>
        <v>0</v>
      </c>
      <c r="AU65" s="45"/>
      <c r="AV65" s="46" t="e">
        <f t="shared" si="116"/>
        <v>#DIV/0!</v>
      </c>
      <c r="AW65" s="47" t="e">
        <f t="shared" si="117"/>
        <v>#DIV/0!</v>
      </c>
      <c r="AX65" s="45"/>
      <c r="AY65" s="46">
        <f t="shared" si="118"/>
        <v>0</v>
      </c>
      <c r="AZ65" s="47">
        <f t="shared" si="119"/>
        <v>0</v>
      </c>
      <c r="BA65" s="48" t="e">
        <f t="shared" si="120"/>
        <v>#DIV/0!</v>
      </c>
    </row>
    <row r="66" spans="1:53" hidden="1">
      <c r="A66" s="30"/>
      <c r="B66" s="31"/>
      <c r="C66" s="31"/>
      <c r="D66" s="31"/>
      <c r="E66" s="32"/>
      <c r="F66" s="33"/>
      <c r="G66" s="74"/>
      <c r="H66" s="70"/>
      <c r="I66" s="77">
        <f>IF(H66=Tablas!$B$5,Tablas!$C$5,VLOOKUP(H66,Tablas!$B$5:$D$40,2,FALSE))</f>
        <v>1</v>
      </c>
      <c r="J66" s="65">
        <f>IF(I66=0,"",VLOOKUP(I66,Tablas!$C$5:$D$40,2,FALSE))</f>
        <v>0</v>
      </c>
      <c r="K66" s="34" t="str">
        <f t="shared" si="30"/>
        <v>0</v>
      </c>
      <c r="L66" s="35">
        <f t="shared" si="67"/>
        <v>0</v>
      </c>
      <c r="M66" s="35">
        <f t="shared" si="68"/>
        <v>0</v>
      </c>
      <c r="N66" s="35">
        <f t="shared" si="69"/>
        <v>0</v>
      </c>
      <c r="O66" s="35">
        <f t="shared" si="70"/>
        <v>0</v>
      </c>
      <c r="P66" s="35">
        <f t="shared" si="71"/>
        <v>0</v>
      </c>
      <c r="Q66" s="36">
        <v>0.75</v>
      </c>
      <c r="R66" s="37">
        <f t="shared" si="72"/>
        <v>0</v>
      </c>
      <c r="S66" s="36">
        <v>0.75</v>
      </c>
      <c r="T66" s="38">
        <f t="shared" si="73"/>
        <v>0</v>
      </c>
      <c r="U66" s="39">
        <f t="shared" si="8"/>
        <v>0</v>
      </c>
      <c r="V66" s="40">
        <f t="shared" si="9"/>
        <v>0</v>
      </c>
      <c r="W66" s="41">
        <f t="shared" si="74"/>
        <v>0</v>
      </c>
      <c r="X66" s="42">
        <f t="shared" si="75"/>
        <v>0</v>
      </c>
      <c r="Y66" s="43" t="s">
        <v>0</v>
      </c>
      <c r="Z66" s="36">
        <v>1</v>
      </c>
      <c r="AA66" s="44">
        <f t="shared" si="76"/>
        <v>0</v>
      </c>
      <c r="AB66" s="36">
        <v>1</v>
      </c>
      <c r="AC66" s="44">
        <f t="shared" si="77"/>
        <v>0</v>
      </c>
      <c r="AD66" s="36">
        <v>1</v>
      </c>
      <c r="AE66" s="44">
        <f t="shared" si="78"/>
        <v>0</v>
      </c>
      <c r="AF66" s="45"/>
      <c r="AG66" s="46" t="e">
        <f t="shared" si="112"/>
        <v>#DIV/0!</v>
      </c>
      <c r="AH66" s="47" t="e">
        <f t="shared" si="113"/>
        <v>#DIV/0!</v>
      </c>
      <c r="AI66" s="45"/>
      <c r="AJ66" s="46" t="e">
        <f t="shared" si="114"/>
        <v>#DIV/0!</v>
      </c>
      <c r="AK66" s="47" t="e">
        <f t="shared" si="115"/>
        <v>#DIV/0!</v>
      </c>
      <c r="AL66" s="45"/>
      <c r="AM66" s="46" t="e">
        <f t="shared" si="79"/>
        <v>#DIV/0!</v>
      </c>
      <c r="AN66" s="47" t="e">
        <f t="shared" si="80"/>
        <v>#DIV/0!</v>
      </c>
      <c r="AO66" s="45"/>
      <c r="AP66" s="46" t="e">
        <f t="shared" si="81"/>
        <v>#DIV/0!</v>
      </c>
      <c r="AQ66" s="47" t="e">
        <f t="shared" si="82"/>
        <v>#DIV/0!</v>
      </c>
      <c r="AR66" s="45"/>
      <c r="AS66" s="46">
        <f t="shared" si="83"/>
        <v>0</v>
      </c>
      <c r="AT66" s="47">
        <f t="shared" si="84"/>
        <v>0</v>
      </c>
      <c r="AU66" s="45"/>
      <c r="AV66" s="46" t="e">
        <f t="shared" si="116"/>
        <v>#DIV/0!</v>
      </c>
      <c r="AW66" s="47" t="e">
        <f t="shared" si="117"/>
        <v>#DIV/0!</v>
      </c>
      <c r="AX66" s="45"/>
      <c r="AY66" s="46">
        <f t="shared" si="118"/>
        <v>0</v>
      </c>
      <c r="AZ66" s="47">
        <f t="shared" si="119"/>
        <v>0</v>
      </c>
      <c r="BA66" s="48" t="e">
        <f t="shared" si="120"/>
        <v>#DIV/0!</v>
      </c>
    </row>
    <row r="67" spans="1:53" hidden="1">
      <c r="A67" s="30"/>
      <c r="B67" s="31"/>
      <c r="C67" s="31"/>
      <c r="D67" s="31"/>
      <c r="E67" s="32"/>
      <c r="F67" s="33"/>
      <c r="G67" s="74"/>
      <c r="H67" s="70"/>
      <c r="I67" s="77">
        <f>IF(H67=Tablas!$B$5,Tablas!$C$5,VLOOKUP(H67,Tablas!$B$5:$D$40,2,FALSE))</f>
        <v>1</v>
      </c>
      <c r="J67" s="65">
        <f>IF(I67=0,"",VLOOKUP(I67,Tablas!$C$5:$D$40,2,FALSE))</f>
        <v>0</v>
      </c>
      <c r="K67" s="34" t="str">
        <f t="shared" si="30"/>
        <v>0</v>
      </c>
      <c r="L67" s="35">
        <f t="shared" si="67"/>
        <v>0</v>
      </c>
      <c r="M67" s="35">
        <f t="shared" si="68"/>
        <v>0</v>
      </c>
      <c r="N67" s="35">
        <f t="shared" si="69"/>
        <v>0</v>
      </c>
      <c r="O67" s="35">
        <f t="shared" si="70"/>
        <v>0</v>
      </c>
      <c r="P67" s="35">
        <f t="shared" si="71"/>
        <v>0</v>
      </c>
      <c r="Q67" s="36">
        <v>0.75</v>
      </c>
      <c r="R67" s="37">
        <f t="shared" si="72"/>
        <v>0</v>
      </c>
      <c r="S67" s="36">
        <v>0.75</v>
      </c>
      <c r="T67" s="38">
        <f t="shared" si="73"/>
        <v>0</v>
      </c>
      <c r="U67" s="39">
        <f t="shared" si="8"/>
        <v>0</v>
      </c>
      <c r="V67" s="40">
        <f t="shared" si="9"/>
        <v>0</v>
      </c>
      <c r="W67" s="41">
        <f t="shared" si="74"/>
        <v>0</v>
      </c>
      <c r="X67" s="42">
        <f t="shared" si="75"/>
        <v>0</v>
      </c>
      <c r="Y67" s="43" t="s">
        <v>0</v>
      </c>
      <c r="Z67" s="36">
        <v>1</v>
      </c>
      <c r="AA67" s="44">
        <f t="shared" si="76"/>
        <v>0</v>
      </c>
      <c r="AB67" s="36">
        <v>1</v>
      </c>
      <c r="AC67" s="44">
        <f t="shared" si="77"/>
        <v>0</v>
      </c>
      <c r="AD67" s="36">
        <v>1</v>
      </c>
      <c r="AE67" s="44">
        <f t="shared" si="78"/>
        <v>0</v>
      </c>
      <c r="AF67" s="45"/>
      <c r="AG67" s="46" t="e">
        <f t="shared" si="112"/>
        <v>#DIV/0!</v>
      </c>
      <c r="AH67" s="47" t="e">
        <f t="shared" si="113"/>
        <v>#DIV/0!</v>
      </c>
      <c r="AI67" s="45"/>
      <c r="AJ67" s="46" t="e">
        <f t="shared" si="114"/>
        <v>#DIV/0!</v>
      </c>
      <c r="AK67" s="47" t="e">
        <f t="shared" si="115"/>
        <v>#DIV/0!</v>
      </c>
      <c r="AL67" s="45"/>
      <c r="AM67" s="46" t="e">
        <f t="shared" si="79"/>
        <v>#DIV/0!</v>
      </c>
      <c r="AN67" s="47" t="e">
        <f t="shared" si="80"/>
        <v>#DIV/0!</v>
      </c>
      <c r="AO67" s="45"/>
      <c r="AP67" s="46" t="e">
        <f t="shared" si="81"/>
        <v>#DIV/0!</v>
      </c>
      <c r="AQ67" s="47" t="e">
        <f t="shared" si="82"/>
        <v>#DIV/0!</v>
      </c>
      <c r="AR67" s="45"/>
      <c r="AS67" s="46">
        <f t="shared" si="83"/>
        <v>0</v>
      </c>
      <c r="AT67" s="47">
        <f t="shared" si="84"/>
        <v>0</v>
      </c>
      <c r="AU67" s="45"/>
      <c r="AV67" s="46" t="e">
        <f t="shared" si="116"/>
        <v>#DIV/0!</v>
      </c>
      <c r="AW67" s="47" t="e">
        <f t="shared" si="117"/>
        <v>#DIV/0!</v>
      </c>
      <c r="AX67" s="45"/>
      <c r="AY67" s="46">
        <f t="shared" si="118"/>
        <v>0</v>
      </c>
      <c r="AZ67" s="47">
        <f t="shared" si="119"/>
        <v>0</v>
      </c>
      <c r="BA67" s="48" t="e">
        <f t="shared" si="120"/>
        <v>#DIV/0!</v>
      </c>
    </row>
    <row r="68" spans="1:53" hidden="1">
      <c r="A68" s="30"/>
      <c r="B68" s="31"/>
      <c r="C68" s="31"/>
      <c r="D68" s="31"/>
      <c r="E68" s="32"/>
      <c r="F68" s="33"/>
      <c r="G68" s="74"/>
      <c r="H68" s="70"/>
      <c r="I68" s="77">
        <f>IF(H68=Tablas!$B$5,Tablas!$C$5,VLOOKUP(H68,Tablas!$B$5:$D$40,2,FALSE))</f>
        <v>1</v>
      </c>
      <c r="J68" s="65">
        <f>IF(I68=0,"",VLOOKUP(I68,Tablas!$C$5:$D$40,2,FALSE))</f>
        <v>0</v>
      </c>
      <c r="K68" s="34" t="str">
        <f t="shared" si="30"/>
        <v>0</v>
      </c>
      <c r="L68" s="35">
        <f t="shared" si="67"/>
        <v>0</v>
      </c>
      <c r="M68" s="35">
        <f t="shared" si="68"/>
        <v>0</v>
      </c>
      <c r="N68" s="35">
        <f t="shared" si="69"/>
        <v>0</v>
      </c>
      <c r="O68" s="35">
        <f t="shared" si="70"/>
        <v>0</v>
      </c>
      <c r="P68" s="35">
        <f t="shared" si="71"/>
        <v>0</v>
      </c>
      <c r="Q68" s="36">
        <v>0.75</v>
      </c>
      <c r="R68" s="37">
        <f t="shared" si="72"/>
        <v>0</v>
      </c>
      <c r="S68" s="36">
        <v>0.75</v>
      </c>
      <c r="T68" s="38">
        <f t="shared" si="73"/>
        <v>0</v>
      </c>
      <c r="U68" s="39">
        <f t="shared" si="8"/>
        <v>0</v>
      </c>
      <c r="V68" s="40">
        <f t="shared" si="9"/>
        <v>0</v>
      </c>
      <c r="W68" s="41">
        <f t="shared" si="74"/>
        <v>0</v>
      </c>
      <c r="X68" s="42">
        <f t="shared" si="75"/>
        <v>0</v>
      </c>
      <c r="Y68" s="43" t="s">
        <v>0</v>
      </c>
      <c r="Z68" s="36">
        <v>1</v>
      </c>
      <c r="AA68" s="44">
        <f t="shared" si="76"/>
        <v>0</v>
      </c>
      <c r="AB68" s="36">
        <v>1</v>
      </c>
      <c r="AC68" s="44">
        <f t="shared" si="77"/>
        <v>0</v>
      </c>
      <c r="AD68" s="36">
        <v>1</v>
      </c>
      <c r="AE68" s="44">
        <f t="shared" si="78"/>
        <v>0</v>
      </c>
      <c r="AF68" s="45"/>
      <c r="AG68" s="46" t="e">
        <f t="shared" si="112"/>
        <v>#DIV/0!</v>
      </c>
      <c r="AH68" s="47" t="e">
        <f t="shared" si="113"/>
        <v>#DIV/0!</v>
      </c>
      <c r="AI68" s="45"/>
      <c r="AJ68" s="46" t="e">
        <f t="shared" si="114"/>
        <v>#DIV/0!</v>
      </c>
      <c r="AK68" s="47" t="e">
        <f t="shared" si="115"/>
        <v>#DIV/0!</v>
      </c>
      <c r="AL68" s="45"/>
      <c r="AM68" s="46" t="e">
        <f t="shared" si="79"/>
        <v>#DIV/0!</v>
      </c>
      <c r="AN68" s="47" t="e">
        <f t="shared" si="80"/>
        <v>#DIV/0!</v>
      </c>
      <c r="AO68" s="45"/>
      <c r="AP68" s="46" t="e">
        <f t="shared" si="81"/>
        <v>#DIV/0!</v>
      </c>
      <c r="AQ68" s="47" t="e">
        <f t="shared" si="82"/>
        <v>#DIV/0!</v>
      </c>
      <c r="AR68" s="45"/>
      <c r="AS68" s="46">
        <f t="shared" si="83"/>
        <v>0</v>
      </c>
      <c r="AT68" s="47">
        <f t="shared" si="84"/>
        <v>0</v>
      </c>
      <c r="AU68" s="45"/>
      <c r="AV68" s="46" t="e">
        <f t="shared" si="116"/>
        <v>#DIV/0!</v>
      </c>
      <c r="AW68" s="47" t="e">
        <f t="shared" si="117"/>
        <v>#DIV/0!</v>
      </c>
      <c r="AX68" s="45"/>
      <c r="AY68" s="46">
        <f t="shared" si="118"/>
        <v>0</v>
      </c>
      <c r="AZ68" s="47">
        <f t="shared" si="119"/>
        <v>0</v>
      </c>
      <c r="BA68" s="48" t="e">
        <f t="shared" si="120"/>
        <v>#DIV/0!</v>
      </c>
    </row>
    <row r="69" spans="1:53" hidden="1">
      <c r="A69" s="30"/>
      <c r="B69" s="31"/>
      <c r="C69" s="31"/>
      <c r="D69" s="31"/>
      <c r="E69" s="32"/>
      <c r="F69" s="33"/>
      <c r="G69" s="74"/>
      <c r="H69" s="70"/>
      <c r="I69" s="77">
        <f>IF(H69=Tablas!$B$5,Tablas!$C$5,VLOOKUP(H69,Tablas!$B$5:$D$40,2,FALSE))</f>
        <v>1</v>
      </c>
      <c r="J69" s="65">
        <f>IF(I69=0,"",VLOOKUP(I69,Tablas!$C$5:$D$40,2,FALSE))</f>
        <v>0</v>
      </c>
      <c r="K69" s="34" t="str">
        <f t="shared" si="30"/>
        <v>0</v>
      </c>
      <c r="L69" s="35">
        <f t="shared" si="67"/>
        <v>0</v>
      </c>
      <c r="M69" s="35">
        <f t="shared" si="68"/>
        <v>0</v>
      </c>
      <c r="N69" s="35">
        <f t="shared" si="69"/>
        <v>0</v>
      </c>
      <c r="O69" s="35">
        <f t="shared" si="70"/>
        <v>0</v>
      </c>
      <c r="P69" s="35">
        <f t="shared" si="71"/>
        <v>0</v>
      </c>
      <c r="Q69" s="36">
        <v>0.75</v>
      </c>
      <c r="R69" s="37">
        <f t="shared" si="72"/>
        <v>0</v>
      </c>
      <c r="S69" s="36">
        <v>0.75</v>
      </c>
      <c r="T69" s="38">
        <f t="shared" si="73"/>
        <v>0</v>
      </c>
      <c r="U69" s="39">
        <f t="shared" si="8"/>
        <v>0</v>
      </c>
      <c r="V69" s="40">
        <f t="shared" si="9"/>
        <v>0</v>
      </c>
      <c r="W69" s="41">
        <f t="shared" si="74"/>
        <v>0</v>
      </c>
      <c r="X69" s="42">
        <f t="shared" si="75"/>
        <v>0</v>
      </c>
      <c r="Y69" s="43" t="s">
        <v>0</v>
      </c>
      <c r="Z69" s="36">
        <v>1</v>
      </c>
      <c r="AA69" s="44">
        <f t="shared" si="76"/>
        <v>0</v>
      </c>
      <c r="AB69" s="36">
        <v>1</v>
      </c>
      <c r="AC69" s="44">
        <f t="shared" si="77"/>
        <v>0</v>
      </c>
      <c r="AD69" s="36">
        <v>1</v>
      </c>
      <c r="AE69" s="44">
        <f t="shared" si="78"/>
        <v>0</v>
      </c>
      <c r="AF69" s="45"/>
      <c r="AG69" s="46" t="e">
        <f t="shared" si="112"/>
        <v>#DIV/0!</v>
      </c>
      <c r="AH69" s="47" t="e">
        <f t="shared" si="113"/>
        <v>#DIV/0!</v>
      </c>
      <c r="AI69" s="45"/>
      <c r="AJ69" s="46" t="e">
        <f t="shared" si="114"/>
        <v>#DIV/0!</v>
      </c>
      <c r="AK69" s="47" t="e">
        <f t="shared" si="115"/>
        <v>#DIV/0!</v>
      </c>
      <c r="AL69" s="45"/>
      <c r="AM69" s="46" t="e">
        <f t="shared" si="79"/>
        <v>#DIV/0!</v>
      </c>
      <c r="AN69" s="47" t="e">
        <f t="shared" si="80"/>
        <v>#DIV/0!</v>
      </c>
      <c r="AO69" s="45"/>
      <c r="AP69" s="46" t="e">
        <f t="shared" si="81"/>
        <v>#DIV/0!</v>
      </c>
      <c r="AQ69" s="47" t="e">
        <f t="shared" si="82"/>
        <v>#DIV/0!</v>
      </c>
      <c r="AR69" s="45"/>
      <c r="AS69" s="46">
        <f t="shared" si="83"/>
        <v>0</v>
      </c>
      <c r="AT69" s="47">
        <f t="shared" si="84"/>
        <v>0</v>
      </c>
      <c r="AU69" s="45"/>
      <c r="AV69" s="46" t="e">
        <f t="shared" si="116"/>
        <v>#DIV/0!</v>
      </c>
      <c r="AW69" s="47" t="e">
        <f t="shared" si="117"/>
        <v>#DIV/0!</v>
      </c>
      <c r="AX69" s="45"/>
      <c r="AY69" s="46">
        <f t="shared" si="118"/>
        <v>0</v>
      </c>
      <c r="AZ69" s="47">
        <f t="shared" si="119"/>
        <v>0</v>
      </c>
      <c r="BA69" s="48" t="e">
        <f t="shared" si="120"/>
        <v>#DIV/0!</v>
      </c>
    </row>
    <row r="70" spans="1:53" hidden="1">
      <c r="A70" s="30"/>
      <c r="B70" s="31"/>
      <c r="C70" s="31"/>
      <c r="D70" s="31"/>
      <c r="E70" s="32"/>
      <c r="F70" s="33"/>
      <c r="G70" s="74"/>
      <c r="H70" s="70"/>
      <c r="I70" s="77">
        <f>IF(H70=Tablas!$B$5,Tablas!$C$5,VLOOKUP(H70,Tablas!$B$5:$D$40,2,FALSE))</f>
        <v>1</v>
      </c>
      <c r="J70" s="65">
        <f>IF(I70=0,"",VLOOKUP(I70,Tablas!$C$5:$D$40,2,FALSE))</f>
        <v>0</v>
      </c>
      <c r="K70" s="34" t="str">
        <f t="shared" si="30"/>
        <v>0</v>
      </c>
      <c r="L70" s="35">
        <f t="shared" si="67"/>
        <v>0</v>
      </c>
      <c r="M70" s="35">
        <f t="shared" si="68"/>
        <v>0</v>
      </c>
      <c r="N70" s="35">
        <f t="shared" si="69"/>
        <v>0</v>
      </c>
      <c r="O70" s="35">
        <f t="shared" si="70"/>
        <v>0</v>
      </c>
      <c r="P70" s="35">
        <f t="shared" si="71"/>
        <v>0</v>
      </c>
      <c r="Q70" s="36">
        <v>0.75</v>
      </c>
      <c r="R70" s="37">
        <f t="shared" si="72"/>
        <v>0</v>
      </c>
      <c r="S70" s="36">
        <v>0.75</v>
      </c>
      <c r="T70" s="38">
        <f t="shared" si="73"/>
        <v>0</v>
      </c>
      <c r="U70" s="39">
        <f t="shared" si="8"/>
        <v>0</v>
      </c>
      <c r="V70" s="40">
        <f t="shared" si="9"/>
        <v>0</v>
      </c>
      <c r="W70" s="41">
        <f t="shared" si="74"/>
        <v>0</v>
      </c>
      <c r="X70" s="42">
        <f t="shared" si="75"/>
        <v>0</v>
      </c>
      <c r="Y70" s="43" t="s">
        <v>0</v>
      </c>
      <c r="Z70" s="36">
        <v>1</v>
      </c>
      <c r="AA70" s="44">
        <f t="shared" si="76"/>
        <v>0</v>
      </c>
      <c r="AB70" s="36">
        <v>1</v>
      </c>
      <c r="AC70" s="44">
        <f t="shared" si="77"/>
        <v>0</v>
      </c>
      <c r="AD70" s="36">
        <v>1</v>
      </c>
      <c r="AE70" s="44">
        <f t="shared" si="78"/>
        <v>0</v>
      </c>
      <c r="AF70" s="45"/>
      <c r="AG70" s="46" t="e">
        <f t="shared" si="112"/>
        <v>#DIV/0!</v>
      </c>
      <c r="AH70" s="47" t="e">
        <f t="shared" si="113"/>
        <v>#DIV/0!</v>
      </c>
      <c r="AI70" s="45"/>
      <c r="AJ70" s="46" t="e">
        <f t="shared" si="114"/>
        <v>#DIV/0!</v>
      </c>
      <c r="AK70" s="47" t="e">
        <f t="shared" si="115"/>
        <v>#DIV/0!</v>
      </c>
      <c r="AL70" s="45"/>
      <c r="AM70" s="46" t="e">
        <f t="shared" si="79"/>
        <v>#DIV/0!</v>
      </c>
      <c r="AN70" s="47" t="e">
        <f t="shared" si="80"/>
        <v>#DIV/0!</v>
      </c>
      <c r="AO70" s="45"/>
      <c r="AP70" s="46" t="e">
        <f t="shared" si="81"/>
        <v>#DIV/0!</v>
      </c>
      <c r="AQ70" s="47" t="e">
        <f t="shared" si="82"/>
        <v>#DIV/0!</v>
      </c>
      <c r="AR70" s="45"/>
      <c r="AS70" s="46">
        <f t="shared" si="83"/>
        <v>0</v>
      </c>
      <c r="AT70" s="47">
        <f t="shared" si="84"/>
        <v>0</v>
      </c>
      <c r="AU70" s="45"/>
      <c r="AV70" s="46" t="e">
        <f t="shared" si="116"/>
        <v>#DIV/0!</v>
      </c>
      <c r="AW70" s="47" t="e">
        <f t="shared" si="117"/>
        <v>#DIV/0!</v>
      </c>
      <c r="AX70" s="45"/>
      <c r="AY70" s="46">
        <f t="shared" si="118"/>
        <v>0</v>
      </c>
      <c r="AZ70" s="47">
        <f t="shared" si="119"/>
        <v>0</v>
      </c>
      <c r="BA70" s="48" t="e">
        <f t="shared" si="120"/>
        <v>#DIV/0!</v>
      </c>
    </row>
    <row r="71" spans="1:53" hidden="1">
      <c r="A71" s="30"/>
      <c r="B71" s="31"/>
      <c r="C71" s="31"/>
      <c r="D71" s="31"/>
      <c r="E71" s="32"/>
      <c r="F71" s="33"/>
      <c r="G71" s="74"/>
      <c r="H71" s="70"/>
      <c r="I71" s="77">
        <f>IF(H71=Tablas!$B$5,Tablas!$C$5,VLOOKUP(H71,Tablas!$B$5:$D$40,2,FALSE))</f>
        <v>1</v>
      </c>
      <c r="J71" s="65">
        <f>IF(I71=0,"",VLOOKUP(I71,Tablas!$C$5:$D$40,2,FALSE))</f>
        <v>0</v>
      </c>
      <c r="K71" s="34" t="str">
        <f t="shared" si="30"/>
        <v>0</v>
      </c>
      <c r="L71" s="35">
        <f t="shared" si="67"/>
        <v>0</v>
      </c>
      <c r="M71" s="35">
        <f t="shared" si="68"/>
        <v>0</v>
      </c>
      <c r="N71" s="35">
        <f t="shared" si="69"/>
        <v>0</v>
      </c>
      <c r="O71" s="35">
        <f t="shared" si="70"/>
        <v>0</v>
      </c>
      <c r="P71" s="35">
        <f t="shared" si="71"/>
        <v>0</v>
      </c>
      <c r="Q71" s="36">
        <v>0.75</v>
      </c>
      <c r="R71" s="37">
        <f t="shared" si="72"/>
        <v>0</v>
      </c>
      <c r="S71" s="36">
        <v>0.75</v>
      </c>
      <c r="T71" s="38">
        <f t="shared" si="73"/>
        <v>0</v>
      </c>
      <c r="U71" s="39">
        <f t="shared" si="8"/>
        <v>0</v>
      </c>
      <c r="V71" s="40">
        <f t="shared" si="9"/>
        <v>0</v>
      </c>
      <c r="W71" s="41">
        <f t="shared" si="74"/>
        <v>0</v>
      </c>
      <c r="X71" s="42">
        <f t="shared" si="75"/>
        <v>0</v>
      </c>
      <c r="Y71" s="43" t="s">
        <v>0</v>
      </c>
      <c r="Z71" s="36">
        <v>1</v>
      </c>
      <c r="AA71" s="44">
        <f t="shared" si="76"/>
        <v>0</v>
      </c>
      <c r="AB71" s="36">
        <v>1</v>
      </c>
      <c r="AC71" s="44">
        <f t="shared" si="77"/>
        <v>0</v>
      </c>
      <c r="AD71" s="36">
        <v>1</v>
      </c>
      <c r="AE71" s="44">
        <f t="shared" si="78"/>
        <v>0</v>
      </c>
      <c r="AF71" s="45"/>
      <c r="AG71" s="46" t="e">
        <f t="shared" ref="AG71:AG74" si="121">+AF71/AH$4</f>
        <v>#DIV/0!</v>
      </c>
      <c r="AH71" s="47" t="e">
        <f t="shared" ref="AH71:AH74" si="122">AG71*AG$4/12</f>
        <v>#DIV/0!</v>
      </c>
      <c r="AI71" s="45"/>
      <c r="AJ71" s="46" t="e">
        <f t="shared" ref="AJ71:AJ74" si="123">+AI71/AK$4</f>
        <v>#DIV/0!</v>
      </c>
      <c r="AK71" s="47" t="e">
        <f t="shared" ref="AK71:AK74" si="124">AJ71*AJ$4/12</f>
        <v>#DIV/0!</v>
      </c>
      <c r="AL71" s="45"/>
      <c r="AM71" s="46" t="e">
        <f t="shared" si="79"/>
        <v>#DIV/0!</v>
      </c>
      <c r="AN71" s="47" t="e">
        <f t="shared" si="80"/>
        <v>#DIV/0!</v>
      </c>
      <c r="AO71" s="45"/>
      <c r="AP71" s="46" t="e">
        <f t="shared" si="81"/>
        <v>#DIV/0!</v>
      </c>
      <c r="AQ71" s="47" t="e">
        <f t="shared" si="82"/>
        <v>#DIV/0!</v>
      </c>
      <c r="AR71" s="45"/>
      <c r="AS71" s="46">
        <f t="shared" si="83"/>
        <v>0</v>
      </c>
      <c r="AT71" s="47">
        <f t="shared" si="84"/>
        <v>0</v>
      </c>
      <c r="AU71" s="45"/>
      <c r="AV71" s="46" t="e">
        <f t="shared" ref="AV71:AV74" si="125">+AU71/AW$4</f>
        <v>#DIV/0!</v>
      </c>
      <c r="AW71" s="47" t="e">
        <f t="shared" ref="AW71:AW74" si="126">AV71*AV$4/12</f>
        <v>#DIV/0!</v>
      </c>
      <c r="AX71" s="45"/>
      <c r="AY71" s="46">
        <f t="shared" ref="AY71:AY74" si="127">+AX71/AZ$4</f>
        <v>0</v>
      </c>
      <c r="AZ71" s="47">
        <f t="shared" ref="AZ71:AZ74" si="128">AY71*AY$4/12</f>
        <v>0</v>
      </c>
      <c r="BA71" s="48" t="e">
        <f t="shared" ref="BA71:BA74" si="129">+AH71+AK71+AN71+AQ71+AT71+AW71+AZ71</f>
        <v>#DIV/0!</v>
      </c>
    </row>
    <row r="72" spans="1:53" hidden="1">
      <c r="A72" s="30"/>
      <c r="B72" s="31"/>
      <c r="C72" s="31"/>
      <c r="D72" s="31"/>
      <c r="E72" s="32"/>
      <c r="F72" s="33"/>
      <c r="G72" s="74"/>
      <c r="H72" s="70"/>
      <c r="I72" s="77">
        <f>IF(H72=Tablas!$B$5,Tablas!$C$5,VLOOKUP(H72,Tablas!$B$5:$D$40,2,FALSE))</f>
        <v>1</v>
      </c>
      <c r="J72" s="65">
        <f>IF(I72=0,"",VLOOKUP(I72,Tablas!$C$5:$D$40,2,FALSE))</f>
        <v>0</v>
      </c>
      <c r="K72" s="34" t="str">
        <f t="shared" si="30"/>
        <v>0</v>
      </c>
      <c r="L72" s="35">
        <f t="shared" si="67"/>
        <v>0</v>
      </c>
      <c r="M72" s="35">
        <f t="shared" si="68"/>
        <v>0</v>
      </c>
      <c r="N72" s="35">
        <f t="shared" si="69"/>
        <v>0</v>
      </c>
      <c r="O72" s="35">
        <f t="shared" si="70"/>
        <v>0</v>
      </c>
      <c r="P72" s="35">
        <f t="shared" si="71"/>
        <v>0</v>
      </c>
      <c r="Q72" s="36">
        <v>0.75</v>
      </c>
      <c r="R72" s="37">
        <f t="shared" ref="R72:R74" si="130">(IF($X72=6,$K72,)+IF($X72=7,$K72,)+IF($X72=12,$K72*2,)+IF($X72=18,$K72*3,)+IF($X72=21,$K72*3,)+IF($X72=14,$K72*2,))*Q72</f>
        <v>0</v>
      </c>
      <c r="S72" s="36">
        <v>0.75</v>
      </c>
      <c r="T72" s="38">
        <f t="shared" ref="T72:T74" si="131">(IF($X72=7,$K72,)+IF($X72=21,$K72*3,)+IF($X72=14,$K72*2,))*S72</f>
        <v>0</v>
      </c>
      <c r="U72" s="39">
        <f t="shared" ref="U72:U74" si="132">SUM(+L72+M72+N72+O72+P72+R72+T72)</f>
        <v>0</v>
      </c>
      <c r="V72" s="40">
        <f t="shared" ref="V72:V74" si="133">+U72*4.345</f>
        <v>0</v>
      </c>
      <c r="W72" s="41">
        <f t="shared" ref="W72:W74" si="134">IF(V72="","",$W$4*V72)</f>
        <v>0</v>
      </c>
      <c r="X72" s="42">
        <f t="shared" si="75"/>
        <v>0</v>
      </c>
      <c r="Y72" s="43" t="s">
        <v>0</v>
      </c>
      <c r="Z72" s="36">
        <v>1</v>
      </c>
      <c r="AA72" s="44">
        <f t="shared" ref="AA72:AA74" si="135">+IF($Y72="M",$U72,IF($Y72="MT",$U72/2,IF(Y72="MN",$U72/2,IF($Y72="MTN",$U72/3,0))))*Z72</f>
        <v>0</v>
      </c>
      <c r="AB72" s="36">
        <v>1</v>
      </c>
      <c r="AC72" s="44">
        <f t="shared" ref="AC72:AC74" si="136">+IF($Y72="T",$U72,IF($Y72="MT",$U72/2,IF($Y72="TN",$U72/2,IF($Y72="MTN",$U72/3,0))))*AB72</f>
        <v>0</v>
      </c>
      <c r="AD72" s="36">
        <v>1</v>
      </c>
      <c r="AE72" s="44">
        <f t="shared" ref="AE72:AE74" si="137">+IF($Y72="N",$U72,IF($Y72="MN",$U72/2,IF($Y72="TN",$U72/2,IF($Y72="MTN",$U72/3,0))))*AD72</f>
        <v>0</v>
      </c>
      <c r="AF72" s="45"/>
      <c r="AG72" s="46" t="e">
        <f t="shared" si="121"/>
        <v>#DIV/0!</v>
      </c>
      <c r="AH72" s="47" t="e">
        <f t="shared" si="122"/>
        <v>#DIV/0!</v>
      </c>
      <c r="AI72" s="45"/>
      <c r="AJ72" s="46" t="e">
        <f t="shared" si="123"/>
        <v>#DIV/0!</v>
      </c>
      <c r="AK72" s="47" t="e">
        <f t="shared" si="124"/>
        <v>#DIV/0!</v>
      </c>
      <c r="AL72" s="45"/>
      <c r="AM72" s="46" t="e">
        <f t="shared" ref="AM72:AM74" si="138">+AL72/AN$4</f>
        <v>#DIV/0!</v>
      </c>
      <c r="AN72" s="47" t="e">
        <f t="shared" ref="AN72:AN74" si="139">AM72*AM$4/12</f>
        <v>#DIV/0!</v>
      </c>
      <c r="AO72" s="45"/>
      <c r="AP72" s="46" t="e">
        <f t="shared" ref="AP72:AP74" si="140">+AO72/AQ$4</f>
        <v>#DIV/0!</v>
      </c>
      <c r="AQ72" s="47" t="e">
        <f t="shared" ref="AQ72:AQ74" si="141">AP72*AP$4/12</f>
        <v>#DIV/0!</v>
      </c>
      <c r="AR72" s="45"/>
      <c r="AS72" s="46">
        <f t="shared" ref="AS72:AS74" si="142">+AR72/AT$4</f>
        <v>0</v>
      </c>
      <c r="AT72" s="47">
        <f t="shared" ref="AT72:AT74" si="143">AS72*AS$4/12</f>
        <v>0</v>
      </c>
      <c r="AU72" s="45"/>
      <c r="AV72" s="46" t="e">
        <f t="shared" si="125"/>
        <v>#DIV/0!</v>
      </c>
      <c r="AW72" s="47" t="e">
        <f t="shared" si="126"/>
        <v>#DIV/0!</v>
      </c>
      <c r="AX72" s="45"/>
      <c r="AY72" s="46">
        <f t="shared" si="127"/>
        <v>0</v>
      </c>
      <c r="AZ72" s="47">
        <f t="shared" si="128"/>
        <v>0</v>
      </c>
      <c r="BA72" s="48" t="e">
        <f t="shared" si="129"/>
        <v>#DIV/0!</v>
      </c>
    </row>
    <row r="73" spans="1:53" hidden="1">
      <c r="A73" s="30"/>
      <c r="B73" s="31"/>
      <c r="C73" s="31"/>
      <c r="D73" s="31"/>
      <c r="E73" s="32"/>
      <c r="F73" s="33"/>
      <c r="G73" s="74"/>
      <c r="H73" s="70"/>
      <c r="I73" s="77">
        <f>IF(H73=Tablas!$B$5,Tablas!$C$5,VLOOKUP(H73,Tablas!$B$5:$D$40,2,FALSE))</f>
        <v>1</v>
      </c>
      <c r="J73" s="65">
        <f>IF(I73=0,"",VLOOKUP(I73,Tablas!$C$5:$D$40,2,FALSE))</f>
        <v>0</v>
      </c>
      <c r="K73" s="34" t="str">
        <f t="shared" ref="K73:K74" si="144">IF(G73=0,"0",F73/G73)</f>
        <v>0</v>
      </c>
      <c r="L73" s="35">
        <f t="shared" si="67"/>
        <v>0</v>
      </c>
      <c r="M73" s="35">
        <f t="shared" si="68"/>
        <v>0</v>
      </c>
      <c r="N73" s="35">
        <f t="shared" si="69"/>
        <v>0</v>
      </c>
      <c r="O73" s="35">
        <f t="shared" si="70"/>
        <v>0</v>
      </c>
      <c r="P73" s="35">
        <f t="shared" si="71"/>
        <v>0</v>
      </c>
      <c r="Q73" s="36">
        <v>0.75</v>
      </c>
      <c r="R73" s="37">
        <f t="shared" si="130"/>
        <v>0</v>
      </c>
      <c r="S73" s="36">
        <v>0.75</v>
      </c>
      <c r="T73" s="38">
        <f t="shared" si="131"/>
        <v>0</v>
      </c>
      <c r="U73" s="39">
        <f t="shared" si="132"/>
        <v>0</v>
      </c>
      <c r="V73" s="40">
        <f t="shared" si="133"/>
        <v>0</v>
      </c>
      <c r="W73" s="41">
        <f t="shared" si="134"/>
        <v>0</v>
      </c>
      <c r="X73" s="42">
        <f t="shared" si="75"/>
        <v>0</v>
      </c>
      <c r="Y73" s="43" t="s">
        <v>0</v>
      </c>
      <c r="Z73" s="36">
        <v>1</v>
      </c>
      <c r="AA73" s="44">
        <f t="shared" si="135"/>
        <v>0</v>
      </c>
      <c r="AB73" s="36">
        <v>1</v>
      </c>
      <c r="AC73" s="44">
        <f t="shared" si="136"/>
        <v>0</v>
      </c>
      <c r="AD73" s="36">
        <v>1</v>
      </c>
      <c r="AE73" s="44">
        <f t="shared" si="137"/>
        <v>0</v>
      </c>
      <c r="AF73" s="45"/>
      <c r="AG73" s="46" t="e">
        <f t="shared" si="121"/>
        <v>#DIV/0!</v>
      </c>
      <c r="AH73" s="47" t="e">
        <f t="shared" si="122"/>
        <v>#DIV/0!</v>
      </c>
      <c r="AI73" s="45"/>
      <c r="AJ73" s="46" t="e">
        <f t="shared" si="123"/>
        <v>#DIV/0!</v>
      </c>
      <c r="AK73" s="47" t="e">
        <f t="shared" si="124"/>
        <v>#DIV/0!</v>
      </c>
      <c r="AL73" s="45"/>
      <c r="AM73" s="46" t="e">
        <f t="shared" si="138"/>
        <v>#DIV/0!</v>
      </c>
      <c r="AN73" s="47" t="e">
        <f t="shared" si="139"/>
        <v>#DIV/0!</v>
      </c>
      <c r="AO73" s="45"/>
      <c r="AP73" s="46" t="e">
        <f t="shared" si="140"/>
        <v>#DIV/0!</v>
      </c>
      <c r="AQ73" s="47" t="e">
        <f t="shared" si="141"/>
        <v>#DIV/0!</v>
      </c>
      <c r="AR73" s="45"/>
      <c r="AS73" s="46">
        <f t="shared" si="142"/>
        <v>0</v>
      </c>
      <c r="AT73" s="47">
        <f t="shared" si="143"/>
        <v>0</v>
      </c>
      <c r="AU73" s="45"/>
      <c r="AV73" s="46" t="e">
        <f t="shared" si="125"/>
        <v>#DIV/0!</v>
      </c>
      <c r="AW73" s="47" t="e">
        <f t="shared" si="126"/>
        <v>#DIV/0!</v>
      </c>
      <c r="AX73" s="45"/>
      <c r="AY73" s="46">
        <f t="shared" si="127"/>
        <v>0</v>
      </c>
      <c r="AZ73" s="47">
        <f t="shared" si="128"/>
        <v>0</v>
      </c>
      <c r="BA73" s="48" t="e">
        <f t="shared" si="129"/>
        <v>#DIV/0!</v>
      </c>
    </row>
    <row r="74" spans="1:53" ht="16" hidden="1" thickBot="1">
      <c r="A74" s="30"/>
      <c r="B74" s="31"/>
      <c r="C74" s="31"/>
      <c r="D74" s="31"/>
      <c r="E74" s="32"/>
      <c r="F74" s="33"/>
      <c r="G74" s="74"/>
      <c r="H74" s="70"/>
      <c r="I74" s="77">
        <f>IF(H74=Tablas!$B$5,Tablas!$C$5,VLOOKUP(H74,Tablas!$B$5:$D$40,2,FALSE))</f>
        <v>1</v>
      </c>
      <c r="J74" s="65">
        <f>IF(I74=0,"",VLOOKUP(I74,Tablas!$C$5:$D$40,2,FALSE))</f>
        <v>0</v>
      </c>
      <c r="K74" s="34" t="str">
        <f t="shared" si="144"/>
        <v>0</v>
      </c>
      <c r="L74" s="35">
        <f t="shared" si="67"/>
        <v>0</v>
      </c>
      <c r="M74" s="35">
        <f t="shared" si="68"/>
        <v>0</v>
      </c>
      <c r="N74" s="35">
        <f t="shared" si="69"/>
        <v>0</v>
      </c>
      <c r="O74" s="35">
        <f t="shared" si="70"/>
        <v>0</v>
      </c>
      <c r="P74" s="35">
        <f t="shared" si="71"/>
        <v>0</v>
      </c>
      <c r="Q74" s="36">
        <v>0.75</v>
      </c>
      <c r="R74" s="37">
        <f t="shared" si="130"/>
        <v>0</v>
      </c>
      <c r="S74" s="36">
        <v>0.75</v>
      </c>
      <c r="T74" s="38">
        <f t="shared" si="131"/>
        <v>0</v>
      </c>
      <c r="U74" s="39">
        <f t="shared" si="132"/>
        <v>0</v>
      </c>
      <c r="V74" s="40">
        <f t="shared" si="133"/>
        <v>0</v>
      </c>
      <c r="W74" s="41">
        <f t="shared" si="134"/>
        <v>0</v>
      </c>
      <c r="X74" s="42">
        <f t="shared" si="75"/>
        <v>0</v>
      </c>
      <c r="Y74" s="43" t="s">
        <v>0</v>
      </c>
      <c r="Z74" s="36">
        <v>1</v>
      </c>
      <c r="AA74" s="44">
        <f t="shared" si="135"/>
        <v>0</v>
      </c>
      <c r="AB74" s="36">
        <v>1</v>
      </c>
      <c r="AC74" s="44">
        <f t="shared" si="136"/>
        <v>0</v>
      </c>
      <c r="AD74" s="36">
        <v>1</v>
      </c>
      <c r="AE74" s="44">
        <f t="shared" si="137"/>
        <v>0</v>
      </c>
      <c r="AF74" s="45"/>
      <c r="AG74" s="46" t="e">
        <f t="shared" si="121"/>
        <v>#DIV/0!</v>
      </c>
      <c r="AH74" s="47" t="e">
        <f t="shared" si="122"/>
        <v>#DIV/0!</v>
      </c>
      <c r="AI74" s="45"/>
      <c r="AJ74" s="46" t="e">
        <f t="shared" si="123"/>
        <v>#DIV/0!</v>
      </c>
      <c r="AK74" s="47" t="e">
        <f t="shared" si="124"/>
        <v>#DIV/0!</v>
      </c>
      <c r="AL74" s="45"/>
      <c r="AM74" s="46" t="e">
        <f t="shared" si="138"/>
        <v>#DIV/0!</v>
      </c>
      <c r="AN74" s="47" t="e">
        <f t="shared" si="139"/>
        <v>#DIV/0!</v>
      </c>
      <c r="AO74" s="45"/>
      <c r="AP74" s="46" t="e">
        <f t="shared" si="140"/>
        <v>#DIV/0!</v>
      </c>
      <c r="AQ74" s="47" t="e">
        <f t="shared" si="141"/>
        <v>#DIV/0!</v>
      </c>
      <c r="AR74" s="45"/>
      <c r="AS74" s="46">
        <f t="shared" si="142"/>
        <v>0</v>
      </c>
      <c r="AT74" s="47">
        <f t="shared" si="143"/>
        <v>0</v>
      </c>
      <c r="AU74" s="45"/>
      <c r="AV74" s="46" t="e">
        <f t="shared" si="125"/>
        <v>#DIV/0!</v>
      </c>
      <c r="AW74" s="47" t="e">
        <f t="shared" si="126"/>
        <v>#DIV/0!</v>
      </c>
      <c r="AX74" s="45"/>
      <c r="AY74" s="46">
        <f t="shared" si="127"/>
        <v>0</v>
      </c>
      <c r="AZ74" s="47">
        <f t="shared" si="128"/>
        <v>0</v>
      </c>
      <c r="BA74" s="48" t="e">
        <f t="shared" si="129"/>
        <v>#DIV/0!</v>
      </c>
    </row>
    <row r="75" spans="1:53" ht="16" thickBot="1">
      <c r="A75" s="3"/>
      <c r="B75" s="6"/>
      <c r="C75" s="6"/>
      <c r="D75" s="6"/>
      <c r="E75" s="6"/>
      <c r="F75" s="49">
        <f>SUM(F8:F74)</f>
        <v>733.33</v>
      </c>
      <c r="G75" s="6"/>
      <c r="H75" s="6"/>
      <c r="I75" s="6"/>
      <c r="J75" s="6"/>
      <c r="K75" s="63"/>
      <c r="L75" s="50">
        <f>SUM(L8:L74)</f>
        <v>0</v>
      </c>
      <c r="M75" s="50">
        <f>SUM(M8:M74)</f>
        <v>0</v>
      </c>
      <c r="N75" s="50">
        <f>SUM(N8:N74)</f>
        <v>0</v>
      </c>
      <c r="O75" s="50">
        <f>SUM(O8:O74)</f>
        <v>0</v>
      </c>
      <c r="P75" s="50">
        <f>SUM(P8:P74)</f>
        <v>0</v>
      </c>
      <c r="Q75" s="51"/>
      <c r="R75" s="50">
        <f>SUM(R8:R74)</f>
        <v>0</v>
      </c>
      <c r="S75" s="52"/>
      <c r="T75" s="50">
        <f>SUM(T8:T74)</f>
        <v>0</v>
      </c>
      <c r="U75" s="50">
        <f>SUM(U8:U74)</f>
        <v>0</v>
      </c>
      <c r="V75" s="50">
        <f>SUM(V8:V74)</f>
        <v>0</v>
      </c>
      <c r="W75" s="50">
        <f>SUM(W8:W74)</f>
        <v>0</v>
      </c>
      <c r="X75" s="53"/>
      <c r="Y75" s="53"/>
      <c r="Z75" s="53"/>
      <c r="AA75" s="50">
        <f>SUM(AA8:AA74)</f>
        <v>0</v>
      </c>
      <c r="AB75" s="60"/>
      <c r="AC75" s="50">
        <f>SUM(AC8:AC74)</f>
        <v>0</v>
      </c>
      <c r="AD75" s="60"/>
      <c r="AE75" s="50">
        <f>SUM(AE8:AE74)</f>
        <v>0</v>
      </c>
      <c r="AF75" s="54">
        <f>SUM(AF8:AF74)</f>
        <v>0</v>
      </c>
      <c r="AG75" s="54"/>
      <c r="AH75" s="55" t="e">
        <f>SUM(AH8:AH74)</f>
        <v>#DIV/0!</v>
      </c>
      <c r="AI75" s="54">
        <f>SUM(AI8:AI74)</f>
        <v>149.22999999999999</v>
      </c>
      <c r="AJ75" s="54"/>
      <c r="AK75" s="55" t="e">
        <f>SUM(AK8:AK74)</f>
        <v>#DIV/0!</v>
      </c>
      <c r="AL75" s="54">
        <f>SUM(AL8:AL74)</f>
        <v>733.33</v>
      </c>
      <c r="AM75" s="54"/>
      <c r="AN75" s="55" t="e">
        <f>SUM(AN8:AN74)</f>
        <v>#DIV/0!</v>
      </c>
      <c r="AO75" s="54">
        <f>SUM(AO8:AO74)</f>
        <v>0</v>
      </c>
      <c r="AP75" s="54"/>
      <c r="AQ75" s="55" t="e">
        <f>SUM(AQ8:AQ74)</f>
        <v>#DIV/0!</v>
      </c>
      <c r="AR75" s="54">
        <f>SUM(AR8:AR74)</f>
        <v>0</v>
      </c>
      <c r="AS75" s="54"/>
      <c r="AT75" s="55">
        <f>SUM(AT8:AT74)</f>
        <v>0</v>
      </c>
      <c r="AU75" s="54">
        <f>SUM(AU8:AU74)</f>
        <v>733.33</v>
      </c>
      <c r="AV75" s="54"/>
      <c r="AW75" s="55" t="e">
        <f>SUM(AW8:AW74)</f>
        <v>#DIV/0!</v>
      </c>
      <c r="AX75" s="54">
        <f>SUM(AX8:AX74)</f>
        <v>0</v>
      </c>
      <c r="AY75" s="54"/>
      <c r="AZ75" s="55">
        <f>SUM(AZ8:AZ74)</f>
        <v>0</v>
      </c>
      <c r="BA75" s="56" t="e">
        <f>SUM(BA8:BA74)</f>
        <v>#DIV/0!</v>
      </c>
    </row>
    <row r="76" spans="1:53" ht="16" hidden="1" thickBot="1">
      <c r="AA76" s="390">
        <f>SUM(AA75:AE75)</f>
        <v>0</v>
      </c>
      <c r="AB76" s="391"/>
      <c r="AC76" s="391"/>
      <c r="AD76" s="391"/>
      <c r="AE76" s="392"/>
      <c r="AF76" s="385" t="e">
        <f>+AH75/4.345</f>
        <v>#DIV/0!</v>
      </c>
      <c r="AG76" s="385"/>
      <c r="AH76" s="385"/>
      <c r="AI76" s="385" t="e">
        <f>+AK75/4.345</f>
        <v>#DIV/0!</v>
      </c>
      <c r="AJ76" s="385"/>
      <c r="AK76" s="385"/>
      <c r="AL76" s="385" t="e">
        <f>+AN75/4.345</f>
        <v>#DIV/0!</v>
      </c>
      <c r="AM76" s="385"/>
      <c r="AN76" s="385"/>
      <c r="AO76" s="385" t="e">
        <f>+AQ75/4.345</f>
        <v>#DIV/0!</v>
      </c>
      <c r="AP76" s="385"/>
      <c r="AQ76" s="385"/>
      <c r="AR76" s="385">
        <f>+AT75/4.345</f>
        <v>0</v>
      </c>
      <c r="AS76" s="385"/>
      <c r="AT76" s="385"/>
      <c r="AU76" s="385" t="e">
        <f>+AW75/4.345</f>
        <v>#DIV/0!</v>
      </c>
      <c r="AV76" s="385"/>
      <c r="AW76" s="385"/>
      <c r="AX76" s="385">
        <f>+AZ75/4.345</f>
        <v>0</v>
      </c>
      <c r="AY76" s="385"/>
      <c r="AZ76" s="385"/>
      <c r="BA76" s="386" t="s">
        <v>12</v>
      </c>
    </row>
    <row r="77" spans="1:53" ht="17" thickTop="1" thickBot="1">
      <c r="AF77" s="388" t="s">
        <v>11</v>
      </c>
      <c r="AG77" s="388"/>
      <c r="AH77" s="388"/>
      <c r="AI77" s="388"/>
      <c r="AJ77" s="388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  <c r="AW77" s="388"/>
      <c r="AX77" s="388"/>
      <c r="AY77" s="388"/>
      <c r="AZ77" s="389"/>
      <c r="BA77" s="387"/>
    </row>
    <row r="79" spans="1:53">
      <c r="J79" s="57"/>
    </row>
  </sheetData>
  <sheetProtection algorithmName="SHA-512" hashValue="hUaretqfrqwYeAcjv35PePpuh7Qb9b3w8Y2ofAScDOfT4q9I8Fel+A7jsUb4fHTVv70EhvgbdPvdX4rJMKKPxA==" saltValue="iA2iPksrQ4Cmm4lNvLlogA==" spinCount="100000" sheet="1" selectLockedCells="1" autoFilter="0"/>
  <autoFilter ref="B7:BA76" xr:uid="{00000000-0009-0000-0000-000003000000}">
    <filterColumn colId="4">
      <customFilters>
        <customFilter operator="notEqual" val=" "/>
      </customFilters>
    </filterColumn>
  </autoFilter>
  <mergeCells count="42">
    <mergeCell ref="B1:C1"/>
    <mergeCell ref="B3:D3"/>
    <mergeCell ref="AF3:AH3"/>
    <mergeCell ref="AI3:AK3"/>
    <mergeCell ref="AL3:AN3"/>
    <mergeCell ref="AX3:AZ3"/>
    <mergeCell ref="AF4:AF5"/>
    <mergeCell ref="AG4:AG5"/>
    <mergeCell ref="AH4:AH5"/>
    <mergeCell ref="AI4:AI5"/>
    <mergeCell ref="AJ4:AJ5"/>
    <mergeCell ref="AK4:AK5"/>
    <mergeCell ref="AL4:AL5"/>
    <mergeCell ref="AO3:AQ3"/>
    <mergeCell ref="AP4:AP5"/>
    <mergeCell ref="AQ4:AQ5"/>
    <mergeCell ref="AR4:AR5"/>
    <mergeCell ref="AR3:AT3"/>
    <mergeCell ref="AU3:AW3"/>
    <mergeCell ref="AY4:AY5"/>
    <mergeCell ref="AZ4:AZ5"/>
    <mergeCell ref="BA4:BA5"/>
    <mergeCell ref="X5:AE5"/>
    <mergeCell ref="AS4:AS5"/>
    <mergeCell ref="AT4:AT5"/>
    <mergeCell ref="AU4:AU5"/>
    <mergeCell ref="AV4:AV5"/>
    <mergeCell ref="AW4:AW5"/>
    <mergeCell ref="AX4:AX5"/>
    <mergeCell ref="AM4:AM5"/>
    <mergeCell ref="AN4:AN5"/>
    <mergeCell ref="AO4:AO5"/>
    <mergeCell ref="AU76:AW76"/>
    <mergeCell ref="AX76:AZ76"/>
    <mergeCell ref="BA76:BA77"/>
    <mergeCell ref="AF77:AZ77"/>
    <mergeCell ref="AA76:AE76"/>
    <mergeCell ref="AF76:AH76"/>
    <mergeCell ref="AI76:AK76"/>
    <mergeCell ref="AL76:AN76"/>
    <mergeCell ref="AO76:AQ76"/>
    <mergeCell ref="AR76:AT76"/>
  </mergeCells>
  <hyperlinks>
    <hyperlink ref="B1:C1" location="Inici!A1" display="Inici" xr:uid="{00000000-0004-0000-0300-000000000000}"/>
  </hyperlinks>
  <printOptions horizontalCentered="1"/>
  <pageMargins left="0.19" right="0.19" top="0.74803149606299213" bottom="0.74803149606299213" header="0.31496062992125984" footer="0.31496062992125984"/>
  <pageSetup paperSize="9" scale="45" fitToHeight="3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ERROR" xr:uid="{00000000-0002-0000-0300-000000000000}">
          <x14:formula1>
            <xm:f>Tablas!$B$5:$B$40</xm:f>
          </x14:formula1>
          <xm:sqref>H8:H74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7913-E0F6-8D4A-9E90-7115D6EF7047}">
  <sheetPr filterMode="1">
    <pageSetUpPr fitToPage="1"/>
  </sheetPr>
  <dimension ref="A1:BA79"/>
  <sheetViews>
    <sheetView zoomScale="90" zoomScaleNormal="90" workbookViewId="0">
      <pane xSplit="6" ySplit="7" topLeftCell="AA8" activePane="bottomRight" state="frozen"/>
      <selection activeCell="X8" sqref="X8"/>
      <selection pane="topRight" activeCell="X8" sqref="X8"/>
      <selection pane="bottomLeft" activeCell="X8" sqref="X8"/>
      <selection pane="bottomRight" activeCell="AW4" sqref="AW4:AW5"/>
    </sheetView>
  </sheetViews>
  <sheetFormatPr baseColWidth="10" defaultColWidth="11.5" defaultRowHeight="15"/>
  <cols>
    <col min="1" max="1" width="2.83203125" style="2" customWidth="1"/>
    <col min="2" max="2" width="25.83203125" style="2" customWidth="1"/>
    <col min="3" max="3" width="10.33203125" style="2" bestFit="1" customWidth="1"/>
    <col min="4" max="4" width="22.5" style="2" bestFit="1" customWidth="1"/>
    <col min="5" max="5" width="16.5" style="2" customWidth="1"/>
    <col min="6" max="6" width="13.1640625" style="2" customWidth="1"/>
    <col min="7" max="7" width="13.5" style="2" customWidth="1"/>
    <col min="8" max="8" width="10" style="2" customWidth="1"/>
    <col min="9" max="9" width="12.5" style="2" hidden="1" customWidth="1"/>
    <col min="10" max="10" width="5.5" style="2" hidden="1" customWidth="1"/>
    <col min="11" max="11" width="7" style="2" bestFit="1" customWidth="1"/>
    <col min="12" max="12" width="8.1640625" style="2" bestFit="1" customWidth="1"/>
    <col min="13" max="13" width="8.5" style="2" customWidth="1"/>
    <col min="14" max="14" width="9.33203125" style="2" customWidth="1"/>
    <col min="15" max="16" width="8.5" style="2" customWidth="1"/>
    <col min="17" max="20" width="8.5" style="2" hidden="1" customWidth="1"/>
    <col min="21" max="21" width="9.33203125" style="2" customWidth="1"/>
    <col min="22" max="22" width="9.1640625" style="2" bestFit="1" customWidth="1"/>
    <col min="23" max="23" width="11" style="2" bestFit="1" customWidth="1"/>
    <col min="24" max="24" width="7" style="2" customWidth="1"/>
    <col min="25" max="25" width="4.1640625" style="2" bestFit="1" customWidth="1"/>
    <col min="26" max="26" width="5" style="2" bestFit="1" customWidth="1"/>
    <col min="27" max="27" width="8.1640625" style="2" bestFit="1" customWidth="1"/>
    <col min="28" max="28" width="7.33203125" style="2" customWidth="1"/>
    <col min="29" max="29" width="8.1640625" style="2" bestFit="1" customWidth="1"/>
    <col min="30" max="30" width="7.33203125" style="2" customWidth="1"/>
    <col min="31" max="31" width="6.5" style="2" bestFit="1" customWidth="1"/>
    <col min="32" max="32" width="7.6640625" style="2" bestFit="1" customWidth="1"/>
    <col min="33" max="33" width="5.5" style="2" bestFit="1" customWidth="1"/>
    <col min="34" max="34" width="10.33203125" style="2" bestFit="1" customWidth="1"/>
    <col min="35" max="35" width="8.6640625" style="2" bestFit="1" customWidth="1"/>
    <col min="36" max="36" width="6.1640625" style="2" bestFit="1" customWidth="1"/>
    <col min="37" max="37" width="10.33203125" style="2" bestFit="1" customWidth="1"/>
    <col min="38" max="38" width="8.5" style="2" bestFit="1" customWidth="1"/>
    <col min="39" max="39" width="7" style="2" bestFit="1" customWidth="1"/>
    <col min="40" max="40" width="9.5" style="2" bestFit="1" customWidth="1"/>
    <col min="41" max="41" width="8.1640625" style="2" customWidth="1"/>
    <col min="42" max="42" width="6.1640625" style="2" customWidth="1"/>
    <col min="43" max="43" width="9.5" style="2" customWidth="1"/>
    <col min="44" max="44" width="7" style="2" hidden="1" customWidth="1"/>
    <col min="45" max="45" width="5.6640625" style="2" hidden="1" customWidth="1"/>
    <col min="46" max="46" width="9.5" style="2" hidden="1" customWidth="1"/>
    <col min="47" max="47" width="8.6640625" style="2" customWidth="1"/>
    <col min="48" max="48" width="7" style="2" customWidth="1"/>
    <col min="49" max="49" width="9.5" style="2" customWidth="1"/>
    <col min="50" max="50" width="8.6640625" style="2" hidden="1" customWidth="1"/>
    <col min="51" max="51" width="6.33203125" style="2" hidden="1" customWidth="1"/>
    <col min="52" max="52" width="9.5" style="2" hidden="1" customWidth="1"/>
    <col min="53" max="53" width="13.6640625" style="2" bestFit="1" customWidth="1"/>
    <col min="54" max="16384" width="11.5" style="2"/>
  </cols>
  <sheetData>
    <row r="1" spans="1:53" ht="34" thickBot="1">
      <c r="A1" s="7"/>
      <c r="B1" s="401" t="s">
        <v>345</v>
      </c>
      <c r="C1" s="401"/>
      <c r="E1" s="8" t="str">
        <f>+'1'!E1</f>
        <v>Estudi Tecnic Ajuntament de Sant Feliu de Codines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 t="str">
        <f>+'Resum Estudi'!E6</f>
        <v>Escola Bressol Mestre Jane</v>
      </c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6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6" thickBot="1">
      <c r="A2" s="7"/>
      <c r="B2" s="10"/>
      <c r="C2" s="11"/>
      <c r="D2" s="11"/>
      <c r="E2" s="1"/>
      <c r="F2" s="11"/>
      <c r="G2" s="11"/>
      <c r="H2" s="11"/>
      <c r="I2" s="11"/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1"/>
      <c r="X2" s="11"/>
      <c r="Y2" s="11"/>
      <c r="Z2" s="11"/>
      <c r="AA2" s="11"/>
      <c r="AB2" s="11"/>
      <c r="AC2" s="11"/>
      <c r="AD2" s="11"/>
      <c r="AE2" s="1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30.75" customHeight="1" thickBot="1">
      <c r="A3" s="7"/>
      <c r="B3" s="374" t="str">
        <f>+'1'!B3:D3</f>
        <v>Annex 4</v>
      </c>
      <c r="C3" s="374"/>
      <c r="D3" s="374"/>
      <c r="E3" s="13"/>
      <c r="F3" s="14"/>
      <c r="G3" s="14"/>
      <c r="H3" s="14"/>
      <c r="I3" s="14"/>
      <c r="J3" s="15"/>
      <c r="K3" s="12"/>
      <c r="L3" s="12"/>
      <c r="M3" s="12"/>
      <c r="N3" s="12"/>
      <c r="O3" s="12"/>
      <c r="P3" s="12"/>
      <c r="Q3" s="12"/>
      <c r="R3" s="12"/>
      <c r="S3" s="12"/>
      <c r="T3" s="12"/>
      <c r="U3" s="16"/>
      <c r="V3" s="12"/>
      <c r="W3" s="58" t="s">
        <v>21</v>
      </c>
      <c r="X3" s="62"/>
      <c r="Y3" s="62"/>
      <c r="Z3" s="62"/>
      <c r="AA3" s="62"/>
      <c r="AB3" s="62"/>
      <c r="AC3" s="62"/>
      <c r="AD3" s="62"/>
      <c r="AE3" s="62"/>
      <c r="AF3" s="375" t="s">
        <v>399</v>
      </c>
      <c r="AG3" s="375"/>
      <c r="AH3" s="375"/>
      <c r="AI3" s="375" t="s">
        <v>400</v>
      </c>
      <c r="AJ3" s="375"/>
      <c r="AK3" s="375"/>
      <c r="AL3" s="375" t="s">
        <v>402</v>
      </c>
      <c r="AM3" s="375"/>
      <c r="AN3" s="375"/>
      <c r="AO3" s="375" t="s">
        <v>340</v>
      </c>
      <c r="AP3" s="375"/>
      <c r="AQ3" s="375"/>
      <c r="AR3" s="375" t="s">
        <v>339</v>
      </c>
      <c r="AS3" s="375"/>
      <c r="AT3" s="375"/>
      <c r="AU3" s="375" t="s">
        <v>403</v>
      </c>
      <c r="AV3" s="375"/>
      <c r="AW3" s="375"/>
      <c r="AX3" s="376" t="s">
        <v>338</v>
      </c>
      <c r="AY3" s="376"/>
      <c r="AZ3" s="376"/>
      <c r="BA3" s="17" t="s">
        <v>12</v>
      </c>
    </row>
    <row r="4" spans="1:53" ht="15.75" customHeight="1" thickBot="1">
      <c r="A4" s="7"/>
      <c r="B4" s="10"/>
      <c r="C4" s="11"/>
      <c r="D4" s="11"/>
      <c r="E4" s="11"/>
      <c r="F4" s="11"/>
      <c r="G4" s="11"/>
      <c r="H4" s="11"/>
      <c r="I4" s="11"/>
      <c r="J4" s="6"/>
      <c r="K4" s="18" t="s">
        <v>1</v>
      </c>
      <c r="L4" s="19">
        <f t="shared" ref="L4:V4" si="0">+L75</f>
        <v>0</v>
      </c>
      <c r="M4" s="19">
        <f t="shared" si="0"/>
        <v>0</v>
      </c>
      <c r="N4" s="19">
        <f t="shared" si="0"/>
        <v>0</v>
      </c>
      <c r="O4" s="19">
        <f t="shared" si="0"/>
        <v>0</v>
      </c>
      <c r="P4" s="19">
        <f t="shared" si="0"/>
        <v>0</v>
      </c>
      <c r="Q4" s="19">
        <f t="shared" si="0"/>
        <v>0</v>
      </c>
      <c r="R4" s="19">
        <f t="shared" si="0"/>
        <v>0</v>
      </c>
      <c r="S4" s="19">
        <f t="shared" si="0"/>
        <v>0</v>
      </c>
      <c r="T4" s="19">
        <f t="shared" si="0"/>
        <v>0</v>
      </c>
      <c r="U4" s="19">
        <f t="shared" si="0"/>
        <v>0</v>
      </c>
      <c r="V4" s="19">
        <f t="shared" si="0"/>
        <v>0</v>
      </c>
      <c r="W4" s="20">
        <f>+'Resum Estudi'!I6</f>
        <v>11.25</v>
      </c>
      <c r="X4" s="21"/>
      <c r="Y4" s="21"/>
      <c r="Z4" s="21"/>
      <c r="AA4" s="21"/>
      <c r="AB4" s="21"/>
      <c r="AC4" s="21"/>
      <c r="AD4" s="21"/>
      <c r="AE4" s="21"/>
      <c r="AF4" s="377" t="s">
        <v>14</v>
      </c>
      <c r="AG4" s="378">
        <v>2</v>
      </c>
      <c r="AH4" s="397"/>
      <c r="AI4" s="399" t="s">
        <v>14</v>
      </c>
      <c r="AJ4" s="395">
        <v>2</v>
      </c>
      <c r="AK4" s="397"/>
      <c r="AL4" s="399" t="s">
        <v>14</v>
      </c>
      <c r="AM4" s="395">
        <v>1</v>
      </c>
      <c r="AN4" s="397"/>
      <c r="AO4" s="399" t="s">
        <v>14</v>
      </c>
      <c r="AP4" s="395">
        <v>1</v>
      </c>
      <c r="AQ4" s="397"/>
      <c r="AR4" s="399" t="s">
        <v>14</v>
      </c>
      <c r="AS4" s="395">
        <v>1</v>
      </c>
      <c r="AT4" s="397">
        <f>+'1'!AT4</f>
        <v>1000</v>
      </c>
      <c r="AU4" s="399" t="s">
        <v>14</v>
      </c>
      <c r="AV4" s="395">
        <v>1</v>
      </c>
      <c r="AW4" s="397"/>
      <c r="AX4" s="399" t="s">
        <v>14</v>
      </c>
      <c r="AY4" s="395">
        <v>1</v>
      </c>
      <c r="AZ4" s="397">
        <f>+'1'!AZ4</f>
        <v>1000</v>
      </c>
      <c r="BA4" s="393" t="e">
        <f>BA75</f>
        <v>#DIV/0!</v>
      </c>
    </row>
    <row r="5" spans="1:53" ht="15.75" customHeight="1" thickBot="1">
      <c r="A5" s="7"/>
      <c r="B5" s="10"/>
      <c r="C5" s="11"/>
      <c r="D5" s="11"/>
      <c r="E5" s="11"/>
      <c r="F5" s="11"/>
      <c r="G5" s="11"/>
      <c r="H5" s="11"/>
      <c r="I5" s="11"/>
      <c r="J5" s="1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381" t="s">
        <v>342</v>
      </c>
      <c r="Y5" s="382"/>
      <c r="Z5" s="383"/>
      <c r="AA5" s="383"/>
      <c r="AB5" s="382"/>
      <c r="AC5" s="382"/>
      <c r="AD5" s="382"/>
      <c r="AE5" s="384"/>
      <c r="AF5" s="377"/>
      <c r="AG5" s="378"/>
      <c r="AH5" s="398"/>
      <c r="AI5" s="400"/>
      <c r="AJ5" s="396"/>
      <c r="AK5" s="398"/>
      <c r="AL5" s="400"/>
      <c r="AM5" s="396"/>
      <c r="AN5" s="398"/>
      <c r="AO5" s="400"/>
      <c r="AP5" s="396"/>
      <c r="AQ5" s="398"/>
      <c r="AR5" s="400"/>
      <c r="AS5" s="396"/>
      <c r="AT5" s="398"/>
      <c r="AU5" s="400"/>
      <c r="AV5" s="396"/>
      <c r="AW5" s="398"/>
      <c r="AX5" s="400"/>
      <c r="AY5" s="396"/>
      <c r="AZ5" s="398"/>
      <c r="BA5" s="394"/>
    </row>
    <row r="6" spans="1:53" ht="30.75" customHeight="1" thickBot="1">
      <c r="A6" s="22"/>
      <c r="B6" s="303" t="s">
        <v>360</v>
      </c>
      <c r="C6" s="303" t="s">
        <v>15</v>
      </c>
      <c r="D6" s="303" t="s">
        <v>13</v>
      </c>
      <c r="E6" s="303" t="s">
        <v>361</v>
      </c>
      <c r="F6" s="303" t="s">
        <v>16</v>
      </c>
      <c r="G6" s="303" t="s">
        <v>404</v>
      </c>
      <c r="H6" s="303" t="s">
        <v>393</v>
      </c>
      <c r="I6" s="303"/>
      <c r="J6" s="303"/>
      <c r="K6" s="303" t="s">
        <v>394</v>
      </c>
      <c r="L6" s="303" t="s">
        <v>370</v>
      </c>
      <c r="M6" s="303" t="s">
        <v>371</v>
      </c>
      <c r="N6" s="303" t="s">
        <v>372</v>
      </c>
      <c r="O6" s="303" t="s">
        <v>373</v>
      </c>
      <c r="P6" s="303" t="s">
        <v>374</v>
      </c>
      <c r="Q6" s="303"/>
      <c r="R6" s="303" t="s">
        <v>375</v>
      </c>
      <c r="S6" s="303"/>
      <c r="T6" s="303" t="s">
        <v>376</v>
      </c>
      <c r="U6" s="303" t="s">
        <v>380</v>
      </c>
      <c r="V6" s="303" t="s">
        <v>381</v>
      </c>
      <c r="W6" s="303" t="s">
        <v>396</v>
      </c>
      <c r="X6" s="303" t="s">
        <v>17</v>
      </c>
      <c r="Y6" s="303" t="s">
        <v>397</v>
      </c>
      <c r="Z6" s="303" t="s">
        <v>398</v>
      </c>
      <c r="AA6" s="303"/>
      <c r="AB6" s="303" t="s">
        <v>378</v>
      </c>
      <c r="AC6" s="303"/>
      <c r="AD6" s="303" t="s">
        <v>379</v>
      </c>
      <c r="AE6" s="303"/>
      <c r="AF6" s="23"/>
      <c r="AG6" s="24" t="s">
        <v>19</v>
      </c>
      <c r="AH6" s="25" t="s">
        <v>401</v>
      </c>
      <c r="AI6" s="293"/>
      <c r="AJ6" s="24" t="s">
        <v>19</v>
      </c>
      <c r="AK6" s="25" t="s">
        <v>401</v>
      </c>
      <c r="AL6" s="293"/>
      <c r="AM6" s="24" t="s">
        <v>19</v>
      </c>
      <c r="AN6" s="25" t="s">
        <v>401</v>
      </c>
      <c r="AO6" s="293"/>
      <c r="AP6" s="24" t="s">
        <v>19</v>
      </c>
      <c r="AQ6" s="25" t="s">
        <v>341</v>
      </c>
      <c r="AR6" s="293"/>
      <c r="AS6" s="24" t="s">
        <v>19</v>
      </c>
      <c r="AT6" s="25" t="s">
        <v>341</v>
      </c>
      <c r="AU6" s="293"/>
      <c r="AV6" s="24" t="s">
        <v>19</v>
      </c>
      <c r="AW6" s="25" t="s">
        <v>341</v>
      </c>
      <c r="AX6" s="293"/>
      <c r="AY6" s="24" t="s">
        <v>19</v>
      </c>
      <c r="AZ6" s="25" t="s">
        <v>341</v>
      </c>
      <c r="BA6" s="26" t="s">
        <v>12</v>
      </c>
    </row>
    <row r="7" spans="1:53">
      <c r="A7" s="22"/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27"/>
      <c r="AG7" s="28"/>
      <c r="AH7" s="29"/>
      <c r="AI7" s="27"/>
      <c r="AJ7" s="28"/>
      <c r="AK7" s="29"/>
      <c r="AL7" s="27"/>
      <c r="AM7" s="28"/>
      <c r="AN7" s="29"/>
      <c r="AO7" s="27"/>
      <c r="AP7" s="28"/>
      <c r="AQ7" s="29"/>
      <c r="AR7" s="27"/>
      <c r="AS7" s="28"/>
      <c r="AT7" s="29"/>
      <c r="AU7" s="27"/>
      <c r="AV7" s="28"/>
      <c r="AW7" s="29"/>
      <c r="AX7" s="27"/>
      <c r="AY7" s="28"/>
      <c r="AZ7" s="29"/>
      <c r="BA7" s="59"/>
    </row>
    <row r="8" spans="1:53">
      <c r="A8" s="30">
        <v>3</v>
      </c>
      <c r="B8" s="31" t="s">
        <v>482</v>
      </c>
      <c r="C8" s="31" t="s">
        <v>415</v>
      </c>
      <c r="D8" s="469" t="s">
        <v>435</v>
      </c>
      <c r="E8" s="32" t="s">
        <v>503</v>
      </c>
      <c r="F8" s="33">
        <v>25.02</v>
      </c>
      <c r="G8" s="74"/>
      <c r="H8" s="70" t="s">
        <v>20</v>
      </c>
      <c r="I8" s="77">
        <f>IF(H8=Tablas!$B$5,Tablas!$C$5,VLOOKUP(H8,Tablas!$B$5:$D$40,2,FALSE))</f>
        <v>19</v>
      </c>
      <c r="J8" s="65">
        <f>IF(I8=0,"",VLOOKUP(I8,Tablas!$C$5:$D$40,2,FALSE))</f>
        <v>21.726190476190478</v>
      </c>
      <c r="K8" s="34" t="str">
        <f>IF(G8=0,"0",F8/G8)</f>
        <v>0</v>
      </c>
      <c r="L8" s="35">
        <f t="shared" ref="L8:L71" si="1">IF($X8=3,$K8,0)+IF($X8=4,$K8,0)+IF($X8=5,$K8,0)+IF($X8=6,$K8,0)+IF($X8=7,$K8,0)+IF($X8=10,$K8*2,0)+IF($X8=12,$K8*2,0)+IF($X8=14,$K8*2,0)+IF($X8=21,$K8*3,0)+IF($X8&lt;=1,$K8*$J8/21.75,0)+IF($X8=15,$K8*3,0)</f>
        <v>0</v>
      </c>
      <c r="M8" s="35">
        <f t="shared" ref="M8:M71" si="2">IF($X8=2,$K8,0)+IF($X8=4,$K8,0)+IF($X8=5,$K8,0)+IF($X8=6,$K8,0)+IF($X8=7,$K8,0)+IF($X8=10,$K8*2,0)+IF($X8=12,$K8*2,0)+IF($X8=14,$K8*2,0)+IF($X8=15,$K8*3,0)+IF($X8=21,$K8*3,0)+IF($X8&lt;=1,$K8*$J8/21.75,0)</f>
        <v>0</v>
      </c>
      <c r="N8" s="35">
        <f t="shared" ref="N8:N71" si="3">IF($X8=3,$K8,0)+IF($X8=4,$K8,0)+IF($X8=5,$K8,0)+IF($X8=6,$K8,0)+IF($X8=7,$K8,0)+IF($X8=10,$K8*2,0)+IF($X8=12,$K8*2,0)+IF($X8=14,$K8*2,0)+IF($X8=21,$K8*3,0)+IF($X8&lt;=1,$K8*$J8/21.75,0)+IF($X8=15,$K8*3,0)</f>
        <v>0</v>
      </c>
      <c r="O8" s="35">
        <f t="shared" ref="O8:O71" si="4">IF($X8=2,$K8,0)+IF($X8=4,$K8,0)+IF($X8=5,$K8,0)+IF($X8=6,$K8,0)+IF($X8=7,$K8,0)+IF($X8=10,$K8*2,0)+IF($X8=12,$K8*2,0)+IF($X8=14,$K8*2,0)+IF($X8=15,$K8*3,0)+IF($X8=21,$K8*3,0)+IF($X8&lt;=1,$K8*$J8/21.75,0)</f>
        <v>0</v>
      </c>
      <c r="P8" s="35">
        <f t="shared" ref="P8:P71" si="5">IF($X8=3,$K8,0)+IF($X8=4,$K8,0)+IF($X8=5,$K8,0)+IF($X8=6,$K8,0)+IF($X8=7,$K8,0)+IF($X8=10,$K8*2,0)+IF($X8=12,$K8*2,0)+IF($X8=14,$K8*2,0)+IF($X8=21,$K8*3,0)+IF($X8&lt;=1,$K8*$J8/21.75,0)+IF($X8=15,$K8*3,0)</f>
        <v>0</v>
      </c>
      <c r="Q8" s="36">
        <v>0.75</v>
      </c>
      <c r="R8" s="37">
        <f t="shared" ref="R8:R71" si="6">(IF($X8=6,$K8,)+IF($X8=7,$K8,)+IF($X8=12,$K8*2,)+IF($X8=18,$K8*3,)+IF($X8=21,$K8*3,)+IF($X8=14,$K8*2,))*Q8</f>
        <v>0</v>
      </c>
      <c r="S8" s="36">
        <v>0.75</v>
      </c>
      <c r="T8" s="38">
        <f t="shared" ref="T8:T71" si="7">(IF($X8=7,$K8,)+IF($X8=21,$K8*3,)+IF($X8=14,$K8*2,))*S8</f>
        <v>0</v>
      </c>
      <c r="U8" s="39">
        <f t="shared" ref="U8:U71" si="8">SUM(+L8+M8+N8+O8+P8+R8+T8)</f>
        <v>0</v>
      </c>
      <c r="V8" s="40">
        <f t="shared" ref="V8:V71" si="9">+U8*4.345</f>
        <v>0</v>
      </c>
      <c r="W8" s="41">
        <f t="shared" ref="W8:W71" si="10">IF(V8="","",$W$4*V8)</f>
        <v>0</v>
      </c>
      <c r="X8" s="42">
        <f t="shared" ref="X8:X71" si="11">ROUND(J8/4.3452380952381,1)</f>
        <v>5</v>
      </c>
      <c r="Y8" s="43" t="s">
        <v>395</v>
      </c>
      <c r="Z8" s="36">
        <v>1</v>
      </c>
      <c r="AA8" s="44">
        <f t="shared" ref="AA8:AA71" si="12">+IF($Y8="M",$U8,IF($Y8="MT",$U8/2,IF(Y8="MN",$U8/2,IF($Y8="MTN",$U8/3,0))))*Z8</f>
        <v>0</v>
      </c>
      <c r="AB8" s="36">
        <v>1</v>
      </c>
      <c r="AC8" s="44">
        <f t="shared" ref="AC8:AC71" si="13">+IF($Y8="T",$U8,IF($Y8="MT",$U8/2,IF($Y8="TN",$U8/2,IF($Y8="MTN",$U8/3,0))))*AB8</f>
        <v>0</v>
      </c>
      <c r="AD8" s="36">
        <v>1</v>
      </c>
      <c r="AE8" s="44">
        <f t="shared" ref="AE8:AE71" si="14">+IF($Y8="N",$U8,IF($Y8="MN",$U8/2,IF($Y8="TN",$U8/2,IF($Y8="MTN",$U8/3,0))))*AD8</f>
        <v>0</v>
      </c>
      <c r="AF8" s="45"/>
      <c r="AG8" s="46" t="e">
        <f t="shared" ref="AG8:AG71" si="15">+AF8/AH$4</f>
        <v>#DIV/0!</v>
      </c>
      <c r="AH8" s="47" t="e">
        <f t="shared" ref="AH8:AH71" si="16">AG8*AG$4/12</f>
        <v>#DIV/0!</v>
      </c>
      <c r="AI8" s="45">
        <v>12.600000000000001</v>
      </c>
      <c r="AJ8" s="46" t="e">
        <f t="shared" ref="AJ8:AJ71" si="17">+AI8/AK$4</f>
        <v>#DIV/0!</v>
      </c>
      <c r="AK8" s="47" t="e">
        <f t="shared" ref="AK8:AK71" si="18">AJ8*AJ$4/12</f>
        <v>#DIV/0!</v>
      </c>
      <c r="AL8" s="45"/>
      <c r="AM8" s="46" t="e">
        <f t="shared" ref="AM8:AM71" si="19">+AL8/AN$4</f>
        <v>#DIV/0!</v>
      </c>
      <c r="AN8" s="47" t="e">
        <f t="shared" ref="AN8:AN71" si="20">AM8*AM$4/12</f>
        <v>#DIV/0!</v>
      </c>
      <c r="AO8" s="45"/>
      <c r="AP8" s="46" t="e">
        <f t="shared" ref="AP8:AP71" si="21">+AO8/AQ$4</f>
        <v>#DIV/0!</v>
      </c>
      <c r="AQ8" s="47" t="e">
        <f t="shared" ref="AQ8:AQ71" si="22">AP8*AP$4/12</f>
        <v>#DIV/0!</v>
      </c>
      <c r="AR8" s="45"/>
      <c r="AS8" s="46">
        <f t="shared" ref="AS8:AS71" si="23">+AR8/AT$4</f>
        <v>0</v>
      </c>
      <c r="AT8" s="47">
        <f t="shared" ref="AT8:AT71" si="24">AS8*AS$4/12</f>
        <v>0</v>
      </c>
      <c r="AU8" s="45"/>
      <c r="AV8" s="46" t="e">
        <f t="shared" ref="AV8:AV71" si="25">+AU8/AW$4</f>
        <v>#DIV/0!</v>
      </c>
      <c r="AW8" s="47" t="e">
        <f t="shared" ref="AW8:AW71" si="26">AV8*AV$4/12</f>
        <v>#DIV/0!</v>
      </c>
      <c r="AX8" s="45"/>
      <c r="AY8" s="46">
        <f t="shared" ref="AY8:AY71" si="27">+AX8/AZ$4</f>
        <v>0</v>
      </c>
      <c r="AZ8" s="47">
        <f t="shared" ref="AZ8:AZ71" si="28">AY8*AY$4/12</f>
        <v>0</v>
      </c>
      <c r="BA8" s="48" t="e">
        <f t="shared" ref="BA8:BA71" si="29">+AH8+AK8+AN8+AQ8+AT8+AW8+AZ8</f>
        <v>#DIV/0!</v>
      </c>
    </row>
    <row r="9" spans="1:53">
      <c r="A9" s="30">
        <v>3</v>
      </c>
      <c r="B9" s="31" t="s">
        <v>482</v>
      </c>
      <c r="C9" s="31" t="s">
        <v>415</v>
      </c>
      <c r="D9" s="469" t="s">
        <v>483</v>
      </c>
      <c r="E9" s="32" t="s">
        <v>504</v>
      </c>
      <c r="F9" s="33">
        <v>40.97</v>
      </c>
      <c r="G9" s="74"/>
      <c r="H9" s="70" t="s">
        <v>20</v>
      </c>
      <c r="I9" s="77">
        <f>IF(H9=Tablas!$B$5,Tablas!$C$5,VLOOKUP(H9,Tablas!$B$5:$D$40,2,FALSE))</f>
        <v>19</v>
      </c>
      <c r="J9" s="65">
        <f>IF(I9=0,"",VLOOKUP(I9,Tablas!$C$5:$D$40,2,FALSE))</f>
        <v>21.726190476190478</v>
      </c>
      <c r="K9" s="34" t="str">
        <f t="shared" ref="K9:K72" si="30">IF(G9=0,"0",F9/G9)</f>
        <v>0</v>
      </c>
      <c r="L9" s="35">
        <f t="shared" si="1"/>
        <v>0</v>
      </c>
      <c r="M9" s="35">
        <f t="shared" si="2"/>
        <v>0</v>
      </c>
      <c r="N9" s="35">
        <f t="shared" si="3"/>
        <v>0</v>
      </c>
      <c r="O9" s="35">
        <f t="shared" si="4"/>
        <v>0</v>
      </c>
      <c r="P9" s="35">
        <f t="shared" si="5"/>
        <v>0</v>
      </c>
      <c r="Q9" s="36">
        <v>0.75</v>
      </c>
      <c r="R9" s="37">
        <f t="shared" si="6"/>
        <v>0</v>
      </c>
      <c r="S9" s="36">
        <v>0.75</v>
      </c>
      <c r="T9" s="38">
        <f t="shared" si="7"/>
        <v>0</v>
      </c>
      <c r="U9" s="39">
        <f t="shared" si="8"/>
        <v>0</v>
      </c>
      <c r="V9" s="40">
        <f t="shared" si="9"/>
        <v>0</v>
      </c>
      <c r="W9" s="41">
        <f t="shared" si="10"/>
        <v>0</v>
      </c>
      <c r="X9" s="42">
        <f t="shared" si="11"/>
        <v>5</v>
      </c>
      <c r="Y9" s="43" t="s">
        <v>395</v>
      </c>
      <c r="Z9" s="36">
        <v>1</v>
      </c>
      <c r="AA9" s="44">
        <f t="shared" si="12"/>
        <v>0</v>
      </c>
      <c r="AB9" s="36">
        <v>1</v>
      </c>
      <c r="AC9" s="44">
        <f t="shared" si="13"/>
        <v>0</v>
      </c>
      <c r="AD9" s="36">
        <v>1</v>
      </c>
      <c r="AE9" s="44">
        <f t="shared" si="14"/>
        <v>0</v>
      </c>
      <c r="AF9" s="45"/>
      <c r="AG9" s="46" t="e">
        <f t="shared" si="15"/>
        <v>#DIV/0!</v>
      </c>
      <c r="AH9" s="47" t="e">
        <f t="shared" si="16"/>
        <v>#DIV/0!</v>
      </c>
      <c r="AI9" s="45">
        <v>16.5</v>
      </c>
      <c r="AJ9" s="46" t="e">
        <f t="shared" si="17"/>
        <v>#DIV/0!</v>
      </c>
      <c r="AK9" s="47" t="e">
        <f t="shared" si="18"/>
        <v>#DIV/0!</v>
      </c>
      <c r="AL9" s="45">
        <v>40.97</v>
      </c>
      <c r="AM9" s="46" t="e">
        <f t="shared" si="19"/>
        <v>#DIV/0!</v>
      </c>
      <c r="AN9" s="47" t="e">
        <f t="shared" si="20"/>
        <v>#DIV/0!</v>
      </c>
      <c r="AO9" s="45"/>
      <c r="AP9" s="46" t="e">
        <f t="shared" si="21"/>
        <v>#DIV/0!</v>
      </c>
      <c r="AQ9" s="47" t="e">
        <f t="shared" si="22"/>
        <v>#DIV/0!</v>
      </c>
      <c r="AR9" s="45"/>
      <c r="AS9" s="46">
        <f t="shared" si="23"/>
        <v>0</v>
      </c>
      <c r="AT9" s="47">
        <f t="shared" si="24"/>
        <v>0</v>
      </c>
      <c r="AU9" s="45">
        <v>40.97</v>
      </c>
      <c r="AV9" s="46" t="e">
        <f t="shared" si="25"/>
        <v>#DIV/0!</v>
      </c>
      <c r="AW9" s="47" t="e">
        <f t="shared" si="26"/>
        <v>#DIV/0!</v>
      </c>
      <c r="AX9" s="45"/>
      <c r="AY9" s="46">
        <f t="shared" si="27"/>
        <v>0</v>
      </c>
      <c r="AZ9" s="47">
        <f t="shared" si="28"/>
        <v>0</v>
      </c>
      <c r="BA9" s="48" t="e">
        <f t="shared" si="29"/>
        <v>#DIV/0!</v>
      </c>
    </row>
    <row r="10" spans="1:53">
      <c r="A10" s="30">
        <v>3</v>
      </c>
      <c r="B10" s="31" t="s">
        <v>482</v>
      </c>
      <c r="C10" s="31" t="s">
        <v>415</v>
      </c>
      <c r="D10" s="469" t="s">
        <v>484</v>
      </c>
      <c r="E10" s="32" t="s">
        <v>504</v>
      </c>
      <c r="F10" s="33">
        <v>27.72</v>
      </c>
      <c r="G10" s="74"/>
      <c r="H10" s="70" t="s">
        <v>20</v>
      </c>
      <c r="I10" s="77">
        <f>IF(H10=Tablas!$B$5,Tablas!$C$5,VLOOKUP(H10,Tablas!$B$5:$D$40,2,FALSE))</f>
        <v>19</v>
      </c>
      <c r="J10" s="65">
        <f>IF(I10=0,"",VLOOKUP(I10,Tablas!$C$5:$D$40,2,FALSE))</f>
        <v>21.726190476190478</v>
      </c>
      <c r="K10" s="34" t="str">
        <f t="shared" si="30"/>
        <v>0</v>
      </c>
      <c r="L10" s="35">
        <f t="shared" si="1"/>
        <v>0</v>
      </c>
      <c r="M10" s="35">
        <f t="shared" si="2"/>
        <v>0</v>
      </c>
      <c r="N10" s="35">
        <f t="shared" si="3"/>
        <v>0</v>
      </c>
      <c r="O10" s="35">
        <f t="shared" si="4"/>
        <v>0</v>
      </c>
      <c r="P10" s="35">
        <f t="shared" si="5"/>
        <v>0</v>
      </c>
      <c r="Q10" s="36">
        <v>0.75</v>
      </c>
      <c r="R10" s="37">
        <f t="shared" si="6"/>
        <v>0</v>
      </c>
      <c r="S10" s="36">
        <v>0.75</v>
      </c>
      <c r="T10" s="38">
        <f t="shared" si="7"/>
        <v>0</v>
      </c>
      <c r="U10" s="39">
        <f t="shared" si="8"/>
        <v>0</v>
      </c>
      <c r="V10" s="40">
        <f t="shared" si="9"/>
        <v>0</v>
      </c>
      <c r="W10" s="41">
        <f t="shared" si="10"/>
        <v>0</v>
      </c>
      <c r="X10" s="42">
        <f t="shared" si="11"/>
        <v>5</v>
      </c>
      <c r="Y10" s="43" t="s">
        <v>395</v>
      </c>
      <c r="Z10" s="36">
        <v>1</v>
      </c>
      <c r="AA10" s="44">
        <f t="shared" si="12"/>
        <v>0</v>
      </c>
      <c r="AB10" s="36">
        <v>1</v>
      </c>
      <c r="AC10" s="44">
        <f t="shared" si="13"/>
        <v>0</v>
      </c>
      <c r="AD10" s="36">
        <v>1</v>
      </c>
      <c r="AE10" s="44">
        <f t="shared" si="14"/>
        <v>0</v>
      </c>
      <c r="AF10" s="45"/>
      <c r="AG10" s="46" t="e">
        <f t="shared" si="15"/>
        <v>#DIV/0!</v>
      </c>
      <c r="AH10" s="47" t="e">
        <f t="shared" si="16"/>
        <v>#DIV/0!</v>
      </c>
      <c r="AI10" s="45">
        <v>7.1999999999999993</v>
      </c>
      <c r="AJ10" s="46" t="e">
        <f t="shared" si="17"/>
        <v>#DIV/0!</v>
      </c>
      <c r="AK10" s="47" t="e">
        <f t="shared" si="18"/>
        <v>#DIV/0!</v>
      </c>
      <c r="AL10" s="45">
        <v>27.72</v>
      </c>
      <c r="AM10" s="46" t="e">
        <f t="shared" si="19"/>
        <v>#DIV/0!</v>
      </c>
      <c r="AN10" s="47" t="e">
        <f t="shared" si="20"/>
        <v>#DIV/0!</v>
      </c>
      <c r="AO10" s="45"/>
      <c r="AP10" s="46" t="e">
        <f t="shared" si="21"/>
        <v>#DIV/0!</v>
      </c>
      <c r="AQ10" s="47" t="e">
        <f t="shared" si="22"/>
        <v>#DIV/0!</v>
      </c>
      <c r="AR10" s="45"/>
      <c r="AS10" s="46">
        <f t="shared" si="23"/>
        <v>0</v>
      </c>
      <c r="AT10" s="47">
        <f t="shared" si="24"/>
        <v>0</v>
      </c>
      <c r="AU10" s="45">
        <v>27.72</v>
      </c>
      <c r="AV10" s="46" t="e">
        <f t="shared" si="25"/>
        <v>#DIV/0!</v>
      </c>
      <c r="AW10" s="47" t="e">
        <f t="shared" si="26"/>
        <v>#DIV/0!</v>
      </c>
      <c r="AX10" s="45"/>
      <c r="AY10" s="46">
        <f t="shared" si="27"/>
        <v>0</v>
      </c>
      <c r="AZ10" s="47">
        <f t="shared" si="28"/>
        <v>0</v>
      </c>
      <c r="BA10" s="48" t="e">
        <f t="shared" si="29"/>
        <v>#DIV/0!</v>
      </c>
    </row>
    <row r="11" spans="1:53">
      <c r="A11" s="30">
        <v>3</v>
      </c>
      <c r="B11" s="31" t="s">
        <v>482</v>
      </c>
      <c r="C11" s="31" t="s">
        <v>415</v>
      </c>
      <c r="D11" s="469" t="s">
        <v>485</v>
      </c>
      <c r="E11" s="32"/>
      <c r="F11" s="33">
        <v>10.06</v>
      </c>
      <c r="G11" s="74"/>
      <c r="H11" s="70" t="s">
        <v>58</v>
      </c>
      <c r="I11" s="77">
        <f>IF(H11=Tablas!$B$5,Tablas!$C$5,VLOOKUP(H11,Tablas!$B$5:$D$40,2,FALSE))</f>
        <v>29</v>
      </c>
      <c r="J11" s="65">
        <f>IF(I11=0,"",VLOOKUP(I11,Tablas!$C$5:$D$40,2,FALSE))</f>
        <v>1</v>
      </c>
      <c r="K11" s="34" t="str">
        <f t="shared" si="30"/>
        <v>0</v>
      </c>
      <c r="L11" s="35">
        <f t="shared" si="1"/>
        <v>0</v>
      </c>
      <c r="M11" s="35">
        <f t="shared" si="2"/>
        <v>0</v>
      </c>
      <c r="N11" s="35">
        <f t="shared" si="3"/>
        <v>0</v>
      </c>
      <c r="O11" s="35">
        <f t="shared" si="4"/>
        <v>0</v>
      </c>
      <c r="P11" s="35">
        <f t="shared" si="5"/>
        <v>0</v>
      </c>
      <c r="Q11" s="36">
        <v>0.75</v>
      </c>
      <c r="R11" s="37">
        <f t="shared" si="6"/>
        <v>0</v>
      </c>
      <c r="S11" s="36">
        <v>0.75</v>
      </c>
      <c r="T11" s="38">
        <f t="shared" si="7"/>
        <v>0</v>
      </c>
      <c r="U11" s="39">
        <f t="shared" si="8"/>
        <v>0</v>
      </c>
      <c r="V11" s="40">
        <f t="shared" si="9"/>
        <v>0</v>
      </c>
      <c r="W11" s="41">
        <f t="shared" si="10"/>
        <v>0</v>
      </c>
      <c r="X11" s="42">
        <f t="shared" si="11"/>
        <v>0.2</v>
      </c>
      <c r="Y11" s="43" t="s">
        <v>395</v>
      </c>
      <c r="Z11" s="36">
        <v>1</v>
      </c>
      <c r="AA11" s="44">
        <f t="shared" si="12"/>
        <v>0</v>
      </c>
      <c r="AB11" s="36">
        <v>1</v>
      </c>
      <c r="AC11" s="44">
        <f t="shared" si="13"/>
        <v>0</v>
      </c>
      <c r="AD11" s="36">
        <v>1</v>
      </c>
      <c r="AE11" s="44">
        <f t="shared" si="14"/>
        <v>0</v>
      </c>
      <c r="AF11" s="45"/>
      <c r="AG11" s="46" t="e">
        <f t="shared" si="15"/>
        <v>#DIV/0!</v>
      </c>
      <c r="AH11" s="47" t="e">
        <f t="shared" si="16"/>
        <v>#DIV/0!</v>
      </c>
      <c r="AI11" s="45">
        <v>7.1999999999999993</v>
      </c>
      <c r="AJ11" s="46" t="e">
        <f t="shared" si="17"/>
        <v>#DIV/0!</v>
      </c>
      <c r="AK11" s="47" t="e">
        <f t="shared" si="18"/>
        <v>#DIV/0!</v>
      </c>
      <c r="AL11" s="45">
        <v>10.06</v>
      </c>
      <c r="AM11" s="46" t="e">
        <f t="shared" si="19"/>
        <v>#DIV/0!</v>
      </c>
      <c r="AN11" s="47" t="e">
        <f t="shared" si="20"/>
        <v>#DIV/0!</v>
      </c>
      <c r="AO11" s="45"/>
      <c r="AP11" s="46" t="e">
        <f t="shared" si="21"/>
        <v>#DIV/0!</v>
      </c>
      <c r="AQ11" s="47" t="e">
        <f t="shared" si="22"/>
        <v>#DIV/0!</v>
      </c>
      <c r="AR11" s="45"/>
      <c r="AS11" s="46">
        <f t="shared" si="23"/>
        <v>0</v>
      </c>
      <c r="AT11" s="47">
        <f t="shared" si="24"/>
        <v>0</v>
      </c>
      <c r="AU11" s="45">
        <v>10.06</v>
      </c>
      <c r="AV11" s="46" t="e">
        <f t="shared" si="25"/>
        <v>#DIV/0!</v>
      </c>
      <c r="AW11" s="47" t="e">
        <f t="shared" si="26"/>
        <v>#DIV/0!</v>
      </c>
      <c r="AX11" s="45"/>
      <c r="AY11" s="46">
        <f t="shared" si="27"/>
        <v>0</v>
      </c>
      <c r="AZ11" s="47">
        <f t="shared" si="28"/>
        <v>0</v>
      </c>
      <c r="BA11" s="48" t="e">
        <f t="shared" si="29"/>
        <v>#DIV/0!</v>
      </c>
    </row>
    <row r="12" spans="1:53">
      <c r="A12" s="30">
        <v>3</v>
      </c>
      <c r="B12" s="31" t="s">
        <v>482</v>
      </c>
      <c r="C12" s="31" t="s">
        <v>415</v>
      </c>
      <c r="D12" s="469" t="s">
        <v>486</v>
      </c>
      <c r="E12" s="32" t="s">
        <v>504</v>
      </c>
      <c r="F12" s="33">
        <v>63.55</v>
      </c>
      <c r="G12" s="74"/>
      <c r="H12" s="70" t="s">
        <v>20</v>
      </c>
      <c r="I12" s="77">
        <f>IF(H12=Tablas!$B$5,Tablas!$C$5,VLOOKUP(H12,Tablas!$B$5:$D$40,2,FALSE))</f>
        <v>19</v>
      </c>
      <c r="J12" s="65">
        <f>IF(I12=0,"",VLOOKUP(I12,Tablas!$C$5:$D$40,2,FALSE))</f>
        <v>21.726190476190478</v>
      </c>
      <c r="K12" s="34" t="str">
        <f t="shared" si="30"/>
        <v>0</v>
      </c>
      <c r="L12" s="35">
        <f t="shared" si="1"/>
        <v>0</v>
      </c>
      <c r="M12" s="35">
        <f t="shared" si="2"/>
        <v>0</v>
      </c>
      <c r="N12" s="35">
        <f t="shared" si="3"/>
        <v>0</v>
      </c>
      <c r="O12" s="35">
        <f t="shared" si="4"/>
        <v>0</v>
      </c>
      <c r="P12" s="35">
        <f t="shared" si="5"/>
        <v>0</v>
      </c>
      <c r="Q12" s="36">
        <v>0.75</v>
      </c>
      <c r="R12" s="37">
        <f t="shared" si="6"/>
        <v>0</v>
      </c>
      <c r="S12" s="36">
        <v>0.75</v>
      </c>
      <c r="T12" s="38">
        <f t="shared" si="7"/>
        <v>0</v>
      </c>
      <c r="U12" s="39">
        <f t="shared" si="8"/>
        <v>0</v>
      </c>
      <c r="V12" s="40">
        <f t="shared" si="9"/>
        <v>0</v>
      </c>
      <c r="W12" s="41">
        <f t="shared" si="10"/>
        <v>0</v>
      </c>
      <c r="X12" s="42">
        <f t="shared" si="11"/>
        <v>5</v>
      </c>
      <c r="Y12" s="43" t="s">
        <v>395</v>
      </c>
      <c r="Z12" s="36">
        <v>1</v>
      </c>
      <c r="AA12" s="44">
        <f t="shared" si="12"/>
        <v>0</v>
      </c>
      <c r="AB12" s="36">
        <v>1</v>
      </c>
      <c r="AC12" s="44">
        <f t="shared" si="13"/>
        <v>0</v>
      </c>
      <c r="AD12" s="36">
        <v>1</v>
      </c>
      <c r="AE12" s="44">
        <f t="shared" si="14"/>
        <v>0</v>
      </c>
      <c r="AF12" s="45">
        <v>6.9</v>
      </c>
      <c r="AG12" s="46" t="e">
        <f t="shared" si="15"/>
        <v>#DIV/0!</v>
      </c>
      <c r="AH12" s="47" t="e">
        <f t="shared" si="16"/>
        <v>#DIV/0!</v>
      </c>
      <c r="AI12" s="45">
        <v>20.100000000000001</v>
      </c>
      <c r="AJ12" s="46" t="e">
        <f t="shared" si="17"/>
        <v>#DIV/0!</v>
      </c>
      <c r="AK12" s="47" t="e">
        <f t="shared" si="18"/>
        <v>#DIV/0!</v>
      </c>
      <c r="AL12" s="45">
        <v>63.55</v>
      </c>
      <c r="AM12" s="46" t="e">
        <f t="shared" si="19"/>
        <v>#DIV/0!</v>
      </c>
      <c r="AN12" s="47" t="e">
        <f t="shared" si="20"/>
        <v>#DIV/0!</v>
      </c>
      <c r="AO12" s="45">
        <v>15.887499999999999</v>
      </c>
      <c r="AP12" s="46" t="e">
        <f t="shared" si="21"/>
        <v>#DIV/0!</v>
      </c>
      <c r="AQ12" s="47" t="e">
        <f t="shared" si="22"/>
        <v>#DIV/0!</v>
      </c>
      <c r="AR12" s="45"/>
      <c r="AS12" s="46">
        <f t="shared" si="23"/>
        <v>0</v>
      </c>
      <c r="AT12" s="47">
        <f t="shared" si="24"/>
        <v>0</v>
      </c>
      <c r="AU12" s="45">
        <v>63.55</v>
      </c>
      <c r="AV12" s="46" t="e">
        <f t="shared" si="25"/>
        <v>#DIV/0!</v>
      </c>
      <c r="AW12" s="47" t="e">
        <f t="shared" si="26"/>
        <v>#DIV/0!</v>
      </c>
      <c r="AX12" s="45"/>
      <c r="AY12" s="46">
        <f t="shared" si="27"/>
        <v>0</v>
      </c>
      <c r="AZ12" s="47">
        <f t="shared" si="28"/>
        <v>0</v>
      </c>
      <c r="BA12" s="48" t="e">
        <f t="shared" si="29"/>
        <v>#DIV/0!</v>
      </c>
    </row>
    <row r="13" spans="1:53">
      <c r="A13" s="30">
        <v>3</v>
      </c>
      <c r="B13" s="31" t="s">
        <v>482</v>
      </c>
      <c r="C13" s="31" t="s">
        <v>415</v>
      </c>
      <c r="D13" s="469" t="s">
        <v>487</v>
      </c>
      <c r="E13" s="32" t="s">
        <v>504</v>
      </c>
      <c r="F13" s="33">
        <v>9.52</v>
      </c>
      <c r="G13" s="74"/>
      <c r="H13" s="70" t="s">
        <v>20</v>
      </c>
      <c r="I13" s="77">
        <f>IF(H13=Tablas!$B$5,Tablas!$C$5,VLOOKUP(H13,Tablas!$B$5:$D$40,2,FALSE))</f>
        <v>19</v>
      </c>
      <c r="J13" s="65">
        <f>IF(I13=0,"",VLOOKUP(I13,Tablas!$C$5:$D$40,2,FALSE))</f>
        <v>21.726190476190478</v>
      </c>
      <c r="K13" s="34" t="str">
        <f t="shared" si="30"/>
        <v>0</v>
      </c>
      <c r="L13" s="35">
        <f t="shared" si="1"/>
        <v>0</v>
      </c>
      <c r="M13" s="35">
        <f t="shared" si="2"/>
        <v>0</v>
      </c>
      <c r="N13" s="35">
        <f t="shared" si="3"/>
        <v>0</v>
      </c>
      <c r="O13" s="35">
        <f t="shared" si="4"/>
        <v>0</v>
      </c>
      <c r="P13" s="35">
        <f t="shared" si="5"/>
        <v>0</v>
      </c>
      <c r="Q13" s="36">
        <v>0.75</v>
      </c>
      <c r="R13" s="37">
        <f t="shared" si="6"/>
        <v>0</v>
      </c>
      <c r="S13" s="36">
        <v>0.75</v>
      </c>
      <c r="T13" s="38">
        <f t="shared" si="7"/>
        <v>0</v>
      </c>
      <c r="U13" s="39">
        <f t="shared" si="8"/>
        <v>0</v>
      </c>
      <c r="V13" s="40">
        <f t="shared" si="9"/>
        <v>0</v>
      </c>
      <c r="W13" s="41">
        <f t="shared" si="10"/>
        <v>0</v>
      </c>
      <c r="X13" s="42">
        <f t="shared" si="11"/>
        <v>5</v>
      </c>
      <c r="Y13" s="43" t="s">
        <v>395</v>
      </c>
      <c r="Z13" s="36">
        <v>1</v>
      </c>
      <c r="AA13" s="44">
        <f t="shared" si="12"/>
        <v>0</v>
      </c>
      <c r="AB13" s="36">
        <v>1</v>
      </c>
      <c r="AC13" s="44">
        <f t="shared" si="13"/>
        <v>0</v>
      </c>
      <c r="AD13" s="36">
        <v>1</v>
      </c>
      <c r="AE13" s="44">
        <f t="shared" si="14"/>
        <v>0</v>
      </c>
      <c r="AF13" s="45"/>
      <c r="AG13" s="46" t="e">
        <f t="shared" si="15"/>
        <v>#DIV/0!</v>
      </c>
      <c r="AH13" s="47" t="e">
        <f t="shared" si="16"/>
        <v>#DIV/0!</v>
      </c>
      <c r="AI13" s="45"/>
      <c r="AJ13" s="46" t="e">
        <f t="shared" si="17"/>
        <v>#DIV/0!</v>
      </c>
      <c r="AK13" s="47" t="e">
        <f t="shared" si="18"/>
        <v>#DIV/0!</v>
      </c>
      <c r="AL13" s="45">
        <v>9.52</v>
      </c>
      <c r="AM13" s="46" t="e">
        <f t="shared" si="19"/>
        <v>#DIV/0!</v>
      </c>
      <c r="AN13" s="47" t="e">
        <f t="shared" si="20"/>
        <v>#DIV/0!</v>
      </c>
      <c r="AO13" s="45"/>
      <c r="AP13" s="46" t="e">
        <f t="shared" si="21"/>
        <v>#DIV/0!</v>
      </c>
      <c r="AQ13" s="47" t="e">
        <f t="shared" si="22"/>
        <v>#DIV/0!</v>
      </c>
      <c r="AR13" s="45"/>
      <c r="AS13" s="46">
        <f t="shared" si="23"/>
        <v>0</v>
      </c>
      <c r="AT13" s="47">
        <f t="shared" si="24"/>
        <v>0</v>
      </c>
      <c r="AU13" s="45">
        <v>9.52</v>
      </c>
      <c r="AV13" s="46" t="e">
        <f t="shared" si="25"/>
        <v>#DIV/0!</v>
      </c>
      <c r="AW13" s="47" t="e">
        <f t="shared" si="26"/>
        <v>#DIV/0!</v>
      </c>
      <c r="AX13" s="45"/>
      <c r="AY13" s="46">
        <f t="shared" si="27"/>
        <v>0</v>
      </c>
      <c r="AZ13" s="47">
        <f t="shared" si="28"/>
        <v>0</v>
      </c>
      <c r="BA13" s="48" t="e">
        <f t="shared" si="29"/>
        <v>#DIV/0!</v>
      </c>
    </row>
    <row r="14" spans="1:53">
      <c r="A14" s="30">
        <v>3</v>
      </c>
      <c r="B14" s="31" t="s">
        <v>482</v>
      </c>
      <c r="C14" s="31" t="s">
        <v>415</v>
      </c>
      <c r="D14" s="469" t="s">
        <v>422</v>
      </c>
      <c r="E14" s="32" t="s">
        <v>504</v>
      </c>
      <c r="F14" s="33">
        <v>13.37</v>
      </c>
      <c r="G14" s="74"/>
      <c r="H14" s="70" t="s">
        <v>20</v>
      </c>
      <c r="I14" s="77">
        <f>IF(H14=Tablas!$B$5,Tablas!$C$5,VLOOKUP(H14,Tablas!$B$5:$D$40,2,FALSE))</f>
        <v>19</v>
      </c>
      <c r="J14" s="65">
        <f>IF(I14=0,"",VLOOKUP(I14,Tablas!$C$5:$D$40,2,FALSE))</f>
        <v>21.726190476190478</v>
      </c>
      <c r="K14" s="34" t="str">
        <f t="shared" si="30"/>
        <v>0</v>
      </c>
      <c r="L14" s="35">
        <f t="shared" si="1"/>
        <v>0</v>
      </c>
      <c r="M14" s="35">
        <f t="shared" si="2"/>
        <v>0</v>
      </c>
      <c r="N14" s="35">
        <f t="shared" si="3"/>
        <v>0</v>
      </c>
      <c r="O14" s="35">
        <f t="shared" si="4"/>
        <v>0</v>
      </c>
      <c r="P14" s="35">
        <f t="shared" si="5"/>
        <v>0</v>
      </c>
      <c r="Q14" s="36">
        <v>0.75</v>
      </c>
      <c r="R14" s="37">
        <f t="shared" si="6"/>
        <v>0</v>
      </c>
      <c r="S14" s="36">
        <v>0.75</v>
      </c>
      <c r="T14" s="38">
        <f t="shared" si="7"/>
        <v>0</v>
      </c>
      <c r="U14" s="39">
        <f t="shared" si="8"/>
        <v>0</v>
      </c>
      <c r="V14" s="40">
        <f t="shared" si="9"/>
        <v>0</v>
      </c>
      <c r="W14" s="41">
        <f t="shared" si="10"/>
        <v>0</v>
      </c>
      <c r="X14" s="42">
        <f t="shared" si="11"/>
        <v>5</v>
      </c>
      <c r="Y14" s="43" t="s">
        <v>395</v>
      </c>
      <c r="Z14" s="36">
        <v>1</v>
      </c>
      <c r="AA14" s="44">
        <f t="shared" si="12"/>
        <v>0</v>
      </c>
      <c r="AB14" s="36">
        <v>1</v>
      </c>
      <c r="AC14" s="44">
        <f t="shared" si="13"/>
        <v>0</v>
      </c>
      <c r="AD14" s="36">
        <v>1</v>
      </c>
      <c r="AE14" s="44">
        <f t="shared" si="14"/>
        <v>0</v>
      </c>
      <c r="AF14" s="45"/>
      <c r="AG14" s="46" t="e">
        <f t="shared" si="15"/>
        <v>#DIV/0!</v>
      </c>
      <c r="AH14" s="47" t="e">
        <f t="shared" si="16"/>
        <v>#DIV/0!</v>
      </c>
      <c r="AI14" s="45">
        <v>3.5999999999999996</v>
      </c>
      <c r="AJ14" s="46" t="e">
        <f t="shared" si="17"/>
        <v>#DIV/0!</v>
      </c>
      <c r="AK14" s="47" t="e">
        <f t="shared" si="18"/>
        <v>#DIV/0!</v>
      </c>
      <c r="AL14" s="45">
        <v>13.37</v>
      </c>
      <c r="AM14" s="46" t="e">
        <f t="shared" si="19"/>
        <v>#DIV/0!</v>
      </c>
      <c r="AN14" s="47" t="e">
        <f t="shared" si="20"/>
        <v>#DIV/0!</v>
      </c>
      <c r="AO14" s="45">
        <v>3.3424999999999998</v>
      </c>
      <c r="AP14" s="46" t="e">
        <f t="shared" si="21"/>
        <v>#DIV/0!</v>
      </c>
      <c r="AQ14" s="47" t="e">
        <f t="shared" si="22"/>
        <v>#DIV/0!</v>
      </c>
      <c r="AR14" s="45"/>
      <c r="AS14" s="46">
        <f t="shared" si="23"/>
        <v>0</v>
      </c>
      <c r="AT14" s="47">
        <f t="shared" si="24"/>
        <v>0</v>
      </c>
      <c r="AU14" s="45">
        <v>13.37</v>
      </c>
      <c r="AV14" s="46" t="e">
        <f t="shared" si="25"/>
        <v>#DIV/0!</v>
      </c>
      <c r="AW14" s="47" t="e">
        <f t="shared" si="26"/>
        <v>#DIV/0!</v>
      </c>
      <c r="AX14" s="45"/>
      <c r="AY14" s="46">
        <f t="shared" si="27"/>
        <v>0</v>
      </c>
      <c r="AZ14" s="47">
        <f t="shared" si="28"/>
        <v>0</v>
      </c>
      <c r="BA14" s="48" t="e">
        <f t="shared" si="29"/>
        <v>#DIV/0!</v>
      </c>
    </row>
    <row r="15" spans="1:53">
      <c r="A15" s="30">
        <v>3</v>
      </c>
      <c r="B15" s="31" t="s">
        <v>482</v>
      </c>
      <c r="C15" s="31" t="s">
        <v>415</v>
      </c>
      <c r="D15" s="469" t="s">
        <v>488</v>
      </c>
      <c r="E15" s="32" t="s">
        <v>504</v>
      </c>
      <c r="F15" s="33">
        <v>13.81</v>
      </c>
      <c r="G15" s="74"/>
      <c r="H15" s="70" t="s">
        <v>20</v>
      </c>
      <c r="I15" s="77">
        <f>IF(H15=Tablas!$B$5,Tablas!$C$5,VLOOKUP(H15,Tablas!$B$5:$D$40,2,FALSE))</f>
        <v>19</v>
      </c>
      <c r="J15" s="65">
        <f>IF(I15=0,"",VLOOKUP(I15,Tablas!$C$5:$D$40,2,FALSE))</f>
        <v>21.726190476190478</v>
      </c>
      <c r="K15" s="34" t="str">
        <f t="shared" si="30"/>
        <v>0</v>
      </c>
      <c r="L15" s="35">
        <f t="shared" si="1"/>
        <v>0</v>
      </c>
      <c r="M15" s="35">
        <f t="shared" si="2"/>
        <v>0</v>
      </c>
      <c r="N15" s="35">
        <f t="shared" si="3"/>
        <v>0</v>
      </c>
      <c r="O15" s="35">
        <f t="shared" si="4"/>
        <v>0</v>
      </c>
      <c r="P15" s="35">
        <f t="shared" si="5"/>
        <v>0</v>
      </c>
      <c r="Q15" s="36">
        <v>0.75</v>
      </c>
      <c r="R15" s="37">
        <f t="shared" si="6"/>
        <v>0</v>
      </c>
      <c r="S15" s="36">
        <v>0.75</v>
      </c>
      <c r="T15" s="38">
        <f t="shared" si="7"/>
        <v>0</v>
      </c>
      <c r="U15" s="39">
        <f t="shared" si="8"/>
        <v>0</v>
      </c>
      <c r="V15" s="40">
        <f t="shared" si="9"/>
        <v>0</v>
      </c>
      <c r="W15" s="41">
        <f t="shared" si="10"/>
        <v>0</v>
      </c>
      <c r="X15" s="42">
        <f t="shared" si="11"/>
        <v>5</v>
      </c>
      <c r="Y15" s="43" t="s">
        <v>395</v>
      </c>
      <c r="Z15" s="36">
        <v>1</v>
      </c>
      <c r="AA15" s="44">
        <f t="shared" si="12"/>
        <v>0</v>
      </c>
      <c r="AB15" s="36">
        <v>1</v>
      </c>
      <c r="AC15" s="44">
        <f t="shared" si="13"/>
        <v>0</v>
      </c>
      <c r="AD15" s="36">
        <v>1</v>
      </c>
      <c r="AE15" s="44">
        <f t="shared" si="14"/>
        <v>0</v>
      </c>
      <c r="AF15" s="45"/>
      <c r="AG15" s="46" t="e">
        <f t="shared" si="15"/>
        <v>#DIV/0!</v>
      </c>
      <c r="AH15" s="47" t="e">
        <f t="shared" si="16"/>
        <v>#DIV/0!</v>
      </c>
      <c r="AI15" s="45">
        <v>3.5999999999999996</v>
      </c>
      <c r="AJ15" s="46" t="e">
        <f t="shared" si="17"/>
        <v>#DIV/0!</v>
      </c>
      <c r="AK15" s="47" t="e">
        <f t="shared" si="18"/>
        <v>#DIV/0!</v>
      </c>
      <c r="AL15" s="45">
        <v>13.81</v>
      </c>
      <c r="AM15" s="46" t="e">
        <f t="shared" si="19"/>
        <v>#DIV/0!</v>
      </c>
      <c r="AN15" s="47" t="e">
        <f t="shared" si="20"/>
        <v>#DIV/0!</v>
      </c>
      <c r="AO15" s="45">
        <v>3.4525000000000001</v>
      </c>
      <c r="AP15" s="46" t="e">
        <f t="shared" si="21"/>
        <v>#DIV/0!</v>
      </c>
      <c r="AQ15" s="47" t="e">
        <f t="shared" si="22"/>
        <v>#DIV/0!</v>
      </c>
      <c r="AR15" s="45"/>
      <c r="AS15" s="46">
        <f t="shared" si="23"/>
        <v>0</v>
      </c>
      <c r="AT15" s="47">
        <f t="shared" si="24"/>
        <v>0</v>
      </c>
      <c r="AU15" s="45">
        <v>13.81</v>
      </c>
      <c r="AV15" s="46" t="e">
        <f t="shared" si="25"/>
        <v>#DIV/0!</v>
      </c>
      <c r="AW15" s="47" t="e">
        <f t="shared" si="26"/>
        <v>#DIV/0!</v>
      </c>
      <c r="AX15" s="45"/>
      <c r="AY15" s="46">
        <f t="shared" si="27"/>
        <v>0</v>
      </c>
      <c r="AZ15" s="47">
        <f t="shared" si="28"/>
        <v>0</v>
      </c>
      <c r="BA15" s="48" t="e">
        <f t="shared" si="29"/>
        <v>#DIV/0!</v>
      </c>
    </row>
    <row r="16" spans="1:53">
      <c r="A16" s="30">
        <v>3</v>
      </c>
      <c r="B16" s="31" t="s">
        <v>482</v>
      </c>
      <c r="C16" s="31" t="s">
        <v>415</v>
      </c>
      <c r="D16" s="469" t="s">
        <v>489</v>
      </c>
      <c r="E16" s="32" t="s">
        <v>504</v>
      </c>
      <c r="F16" s="33">
        <v>36.200000000000003</v>
      </c>
      <c r="G16" s="74"/>
      <c r="H16" s="70" t="s">
        <v>20</v>
      </c>
      <c r="I16" s="77">
        <f>IF(H16=Tablas!$B$5,Tablas!$C$5,VLOOKUP(H16,Tablas!$B$5:$D$40,2,FALSE))</f>
        <v>19</v>
      </c>
      <c r="J16" s="65">
        <f>IF(I16=0,"",VLOOKUP(I16,Tablas!$C$5:$D$40,2,FALSE))</f>
        <v>21.726190476190478</v>
      </c>
      <c r="K16" s="34" t="str">
        <f t="shared" si="30"/>
        <v>0</v>
      </c>
      <c r="L16" s="35">
        <f t="shared" si="1"/>
        <v>0</v>
      </c>
      <c r="M16" s="35">
        <f t="shared" si="2"/>
        <v>0</v>
      </c>
      <c r="N16" s="35">
        <f t="shared" si="3"/>
        <v>0</v>
      </c>
      <c r="O16" s="35">
        <f t="shared" si="4"/>
        <v>0</v>
      </c>
      <c r="P16" s="35">
        <f t="shared" si="5"/>
        <v>0</v>
      </c>
      <c r="Q16" s="36">
        <v>0.75</v>
      </c>
      <c r="R16" s="37">
        <f t="shared" si="6"/>
        <v>0</v>
      </c>
      <c r="S16" s="36">
        <v>0.75</v>
      </c>
      <c r="T16" s="38">
        <f t="shared" si="7"/>
        <v>0</v>
      </c>
      <c r="U16" s="39">
        <f t="shared" si="8"/>
        <v>0</v>
      </c>
      <c r="V16" s="40">
        <f t="shared" si="9"/>
        <v>0</v>
      </c>
      <c r="W16" s="41">
        <f t="shared" si="10"/>
        <v>0</v>
      </c>
      <c r="X16" s="42">
        <f t="shared" si="11"/>
        <v>5</v>
      </c>
      <c r="Y16" s="43" t="s">
        <v>395</v>
      </c>
      <c r="Z16" s="36">
        <v>1</v>
      </c>
      <c r="AA16" s="44">
        <f t="shared" si="12"/>
        <v>0</v>
      </c>
      <c r="AB16" s="36">
        <v>1</v>
      </c>
      <c r="AC16" s="44">
        <f t="shared" si="13"/>
        <v>0</v>
      </c>
      <c r="AD16" s="36">
        <v>1</v>
      </c>
      <c r="AE16" s="44">
        <f t="shared" si="14"/>
        <v>0</v>
      </c>
      <c r="AF16" s="45">
        <v>1.5</v>
      </c>
      <c r="AG16" s="46" t="e">
        <f t="shared" si="15"/>
        <v>#DIV/0!</v>
      </c>
      <c r="AH16" s="47" t="e">
        <f t="shared" si="16"/>
        <v>#DIV/0!</v>
      </c>
      <c r="AI16" s="45">
        <v>9</v>
      </c>
      <c r="AJ16" s="46" t="e">
        <f t="shared" si="17"/>
        <v>#DIV/0!</v>
      </c>
      <c r="AK16" s="47" t="e">
        <f t="shared" si="18"/>
        <v>#DIV/0!</v>
      </c>
      <c r="AL16" s="45">
        <v>36.200000000000003</v>
      </c>
      <c r="AM16" s="46" t="e">
        <f t="shared" si="19"/>
        <v>#DIV/0!</v>
      </c>
      <c r="AN16" s="47" t="e">
        <f t="shared" si="20"/>
        <v>#DIV/0!</v>
      </c>
      <c r="AO16" s="45">
        <v>9.0500000000000007</v>
      </c>
      <c r="AP16" s="46" t="e">
        <f t="shared" si="21"/>
        <v>#DIV/0!</v>
      </c>
      <c r="AQ16" s="47" t="e">
        <f t="shared" si="22"/>
        <v>#DIV/0!</v>
      </c>
      <c r="AR16" s="45"/>
      <c r="AS16" s="46">
        <f t="shared" si="23"/>
        <v>0</v>
      </c>
      <c r="AT16" s="47">
        <f t="shared" si="24"/>
        <v>0</v>
      </c>
      <c r="AU16" s="45">
        <v>36.200000000000003</v>
      </c>
      <c r="AV16" s="46" t="e">
        <f t="shared" si="25"/>
        <v>#DIV/0!</v>
      </c>
      <c r="AW16" s="47" t="e">
        <f t="shared" si="26"/>
        <v>#DIV/0!</v>
      </c>
      <c r="AX16" s="45"/>
      <c r="AY16" s="46">
        <f t="shared" si="27"/>
        <v>0</v>
      </c>
      <c r="AZ16" s="47">
        <f t="shared" si="28"/>
        <v>0</v>
      </c>
      <c r="BA16" s="48" t="e">
        <f t="shared" si="29"/>
        <v>#DIV/0!</v>
      </c>
    </row>
    <row r="17" spans="1:53">
      <c r="A17" s="30">
        <v>3</v>
      </c>
      <c r="B17" s="31" t="s">
        <v>482</v>
      </c>
      <c r="C17" s="31" t="s">
        <v>415</v>
      </c>
      <c r="D17" s="469" t="s">
        <v>489</v>
      </c>
      <c r="E17" s="32" t="s">
        <v>504</v>
      </c>
      <c r="F17" s="33">
        <v>36.200000000000003</v>
      </c>
      <c r="G17" s="74"/>
      <c r="H17" s="70" t="s">
        <v>20</v>
      </c>
      <c r="I17" s="77">
        <f>IF(H17=Tablas!$B$5,Tablas!$C$5,VLOOKUP(H17,Tablas!$B$5:$D$40,2,FALSE))</f>
        <v>19</v>
      </c>
      <c r="J17" s="65">
        <f>IF(I17=0,"",VLOOKUP(I17,Tablas!$C$5:$D$40,2,FALSE))</f>
        <v>21.726190476190478</v>
      </c>
      <c r="K17" s="34" t="str">
        <f t="shared" si="30"/>
        <v>0</v>
      </c>
      <c r="L17" s="35">
        <f t="shared" si="1"/>
        <v>0</v>
      </c>
      <c r="M17" s="35">
        <f t="shared" si="2"/>
        <v>0</v>
      </c>
      <c r="N17" s="35">
        <f t="shared" si="3"/>
        <v>0</v>
      </c>
      <c r="O17" s="35">
        <f t="shared" si="4"/>
        <v>0</v>
      </c>
      <c r="P17" s="35">
        <f t="shared" si="5"/>
        <v>0</v>
      </c>
      <c r="Q17" s="36">
        <v>0.75</v>
      </c>
      <c r="R17" s="37">
        <f t="shared" si="6"/>
        <v>0</v>
      </c>
      <c r="S17" s="36">
        <v>0.75</v>
      </c>
      <c r="T17" s="38">
        <f t="shared" si="7"/>
        <v>0</v>
      </c>
      <c r="U17" s="39">
        <f t="shared" si="8"/>
        <v>0</v>
      </c>
      <c r="V17" s="40">
        <f t="shared" si="9"/>
        <v>0</v>
      </c>
      <c r="W17" s="41">
        <f t="shared" si="10"/>
        <v>0</v>
      </c>
      <c r="X17" s="42">
        <f t="shared" si="11"/>
        <v>5</v>
      </c>
      <c r="Y17" s="43" t="s">
        <v>395</v>
      </c>
      <c r="Z17" s="36">
        <v>1</v>
      </c>
      <c r="AA17" s="44">
        <f t="shared" si="12"/>
        <v>0</v>
      </c>
      <c r="AB17" s="36">
        <v>1</v>
      </c>
      <c r="AC17" s="44">
        <f t="shared" si="13"/>
        <v>0</v>
      </c>
      <c r="AD17" s="36">
        <v>1</v>
      </c>
      <c r="AE17" s="44">
        <f t="shared" si="14"/>
        <v>0</v>
      </c>
      <c r="AF17" s="45">
        <v>1.5</v>
      </c>
      <c r="AG17" s="46" t="e">
        <f t="shared" si="15"/>
        <v>#DIV/0!</v>
      </c>
      <c r="AH17" s="47" t="e">
        <f t="shared" si="16"/>
        <v>#DIV/0!</v>
      </c>
      <c r="AI17" s="45">
        <v>9</v>
      </c>
      <c r="AJ17" s="46" t="e">
        <f t="shared" si="17"/>
        <v>#DIV/0!</v>
      </c>
      <c r="AK17" s="47" t="e">
        <f t="shared" si="18"/>
        <v>#DIV/0!</v>
      </c>
      <c r="AL17" s="45">
        <v>36.200000000000003</v>
      </c>
      <c r="AM17" s="46" t="e">
        <f t="shared" si="19"/>
        <v>#DIV/0!</v>
      </c>
      <c r="AN17" s="47" t="e">
        <f t="shared" si="20"/>
        <v>#DIV/0!</v>
      </c>
      <c r="AO17" s="45">
        <v>9.0500000000000007</v>
      </c>
      <c r="AP17" s="46" t="e">
        <f t="shared" si="21"/>
        <v>#DIV/0!</v>
      </c>
      <c r="AQ17" s="47" t="e">
        <f t="shared" si="22"/>
        <v>#DIV/0!</v>
      </c>
      <c r="AR17" s="45"/>
      <c r="AS17" s="46">
        <f t="shared" si="23"/>
        <v>0</v>
      </c>
      <c r="AT17" s="47">
        <f t="shared" si="24"/>
        <v>0</v>
      </c>
      <c r="AU17" s="45">
        <v>36.200000000000003</v>
      </c>
      <c r="AV17" s="46" t="e">
        <f t="shared" si="25"/>
        <v>#DIV/0!</v>
      </c>
      <c r="AW17" s="47" t="e">
        <f t="shared" si="26"/>
        <v>#DIV/0!</v>
      </c>
      <c r="AX17" s="45"/>
      <c r="AY17" s="46">
        <f t="shared" si="27"/>
        <v>0</v>
      </c>
      <c r="AZ17" s="47">
        <f t="shared" si="28"/>
        <v>0</v>
      </c>
      <c r="BA17" s="48" t="e">
        <f t="shared" si="29"/>
        <v>#DIV/0!</v>
      </c>
    </row>
    <row r="18" spans="1:53">
      <c r="A18" s="30">
        <v>3</v>
      </c>
      <c r="B18" s="31" t="s">
        <v>482</v>
      </c>
      <c r="C18" s="31" t="s">
        <v>415</v>
      </c>
      <c r="D18" s="469" t="s">
        <v>490</v>
      </c>
      <c r="E18" s="32" t="s">
        <v>504</v>
      </c>
      <c r="F18" s="33">
        <v>9.1999999999999993</v>
      </c>
      <c r="G18" s="74"/>
      <c r="H18" s="70" t="s">
        <v>20</v>
      </c>
      <c r="I18" s="77">
        <f>IF(H18=Tablas!$B$5,Tablas!$C$5,VLOOKUP(H18,Tablas!$B$5:$D$40,2,FALSE))</f>
        <v>19</v>
      </c>
      <c r="J18" s="65">
        <f>IF(I18=0,"",VLOOKUP(I18,Tablas!$C$5:$D$40,2,FALSE))</f>
        <v>21.726190476190478</v>
      </c>
      <c r="K18" s="34" t="str">
        <f t="shared" si="30"/>
        <v>0</v>
      </c>
      <c r="L18" s="35">
        <f t="shared" si="1"/>
        <v>0</v>
      </c>
      <c r="M18" s="35">
        <f t="shared" si="2"/>
        <v>0</v>
      </c>
      <c r="N18" s="35">
        <f t="shared" si="3"/>
        <v>0</v>
      </c>
      <c r="O18" s="35">
        <f t="shared" si="4"/>
        <v>0</v>
      </c>
      <c r="P18" s="35">
        <f t="shared" si="5"/>
        <v>0</v>
      </c>
      <c r="Q18" s="36">
        <v>0.75</v>
      </c>
      <c r="R18" s="37">
        <f t="shared" si="6"/>
        <v>0</v>
      </c>
      <c r="S18" s="36">
        <v>0.75</v>
      </c>
      <c r="T18" s="38">
        <f t="shared" si="7"/>
        <v>0</v>
      </c>
      <c r="U18" s="39">
        <f t="shared" si="8"/>
        <v>0</v>
      </c>
      <c r="V18" s="40">
        <f t="shared" si="9"/>
        <v>0</v>
      </c>
      <c r="W18" s="41">
        <f t="shared" si="10"/>
        <v>0</v>
      </c>
      <c r="X18" s="42">
        <f t="shared" si="11"/>
        <v>5</v>
      </c>
      <c r="Y18" s="43" t="s">
        <v>395</v>
      </c>
      <c r="Z18" s="36">
        <v>1</v>
      </c>
      <c r="AA18" s="44">
        <f t="shared" si="12"/>
        <v>0</v>
      </c>
      <c r="AB18" s="36">
        <v>1</v>
      </c>
      <c r="AC18" s="44">
        <f t="shared" si="13"/>
        <v>0</v>
      </c>
      <c r="AD18" s="36">
        <v>1</v>
      </c>
      <c r="AE18" s="44">
        <f t="shared" si="14"/>
        <v>0</v>
      </c>
      <c r="AF18" s="45">
        <v>3</v>
      </c>
      <c r="AG18" s="46" t="e">
        <f t="shared" si="15"/>
        <v>#DIV/0!</v>
      </c>
      <c r="AH18" s="47" t="e">
        <f t="shared" si="16"/>
        <v>#DIV/0!</v>
      </c>
      <c r="AI18" s="45"/>
      <c r="AJ18" s="46" t="e">
        <f t="shared" si="17"/>
        <v>#DIV/0!</v>
      </c>
      <c r="AK18" s="47" t="e">
        <f t="shared" si="18"/>
        <v>#DIV/0!</v>
      </c>
      <c r="AL18" s="45">
        <v>9.1999999999999993</v>
      </c>
      <c r="AM18" s="46" t="e">
        <f t="shared" si="19"/>
        <v>#DIV/0!</v>
      </c>
      <c r="AN18" s="47" t="e">
        <f t="shared" si="20"/>
        <v>#DIV/0!</v>
      </c>
      <c r="AO18" s="45"/>
      <c r="AP18" s="46" t="e">
        <f t="shared" si="21"/>
        <v>#DIV/0!</v>
      </c>
      <c r="AQ18" s="47" t="e">
        <f t="shared" si="22"/>
        <v>#DIV/0!</v>
      </c>
      <c r="AR18" s="45"/>
      <c r="AS18" s="46">
        <f t="shared" si="23"/>
        <v>0</v>
      </c>
      <c r="AT18" s="47">
        <f t="shared" si="24"/>
        <v>0</v>
      </c>
      <c r="AU18" s="45">
        <v>9.1999999999999993</v>
      </c>
      <c r="AV18" s="46" t="e">
        <f t="shared" si="25"/>
        <v>#DIV/0!</v>
      </c>
      <c r="AW18" s="47" t="e">
        <f t="shared" si="26"/>
        <v>#DIV/0!</v>
      </c>
      <c r="AX18" s="45"/>
      <c r="AY18" s="46">
        <f t="shared" si="27"/>
        <v>0</v>
      </c>
      <c r="AZ18" s="47">
        <f t="shared" si="28"/>
        <v>0</v>
      </c>
      <c r="BA18" s="48" t="e">
        <f t="shared" si="29"/>
        <v>#DIV/0!</v>
      </c>
    </row>
    <row r="19" spans="1:53">
      <c r="A19" s="30">
        <v>3</v>
      </c>
      <c r="B19" s="31" t="s">
        <v>482</v>
      </c>
      <c r="C19" s="31" t="s">
        <v>415</v>
      </c>
      <c r="D19" s="469" t="s">
        <v>489</v>
      </c>
      <c r="E19" s="32" t="s">
        <v>504</v>
      </c>
      <c r="F19" s="33">
        <v>36.200000000000003</v>
      </c>
      <c r="G19" s="74"/>
      <c r="H19" s="70" t="s">
        <v>20</v>
      </c>
      <c r="I19" s="77">
        <f>IF(H19=Tablas!$B$5,Tablas!$C$5,VLOOKUP(H19,Tablas!$B$5:$D$40,2,FALSE))</f>
        <v>19</v>
      </c>
      <c r="J19" s="65">
        <f>IF(I19=0,"",VLOOKUP(I19,Tablas!$C$5:$D$40,2,FALSE))</f>
        <v>21.726190476190478</v>
      </c>
      <c r="K19" s="34" t="str">
        <f t="shared" si="30"/>
        <v>0</v>
      </c>
      <c r="L19" s="35">
        <f t="shared" si="1"/>
        <v>0</v>
      </c>
      <c r="M19" s="35">
        <f t="shared" si="2"/>
        <v>0</v>
      </c>
      <c r="N19" s="35">
        <f t="shared" si="3"/>
        <v>0</v>
      </c>
      <c r="O19" s="35">
        <f t="shared" si="4"/>
        <v>0</v>
      </c>
      <c r="P19" s="35">
        <f t="shared" si="5"/>
        <v>0</v>
      </c>
      <c r="Q19" s="36">
        <v>0.75</v>
      </c>
      <c r="R19" s="37">
        <f t="shared" si="6"/>
        <v>0</v>
      </c>
      <c r="S19" s="36">
        <v>0.75</v>
      </c>
      <c r="T19" s="38">
        <f t="shared" si="7"/>
        <v>0</v>
      </c>
      <c r="U19" s="39">
        <f t="shared" si="8"/>
        <v>0</v>
      </c>
      <c r="V19" s="40">
        <f t="shared" si="9"/>
        <v>0</v>
      </c>
      <c r="W19" s="41">
        <f t="shared" si="10"/>
        <v>0</v>
      </c>
      <c r="X19" s="42">
        <f t="shared" si="11"/>
        <v>5</v>
      </c>
      <c r="Y19" s="43" t="s">
        <v>395</v>
      </c>
      <c r="Z19" s="36">
        <v>1</v>
      </c>
      <c r="AA19" s="44">
        <f t="shared" si="12"/>
        <v>0</v>
      </c>
      <c r="AB19" s="36">
        <v>1</v>
      </c>
      <c r="AC19" s="44">
        <f t="shared" si="13"/>
        <v>0</v>
      </c>
      <c r="AD19" s="36">
        <v>1</v>
      </c>
      <c r="AE19" s="44">
        <f t="shared" si="14"/>
        <v>0</v>
      </c>
      <c r="AF19" s="45">
        <v>1.5</v>
      </c>
      <c r="AG19" s="46" t="e">
        <f t="shared" si="15"/>
        <v>#DIV/0!</v>
      </c>
      <c r="AH19" s="47" t="e">
        <f t="shared" si="16"/>
        <v>#DIV/0!</v>
      </c>
      <c r="AI19" s="45">
        <v>9</v>
      </c>
      <c r="AJ19" s="46" t="e">
        <f t="shared" si="17"/>
        <v>#DIV/0!</v>
      </c>
      <c r="AK19" s="47" t="e">
        <f t="shared" si="18"/>
        <v>#DIV/0!</v>
      </c>
      <c r="AL19" s="45">
        <v>36.200000000000003</v>
      </c>
      <c r="AM19" s="46" t="e">
        <f t="shared" si="19"/>
        <v>#DIV/0!</v>
      </c>
      <c r="AN19" s="47" t="e">
        <f t="shared" si="20"/>
        <v>#DIV/0!</v>
      </c>
      <c r="AO19" s="45">
        <v>9.0500000000000007</v>
      </c>
      <c r="AP19" s="46" t="e">
        <f t="shared" si="21"/>
        <v>#DIV/0!</v>
      </c>
      <c r="AQ19" s="47" t="e">
        <f t="shared" si="22"/>
        <v>#DIV/0!</v>
      </c>
      <c r="AR19" s="45"/>
      <c r="AS19" s="46">
        <f t="shared" si="23"/>
        <v>0</v>
      </c>
      <c r="AT19" s="47">
        <f t="shared" si="24"/>
        <v>0</v>
      </c>
      <c r="AU19" s="45">
        <v>36.200000000000003</v>
      </c>
      <c r="AV19" s="46" t="e">
        <f t="shared" si="25"/>
        <v>#DIV/0!</v>
      </c>
      <c r="AW19" s="47" t="e">
        <f t="shared" si="26"/>
        <v>#DIV/0!</v>
      </c>
      <c r="AX19" s="45"/>
      <c r="AY19" s="46">
        <f t="shared" si="27"/>
        <v>0</v>
      </c>
      <c r="AZ19" s="47">
        <f t="shared" si="28"/>
        <v>0</v>
      </c>
      <c r="BA19" s="48" t="e">
        <f t="shared" si="29"/>
        <v>#DIV/0!</v>
      </c>
    </row>
    <row r="20" spans="1:53">
      <c r="A20" s="30">
        <v>3</v>
      </c>
      <c r="B20" s="31" t="s">
        <v>482</v>
      </c>
      <c r="C20" s="31" t="s">
        <v>415</v>
      </c>
      <c r="D20" s="469" t="s">
        <v>491</v>
      </c>
      <c r="E20" s="32" t="s">
        <v>504</v>
      </c>
      <c r="F20" s="33">
        <v>36.200000000000003</v>
      </c>
      <c r="G20" s="74"/>
      <c r="H20" s="70" t="s">
        <v>20</v>
      </c>
      <c r="I20" s="77">
        <f>IF(H20=Tablas!$B$5,Tablas!$C$5,VLOOKUP(H20,Tablas!$B$5:$D$40,2,FALSE))</f>
        <v>19</v>
      </c>
      <c r="J20" s="65">
        <f>IF(I20=0,"",VLOOKUP(I20,Tablas!$C$5:$D$40,2,FALSE))</f>
        <v>21.726190476190478</v>
      </c>
      <c r="K20" s="34" t="str">
        <f t="shared" si="30"/>
        <v>0</v>
      </c>
      <c r="L20" s="35">
        <f t="shared" si="1"/>
        <v>0</v>
      </c>
      <c r="M20" s="35">
        <f t="shared" si="2"/>
        <v>0</v>
      </c>
      <c r="N20" s="35">
        <f t="shared" si="3"/>
        <v>0</v>
      </c>
      <c r="O20" s="35">
        <f t="shared" si="4"/>
        <v>0</v>
      </c>
      <c r="P20" s="35">
        <f t="shared" si="5"/>
        <v>0</v>
      </c>
      <c r="Q20" s="36">
        <v>0.75</v>
      </c>
      <c r="R20" s="37">
        <f t="shared" si="6"/>
        <v>0</v>
      </c>
      <c r="S20" s="36">
        <v>0.75</v>
      </c>
      <c r="T20" s="38">
        <f t="shared" si="7"/>
        <v>0</v>
      </c>
      <c r="U20" s="39">
        <f t="shared" si="8"/>
        <v>0</v>
      </c>
      <c r="V20" s="40">
        <f t="shared" si="9"/>
        <v>0</v>
      </c>
      <c r="W20" s="41">
        <f t="shared" si="10"/>
        <v>0</v>
      </c>
      <c r="X20" s="42">
        <f t="shared" si="11"/>
        <v>5</v>
      </c>
      <c r="Y20" s="43" t="s">
        <v>395</v>
      </c>
      <c r="Z20" s="36">
        <v>1</v>
      </c>
      <c r="AA20" s="44">
        <f t="shared" si="12"/>
        <v>0</v>
      </c>
      <c r="AB20" s="36">
        <v>1</v>
      </c>
      <c r="AC20" s="44">
        <f t="shared" si="13"/>
        <v>0</v>
      </c>
      <c r="AD20" s="36">
        <v>1</v>
      </c>
      <c r="AE20" s="44">
        <f t="shared" si="14"/>
        <v>0</v>
      </c>
      <c r="AF20" s="45">
        <v>1.5</v>
      </c>
      <c r="AG20" s="46" t="e">
        <f t="shared" si="15"/>
        <v>#DIV/0!</v>
      </c>
      <c r="AH20" s="47" t="e">
        <f t="shared" si="16"/>
        <v>#DIV/0!</v>
      </c>
      <c r="AI20" s="45">
        <v>9</v>
      </c>
      <c r="AJ20" s="46" t="e">
        <f t="shared" si="17"/>
        <v>#DIV/0!</v>
      </c>
      <c r="AK20" s="47" t="e">
        <f t="shared" si="18"/>
        <v>#DIV/0!</v>
      </c>
      <c r="AL20" s="45">
        <v>36.200000000000003</v>
      </c>
      <c r="AM20" s="46" t="e">
        <f t="shared" si="19"/>
        <v>#DIV/0!</v>
      </c>
      <c r="AN20" s="47" t="e">
        <f t="shared" si="20"/>
        <v>#DIV/0!</v>
      </c>
      <c r="AO20" s="45">
        <v>9.0500000000000007</v>
      </c>
      <c r="AP20" s="46" t="e">
        <f t="shared" si="21"/>
        <v>#DIV/0!</v>
      </c>
      <c r="AQ20" s="47" t="e">
        <f t="shared" si="22"/>
        <v>#DIV/0!</v>
      </c>
      <c r="AR20" s="45"/>
      <c r="AS20" s="46">
        <f t="shared" si="23"/>
        <v>0</v>
      </c>
      <c r="AT20" s="47">
        <f t="shared" si="24"/>
        <v>0</v>
      </c>
      <c r="AU20" s="45">
        <v>36.200000000000003</v>
      </c>
      <c r="AV20" s="46" t="e">
        <f t="shared" si="25"/>
        <v>#DIV/0!</v>
      </c>
      <c r="AW20" s="47" t="e">
        <f t="shared" si="26"/>
        <v>#DIV/0!</v>
      </c>
      <c r="AX20" s="45"/>
      <c r="AY20" s="46">
        <f t="shared" si="27"/>
        <v>0</v>
      </c>
      <c r="AZ20" s="47">
        <f t="shared" si="28"/>
        <v>0</v>
      </c>
      <c r="BA20" s="48" t="e">
        <f t="shared" si="29"/>
        <v>#DIV/0!</v>
      </c>
    </row>
    <row r="21" spans="1:53">
      <c r="A21" s="30">
        <v>3</v>
      </c>
      <c r="B21" s="31" t="s">
        <v>482</v>
      </c>
      <c r="C21" s="31" t="s">
        <v>415</v>
      </c>
      <c r="D21" s="469" t="s">
        <v>491</v>
      </c>
      <c r="E21" s="32" t="s">
        <v>504</v>
      </c>
      <c r="F21" s="33">
        <v>36.200000000000003</v>
      </c>
      <c r="G21" s="74"/>
      <c r="H21" s="70" t="s">
        <v>20</v>
      </c>
      <c r="I21" s="77">
        <f>IF(H21=Tablas!$B$5,Tablas!$C$5,VLOOKUP(H21,Tablas!$B$5:$D$40,2,FALSE))</f>
        <v>19</v>
      </c>
      <c r="J21" s="65">
        <f>IF(I21=0,"",VLOOKUP(I21,Tablas!$C$5:$D$40,2,FALSE))</f>
        <v>21.726190476190478</v>
      </c>
      <c r="K21" s="34" t="str">
        <f t="shared" si="30"/>
        <v>0</v>
      </c>
      <c r="L21" s="35">
        <f t="shared" si="1"/>
        <v>0</v>
      </c>
      <c r="M21" s="35">
        <f t="shared" si="2"/>
        <v>0</v>
      </c>
      <c r="N21" s="35">
        <f t="shared" si="3"/>
        <v>0</v>
      </c>
      <c r="O21" s="35">
        <f t="shared" si="4"/>
        <v>0</v>
      </c>
      <c r="P21" s="35">
        <f t="shared" si="5"/>
        <v>0</v>
      </c>
      <c r="Q21" s="36">
        <v>0.75</v>
      </c>
      <c r="R21" s="37">
        <f t="shared" si="6"/>
        <v>0</v>
      </c>
      <c r="S21" s="36">
        <v>0.75</v>
      </c>
      <c r="T21" s="38">
        <f t="shared" si="7"/>
        <v>0</v>
      </c>
      <c r="U21" s="39">
        <f t="shared" si="8"/>
        <v>0</v>
      </c>
      <c r="V21" s="40">
        <f t="shared" si="9"/>
        <v>0</v>
      </c>
      <c r="W21" s="41">
        <f t="shared" si="10"/>
        <v>0</v>
      </c>
      <c r="X21" s="42">
        <f t="shared" si="11"/>
        <v>5</v>
      </c>
      <c r="Y21" s="43" t="s">
        <v>395</v>
      </c>
      <c r="Z21" s="36">
        <v>1</v>
      </c>
      <c r="AA21" s="44">
        <f t="shared" si="12"/>
        <v>0</v>
      </c>
      <c r="AB21" s="36">
        <v>1</v>
      </c>
      <c r="AC21" s="44">
        <f t="shared" si="13"/>
        <v>0</v>
      </c>
      <c r="AD21" s="36">
        <v>1</v>
      </c>
      <c r="AE21" s="44">
        <f t="shared" si="14"/>
        <v>0</v>
      </c>
      <c r="AF21" s="45">
        <v>1.5</v>
      </c>
      <c r="AG21" s="46" t="e">
        <f t="shared" si="15"/>
        <v>#DIV/0!</v>
      </c>
      <c r="AH21" s="47" t="e">
        <f t="shared" si="16"/>
        <v>#DIV/0!</v>
      </c>
      <c r="AI21" s="45">
        <v>9</v>
      </c>
      <c r="AJ21" s="46" t="e">
        <f t="shared" si="17"/>
        <v>#DIV/0!</v>
      </c>
      <c r="AK21" s="47" t="e">
        <f t="shared" si="18"/>
        <v>#DIV/0!</v>
      </c>
      <c r="AL21" s="45">
        <v>36.200000000000003</v>
      </c>
      <c r="AM21" s="46" t="e">
        <f t="shared" si="19"/>
        <v>#DIV/0!</v>
      </c>
      <c r="AN21" s="47" t="e">
        <f t="shared" si="20"/>
        <v>#DIV/0!</v>
      </c>
      <c r="AO21" s="45">
        <v>9.0500000000000007</v>
      </c>
      <c r="AP21" s="46" t="e">
        <f t="shared" si="21"/>
        <v>#DIV/0!</v>
      </c>
      <c r="AQ21" s="47" t="e">
        <f t="shared" si="22"/>
        <v>#DIV/0!</v>
      </c>
      <c r="AR21" s="45"/>
      <c r="AS21" s="46">
        <f t="shared" si="23"/>
        <v>0</v>
      </c>
      <c r="AT21" s="47">
        <f t="shared" si="24"/>
        <v>0</v>
      </c>
      <c r="AU21" s="45">
        <v>36.200000000000003</v>
      </c>
      <c r="AV21" s="46" t="e">
        <f t="shared" si="25"/>
        <v>#DIV/0!</v>
      </c>
      <c r="AW21" s="47" t="e">
        <f t="shared" si="26"/>
        <v>#DIV/0!</v>
      </c>
      <c r="AX21" s="45"/>
      <c r="AY21" s="46">
        <f t="shared" si="27"/>
        <v>0</v>
      </c>
      <c r="AZ21" s="47">
        <f t="shared" si="28"/>
        <v>0</v>
      </c>
      <c r="BA21" s="48" t="e">
        <f t="shared" si="29"/>
        <v>#DIV/0!</v>
      </c>
    </row>
    <row r="22" spans="1:53">
      <c r="A22" s="30">
        <v>3</v>
      </c>
      <c r="B22" s="31" t="s">
        <v>482</v>
      </c>
      <c r="C22" s="31" t="s">
        <v>415</v>
      </c>
      <c r="D22" s="469" t="s">
        <v>491</v>
      </c>
      <c r="E22" s="32" t="s">
        <v>504</v>
      </c>
      <c r="F22" s="33">
        <v>36.200000000000003</v>
      </c>
      <c r="G22" s="74"/>
      <c r="H22" s="70" t="s">
        <v>20</v>
      </c>
      <c r="I22" s="77">
        <f>IF(H22=Tablas!$B$5,Tablas!$C$5,VLOOKUP(H22,Tablas!$B$5:$D$40,2,FALSE))</f>
        <v>19</v>
      </c>
      <c r="J22" s="65">
        <f>IF(I22=0,"",VLOOKUP(I22,Tablas!$C$5:$D$40,2,FALSE))</f>
        <v>21.726190476190478</v>
      </c>
      <c r="K22" s="34" t="str">
        <f t="shared" si="30"/>
        <v>0</v>
      </c>
      <c r="L22" s="35">
        <f t="shared" si="1"/>
        <v>0</v>
      </c>
      <c r="M22" s="35">
        <f t="shared" si="2"/>
        <v>0</v>
      </c>
      <c r="N22" s="35">
        <f t="shared" si="3"/>
        <v>0</v>
      </c>
      <c r="O22" s="35">
        <f t="shared" si="4"/>
        <v>0</v>
      </c>
      <c r="P22" s="35">
        <f t="shared" si="5"/>
        <v>0</v>
      </c>
      <c r="Q22" s="36">
        <v>0.75</v>
      </c>
      <c r="R22" s="37">
        <f t="shared" si="6"/>
        <v>0</v>
      </c>
      <c r="S22" s="36">
        <v>0.75</v>
      </c>
      <c r="T22" s="38">
        <f t="shared" si="7"/>
        <v>0</v>
      </c>
      <c r="U22" s="39">
        <f t="shared" si="8"/>
        <v>0</v>
      </c>
      <c r="V22" s="40">
        <f t="shared" si="9"/>
        <v>0</v>
      </c>
      <c r="W22" s="41">
        <f t="shared" si="10"/>
        <v>0</v>
      </c>
      <c r="X22" s="42">
        <f t="shared" si="11"/>
        <v>5</v>
      </c>
      <c r="Y22" s="43" t="s">
        <v>395</v>
      </c>
      <c r="Z22" s="36">
        <v>1</v>
      </c>
      <c r="AA22" s="44">
        <f t="shared" si="12"/>
        <v>0</v>
      </c>
      <c r="AB22" s="36">
        <v>1</v>
      </c>
      <c r="AC22" s="44">
        <f t="shared" si="13"/>
        <v>0</v>
      </c>
      <c r="AD22" s="36">
        <v>1</v>
      </c>
      <c r="AE22" s="44">
        <f t="shared" si="14"/>
        <v>0</v>
      </c>
      <c r="AF22" s="45">
        <v>1.5</v>
      </c>
      <c r="AG22" s="46" t="e">
        <f t="shared" si="15"/>
        <v>#DIV/0!</v>
      </c>
      <c r="AH22" s="47" t="e">
        <f t="shared" si="16"/>
        <v>#DIV/0!</v>
      </c>
      <c r="AI22" s="45">
        <v>9</v>
      </c>
      <c r="AJ22" s="46" t="e">
        <f t="shared" si="17"/>
        <v>#DIV/0!</v>
      </c>
      <c r="AK22" s="47" t="e">
        <f t="shared" si="18"/>
        <v>#DIV/0!</v>
      </c>
      <c r="AL22" s="45">
        <v>36.200000000000003</v>
      </c>
      <c r="AM22" s="46" t="e">
        <f t="shared" si="19"/>
        <v>#DIV/0!</v>
      </c>
      <c r="AN22" s="47" t="e">
        <f t="shared" si="20"/>
        <v>#DIV/0!</v>
      </c>
      <c r="AO22" s="45">
        <v>9.0500000000000007</v>
      </c>
      <c r="AP22" s="46" t="e">
        <f t="shared" si="21"/>
        <v>#DIV/0!</v>
      </c>
      <c r="AQ22" s="47" t="e">
        <f t="shared" si="22"/>
        <v>#DIV/0!</v>
      </c>
      <c r="AR22" s="45"/>
      <c r="AS22" s="46">
        <f t="shared" si="23"/>
        <v>0</v>
      </c>
      <c r="AT22" s="47">
        <f t="shared" si="24"/>
        <v>0</v>
      </c>
      <c r="AU22" s="45">
        <v>36.200000000000003</v>
      </c>
      <c r="AV22" s="46" t="e">
        <f t="shared" si="25"/>
        <v>#DIV/0!</v>
      </c>
      <c r="AW22" s="47" t="e">
        <f t="shared" si="26"/>
        <v>#DIV/0!</v>
      </c>
      <c r="AX22" s="45"/>
      <c r="AY22" s="46">
        <f t="shared" si="27"/>
        <v>0</v>
      </c>
      <c r="AZ22" s="47">
        <f t="shared" si="28"/>
        <v>0</v>
      </c>
      <c r="BA22" s="48" t="e">
        <f t="shared" si="29"/>
        <v>#DIV/0!</v>
      </c>
    </row>
    <row r="23" spans="1:53">
      <c r="A23" s="30">
        <v>3</v>
      </c>
      <c r="B23" s="31" t="s">
        <v>482</v>
      </c>
      <c r="C23" s="31" t="s">
        <v>415</v>
      </c>
      <c r="D23" s="469" t="s">
        <v>490</v>
      </c>
      <c r="E23" s="32" t="s">
        <v>504</v>
      </c>
      <c r="F23" s="33">
        <v>9.1999999999999993</v>
      </c>
      <c r="G23" s="74"/>
      <c r="H23" s="70" t="s">
        <v>20</v>
      </c>
      <c r="I23" s="77">
        <f>IF(H23=Tablas!$B$5,Tablas!$C$5,VLOOKUP(H23,Tablas!$B$5:$D$40,2,FALSE))</f>
        <v>19</v>
      </c>
      <c r="J23" s="65">
        <f>IF(I23=0,"",VLOOKUP(I23,Tablas!$C$5:$D$40,2,FALSE))</f>
        <v>21.726190476190478</v>
      </c>
      <c r="K23" s="34" t="str">
        <f t="shared" si="30"/>
        <v>0</v>
      </c>
      <c r="L23" s="35">
        <f t="shared" si="1"/>
        <v>0</v>
      </c>
      <c r="M23" s="35">
        <f t="shared" si="2"/>
        <v>0</v>
      </c>
      <c r="N23" s="35">
        <f t="shared" si="3"/>
        <v>0</v>
      </c>
      <c r="O23" s="35">
        <f t="shared" si="4"/>
        <v>0</v>
      </c>
      <c r="P23" s="35">
        <f t="shared" si="5"/>
        <v>0</v>
      </c>
      <c r="Q23" s="36">
        <v>0.75</v>
      </c>
      <c r="R23" s="37">
        <f t="shared" si="6"/>
        <v>0</v>
      </c>
      <c r="S23" s="36">
        <v>0.75</v>
      </c>
      <c r="T23" s="38">
        <f t="shared" si="7"/>
        <v>0</v>
      </c>
      <c r="U23" s="39">
        <f t="shared" si="8"/>
        <v>0</v>
      </c>
      <c r="V23" s="40">
        <f t="shared" si="9"/>
        <v>0</v>
      </c>
      <c r="W23" s="41">
        <f t="shared" si="10"/>
        <v>0</v>
      </c>
      <c r="X23" s="42">
        <f t="shared" si="11"/>
        <v>5</v>
      </c>
      <c r="Y23" s="43" t="s">
        <v>395</v>
      </c>
      <c r="Z23" s="36">
        <v>1</v>
      </c>
      <c r="AA23" s="44">
        <f t="shared" si="12"/>
        <v>0</v>
      </c>
      <c r="AB23" s="36">
        <v>1</v>
      </c>
      <c r="AC23" s="44">
        <f t="shared" si="13"/>
        <v>0</v>
      </c>
      <c r="AD23" s="36">
        <v>1</v>
      </c>
      <c r="AE23" s="44">
        <f t="shared" si="14"/>
        <v>0</v>
      </c>
      <c r="AF23" s="45">
        <v>3</v>
      </c>
      <c r="AG23" s="46" t="e">
        <f t="shared" si="15"/>
        <v>#DIV/0!</v>
      </c>
      <c r="AH23" s="47" t="e">
        <f t="shared" si="16"/>
        <v>#DIV/0!</v>
      </c>
      <c r="AI23" s="45"/>
      <c r="AJ23" s="46" t="e">
        <f t="shared" si="17"/>
        <v>#DIV/0!</v>
      </c>
      <c r="AK23" s="47" t="e">
        <f t="shared" si="18"/>
        <v>#DIV/0!</v>
      </c>
      <c r="AL23" s="45">
        <v>9.1999999999999993</v>
      </c>
      <c r="AM23" s="46" t="e">
        <f t="shared" si="19"/>
        <v>#DIV/0!</v>
      </c>
      <c r="AN23" s="47" t="e">
        <f t="shared" si="20"/>
        <v>#DIV/0!</v>
      </c>
      <c r="AO23" s="45"/>
      <c r="AP23" s="46" t="e">
        <f t="shared" si="21"/>
        <v>#DIV/0!</v>
      </c>
      <c r="AQ23" s="47" t="e">
        <f t="shared" si="22"/>
        <v>#DIV/0!</v>
      </c>
      <c r="AR23" s="45"/>
      <c r="AS23" s="46">
        <f t="shared" si="23"/>
        <v>0</v>
      </c>
      <c r="AT23" s="47">
        <f t="shared" si="24"/>
        <v>0</v>
      </c>
      <c r="AU23" s="45">
        <v>9.1999999999999993</v>
      </c>
      <c r="AV23" s="46" t="e">
        <f t="shared" si="25"/>
        <v>#DIV/0!</v>
      </c>
      <c r="AW23" s="47" t="e">
        <f t="shared" si="26"/>
        <v>#DIV/0!</v>
      </c>
      <c r="AX23" s="45"/>
      <c r="AY23" s="46">
        <f t="shared" si="27"/>
        <v>0</v>
      </c>
      <c r="AZ23" s="47">
        <f t="shared" si="28"/>
        <v>0</v>
      </c>
      <c r="BA23" s="48" t="e">
        <f t="shared" si="29"/>
        <v>#DIV/0!</v>
      </c>
    </row>
    <row r="24" spans="1:53">
      <c r="A24" s="30">
        <v>3</v>
      </c>
      <c r="B24" s="31" t="s">
        <v>482</v>
      </c>
      <c r="C24" s="31" t="s">
        <v>415</v>
      </c>
      <c r="D24" s="469" t="s">
        <v>490</v>
      </c>
      <c r="E24" s="32" t="s">
        <v>504</v>
      </c>
      <c r="F24" s="33">
        <v>9.1999999999999993</v>
      </c>
      <c r="G24" s="74"/>
      <c r="H24" s="70" t="s">
        <v>20</v>
      </c>
      <c r="I24" s="77">
        <f>IF(H24=Tablas!$B$5,Tablas!$C$5,VLOOKUP(H24,Tablas!$B$5:$D$40,2,FALSE))</f>
        <v>19</v>
      </c>
      <c r="J24" s="65">
        <f>IF(I24=0,"",VLOOKUP(I24,Tablas!$C$5:$D$40,2,FALSE))</f>
        <v>21.726190476190478</v>
      </c>
      <c r="K24" s="34" t="str">
        <f t="shared" si="30"/>
        <v>0</v>
      </c>
      <c r="L24" s="35">
        <f t="shared" si="1"/>
        <v>0</v>
      </c>
      <c r="M24" s="35">
        <f t="shared" si="2"/>
        <v>0</v>
      </c>
      <c r="N24" s="35">
        <f t="shared" si="3"/>
        <v>0</v>
      </c>
      <c r="O24" s="35">
        <f t="shared" si="4"/>
        <v>0</v>
      </c>
      <c r="P24" s="35">
        <f t="shared" si="5"/>
        <v>0</v>
      </c>
      <c r="Q24" s="36">
        <v>0.75</v>
      </c>
      <c r="R24" s="37">
        <f t="shared" si="6"/>
        <v>0</v>
      </c>
      <c r="S24" s="36">
        <v>0.75</v>
      </c>
      <c r="T24" s="38">
        <f t="shared" si="7"/>
        <v>0</v>
      </c>
      <c r="U24" s="39">
        <f t="shared" si="8"/>
        <v>0</v>
      </c>
      <c r="V24" s="40">
        <f t="shared" si="9"/>
        <v>0</v>
      </c>
      <c r="W24" s="41">
        <f t="shared" si="10"/>
        <v>0</v>
      </c>
      <c r="X24" s="42">
        <f t="shared" si="11"/>
        <v>5</v>
      </c>
      <c r="Y24" s="43" t="s">
        <v>395</v>
      </c>
      <c r="Z24" s="36">
        <v>1</v>
      </c>
      <c r="AA24" s="44">
        <f t="shared" si="12"/>
        <v>0</v>
      </c>
      <c r="AB24" s="36">
        <v>1</v>
      </c>
      <c r="AC24" s="44">
        <f t="shared" si="13"/>
        <v>0</v>
      </c>
      <c r="AD24" s="36">
        <v>1</v>
      </c>
      <c r="AE24" s="44">
        <f t="shared" si="14"/>
        <v>0</v>
      </c>
      <c r="AF24" s="45">
        <v>3</v>
      </c>
      <c r="AG24" s="46" t="e">
        <f t="shared" si="15"/>
        <v>#DIV/0!</v>
      </c>
      <c r="AH24" s="47" t="e">
        <f t="shared" si="16"/>
        <v>#DIV/0!</v>
      </c>
      <c r="AI24" s="45"/>
      <c r="AJ24" s="46" t="e">
        <f t="shared" si="17"/>
        <v>#DIV/0!</v>
      </c>
      <c r="AK24" s="47" t="e">
        <f t="shared" si="18"/>
        <v>#DIV/0!</v>
      </c>
      <c r="AL24" s="45">
        <v>9.1999999999999993</v>
      </c>
      <c r="AM24" s="46" t="e">
        <f t="shared" si="19"/>
        <v>#DIV/0!</v>
      </c>
      <c r="AN24" s="47" t="e">
        <f t="shared" si="20"/>
        <v>#DIV/0!</v>
      </c>
      <c r="AO24" s="45"/>
      <c r="AP24" s="46" t="e">
        <f t="shared" si="21"/>
        <v>#DIV/0!</v>
      </c>
      <c r="AQ24" s="47" t="e">
        <f t="shared" si="22"/>
        <v>#DIV/0!</v>
      </c>
      <c r="AR24" s="45"/>
      <c r="AS24" s="46">
        <f t="shared" si="23"/>
        <v>0</v>
      </c>
      <c r="AT24" s="47">
        <f t="shared" si="24"/>
        <v>0</v>
      </c>
      <c r="AU24" s="45">
        <v>9.1999999999999993</v>
      </c>
      <c r="AV24" s="46" t="e">
        <f t="shared" si="25"/>
        <v>#DIV/0!</v>
      </c>
      <c r="AW24" s="47" t="e">
        <f t="shared" si="26"/>
        <v>#DIV/0!</v>
      </c>
      <c r="AX24" s="45"/>
      <c r="AY24" s="46">
        <f t="shared" si="27"/>
        <v>0</v>
      </c>
      <c r="AZ24" s="47">
        <f t="shared" si="28"/>
        <v>0</v>
      </c>
      <c r="BA24" s="48" t="e">
        <f t="shared" si="29"/>
        <v>#DIV/0!</v>
      </c>
    </row>
    <row r="25" spans="1:53">
      <c r="A25" s="30">
        <v>3</v>
      </c>
      <c r="B25" s="31" t="s">
        <v>482</v>
      </c>
      <c r="C25" s="31" t="s">
        <v>415</v>
      </c>
      <c r="D25" s="469" t="s">
        <v>484</v>
      </c>
      <c r="E25" s="32" t="s">
        <v>504</v>
      </c>
      <c r="F25" s="33">
        <v>61.11</v>
      </c>
      <c r="G25" s="74"/>
      <c r="H25" s="70" t="s">
        <v>20</v>
      </c>
      <c r="I25" s="77">
        <f>IF(H25=Tablas!$B$5,Tablas!$C$5,VLOOKUP(H25,Tablas!$B$5:$D$40,2,FALSE))</f>
        <v>19</v>
      </c>
      <c r="J25" s="65">
        <f>IF(I25=0,"",VLOOKUP(I25,Tablas!$C$5:$D$40,2,FALSE))</f>
        <v>21.726190476190478</v>
      </c>
      <c r="K25" s="34" t="str">
        <f t="shared" si="30"/>
        <v>0</v>
      </c>
      <c r="L25" s="35">
        <f t="shared" si="1"/>
        <v>0</v>
      </c>
      <c r="M25" s="35">
        <f t="shared" si="2"/>
        <v>0</v>
      </c>
      <c r="N25" s="35">
        <f t="shared" si="3"/>
        <v>0</v>
      </c>
      <c r="O25" s="35">
        <f t="shared" si="4"/>
        <v>0</v>
      </c>
      <c r="P25" s="35">
        <f t="shared" si="5"/>
        <v>0</v>
      </c>
      <c r="Q25" s="36">
        <v>0.75</v>
      </c>
      <c r="R25" s="37">
        <f t="shared" si="6"/>
        <v>0</v>
      </c>
      <c r="S25" s="36">
        <v>0.75</v>
      </c>
      <c r="T25" s="38">
        <f t="shared" si="7"/>
        <v>0</v>
      </c>
      <c r="U25" s="39">
        <f t="shared" si="8"/>
        <v>0</v>
      </c>
      <c r="V25" s="40">
        <f t="shared" si="9"/>
        <v>0</v>
      </c>
      <c r="W25" s="41">
        <f t="shared" si="10"/>
        <v>0</v>
      </c>
      <c r="X25" s="42">
        <f t="shared" si="11"/>
        <v>5</v>
      </c>
      <c r="Y25" s="43" t="s">
        <v>395</v>
      </c>
      <c r="Z25" s="36">
        <v>1</v>
      </c>
      <c r="AA25" s="44">
        <f t="shared" si="12"/>
        <v>0</v>
      </c>
      <c r="AB25" s="36">
        <v>1</v>
      </c>
      <c r="AC25" s="44">
        <f t="shared" si="13"/>
        <v>0</v>
      </c>
      <c r="AD25" s="36">
        <v>1</v>
      </c>
      <c r="AE25" s="44">
        <f t="shared" si="14"/>
        <v>0</v>
      </c>
      <c r="AF25" s="45"/>
      <c r="AG25" s="46" t="e">
        <f t="shared" si="15"/>
        <v>#DIV/0!</v>
      </c>
      <c r="AH25" s="47" t="e">
        <f t="shared" si="16"/>
        <v>#DIV/0!</v>
      </c>
      <c r="AI25" s="45"/>
      <c r="AJ25" s="46" t="e">
        <f t="shared" si="17"/>
        <v>#DIV/0!</v>
      </c>
      <c r="AK25" s="47" t="e">
        <f t="shared" si="18"/>
        <v>#DIV/0!</v>
      </c>
      <c r="AL25" s="45">
        <v>61.11</v>
      </c>
      <c r="AM25" s="46" t="e">
        <f t="shared" si="19"/>
        <v>#DIV/0!</v>
      </c>
      <c r="AN25" s="47" t="e">
        <f t="shared" si="20"/>
        <v>#DIV/0!</v>
      </c>
      <c r="AO25" s="45"/>
      <c r="AP25" s="46" t="e">
        <f t="shared" si="21"/>
        <v>#DIV/0!</v>
      </c>
      <c r="AQ25" s="47" t="e">
        <f t="shared" si="22"/>
        <v>#DIV/0!</v>
      </c>
      <c r="AR25" s="45"/>
      <c r="AS25" s="46">
        <f t="shared" si="23"/>
        <v>0</v>
      </c>
      <c r="AT25" s="47">
        <f t="shared" si="24"/>
        <v>0</v>
      </c>
      <c r="AU25" s="45">
        <v>61.11</v>
      </c>
      <c r="AV25" s="46" t="e">
        <f t="shared" si="25"/>
        <v>#DIV/0!</v>
      </c>
      <c r="AW25" s="47" t="e">
        <f t="shared" si="26"/>
        <v>#DIV/0!</v>
      </c>
      <c r="AX25" s="45"/>
      <c r="AY25" s="46">
        <f t="shared" si="27"/>
        <v>0</v>
      </c>
      <c r="AZ25" s="47">
        <f t="shared" si="28"/>
        <v>0</v>
      </c>
      <c r="BA25" s="48" t="e">
        <f t="shared" si="29"/>
        <v>#DIV/0!</v>
      </c>
    </row>
    <row r="26" spans="1:53">
      <c r="A26" s="30">
        <v>3</v>
      </c>
      <c r="B26" s="31" t="s">
        <v>482</v>
      </c>
      <c r="C26" s="31" t="s">
        <v>415</v>
      </c>
      <c r="D26" s="469" t="s">
        <v>492</v>
      </c>
      <c r="E26" s="32" t="s">
        <v>504</v>
      </c>
      <c r="F26" s="33">
        <v>4.9400000000000004</v>
      </c>
      <c r="G26" s="74"/>
      <c r="H26" s="70" t="s">
        <v>20</v>
      </c>
      <c r="I26" s="77">
        <f>IF(H26=Tablas!$B$5,Tablas!$C$5,VLOOKUP(H26,Tablas!$B$5:$D$40,2,FALSE))</f>
        <v>19</v>
      </c>
      <c r="J26" s="65">
        <f>IF(I26=0,"",VLOOKUP(I26,Tablas!$C$5:$D$40,2,FALSE))</f>
        <v>21.726190476190478</v>
      </c>
      <c r="K26" s="34" t="str">
        <f t="shared" si="30"/>
        <v>0</v>
      </c>
      <c r="L26" s="35">
        <f t="shared" si="1"/>
        <v>0</v>
      </c>
      <c r="M26" s="35">
        <f t="shared" si="2"/>
        <v>0</v>
      </c>
      <c r="N26" s="35">
        <f t="shared" si="3"/>
        <v>0</v>
      </c>
      <c r="O26" s="35">
        <f t="shared" si="4"/>
        <v>0</v>
      </c>
      <c r="P26" s="35">
        <f t="shared" si="5"/>
        <v>0</v>
      </c>
      <c r="Q26" s="36">
        <v>0.75</v>
      </c>
      <c r="R26" s="37">
        <f t="shared" si="6"/>
        <v>0</v>
      </c>
      <c r="S26" s="36">
        <v>0.75</v>
      </c>
      <c r="T26" s="38">
        <f t="shared" si="7"/>
        <v>0</v>
      </c>
      <c r="U26" s="39">
        <f t="shared" si="8"/>
        <v>0</v>
      </c>
      <c r="V26" s="40">
        <f t="shared" si="9"/>
        <v>0</v>
      </c>
      <c r="W26" s="41">
        <f t="shared" si="10"/>
        <v>0</v>
      </c>
      <c r="X26" s="42">
        <f t="shared" si="11"/>
        <v>5</v>
      </c>
      <c r="Y26" s="43" t="s">
        <v>395</v>
      </c>
      <c r="Z26" s="36">
        <v>1</v>
      </c>
      <c r="AA26" s="44">
        <f t="shared" si="12"/>
        <v>0</v>
      </c>
      <c r="AB26" s="36">
        <v>1</v>
      </c>
      <c r="AC26" s="44">
        <f t="shared" si="13"/>
        <v>0</v>
      </c>
      <c r="AD26" s="36">
        <v>1</v>
      </c>
      <c r="AE26" s="44">
        <f t="shared" si="14"/>
        <v>0</v>
      </c>
      <c r="AF26" s="45"/>
      <c r="AG26" s="46" t="e">
        <f t="shared" si="15"/>
        <v>#DIV/0!</v>
      </c>
      <c r="AH26" s="47" t="e">
        <f t="shared" si="16"/>
        <v>#DIV/0!</v>
      </c>
      <c r="AI26" s="45">
        <v>2.0999999999999996</v>
      </c>
      <c r="AJ26" s="46" t="e">
        <f t="shared" si="17"/>
        <v>#DIV/0!</v>
      </c>
      <c r="AK26" s="47" t="e">
        <f t="shared" si="18"/>
        <v>#DIV/0!</v>
      </c>
      <c r="AL26" s="45">
        <v>4.9400000000000004</v>
      </c>
      <c r="AM26" s="46" t="e">
        <f t="shared" si="19"/>
        <v>#DIV/0!</v>
      </c>
      <c r="AN26" s="47" t="e">
        <f t="shared" si="20"/>
        <v>#DIV/0!</v>
      </c>
      <c r="AO26" s="45"/>
      <c r="AP26" s="46" t="e">
        <f t="shared" si="21"/>
        <v>#DIV/0!</v>
      </c>
      <c r="AQ26" s="47" t="e">
        <f t="shared" si="22"/>
        <v>#DIV/0!</v>
      </c>
      <c r="AR26" s="45"/>
      <c r="AS26" s="46">
        <f t="shared" si="23"/>
        <v>0</v>
      </c>
      <c r="AT26" s="47">
        <f t="shared" si="24"/>
        <v>0</v>
      </c>
      <c r="AU26" s="45">
        <v>4.9400000000000004</v>
      </c>
      <c r="AV26" s="46" t="e">
        <f t="shared" si="25"/>
        <v>#DIV/0!</v>
      </c>
      <c r="AW26" s="47" t="e">
        <f t="shared" si="26"/>
        <v>#DIV/0!</v>
      </c>
      <c r="AX26" s="45"/>
      <c r="AY26" s="46">
        <f t="shared" si="27"/>
        <v>0</v>
      </c>
      <c r="AZ26" s="47">
        <f t="shared" si="28"/>
        <v>0</v>
      </c>
      <c r="BA26" s="48" t="e">
        <f t="shared" si="29"/>
        <v>#DIV/0!</v>
      </c>
    </row>
    <row r="27" spans="1:53">
      <c r="A27" s="30">
        <v>3</v>
      </c>
      <c r="B27" s="31" t="s">
        <v>482</v>
      </c>
      <c r="C27" s="31" t="s">
        <v>415</v>
      </c>
      <c r="D27" s="469" t="s">
        <v>493</v>
      </c>
      <c r="E27" s="32" t="s">
        <v>504</v>
      </c>
      <c r="F27" s="33">
        <v>3.76</v>
      </c>
      <c r="G27" s="74"/>
      <c r="H27" s="70" t="s">
        <v>20</v>
      </c>
      <c r="I27" s="77">
        <f>IF(H27=Tablas!$B$5,Tablas!$C$5,VLOOKUP(H27,Tablas!$B$5:$D$40,2,FALSE))</f>
        <v>19</v>
      </c>
      <c r="J27" s="65">
        <f>IF(I27=0,"",VLOOKUP(I27,Tablas!$C$5:$D$40,2,FALSE))</f>
        <v>21.726190476190478</v>
      </c>
      <c r="K27" s="34" t="str">
        <f t="shared" si="30"/>
        <v>0</v>
      </c>
      <c r="L27" s="35">
        <f t="shared" si="1"/>
        <v>0</v>
      </c>
      <c r="M27" s="35">
        <f t="shared" si="2"/>
        <v>0</v>
      </c>
      <c r="N27" s="35">
        <f t="shared" si="3"/>
        <v>0</v>
      </c>
      <c r="O27" s="35">
        <f t="shared" si="4"/>
        <v>0</v>
      </c>
      <c r="P27" s="35">
        <f t="shared" si="5"/>
        <v>0</v>
      </c>
      <c r="Q27" s="36">
        <v>0.75</v>
      </c>
      <c r="R27" s="37">
        <f t="shared" si="6"/>
        <v>0</v>
      </c>
      <c r="S27" s="36">
        <v>0.75</v>
      </c>
      <c r="T27" s="38">
        <f t="shared" si="7"/>
        <v>0</v>
      </c>
      <c r="U27" s="39">
        <f t="shared" si="8"/>
        <v>0</v>
      </c>
      <c r="V27" s="40">
        <f t="shared" si="9"/>
        <v>0</v>
      </c>
      <c r="W27" s="41">
        <f t="shared" si="10"/>
        <v>0</v>
      </c>
      <c r="X27" s="42">
        <f t="shared" si="11"/>
        <v>5</v>
      </c>
      <c r="Y27" s="43" t="s">
        <v>395</v>
      </c>
      <c r="Z27" s="36">
        <v>1</v>
      </c>
      <c r="AA27" s="44">
        <f t="shared" si="12"/>
        <v>0</v>
      </c>
      <c r="AB27" s="36">
        <v>1</v>
      </c>
      <c r="AC27" s="44">
        <f t="shared" si="13"/>
        <v>0</v>
      </c>
      <c r="AD27" s="36">
        <v>1</v>
      </c>
      <c r="AE27" s="44">
        <f t="shared" si="14"/>
        <v>0</v>
      </c>
      <c r="AF27" s="45"/>
      <c r="AG27" s="46" t="e">
        <f t="shared" si="15"/>
        <v>#DIV/0!</v>
      </c>
      <c r="AH27" s="47" t="e">
        <f t="shared" si="16"/>
        <v>#DIV/0!</v>
      </c>
      <c r="AI27" s="45">
        <v>2.0999999999999996</v>
      </c>
      <c r="AJ27" s="46" t="e">
        <f t="shared" si="17"/>
        <v>#DIV/0!</v>
      </c>
      <c r="AK27" s="47" t="e">
        <f t="shared" si="18"/>
        <v>#DIV/0!</v>
      </c>
      <c r="AL27" s="45">
        <v>3.76</v>
      </c>
      <c r="AM27" s="46" t="e">
        <f t="shared" si="19"/>
        <v>#DIV/0!</v>
      </c>
      <c r="AN27" s="47" t="e">
        <f t="shared" si="20"/>
        <v>#DIV/0!</v>
      </c>
      <c r="AO27" s="45"/>
      <c r="AP27" s="46" t="e">
        <f t="shared" si="21"/>
        <v>#DIV/0!</v>
      </c>
      <c r="AQ27" s="47" t="e">
        <f t="shared" si="22"/>
        <v>#DIV/0!</v>
      </c>
      <c r="AR27" s="45"/>
      <c r="AS27" s="46">
        <f t="shared" si="23"/>
        <v>0</v>
      </c>
      <c r="AT27" s="47">
        <f t="shared" si="24"/>
        <v>0</v>
      </c>
      <c r="AU27" s="45">
        <v>3.76</v>
      </c>
      <c r="AV27" s="46" t="e">
        <f t="shared" si="25"/>
        <v>#DIV/0!</v>
      </c>
      <c r="AW27" s="47" t="e">
        <f t="shared" si="26"/>
        <v>#DIV/0!</v>
      </c>
      <c r="AX27" s="45"/>
      <c r="AY27" s="46">
        <f t="shared" si="27"/>
        <v>0</v>
      </c>
      <c r="AZ27" s="47">
        <f t="shared" si="28"/>
        <v>0</v>
      </c>
      <c r="BA27" s="48" t="e">
        <f t="shared" si="29"/>
        <v>#DIV/0!</v>
      </c>
    </row>
    <row r="28" spans="1:53">
      <c r="A28" s="30">
        <v>3</v>
      </c>
      <c r="B28" s="31" t="s">
        <v>482</v>
      </c>
      <c r="C28" s="31" t="s">
        <v>415</v>
      </c>
      <c r="D28" s="469" t="s">
        <v>494</v>
      </c>
      <c r="E28" s="32" t="s">
        <v>504</v>
      </c>
      <c r="F28" s="33">
        <v>4.95</v>
      </c>
      <c r="G28" s="74"/>
      <c r="H28" s="70" t="s">
        <v>20</v>
      </c>
      <c r="I28" s="77">
        <f>IF(H28=Tablas!$B$5,Tablas!$C$5,VLOOKUP(H28,Tablas!$B$5:$D$40,2,FALSE))</f>
        <v>19</v>
      </c>
      <c r="J28" s="65">
        <f>IF(I28=0,"",VLOOKUP(I28,Tablas!$C$5:$D$40,2,FALSE))</f>
        <v>21.726190476190478</v>
      </c>
      <c r="K28" s="34" t="str">
        <f t="shared" si="30"/>
        <v>0</v>
      </c>
      <c r="L28" s="35">
        <f t="shared" si="1"/>
        <v>0</v>
      </c>
      <c r="M28" s="35">
        <f t="shared" si="2"/>
        <v>0</v>
      </c>
      <c r="N28" s="35">
        <f t="shared" si="3"/>
        <v>0</v>
      </c>
      <c r="O28" s="35">
        <f t="shared" si="4"/>
        <v>0</v>
      </c>
      <c r="P28" s="35">
        <f t="shared" si="5"/>
        <v>0</v>
      </c>
      <c r="Q28" s="36">
        <v>0.75</v>
      </c>
      <c r="R28" s="37">
        <f t="shared" si="6"/>
        <v>0</v>
      </c>
      <c r="S28" s="36">
        <v>0.75</v>
      </c>
      <c r="T28" s="38">
        <f t="shared" si="7"/>
        <v>0</v>
      </c>
      <c r="U28" s="39">
        <f t="shared" si="8"/>
        <v>0</v>
      </c>
      <c r="V28" s="40">
        <f t="shared" si="9"/>
        <v>0</v>
      </c>
      <c r="W28" s="41">
        <f t="shared" si="10"/>
        <v>0</v>
      </c>
      <c r="X28" s="42">
        <f t="shared" si="11"/>
        <v>5</v>
      </c>
      <c r="Y28" s="43" t="s">
        <v>395</v>
      </c>
      <c r="Z28" s="36">
        <v>1</v>
      </c>
      <c r="AA28" s="44">
        <f t="shared" si="12"/>
        <v>0</v>
      </c>
      <c r="AB28" s="36">
        <v>1</v>
      </c>
      <c r="AC28" s="44">
        <f t="shared" si="13"/>
        <v>0</v>
      </c>
      <c r="AD28" s="36">
        <v>1</v>
      </c>
      <c r="AE28" s="44">
        <f t="shared" si="14"/>
        <v>0</v>
      </c>
      <c r="AF28" s="45"/>
      <c r="AG28" s="46" t="e">
        <f t="shared" si="15"/>
        <v>#DIV/0!</v>
      </c>
      <c r="AH28" s="47" t="e">
        <f t="shared" si="16"/>
        <v>#DIV/0!</v>
      </c>
      <c r="AI28" s="45"/>
      <c r="AJ28" s="46" t="e">
        <f t="shared" si="17"/>
        <v>#DIV/0!</v>
      </c>
      <c r="AK28" s="47" t="e">
        <f t="shared" si="18"/>
        <v>#DIV/0!</v>
      </c>
      <c r="AL28" s="45">
        <v>4.95</v>
      </c>
      <c r="AM28" s="46" t="e">
        <f t="shared" si="19"/>
        <v>#DIV/0!</v>
      </c>
      <c r="AN28" s="47" t="e">
        <f t="shared" si="20"/>
        <v>#DIV/0!</v>
      </c>
      <c r="AO28" s="45"/>
      <c r="AP28" s="46" t="e">
        <f t="shared" si="21"/>
        <v>#DIV/0!</v>
      </c>
      <c r="AQ28" s="47" t="e">
        <f t="shared" si="22"/>
        <v>#DIV/0!</v>
      </c>
      <c r="AR28" s="45"/>
      <c r="AS28" s="46">
        <f t="shared" si="23"/>
        <v>0</v>
      </c>
      <c r="AT28" s="47">
        <f t="shared" si="24"/>
        <v>0</v>
      </c>
      <c r="AU28" s="45">
        <v>4.95</v>
      </c>
      <c r="AV28" s="46" t="e">
        <f t="shared" si="25"/>
        <v>#DIV/0!</v>
      </c>
      <c r="AW28" s="47" t="e">
        <f t="shared" si="26"/>
        <v>#DIV/0!</v>
      </c>
      <c r="AX28" s="45"/>
      <c r="AY28" s="46">
        <f t="shared" si="27"/>
        <v>0</v>
      </c>
      <c r="AZ28" s="47">
        <f t="shared" si="28"/>
        <v>0</v>
      </c>
      <c r="BA28" s="48" t="e">
        <f t="shared" si="29"/>
        <v>#DIV/0!</v>
      </c>
    </row>
    <row r="29" spans="1:53">
      <c r="A29" s="30">
        <v>3</v>
      </c>
      <c r="B29" s="31" t="s">
        <v>482</v>
      </c>
      <c r="C29" s="31" t="s">
        <v>415</v>
      </c>
      <c r="D29" s="469" t="s">
        <v>495</v>
      </c>
      <c r="E29" s="32" t="s">
        <v>504</v>
      </c>
      <c r="F29" s="33">
        <v>11.16</v>
      </c>
      <c r="G29" s="74"/>
      <c r="H29" s="70" t="s">
        <v>20</v>
      </c>
      <c r="I29" s="77">
        <f>IF(H29=Tablas!$B$5,Tablas!$C$5,VLOOKUP(H29,Tablas!$B$5:$D$40,2,FALSE))</f>
        <v>19</v>
      </c>
      <c r="J29" s="65">
        <f>IF(I29=0,"",VLOOKUP(I29,Tablas!$C$5:$D$40,2,FALSE))</f>
        <v>21.726190476190478</v>
      </c>
      <c r="K29" s="34" t="str">
        <f t="shared" si="30"/>
        <v>0</v>
      </c>
      <c r="L29" s="35">
        <f t="shared" si="1"/>
        <v>0</v>
      </c>
      <c r="M29" s="35">
        <f t="shared" si="2"/>
        <v>0</v>
      </c>
      <c r="N29" s="35">
        <f t="shared" si="3"/>
        <v>0</v>
      </c>
      <c r="O29" s="35">
        <f t="shared" si="4"/>
        <v>0</v>
      </c>
      <c r="P29" s="35">
        <f t="shared" si="5"/>
        <v>0</v>
      </c>
      <c r="Q29" s="36">
        <v>0.75</v>
      </c>
      <c r="R29" s="37">
        <f t="shared" si="6"/>
        <v>0</v>
      </c>
      <c r="S29" s="36">
        <v>0.75</v>
      </c>
      <c r="T29" s="38">
        <f t="shared" si="7"/>
        <v>0</v>
      </c>
      <c r="U29" s="39">
        <f t="shared" si="8"/>
        <v>0</v>
      </c>
      <c r="V29" s="40">
        <f t="shared" si="9"/>
        <v>0</v>
      </c>
      <c r="W29" s="41">
        <f t="shared" si="10"/>
        <v>0</v>
      </c>
      <c r="X29" s="42">
        <f t="shared" si="11"/>
        <v>5</v>
      </c>
      <c r="Y29" s="43" t="s">
        <v>395</v>
      </c>
      <c r="Z29" s="36">
        <v>1</v>
      </c>
      <c r="AA29" s="44">
        <f t="shared" si="12"/>
        <v>0</v>
      </c>
      <c r="AB29" s="36">
        <v>1</v>
      </c>
      <c r="AC29" s="44">
        <f t="shared" si="13"/>
        <v>0</v>
      </c>
      <c r="AD29" s="36">
        <v>1</v>
      </c>
      <c r="AE29" s="44">
        <f t="shared" si="14"/>
        <v>0</v>
      </c>
      <c r="AF29" s="45"/>
      <c r="AG29" s="46" t="e">
        <f t="shared" si="15"/>
        <v>#DIV/0!</v>
      </c>
      <c r="AH29" s="47" t="e">
        <f t="shared" si="16"/>
        <v>#DIV/0!</v>
      </c>
      <c r="AI29" s="45">
        <v>3.5999999999999996</v>
      </c>
      <c r="AJ29" s="46" t="e">
        <f t="shared" si="17"/>
        <v>#DIV/0!</v>
      </c>
      <c r="AK29" s="47" t="e">
        <f t="shared" si="18"/>
        <v>#DIV/0!</v>
      </c>
      <c r="AL29" s="45">
        <v>11.16</v>
      </c>
      <c r="AM29" s="46" t="e">
        <f t="shared" si="19"/>
        <v>#DIV/0!</v>
      </c>
      <c r="AN29" s="47" t="e">
        <f t="shared" si="20"/>
        <v>#DIV/0!</v>
      </c>
      <c r="AO29" s="45"/>
      <c r="AP29" s="46" t="e">
        <f t="shared" si="21"/>
        <v>#DIV/0!</v>
      </c>
      <c r="AQ29" s="47" t="e">
        <f t="shared" si="22"/>
        <v>#DIV/0!</v>
      </c>
      <c r="AR29" s="45"/>
      <c r="AS29" s="46">
        <f t="shared" si="23"/>
        <v>0</v>
      </c>
      <c r="AT29" s="47">
        <f t="shared" si="24"/>
        <v>0</v>
      </c>
      <c r="AU29" s="45">
        <v>11.16</v>
      </c>
      <c r="AV29" s="46" t="e">
        <f t="shared" si="25"/>
        <v>#DIV/0!</v>
      </c>
      <c r="AW29" s="47" t="e">
        <f t="shared" si="26"/>
        <v>#DIV/0!</v>
      </c>
      <c r="AX29" s="45"/>
      <c r="AY29" s="46">
        <f t="shared" si="27"/>
        <v>0</v>
      </c>
      <c r="AZ29" s="47">
        <f t="shared" si="28"/>
        <v>0</v>
      </c>
      <c r="BA29" s="48" t="e">
        <f t="shared" si="29"/>
        <v>#DIV/0!</v>
      </c>
    </row>
    <row r="30" spans="1:53">
      <c r="A30" s="30">
        <v>3</v>
      </c>
      <c r="B30" s="31" t="s">
        <v>482</v>
      </c>
      <c r="C30" s="31" t="s">
        <v>415</v>
      </c>
      <c r="D30" s="469" t="s">
        <v>496</v>
      </c>
      <c r="E30" s="32" t="s">
        <v>504</v>
      </c>
      <c r="F30" s="33">
        <v>28.19</v>
      </c>
      <c r="G30" s="74"/>
      <c r="H30" s="70" t="s">
        <v>20</v>
      </c>
      <c r="I30" s="77">
        <f>IF(H30=Tablas!$B$5,Tablas!$C$5,VLOOKUP(H30,Tablas!$B$5:$D$40,2,FALSE))</f>
        <v>19</v>
      </c>
      <c r="J30" s="65">
        <f>IF(I30=0,"",VLOOKUP(I30,Tablas!$C$5:$D$40,2,FALSE))</f>
        <v>21.726190476190478</v>
      </c>
      <c r="K30" s="34" t="str">
        <f t="shared" si="30"/>
        <v>0</v>
      </c>
      <c r="L30" s="35">
        <f t="shared" si="1"/>
        <v>0</v>
      </c>
      <c r="M30" s="35">
        <f t="shared" si="2"/>
        <v>0</v>
      </c>
      <c r="N30" s="35">
        <f t="shared" si="3"/>
        <v>0</v>
      </c>
      <c r="O30" s="35">
        <f t="shared" si="4"/>
        <v>0</v>
      </c>
      <c r="P30" s="35">
        <f t="shared" si="5"/>
        <v>0</v>
      </c>
      <c r="Q30" s="36">
        <v>0.75</v>
      </c>
      <c r="R30" s="37">
        <f t="shared" si="6"/>
        <v>0</v>
      </c>
      <c r="S30" s="36">
        <v>0.75</v>
      </c>
      <c r="T30" s="38">
        <f t="shared" si="7"/>
        <v>0</v>
      </c>
      <c r="U30" s="39">
        <f t="shared" si="8"/>
        <v>0</v>
      </c>
      <c r="V30" s="40">
        <f t="shared" si="9"/>
        <v>0</v>
      </c>
      <c r="W30" s="41">
        <f t="shared" si="10"/>
        <v>0</v>
      </c>
      <c r="X30" s="42">
        <f t="shared" si="11"/>
        <v>5</v>
      </c>
      <c r="Y30" s="43" t="s">
        <v>395</v>
      </c>
      <c r="Z30" s="36">
        <v>1</v>
      </c>
      <c r="AA30" s="44">
        <f t="shared" si="12"/>
        <v>0</v>
      </c>
      <c r="AB30" s="36">
        <v>1</v>
      </c>
      <c r="AC30" s="44">
        <f t="shared" si="13"/>
        <v>0</v>
      </c>
      <c r="AD30" s="36">
        <v>1</v>
      </c>
      <c r="AE30" s="44">
        <f t="shared" si="14"/>
        <v>0</v>
      </c>
      <c r="AF30" s="45"/>
      <c r="AG30" s="46" t="e">
        <f t="shared" si="15"/>
        <v>#DIV/0!</v>
      </c>
      <c r="AH30" s="47" t="e">
        <f t="shared" si="16"/>
        <v>#DIV/0!</v>
      </c>
      <c r="AI30" s="45">
        <v>3.5999999999999996</v>
      </c>
      <c r="AJ30" s="46" t="e">
        <f t="shared" si="17"/>
        <v>#DIV/0!</v>
      </c>
      <c r="AK30" s="47" t="e">
        <f t="shared" si="18"/>
        <v>#DIV/0!</v>
      </c>
      <c r="AL30" s="45">
        <v>28.19</v>
      </c>
      <c r="AM30" s="46" t="e">
        <f t="shared" si="19"/>
        <v>#DIV/0!</v>
      </c>
      <c r="AN30" s="47" t="e">
        <f t="shared" si="20"/>
        <v>#DIV/0!</v>
      </c>
      <c r="AO30" s="45"/>
      <c r="AP30" s="46" t="e">
        <f t="shared" si="21"/>
        <v>#DIV/0!</v>
      </c>
      <c r="AQ30" s="47" t="e">
        <f t="shared" si="22"/>
        <v>#DIV/0!</v>
      </c>
      <c r="AR30" s="45"/>
      <c r="AS30" s="46">
        <f t="shared" si="23"/>
        <v>0</v>
      </c>
      <c r="AT30" s="47">
        <f t="shared" si="24"/>
        <v>0</v>
      </c>
      <c r="AU30" s="45">
        <v>28.19</v>
      </c>
      <c r="AV30" s="46" t="e">
        <f t="shared" si="25"/>
        <v>#DIV/0!</v>
      </c>
      <c r="AW30" s="47" t="e">
        <f t="shared" si="26"/>
        <v>#DIV/0!</v>
      </c>
      <c r="AX30" s="45"/>
      <c r="AY30" s="46">
        <f t="shared" si="27"/>
        <v>0</v>
      </c>
      <c r="AZ30" s="47">
        <f t="shared" si="28"/>
        <v>0</v>
      </c>
      <c r="BA30" s="48" t="e">
        <f t="shared" si="29"/>
        <v>#DIV/0!</v>
      </c>
    </row>
    <row r="31" spans="1:53">
      <c r="A31" s="30">
        <v>3</v>
      </c>
      <c r="B31" s="31" t="s">
        <v>482</v>
      </c>
      <c r="C31" s="31" t="s">
        <v>415</v>
      </c>
      <c r="D31" s="469" t="s">
        <v>429</v>
      </c>
      <c r="E31" s="32" t="s">
        <v>504</v>
      </c>
      <c r="F31" s="33">
        <v>2.67</v>
      </c>
      <c r="G31" s="74"/>
      <c r="H31" s="70" t="s">
        <v>58</v>
      </c>
      <c r="I31" s="77">
        <f>IF(H31=Tablas!$B$5,Tablas!$C$5,VLOOKUP(H31,Tablas!$B$5:$D$40,2,FALSE))</f>
        <v>29</v>
      </c>
      <c r="J31" s="65">
        <f>IF(I31=0,"",VLOOKUP(I31,Tablas!$C$5:$D$40,2,FALSE))</f>
        <v>1</v>
      </c>
      <c r="K31" s="34" t="str">
        <f t="shared" si="30"/>
        <v>0</v>
      </c>
      <c r="L31" s="35">
        <f t="shared" si="1"/>
        <v>0</v>
      </c>
      <c r="M31" s="35">
        <f t="shared" si="2"/>
        <v>0</v>
      </c>
      <c r="N31" s="35">
        <f t="shared" si="3"/>
        <v>0</v>
      </c>
      <c r="O31" s="35">
        <f t="shared" si="4"/>
        <v>0</v>
      </c>
      <c r="P31" s="35">
        <f t="shared" si="5"/>
        <v>0</v>
      </c>
      <c r="Q31" s="36">
        <v>0.75</v>
      </c>
      <c r="R31" s="37">
        <f t="shared" si="6"/>
        <v>0</v>
      </c>
      <c r="S31" s="36">
        <v>0.75</v>
      </c>
      <c r="T31" s="38">
        <f t="shared" si="7"/>
        <v>0</v>
      </c>
      <c r="U31" s="39">
        <f t="shared" si="8"/>
        <v>0</v>
      </c>
      <c r="V31" s="40">
        <f t="shared" si="9"/>
        <v>0</v>
      </c>
      <c r="W31" s="41">
        <f t="shared" si="10"/>
        <v>0</v>
      </c>
      <c r="X31" s="42">
        <f t="shared" si="11"/>
        <v>0.2</v>
      </c>
      <c r="Y31" s="43" t="s">
        <v>395</v>
      </c>
      <c r="Z31" s="36">
        <v>1</v>
      </c>
      <c r="AA31" s="44">
        <f t="shared" si="12"/>
        <v>0</v>
      </c>
      <c r="AB31" s="36">
        <v>1</v>
      </c>
      <c r="AC31" s="44">
        <f t="shared" si="13"/>
        <v>0</v>
      </c>
      <c r="AD31" s="36">
        <v>1</v>
      </c>
      <c r="AE31" s="44">
        <f t="shared" si="14"/>
        <v>0</v>
      </c>
      <c r="AF31" s="45"/>
      <c r="AG31" s="46" t="e">
        <f t="shared" si="15"/>
        <v>#DIV/0!</v>
      </c>
      <c r="AH31" s="47" t="e">
        <f t="shared" si="16"/>
        <v>#DIV/0!</v>
      </c>
      <c r="AI31" s="45">
        <v>1.0499999999999998</v>
      </c>
      <c r="AJ31" s="46" t="e">
        <f t="shared" si="17"/>
        <v>#DIV/0!</v>
      </c>
      <c r="AK31" s="47" t="e">
        <f t="shared" si="18"/>
        <v>#DIV/0!</v>
      </c>
      <c r="AL31" s="45">
        <v>2.67</v>
      </c>
      <c r="AM31" s="46" t="e">
        <f t="shared" si="19"/>
        <v>#DIV/0!</v>
      </c>
      <c r="AN31" s="47" t="e">
        <f t="shared" si="20"/>
        <v>#DIV/0!</v>
      </c>
      <c r="AO31" s="45"/>
      <c r="AP31" s="46" t="e">
        <f t="shared" si="21"/>
        <v>#DIV/0!</v>
      </c>
      <c r="AQ31" s="47" t="e">
        <f t="shared" si="22"/>
        <v>#DIV/0!</v>
      </c>
      <c r="AR31" s="45"/>
      <c r="AS31" s="46">
        <f t="shared" si="23"/>
        <v>0</v>
      </c>
      <c r="AT31" s="47">
        <f t="shared" si="24"/>
        <v>0</v>
      </c>
      <c r="AU31" s="45">
        <v>2.67</v>
      </c>
      <c r="AV31" s="46" t="e">
        <f t="shared" si="25"/>
        <v>#DIV/0!</v>
      </c>
      <c r="AW31" s="47" t="e">
        <f t="shared" si="26"/>
        <v>#DIV/0!</v>
      </c>
      <c r="AX31" s="45"/>
      <c r="AY31" s="46">
        <f t="shared" si="27"/>
        <v>0</v>
      </c>
      <c r="AZ31" s="47">
        <f t="shared" si="28"/>
        <v>0</v>
      </c>
      <c r="BA31" s="48" t="e">
        <f t="shared" si="29"/>
        <v>#DIV/0!</v>
      </c>
    </row>
    <row r="32" spans="1:53">
      <c r="A32" s="30">
        <v>3</v>
      </c>
      <c r="B32" s="31" t="s">
        <v>482</v>
      </c>
      <c r="C32" s="31" t="s">
        <v>415</v>
      </c>
      <c r="D32" s="469" t="s">
        <v>497</v>
      </c>
      <c r="E32" s="32" t="s">
        <v>504</v>
      </c>
      <c r="F32" s="33">
        <v>3.46</v>
      </c>
      <c r="G32" s="74"/>
      <c r="H32" s="70" t="s">
        <v>20</v>
      </c>
      <c r="I32" s="77">
        <f>IF(H32=Tablas!$B$5,Tablas!$C$5,VLOOKUP(H32,Tablas!$B$5:$D$40,2,FALSE))</f>
        <v>19</v>
      </c>
      <c r="J32" s="65">
        <f>IF(I32=0,"",VLOOKUP(I32,Tablas!$C$5:$D$40,2,FALSE))</f>
        <v>21.726190476190478</v>
      </c>
      <c r="K32" s="34" t="str">
        <f t="shared" si="30"/>
        <v>0</v>
      </c>
      <c r="L32" s="35">
        <f t="shared" si="1"/>
        <v>0</v>
      </c>
      <c r="M32" s="35">
        <f t="shared" si="2"/>
        <v>0</v>
      </c>
      <c r="N32" s="35">
        <f t="shared" si="3"/>
        <v>0</v>
      </c>
      <c r="O32" s="35">
        <f t="shared" si="4"/>
        <v>0</v>
      </c>
      <c r="P32" s="35">
        <f t="shared" si="5"/>
        <v>0</v>
      </c>
      <c r="Q32" s="36">
        <v>0.75</v>
      </c>
      <c r="R32" s="37">
        <f t="shared" si="6"/>
        <v>0</v>
      </c>
      <c r="S32" s="36">
        <v>0.75</v>
      </c>
      <c r="T32" s="38">
        <f t="shared" si="7"/>
        <v>0</v>
      </c>
      <c r="U32" s="39">
        <f t="shared" si="8"/>
        <v>0</v>
      </c>
      <c r="V32" s="40">
        <f t="shared" si="9"/>
        <v>0</v>
      </c>
      <c r="W32" s="41">
        <f t="shared" si="10"/>
        <v>0</v>
      </c>
      <c r="X32" s="42">
        <f t="shared" si="11"/>
        <v>5</v>
      </c>
      <c r="Y32" s="43" t="s">
        <v>395</v>
      </c>
      <c r="Z32" s="36">
        <v>1</v>
      </c>
      <c r="AA32" s="44">
        <f t="shared" si="12"/>
        <v>0</v>
      </c>
      <c r="AB32" s="36">
        <v>1</v>
      </c>
      <c r="AC32" s="44">
        <f t="shared" si="13"/>
        <v>0</v>
      </c>
      <c r="AD32" s="36">
        <v>1</v>
      </c>
      <c r="AE32" s="44">
        <f t="shared" si="14"/>
        <v>0</v>
      </c>
      <c r="AF32" s="45"/>
      <c r="AG32" s="46" t="e">
        <f t="shared" si="15"/>
        <v>#DIV/0!</v>
      </c>
      <c r="AH32" s="47" t="e">
        <f t="shared" si="16"/>
        <v>#DIV/0!</v>
      </c>
      <c r="AI32" s="45">
        <v>1.0499999999999998</v>
      </c>
      <c r="AJ32" s="46" t="e">
        <f t="shared" si="17"/>
        <v>#DIV/0!</v>
      </c>
      <c r="AK32" s="47" t="e">
        <f t="shared" si="18"/>
        <v>#DIV/0!</v>
      </c>
      <c r="AL32" s="45">
        <v>3.46</v>
      </c>
      <c r="AM32" s="46" t="e">
        <f t="shared" si="19"/>
        <v>#DIV/0!</v>
      </c>
      <c r="AN32" s="47" t="e">
        <f t="shared" si="20"/>
        <v>#DIV/0!</v>
      </c>
      <c r="AO32" s="45"/>
      <c r="AP32" s="46" t="e">
        <f t="shared" si="21"/>
        <v>#DIV/0!</v>
      </c>
      <c r="AQ32" s="47" t="e">
        <f t="shared" si="22"/>
        <v>#DIV/0!</v>
      </c>
      <c r="AR32" s="45"/>
      <c r="AS32" s="46">
        <f t="shared" si="23"/>
        <v>0</v>
      </c>
      <c r="AT32" s="47">
        <f t="shared" si="24"/>
        <v>0</v>
      </c>
      <c r="AU32" s="45">
        <v>3.46</v>
      </c>
      <c r="AV32" s="46" t="e">
        <f t="shared" si="25"/>
        <v>#DIV/0!</v>
      </c>
      <c r="AW32" s="47" t="e">
        <f t="shared" si="26"/>
        <v>#DIV/0!</v>
      </c>
      <c r="AX32" s="45"/>
      <c r="AY32" s="46">
        <f t="shared" si="27"/>
        <v>0</v>
      </c>
      <c r="AZ32" s="47">
        <f t="shared" si="28"/>
        <v>0</v>
      </c>
      <c r="BA32" s="48" t="e">
        <f t="shared" si="29"/>
        <v>#DIV/0!</v>
      </c>
    </row>
    <row r="33" spans="1:53">
      <c r="A33" s="30">
        <v>3</v>
      </c>
      <c r="B33" s="31" t="s">
        <v>482</v>
      </c>
      <c r="C33" s="31" t="s">
        <v>415</v>
      </c>
      <c r="D33" s="469" t="s">
        <v>451</v>
      </c>
      <c r="E33" s="32" t="s">
        <v>504</v>
      </c>
      <c r="F33" s="33">
        <v>7.01</v>
      </c>
      <c r="G33" s="74"/>
      <c r="H33" s="70" t="s">
        <v>20</v>
      </c>
      <c r="I33" s="77">
        <f>IF(H33=Tablas!$B$5,Tablas!$C$5,VLOOKUP(H33,Tablas!$B$5:$D$40,2,FALSE))</f>
        <v>19</v>
      </c>
      <c r="J33" s="65">
        <f>IF(I33=0,"",VLOOKUP(I33,Tablas!$C$5:$D$40,2,FALSE))</f>
        <v>21.726190476190478</v>
      </c>
      <c r="K33" s="34" t="str">
        <f t="shared" si="30"/>
        <v>0</v>
      </c>
      <c r="L33" s="35">
        <f t="shared" si="1"/>
        <v>0</v>
      </c>
      <c r="M33" s="35">
        <f t="shared" si="2"/>
        <v>0</v>
      </c>
      <c r="N33" s="35">
        <f t="shared" si="3"/>
        <v>0</v>
      </c>
      <c r="O33" s="35">
        <f t="shared" si="4"/>
        <v>0</v>
      </c>
      <c r="P33" s="35">
        <f t="shared" si="5"/>
        <v>0</v>
      </c>
      <c r="Q33" s="36">
        <v>0.75</v>
      </c>
      <c r="R33" s="37">
        <f t="shared" si="6"/>
        <v>0</v>
      </c>
      <c r="S33" s="36">
        <v>0.75</v>
      </c>
      <c r="T33" s="38">
        <f t="shared" si="7"/>
        <v>0</v>
      </c>
      <c r="U33" s="39">
        <f t="shared" si="8"/>
        <v>0</v>
      </c>
      <c r="V33" s="40">
        <f t="shared" si="9"/>
        <v>0</v>
      </c>
      <c r="W33" s="41">
        <f t="shared" si="10"/>
        <v>0</v>
      </c>
      <c r="X33" s="42">
        <f t="shared" si="11"/>
        <v>5</v>
      </c>
      <c r="Y33" s="43" t="s">
        <v>395</v>
      </c>
      <c r="Z33" s="36">
        <v>1</v>
      </c>
      <c r="AA33" s="44">
        <f t="shared" si="12"/>
        <v>0</v>
      </c>
      <c r="AB33" s="36">
        <v>1</v>
      </c>
      <c r="AC33" s="44">
        <f t="shared" si="13"/>
        <v>0</v>
      </c>
      <c r="AD33" s="36">
        <v>1</v>
      </c>
      <c r="AE33" s="44">
        <f t="shared" si="14"/>
        <v>0</v>
      </c>
      <c r="AF33" s="45"/>
      <c r="AG33" s="46" t="e">
        <f t="shared" si="15"/>
        <v>#DIV/0!</v>
      </c>
      <c r="AH33" s="47" t="e">
        <f t="shared" si="16"/>
        <v>#DIV/0!</v>
      </c>
      <c r="AI33" s="45">
        <v>2.1</v>
      </c>
      <c r="AJ33" s="46" t="e">
        <f t="shared" si="17"/>
        <v>#DIV/0!</v>
      </c>
      <c r="AK33" s="47" t="e">
        <f t="shared" si="18"/>
        <v>#DIV/0!</v>
      </c>
      <c r="AL33" s="45">
        <v>7.01</v>
      </c>
      <c r="AM33" s="46" t="e">
        <f t="shared" si="19"/>
        <v>#DIV/0!</v>
      </c>
      <c r="AN33" s="47" t="e">
        <f t="shared" si="20"/>
        <v>#DIV/0!</v>
      </c>
      <c r="AO33" s="45"/>
      <c r="AP33" s="46" t="e">
        <f t="shared" si="21"/>
        <v>#DIV/0!</v>
      </c>
      <c r="AQ33" s="47" t="e">
        <f t="shared" si="22"/>
        <v>#DIV/0!</v>
      </c>
      <c r="AR33" s="45"/>
      <c r="AS33" s="46">
        <f t="shared" si="23"/>
        <v>0</v>
      </c>
      <c r="AT33" s="47">
        <f t="shared" si="24"/>
        <v>0</v>
      </c>
      <c r="AU33" s="45">
        <v>7.01</v>
      </c>
      <c r="AV33" s="46" t="e">
        <f t="shared" si="25"/>
        <v>#DIV/0!</v>
      </c>
      <c r="AW33" s="47" t="e">
        <f t="shared" si="26"/>
        <v>#DIV/0!</v>
      </c>
      <c r="AX33" s="45"/>
      <c r="AY33" s="46">
        <f t="shared" si="27"/>
        <v>0</v>
      </c>
      <c r="AZ33" s="47">
        <f t="shared" si="28"/>
        <v>0</v>
      </c>
      <c r="BA33" s="48" t="e">
        <f t="shared" si="29"/>
        <v>#DIV/0!</v>
      </c>
    </row>
    <row r="34" spans="1:53">
      <c r="A34" s="30">
        <v>3</v>
      </c>
      <c r="B34" s="31" t="s">
        <v>482</v>
      </c>
      <c r="C34" s="31" t="s">
        <v>415</v>
      </c>
      <c r="D34" s="469" t="s">
        <v>346</v>
      </c>
      <c r="E34" s="32" t="s">
        <v>504</v>
      </c>
      <c r="F34" s="33">
        <v>6.34</v>
      </c>
      <c r="G34" s="74"/>
      <c r="H34" s="70" t="s">
        <v>58</v>
      </c>
      <c r="I34" s="77">
        <f>IF(H34=Tablas!$B$5,Tablas!$C$5,VLOOKUP(H34,Tablas!$B$5:$D$40,2,FALSE))</f>
        <v>29</v>
      </c>
      <c r="J34" s="65">
        <f>IF(I34=0,"",VLOOKUP(I34,Tablas!$C$5:$D$40,2,FALSE))</f>
        <v>1</v>
      </c>
      <c r="K34" s="34" t="str">
        <f t="shared" si="30"/>
        <v>0</v>
      </c>
      <c r="L34" s="35">
        <f t="shared" si="1"/>
        <v>0</v>
      </c>
      <c r="M34" s="35">
        <f t="shared" si="2"/>
        <v>0</v>
      </c>
      <c r="N34" s="35">
        <f t="shared" si="3"/>
        <v>0</v>
      </c>
      <c r="O34" s="35">
        <f t="shared" si="4"/>
        <v>0</v>
      </c>
      <c r="P34" s="35">
        <f t="shared" si="5"/>
        <v>0</v>
      </c>
      <c r="Q34" s="36">
        <v>0.75</v>
      </c>
      <c r="R34" s="37">
        <f t="shared" si="6"/>
        <v>0</v>
      </c>
      <c r="S34" s="36">
        <v>0.75</v>
      </c>
      <c r="T34" s="38">
        <f t="shared" si="7"/>
        <v>0</v>
      </c>
      <c r="U34" s="39">
        <f t="shared" si="8"/>
        <v>0</v>
      </c>
      <c r="V34" s="40">
        <f t="shared" si="9"/>
        <v>0</v>
      </c>
      <c r="W34" s="41">
        <f t="shared" si="10"/>
        <v>0</v>
      </c>
      <c r="X34" s="42">
        <f t="shared" si="11"/>
        <v>0.2</v>
      </c>
      <c r="Y34" s="43" t="s">
        <v>395</v>
      </c>
      <c r="Z34" s="36">
        <v>1</v>
      </c>
      <c r="AA34" s="44">
        <f t="shared" si="12"/>
        <v>0</v>
      </c>
      <c r="AB34" s="36">
        <v>1</v>
      </c>
      <c r="AC34" s="44">
        <f t="shared" si="13"/>
        <v>0</v>
      </c>
      <c r="AD34" s="36">
        <v>1</v>
      </c>
      <c r="AE34" s="44">
        <f t="shared" si="14"/>
        <v>0</v>
      </c>
      <c r="AF34" s="45"/>
      <c r="AG34" s="46" t="e">
        <f t="shared" si="15"/>
        <v>#DIV/0!</v>
      </c>
      <c r="AH34" s="47" t="e">
        <f t="shared" si="16"/>
        <v>#DIV/0!</v>
      </c>
      <c r="AI34" s="45"/>
      <c r="AJ34" s="46" t="e">
        <f t="shared" si="17"/>
        <v>#DIV/0!</v>
      </c>
      <c r="AK34" s="47" t="e">
        <f t="shared" si="18"/>
        <v>#DIV/0!</v>
      </c>
      <c r="AL34" s="45">
        <v>6.34</v>
      </c>
      <c r="AM34" s="46" t="e">
        <f t="shared" si="19"/>
        <v>#DIV/0!</v>
      </c>
      <c r="AN34" s="47" t="e">
        <f t="shared" si="20"/>
        <v>#DIV/0!</v>
      </c>
      <c r="AO34" s="45"/>
      <c r="AP34" s="46" t="e">
        <f t="shared" si="21"/>
        <v>#DIV/0!</v>
      </c>
      <c r="AQ34" s="47" t="e">
        <f t="shared" si="22"/>
        <v>#DIV/0!</v>
      </c>
      <c r="AR34" s="45"/>
      <c r="AS34" s="46">
        <f t="shared" si="23"/>
        <v>0</v>
      </c>
      <c r="AT34" s="47">
        <f t="shared" si="24"/>
        <v>0</v>
      </c>
      <c r="AU34" s="45">
        <v>6.34</v>
      </c>
      <c r="AV34" s="46" t="e">
        <f t="shared" si="25"/>
        <v>#DIV/0!</v>
      </c>
      <c r="AW34" s="47" t="e">
        <f t="shared" si="26"/>
        <v>#DIV/0!</v>
      </c>
      <c r="AX34" s="45"/>
      <c r="AY34" s="46">
        <f t="shared" si="27"/>
        <v>0</v>
      </c>
      <c r="AZ34" s="47">
        <f t="shared" si="28"/>
        <v>0</v>
      </c>
      <c r="BA34" s="48" t="e">
        <f t="shared" si="29"/>
        <v>#DIV/0!</v>
      </c>
    </row>
    <row r="35" spans="1:53">
      <c r="A35" s="30">
        <v>3</v>
      </c>
      <c r="B35" s="31" t="s">
        <v>482</v>
      </c>
      <c r="C35" s="31" t="s">
        <v>415</v>
      </c>
      <c r="D35" s="469" t="s">
        <v>498</v>
      </c>
      <c r="E35" s="32" t="s">
        <v>504</v>
      </c>
      <c r="F35" s="33">
        <v>37.869999999999997</v>
      </c>
      <c r="G35" s="74"/>
      <c r="H35" s="70" t="s">
        <v>20</v>
      </c>
      <c r="I35" s="77">
        <f>IF(H35=Tablas!$B$5,Tablas!$C$5,VLOOKUP(H35,Tablas!$B$5:$D$40,2,FALSE))</f>
        <v>19</v>
      </c>
      <c r="J35" s="65">
        <f>IF(I35=0,"",VLOOKUP(I35,Tablas!$C$5:$D$40,2,FALSE))</f>
        <v>21.726190476190478</v>
      </c>
      <c r="K35" s="34" t="str">
        <f t="shared" si="30"/>
        <v>0</v>
      </c>
      <c r="L35" s="35">
        <f t="shared" si="1"/>
        <v>0</v>
      </c>
      <c r="M35" s="35">
        <f t="shared" si="2"/>
        <v>0</v>
      </c>
      <c r="N35" s="35">
        <f t="shared" si="3"/>
        <v>0</v>
      </c>
      <c r="O35" s="35">
        <f t="shared" si="4"/>
        <v>0</v>
      </c>
      <c r="P35" s="35">
        <f t="shared" si="5"/>
        <v>0</v>
      </c>
      <c r="Q35" s="36">
        <v>0.75</v>
      </c>
      <c r="R35" s="37">
        <f t="shared" si="6"/>
        <v>0</v>
      </c>
      <c r="S35" s="36">
        <v>0.75</v>
      </c>
      <c r="T35" s="38">
        <f t="shared" si="7"/>
        <v>0</v>
      </c>
      <c r="U35" s="39">
        <f t="shared" si="8"/>
        <v>0</v>
      </c>
      <c r="V35" s="40">
        <f t="shared" si="9"/>
        <v>0</v>
      </c>
      <c r="W35" s="41">
        <f t="shared" si="10"/>
        <v>0</v>
      </c>
      <c r="X35" s="42">
        <f t="shared" si="11"/>
        <v>5</v>
      </c>
      <c r="Y35" s="43" t="s">
        <v>395</v>
      </c>
      <c r="Z35" s="36">
        <v>1</v>
      </c>
      <c r="AA35" s="44">
        <f t="shared" si="12"/>
        <v>0</v>
      </c>
      <c r="AB35" s="36">
        <v>1</v>
      </c>
      <c r="AC35" s="44">
        <f t="shared" si="13"/>
        <v>0</v>
      </c>
      <c r="AD35" s="36">
        <v>1</v>
      </c>
      <c r="AE35" s="44">
        <f t="shared" si="14"/>
        <v>0</v>
      </c>
      <c r="AF35" s="45"/>
      <c r="AG35" s="46" t="e">
        <f t="shared" si="15"/>
        <v>#DIV/0!</v>
      </c>
      <c r="AH35" s="47" t="e">
        <f t="shared" si="16"/>
        <v>#DIV/0!</v>
      </c>
      <c r="AI35" s="45">
        <v>14.850000000000001</v>
      </c>
      <c r="AJ35" s="46" t="e">
        <f t="shared" si="17"/>
        <v>#DIV/0!</v>
      </c>
      <c r="AK35" s="47" t="e">
        <f t="shared" si="18"/>
        <v>#DIV/0!</v>
      </c>
      <c r="AL35" s="45">
        <v>37.869999999999997</v>
      </c>
      <c r="AM35" s="46" t="e">
        <f t="shared" si="19"/>
        <v>#DIV/0!</v>
      </c>
      <c r="AN35" s="47" t="e">
        <f t="shared" si="20"/>
        <v>#DIV/0!</v>
      </c>
      <c r="AO35" s="45">
        <v>9.4674999999999994</v>
      </c>
      <c r="AP35" s="46" t="e">
        <f t="shared" si="21"/>
        <v>#DIV/0!</v>
      </c>
      <c r="AQ35" s="47" t="e">
        <f t="shared" si="22"/>
        <v>#DIV/0!</v>
      </c>
      <c r="AR35" s="45"/>
      <c r="AS35" s="46">
        <f t="shared" si="23"/>
        <v>0</v>
      </c>
      <c r="AT35" s="47">
        <f t="shared" si="24"/>
        <v>0</v>
      </c>
      <c r="AU35" s="45">
        <v>37.869999999999997</v>
      </c>
      <c r="AV35" s="46" t="e">
        <f t="shared" si="25"/>
        <v>#DIV/0!</v>
      </c>
      <c r="AW35" s="47" t="e">
        <f t="shared" si="26"/>
        <v>#DIV/0!</v>
      </c>
      <c r="AX35" s="45"/>
      <c r="AY35" s="46">
        <f t="shared" si="27"/>
        <v>0</v>
      </c>
      <c r="AZ35" s="47">
        <f t="shared" si="28"/>
        <v>0</v>
      </c>
      <c r="BA35" s="48" t="e">
        <f t="shared" si="29"/>
        <v>#DIV/0!</v>
      </c>
    </row>
    <row r="36" spans="1:53">
      <c r="A36" s="30">
        <v>3</v>
      </c>
      <c r="B36" s="31" t="s">
        <v>482</v>
      </c>
      <c r="C36" s="31" t="s">
        <v>415</v>
      </c>
      <c r="D36" s="469" t="s">
        <v>346</v>
      </c>
      <c r="E36" s="32" t="s">
        <v>504</v>
      </c>
      <c r="F36" s="33">
        <v>26.34</v>
      </c>
      <c r="G36" s="74"/>
      <c r="H36" s="70" t="s">
        <v>58</v>
      </c>
      <c r="I36" s="77">
        <f>IF(H36=Tablas!$B$5,Tablas!$C$5,VLOOKUP(H36,Tablas!$B$5:$D$40,2,FALSE))</f>
        <v>29</v>
      </c>
      <c r="J36" s="65">
        <f>IF(I36=0,"",VLOOKUP(I36,Tablas!$C$5:$D$40,2,FALSE))</f>
        <v>1</v>
      </c>
      <c r="K36" s="34" t="str">
        <f t="shared" si="30"/>
        <v>0</v>
      </c>
      <c r="L36" s="35">
        <f t="shared" si="1"/>
        <v>0</v>
      </c>
      <c r="M36" s="35">
        <f t="shared" si="2"/>
        <v>0</v>
      </c>
      <c r="N36" s="35">
        <f t="shared" si="3"/>
        <v>0</v>
      </c>
      <c r="O36" s="35">
        <f t="shared" si="4"/>
        <v>0</v>
      </c>
      <c r="P36" s="35">
        <f t="shared" si="5"/>
        <v>0</v>
      </c>
      <c r="Q36" s="36">
        <v>0.75</v>
      </c>
      <c r="R36" s="37">
        <f t="shared" si="6"/>
        <v>0</v>
      </c>
      <c r="S36" s="36">
        <v>0.75</v>
      </c>
      <c r="T36" s="38">
        <f t="shared" si="7"/>
        <v>0</v>
      </c>
      <c r="U36" s="39">
        <f t="shared" si="8"/>
        <v>0</v>
      </c>
      <c r="V36" s="40">
        <f t="shared" si="9"/>
        <v>0</v>
      </c>
      <c r="W36" s="41">
        <f t="shared" si="10"/>
        <v>0</v>
      </c>
      <c r="X36" s="42">
        <f t="shared" si="11"/>
        <v>0.2</v>
      </c>
      <c r="Y36" s="43" t="s">
        <v>395</v>
      </c>
      <c r="Z36" s="36">
        <v>1</v>
      </c>
      <c r="AA36" s="44">
        <f t="shared" si="12"/>
        <v>0</v>
      </c>
      <c r="AB36" s="36">
        <v>1</v>
      </c>
      <c r="AC36" s="44">
        <f t="shared" si="13"/>
        <v>0</v>
      </c>
      <c r="AD36" s="36">
        <v>1</v>
      </c>
      <c r="AE36" s="44">
        <f t="shared" si="14"/>
        <v>0</v>
      </c>
      <c r="AF36" s="45"/>
      <c r="AG36" s="46" t="e">
        <f t="shared" si="15"/>
        <v>#DIV/0!</v>
      </c>
      <c r="AH36" s="47" t="e">
        <f t="shared" si="16"/>
        <v>#DIV/0!</v>
      </c>
      <c r="AI36" s="45">
        <v>13.200000000000001</v>
      </c>
      <c r="AJ36" s="46" t="e">
        <f t="shared" si="17"/>
        <v>#DIV/0!</v>
      </c>
      <c r="AK36" s="47" t="e">
        <f t="shared" si="18"/>
        <v>#DIV/0!</v>
      </c>
      <c r="AL36" s="45">
        <v>26.34</v>
      </c>
      <c r="AM36" s="46" t="e">
        <f t="shared" si="19"/>
        <v>#DIV/0!</v>
      </c>
      <c r="AN36" s="47" t="e">
        <f t="shared" si="20"/>
        <v>#DIV/0!</v>
      </c>
      <c r="AO36" s="45"/>
      <c r="AP36" s="46" t="e">
        <f t="shared" si="21"/>
        <v>#DIV/0!</v>
      </c>
      <c r="AQ36" s="47" t="e">
        <f t="shared" si="22"/>
        <v>#DIV/0!</v>
      </c>
      <c r="AR36" s="45"/>
      <c r="AS36" s="46">
        <f t="shared" si="23"/>
        <v>0</v>
      </c>
      <c r="AT36" s="47">
        <f t="shared" si="24"/>
        <v>0</v>
      </c>
      <c r="AU36" s="45">
        <v>26.34</v>
      </c>
      <c r="AV36" s="46" t="e">
        <f t="shared" si="25"/>
        <v>#DIV/0!</v>
      </c>
      <c r="AW36" s="47" t="e">
        <f t="shared" si="26"/>
        <v>#DIV/0!</v>
      </c>
      <c r="AX36" s="45"/>
      <c r="AY36" s="46">
        <f t="shared" si="27"/>
        <v>0</v>
      </c>
      <c r="AZ36" s="47">
        <f t="shared" si="28"/>
        <v>0</v>
      </c>
      <c r="BA36" s="48" t="e">
        <f t="shared" si="29"/>
        <v>#DIV/0!</v>
      </c>
    </row>
    <row r="37" spans="1:53">
      <c r="A37" s="30">
        <v>3</v>
      </c>
      <c r="B37" s="31" t="s">
        <v>482</v>
      </c>
      <c r="C37" s="31" t="s">
        <v>415</v>
      </c>
      <c r="D37" s="469" t="s">
        <v>499</v>
      </c>
      <c r="E37" s="32" t="s">
        <v>505</v>
      </c>
      <c r="F37" s="33">
        <v>23.23</v>
      </c>
      <c r="G37" s="74"/>
      <c r="H37" s="70" t="s">
        <v>20</v>
      </c>
      <c r="I37" s="77">
        <f>IF(H37=Tablas!$B$5,Tablas!$C$5,VLOOKUP(H37,Tablas!$B$5:$D$40,2,FALSE))</f>
        <v>19</v>
      </c>
      <c r="J37" s="65">
        <f>IF(I37=0,"",VLOOKUP(I37,Tablas!$C$5:$D$40,2,FALSE))</f>
        <v>21.726190476190478</v>
      </c>
      <c r="K37" s="34" t="str">
        <f t="shared" si="30"/>
        <v>0</v>
      </c>
      <c r="L37" s="35">
        <f t="shared" si="1"/>
        <v>0</v>
      </c>
      <c r="M37" s="35">
        <f t="shared" si="2"/>
        <v>0</v>
      </c>
      <c r="N37" s="35">
        <f t="shared" si="3"/>
        <v>0</v>
      </c>
      <c r="O37" s="35">
        <f t="shared" si="4"/>
        <v>0</v>
      </c>
      <c r="P37" s="35">
        <f t="shared" si="5"/>
        <v>0</v>
      </c>
      <c r="Q37" s="36">
        <v>0.75</v>
      </c>
      <c r="R37" s="37">
        <f t="shared" si="6"/>
        <v>0</v>
      </c>
      <c r="S37" s="36">
        <v>0.75</v>
      </c>
      <c r="T37" s="38">
        <f t="shared" si="7"/>
        <v>0</v>
      </c>
      <c r="U37" s="39">
        <f t="shared" si="8"/>
        <v>0</v>
      </c>
      <c r="V37" s="40">
        <f t="shared" si="9"/>
        <v>0</v>
      </c>
      <c r="W37" s="41">
        <f t="shared" si="10"/>
        <v>0</v>
      </c>
      <c r="X37" s="42">
        <f t="shared" si="11"/>
        <v>5</v>
      </c>
      <c r="Y37" s="43" t="s">
        <v>395</v>
      </c>
      <c r="Z37" s="36">
        <v>1</v>
      </c>
      <c r="AA37" s="44">
        <f t="shared" si="12"/>
        <v>0</v>
      </c>
      <c r="AB37" s="36">
        <v>1</v>
      </c>
      <c r="AC37" s="44">
        <f t="shared" si="13"/>
        <v>0</v>
      </c>
      <c r="AD37" s="36">
        <v>1</v>
      </c>
      <c r="AE37" s="44">
        <f t="shared" si="14"/>
        <v>0</v>
      </c>
      <c r="AF37" s="45"/>
      <c r="AG37" s="46" t="e">
        <f t="shared" si="15"/>
        <v>#DIV/0!</v>
      </c>
      <c r="AH37" s="47" t="e">
        <f t="shared" si="16"/>
        <v>#DIV/0!</v>
      </c>
      <c r="AI37" s="45"/>
      <c r="AJ37" s="46" t="e">
        <f t="shared" si="17"/>
        <v>#DIV/0!</v>
      </c>
      <c r="AK37" s="47" t="e">
        <f t="shared" si="18"/>
        <v>#DIV/0!</v>
      </c>
      <c r="AL37" s="45"/>
      <c r="AM37" s="46" t="e">
        <f t="shared" si="19"/>
        <v>#DIV/0!</v>
      </c>
      <c r="AN37" s="47" t="e">
        <f t="shared" si="20"/>
        <v>#DIV/0!</v>
      </c>
      <c r="AO37" s="45"/>
      <c r="AP37" s="46" t="e">
        <f t="shared" si="21"/>
        <v>#DIV/0!</v>
      </c>
      <c r="AQ37" s="47" t="e">
        <f t="shared" si="22"/>
        <v>#DIV/0!</v>
      </c>
      <c r="AR37" s="45"/>
      <c r="AS37" s="46">
        <f t="shared" si="23"/>
        <v>0</v>
      </c>
      <c r="AT37" s="47">
        <f t="shared" si="24"/>
        <v>0</v>
      </c>
      <c r="AU37" s="45"/>
      <c r="AV37" s="46" t="e">
        <f t="shared" si="25"/>
        <v>#DIV/0!</v>
      </c>
      <c r="AW37" s="47" t="e">
        <f t="shared" si="26"/>
        <v>#DIV/0!</v>
      </c>
      <c r="AX37" s="45"/>
      <c r="AY37" s="46">
        <f t="shared" si="27"/>
        <v>0</v>
      </c>
      <c r="AZ37" s="47">
        <f t="shared" si="28"/>
        <v>0</v>
      </c>
      <c r="BA37" s="48" t="e">
        <f t="shared" si="29"/>
        <v>#DIV/0!</v>
      </c>
    </row>
    <row r="38" spans="1:53">
      <c r="A38" s="30">
        <v>3</v>
      </c>
      <c r="B38" s="31" t="s">
        <v>482</v>
      </c>
      <c r="C38" s="31" t="s">
        <v>415</v>
      </c>
      <c r="D38" s="469" t="s">
        <v>500</v>
      </c>
      <c r="E38" s="32" t="s">
        <v>505</v>
      </c>
      <c r="F38" s="33">
        <v>64.540000000000006</v>
      </c>
      <c r="G38" s="74"/>
      <c r="H38" s="70" t="s">
        <v>20</v>
      </c>
      <c r="I38" s="77">
        <f>IF(H38=Tablas!$B$5,Tablas!$C$5,VLOOKUP(H38,Tablas!$B$5:$D$40,2,FALSE))</f>
        <v>19</v>
      </c>
      <c r="J38" s="65">
        <f>IF(I38=0,"",VLOOKUP(I38,Tablas!$C$5:$D$40,2,FALSE))</f>
        <v>21.726190476190478</v>
      </c>
      <c r="K38" s="34" t="str">
        <f t="shared" si="30"/>
        <v>0</v>
      </c>
      <c r="L38" s="35">
        <f t="shared" si="1"/>
        <v>0</v>
      </c>
      <c r="M38" s="35">
        <f t="shared" si="2"/>
        <v>0</v>
      </c>
      <c r="N38" s="35">
        <f t="shared" si="3"/>
        <v>0</v>
      </c>
      <c r="O38" s="35">
        <f t="shared" si="4"/>
        <v>0</v>
      </c>
      <c r="P38" s="35">
        <f t="shared" si="5"/>
        <v>0</v>
      </c>
      <c r="Q38" s="36">
        <v>0.75</v>
      </c>
      <c r="R38" s="37">
        <f t="shared" si="6"/>
        <v>0</v>
      </c>
      <c r="S38" s="36">
        <v>0.75</v>
      </c>
      <c r="T38" s="38">
        <f t="shared" si="7"/>
        <v>0</v>
      </c>
      <c r="U38" s="39">
        <f t="shared" si="8"/>
        <v>0</v>
      </c>
      <c r="V38" s="40">
        <f t="shared" si="9"/>
        <v>0</v>
      </c>
      <c r="W38" s="41">
        <f t="shared" si="10"/>
        <v>0</v>
      </c>
      <c r="X38" s="42">
        <f t="shared" si="11"/>
        <v>5</v>
      </c>
      <c r="Y38" s="43" t="s">
        <v>395</v>
      </c>
      <c r="Z38" s="36">
        <v>1</v>
      </c>
      <c r="AA38" s="44">
        <f t="shared" si="12"/>
        <v>0</v>
      </c>
      <c r="AB38" s="36">
        <v>1</v>
      </c>
      <c r="AC38" s="44">
        <f t="shared" si="13"/>
        <v>0</v>
      </c>
      <c r="AD38" s="36">
        <v>1</v>
      </c>
      <c r="AE38" s="44">
        <f t="shared" si="14"/>
        <v>0</v>
      </c>
      <c r="AF38" s="45"/>
      <c r="AG38" s="46" t="e">
        <f t="shared" si="15"/>
        <v>#DIV/0!</v>
      </c>
      <c r="AH38" s="47" t="e">
        <f t="shared" si="16"/>
        <v>#DIV/0!</v>
      </c>
      <c r="AI38" s="45"/>
      <c r="AJ38" s="46" t="e">
        <f t="shared" si="17"/>
        <v>#DIV/0!</v>
      </c>
      <c r="AK38" s="47" t="e">
        <f t="shared" si="18"/>
        <v>#DIV/0!</v>
      </c>
      <c r="AL38" s="45"/>
      <c r="AM38" s="46" t="e">
        <f t="shared" si="19"/>
        <v>#DIV/0!</v>
      </c>
      <c r="AN38" s="47" t="e">
        <f t="shared" si="20"/>
        <v>#DIV/0!</v>
      </c>
      <c r="AO38" s="45"/>
      <c r="AP38" s="46" t="e">
        <f t="shared" si="21"/>
        <v>#DIV/0!</v>
      </c>
      <c r="AQ38" s="47" t="e">
        <f t="shared" si="22"/>
        <v>#DIV/0!</v>
      </c>
      <c r="AR38" s="45"/>
      <c r="AS38" s="46">
        <f t="shared" si="23"/>
        <v>0</v>
      </c>
      <c r="AT38" s="47">
        <f t="shared" si="24"/>
        <v>0</v>
      </c>
      <c r="AU38" s="45"/>
      <c r="AV38" s="46" t="e">
        <f t="shared" si="25"/>
        <v>#DIV/0!</v>
      </c>
      <c r="AW38" s="47" t="e">
        <f t="shared" si="26"/>
        <v>#DIV/0!</v>
      </c>
      <c r="AX38" s="45"/>
      <c r="AY38" s="46">
        <f t="shared" si="27"/>
        <v>0</v>
      </c>
      <c r="AZ38" s="47">
        <f t="shared" si="28"/>
        <v>0</v>
      </c>
      <c r="BA38" s="48" t="e">
        <f t="shared" si="29"/>
        <v>#DIV/0!</v>
      </c>
    </row>
    <row r="39" spans="1:53">
      <c r="A39" s="30">
        <v>3</v>
      </c>
      <c r="B39" s="31" t="s">
        <v>482</v>
      </c>
      <c r="C39" s="31" t="s">
        <v>415</v>
      </c>
      <c r="D39" s="469" t="s">
        <v>501</v>
      </c>
      <c r="E39" s="32" t="s">
        <v>505</v>
      </c>
      <c r="F39" s="33">
        <v>40.229999999999997</v>
      </c>
      <c r="G39" s="74"/>
      <c r="H39" s="70" t="s">
        <v>20</v>
      </c>
      <c r="I39" s="77">
        <f>IF(H39=Tablas!$B$5,Tablas!$C$5,VLOOKUP(H39,Tablas!$B$5:$D$40,2,FALSE))</f>
        <v>19</v>
      </c>
      <c r="J39" s="65">
        <f>IF(I39=0,"",VLOOKUP(I39,Tablas!$C$5:$D$40,2,FALSE))</f>
        <v>21.726190476190478</v>
      </c>
      <c r="K39" s="34" t="str">
        <f t="shared" si="30"/>
        <v>0</v>
      </c>
      <c r="L39" s="35">
        <f t="shared" si="1"/>
        <v>0</v>
      </c>
      <c r="M39" s="35">
        <f t="shared" si="2"/>
        <v>0</v>
      </c>
      <c r="N39" s="35">
        <f t="shared" si="3"/>
        <v>0</v>
      </c>
      <c r="O39" s="35">
        <f t="shared" si="4"/>
        <v>0</v>
      </c>
      <c r="P39" s="35">
        <f t="shared" si="5"/>
        <v>0</v>
      </c>
      <c r="Q39" s="36">
        <v>0.75</v>
      </c>
      <c r="R39" s="37">
        <f t="shared" si="6"/>
        <v>0</v>
      </c>
      <c r="S39" s="36">
        <v>0.75</v>
      </c>
      <c r="T39" s="38">
        <f t="shared" si="7"/>
        <v>0</v>
      </c>
      <c r="U39" s="39">
        <f t="shared" si="8"/>
        <v>0</v>
      </c>
      <c r="V39" s="40">
        <f t="shared" si="9"/>
        <v>0</v>
      </c>
      <c r="W39" s="41">
        <f t="shared" si="10"/>
        <v>0</v>
      </c>
      <c r="X39" s="42">
        <f t="shared" si="11"/>
        <v>5</v>
      </c>
      <c r="Y39" s="43" t="s">
        <v>395</v>
      </c>
      <c r="Z39" s="36">
        <v>1</v>
      </c>
      <c r="AA39" s="44">
        <f t="shared" si="12"/>
        <v>0</v>
      </c>
      <c r="AB39" s="36">
        <v>1</v>
      </c>
      <c r="AC39" s="44">
        <f t="shared" si="13"/>
        <v>0</v>
      </c>
      <c r="AD39" s="36">
        <v>1</v>
      </c>
      <c r="AE39" s="44">
        <f t="shared" si="14"/>
        <v>0</v>
      </c>
      <c r="AF39" s="45"/>
      <c r="AG39" s="46" t="e">
        <f t="shared" si="15"/>
        <v>#DIV/0!</v>
      </c>
      <c r="AH39" s="47" t="e">
        <f t="shared" si="16"/>
        <v>#DIV/0!</v>
      </c>
      <c r="AI39" s="45"/>
      <c r="AJ39" s="46" t="e">
        <f t="shared" si="17"/>
        <v>#DIV/0!</v>
      </c>
      <c r="AK39" s="47" t="e">
        <f t="shared" si="18"/>
        <v>#DIV/0!</v>
      </c>
      <c r="AL39" s="45"/>
      <c r="AM39" s="46" t="e">
        <f t="shared" si="19"/>
        <v>#DIV/0!</v>
      </c>
      <c r="AN39" s="47" t="e">
        <f t="shared" si="20"/>
        <v>#DIV/0!</v>
      </c>
      <c r="AO39" s="45"/>
      <c r="AP39" s="46" t="e">
        <f t="shared" si="21"/>
        <v>#DIV/0!</v>
      </c>
      <c r="AQ39" s="47" t="e">
        <f t="shared" si="22"/>
        <v>#DIV/0!</v>
      </c>
      <c r="AR39" s="45"/>
      <c r="AS39" s="46">
        <f t="shared" si="23"/>
        <v>0</v>
      </c>
      <c r="AT39" s="47">
        <f t="shared" si="24"/>
        <v>0</v>
      </c>
      <c r="AU39" s="45"/>
      <c r="AV39" s="46" t="e">
        <f t="shared" si="25"/>
        <v>#DIV/0!</v>
      </c>
      <c r="AW39" s="47" t="e">
        <f t="shared" si="26"/>
        <v>#DIV/0!</v>
      </c>
      <c r="AX39" s="45"/>
      <c r="AY39" s="46">
        <f t="shared" si="27"/>
        <v>0</v>
      </c>
      <c r="AZ39" s="47">
        <f t="shared" si="28"/>
        <v>0</v>
      </c>
      <c r="BA39" s="48" t="e">
        <f t="shared" si="29"/>
        <v>#DIV/0!</v>
      </c>
    </row>
    <row r="40" spans="1:53" ht="16" thickBot="1">
      <c r="A40" s="30">
        <v>3</v>
      </c>
      <c r="B40" s="31" t="s">
        <v>482</v>
      </c>
      <c r="C40" s="31" t="s">
        <v>415</v>
      </c>
      <c r="D40" s="469" t="s">
        <v>502</v>
      </c>
      <c r="E40" s="32"/>
      <c r="F40" s="33">
        <v>754.13</v>
      </c>
      <c r="G40" s="74"/>
      <c r="H40" s="70" t="s">
        <v>20</v>
      </c>
      <c r="I40" s="77">
        <f>IF(H40=Tablas!$B$5,Tablas!$C$5,VLOOKUP(H40,Tablas!$B$5:$D$40,2,FALSE))</f>
        <v>19</v>
      </c>
      <c r="J40" s="65">
        <f>IF(I40=0,"",VLOOKUP(I40,Tablas!$C$5:$D$40,2,FALSE))</f>
        <v>21.726190476190478</v>
      </c>
      <c r="K40" s="34" t="str">
        <f t="shared" si="30"/>
        <v>0</v>
      </c>
      <c r="L40" s="35">
        <f t="shared" si="1"/>
        <v>0</v>
      </c>
      <c r="M40" s="35">
        <f t="shared" si="2"/>
        <v>0</v>
      </c>
      <c r="N40" s="35">
        <f t="shared" si="3"/>
        <v>0</v>
      </c>
      <c r="O40" s="35">
        <f t="shared" si="4"/>
        <v>0</v>
      </c>
      <c r="P40" s="35">
        <f t="shared" si="5"/>
        <v>0</v>
      </c>
      <c r="Q40" s="36">
        <v>0.75</v>
      </c>
      <c r="R40" s="37">
        <f t="shared" si="6"/>
        <v>0</v>
      </c>
      <c r="S40" s="36">
        <v>0.75</v>
      </c>
      <c r="T40" s="38">
        <f t="shared" si="7"/>
        <v>0</v>
      </c>
      <c r="U40" s="39">
        <f t="shared" si="8"/>
        <v>0</v>
      </c>
      <c r="V40" s="40">
        <f t="shared" si="9"/>
        <v>0</v>
      </c>
      <c r="W40" s="41">
        <f t="shared" si="10"/>
        <v>0</v>
      </c>
      <c r="X40" s="42">
        <f t="shared" si="11"/>
        <v>5</v>
      </c>
      <c r="Y40" s="43" t="s">
        <v>395</v>
      </c>
      <c r="Z40" s="36">
        <v>1</v>
      </c>
      <c r="AA40" s="44">
        <f t="shared" si="12"/>
        <v>0</v>
      </c>
      <c r="AB40" s="36">
        <v>1</v>
      </c>
      <c r="AC40" s="44">
        <f t="shared" si="13"/>
        <v>0</v>
      </c>
      <c r="AD40" s="36">
        <v>1</v>
      </c>
      <c r="AE40" s="44">
        <f t="shared" si="14"/>
        <v>0</v>
      </c>
      <c r="AF40" s="45"/>
      <c r="AG40" s="46" t="e">
        <f t="shared" si="15"/>
        <v>#DIV/0!</v>
      </c>
      <c r="AH40" s="47" t="e">
        <f t="shared" si="16"/>
        <v>#DIV/0!</v>
      </c>
      <c r="AI40" s="45"/>
      <c r="AJ40" s="46" t="e">
        <f t="shared" si="17"/>
        <v>#DIV/0!</v>
      </c>
      <c r="AK40" s="47" t="e">
        <f t="shared" si="18"/>
        <v>#DIV/0!</v>
      </c>
      <c r="AL40" s="45"/>
      <c r="AM40" s="46" t="e">
        <f t="shared" si="19"/>
        <v>#DIV/0!</v>
      </c>
      <c r="AN40" s="47" t="e">
        <f t="shared" si="20"/>
        <v>#DIV/0!</v>
      </c>
      <c r="AO40" s="45"/>
      <c r="AP40" s="46" t="e">
        <f t="shared" si="21"/>
        <v>#DIV/0!</v>
      </c>
      <c r="AQ40" s="47" t="e">
        <f t="shared" si="22"/>
        <v>#DIV/0!</v>
      </c>
      <c r="AR40" s="45"/>
      <c r="AS40" s="46">
        <f t="shared" si="23"/>
        <v>0</v>
      </c>
      <c r="AT40" s="47">
        <f t="shared" si="24"/>
        <v>0</v>
      </c>
      <c r="AU40" s="45"/>
      <c r="AV40" s="46" t="e">
        <f t="shared" si="25"/>
        <v>#DIV/0!</v>
      </c>
      <c r="AW40" s="47" t="e">
        <f t="shared" si="26"/>
        <v>#DIV/0!</v>
      </c>
      <c r="AX40" s="45"/>
      <c r="AY40" s="46">
        <f t="shared" si="27"/>
        <v>0</v>
      </c>
      <c r="AZ40" s="47">
        <f t="shared" si="28"/>
        <v>0</v>
      </c>
      <c r="BA40" s="48" t="e">
        <f t="shared" si="29"/>
        <v>#DIV/0!</v>
      </c>
    </row>
    <row r="41" spans="1:53" ht="16" hidden="1" thickBot="1">
      <c r="A41" s="30"/>
      <c r="B41" s="31"/>
      <c r="C41" s="31"/>
      <c r="D41" s="31"/>
      <c r="E41" s="32"/>
      <c r="F41" s="33"/>
      <c r="G41" s="74"/>
      <c r="H41" s="70"/>
      <c r="I41" s="77">
        <f>IF(H41=Tablas!$B$5,Tablas!$C$5,VLOOKUP(H41,Tablas!$B$5:$D$40,2,FALSE))</f>
        <v>1</v>
      </c>
      <c r="J41" s="65">
        <f>IF(I41=0,"",VLOOKUP(I41,Tablas!$C$5:$D$40,2,FALSE))</f>
        <v>0</v>
      </c>
      <c r="K41" s="34" t="str">
        <f t="shared" si="30"/>
        <v>0</v>
      </c>
      <c r="L41" s="35">
        <f t="shared" si="1"/>
        <v>0</v>
      </c>
      <c r="M41" s="35">
        <f t="shared" si="2"/>
        <v>0</v>
      </c>
      <c r="N41" s="35">
        <f t="shared" si="3"/>
        <v>0</v>
      </c>
      <c r="O41" s="35">
        <f t="shared" si="4"/>
        <v>0</v>
      </c>
      <c r="P41" s="35">
        <f t="shared" si="5"/>
        <v>0</v>
      </c>
      <c r="Q41" s="36">
        <v>0.75</v>
      </c>
      <c r="R41" s="37">
        <f t="shared" si="6"/>
        <v>0</v>
      </c>
      <c r="S41" s="36">
        <v>0.75</v>
      </c>
      <c r="T41" s="38">
        <f t="shared" si="7"/>
        <v>0</v>
      </c>
      <c r="U41" s="39">
        <f t="shared" si="8"/>
        <v>0</v>
      </c>
      <c r="V41" s="40">
        <f t="shared" si="9"/>
        <v>0</v>
      </c>
      <c r="W41" s="41">
        <f t="shared" si="10"/>
        <v>0</v>
      </c>
      <c r="X41" s="42">
        <f t="shared" si="11"/>
        <v>0</v>
      </c>
      <c r="Y41" s="43" t="s">
        <v>395</v>
      </c>
      <c r="Z41" s="36">
        <v>1</v>
      </c>
      <c r="AA41" s="44">
        <f t="shared" si="12"/>
        <v>0</v>
      </c>
      <c r="AB41" s="36">
        <v>1</v>
      </c>
      <c r="AC41" s="44">
        <f t="shared" si="13"/>
        <v>0</v>
      </c>
      <c r="AD41" s="36">
        <v>1</v>
      </c>
      <c r="AE41" s="44">
        <f t="shared" si="14"/>
        <v>0</v>
      </c>
      <c r="AF41" s="45"/>
      <c r="AG41" s="46" t="e">
        <f t="shared" si="15"/>
        <v>#DIV/0!</v>
      </c>
      <c r="AH41" s="47" t="e">
        <f t="shared" si="16"/>
        <v>#DIV/0!</v>
      </c>
      <c r="AI41" s="45"/>
      <c r="AJ41" s="46" t="e">
        <f t="shared" si="17"/>
        <v>#DIV/0!</v>
      </c>
      <c r="AK41" s="47" t="e">
        <f t="shared" si="18"/>
        <v>#DIV/0!</v>
      </c>
      <c r="AL41" s="45"/>
      <c r="AM41" s="46" t="e">
        <f t="shared" si="19"/>
        <v>#DIV/0!</v>
      </c>
      <c r="AN41" s="47" t="e">
        <f t="shared" si="20"/>
        <v>#DIV/0!</v>
      </c>
      <c r="AO41" s="45"/>
      <c r="AP41" s="46" t="e">
        <f t="shared" si="21"/>
        <v>#DIV/0!</v>
      </c>
      <c r="AQ41" s="47" t="e">
        <f t="shared" si="22"/>
        <v>#DIV/0!</v>
      </c>
      <c r="AR41" s="45"/>
      <c r="AS41" s="46">
        <f t="shared" si="23"/>
        <v>0</v>
      </c>
      <c r="AT41" s="47">
        <f t="shared" si="24"/>
        <v>0</v>
      </c>
      <c r="AU41" s="45"/>
      <c r="AV41" s="46" t="e">
        <f t="shared" si="25"/>
        <v>#DIV/0!</v>
      </c>
      <c r="AW41" s="47" t="e">
        <f t="shared" si="26"/>
        <v>#DIV/0!</v>
      </c>
      <c r="AX41" s="45"/>
      <c r="AY41" s="46">
        <f t="shared" si="27"/>
        <v>0</v>
      </c>
      <c r="AZ41" s="47">
        <f t="shared" si="28"/>
        <v>0</v>
      </c>
      <c r="BA41" s="48" t="e">
        <f t="shared" si="29"/>
        <v>#DIV/0!</v>
      </c>
    </row>
    <row r="42" spans="1:53" ht="16" hidden="1" thickBot="1">
      <c r="A42" s="30"/>
      <c r="B42" s="31"/>
      <c r="C42" s="31"/>
      <c r="D42" s="31"/>
      <c r="E42" s="32"/>
      <c r="F42" s="33"/>
      <c r="G42" s="74"/>
      <c r="H42" s="70"/>
      <c r="I42" s="77">
        <f>IF(H42=Tablas!$B$5,Tablas!$C$5,VLOOKUP(H42,Tablas!$B$5:$D$40,2,FALSE))</f>
        <v>1</v>
      </c>
      <c r="J42" s="65">
        <f>IF(I42=0,"",VLOOKUP(I42,Tablas!$C$5:$D$40,2,FALSE))</f>
        <v>0</v>
      </c>
      <c r="K42" s="34" t="str">
        <f t="shared" si="30"/>
        <v>0</v>
      </c>
      <c r="L42" s="35">
        <f t="shared" si="1"/>
        <v>0</v>
      </c>
      <c r="M42" s="35">
        <f t="shared" si="2"/>
        <v>0</v>
      </c>
      <c r="N42" s="35">
        <f t="shared" si="3"/>
        <v>0</v>
      </c>
      <c r="O42" s="35">
        <f t="shared" si="4"/>
        <v>0</v>
      </c>
      <c r="P42" s="35">
        <f t="shared" si="5"/>
        <v>0</v>
      </c>
      <c r="Q42" s="36">
        <v>0.75</v>
      </c>
      <c r="R42" s="37">
        <f t="shared" si="6"/>
        <v>0</v>
      </c>
      <c r="S42" s="36">
        <v>0.75</v>
      </c>
      <c r="T42" s="38">
        <f t="shared" si="7"/>
        <v>0</v>
      </c>
      <c r="U42" s="39">
        <f t="shared" si="8"/>
        <v>0</v>
      </c>
      <c r="V42" s="40">
        <f t="shared" si="9"/>
        <v>0</v>
      </c>
      <c r="W42" s="41">
        <f t="shared" si="10"/>
        <v>0</v>
      </c>
      <c r="X42" s="42">
        <f t="shared" si="11"/>
        <v>0</v>
      </c>
      <c r="Y42" s="43" t="s">
        <v>395</v>
      </c>
      <c r="Z42" s="36">
        <v>1</v>
      </c>
      <c r="AA42" s="44">
        <f t="shared" si="12"/>
        <v>0</v>
      </c>
      <c r="AB42" s="36">
        <v>1</v>
      </c>
      <c r="AC42" s="44">
        <f t="shared" si="13"/>
        <v>0</v>
      </c>
      <c r="AD42" s="36">
        <v>1</v>
      </c>
      <c r="AE42" s="44">
        <f t="shared" si="14"/>
        <v>0</v>
      </c>
      <c r="AF42" s="45"/>
      <c r="AG42" s="46" t="e">
        <f t="shared" si="15"/>
        <v>#DIV/0!</v>
      </c>
      <c r="AH42" s="47" t="e">
        <f t="shared" si="16"/>
        <v>#DIV/0!</v>
      </c>
      <c r="AI42" s="45"/>
      <c r="AJ42" s="46" t="e">
        <f t="shared" si="17"/>
        <v>#DIV/0!</v>
      </c>
      <c r="AK42" s="47" t="e">
        <f t="shared" si="18"/>
        <v>#DIV/0!</v>
      </c>
      <c r="AL42" s="45"/>
      <c r="AM42" s="46" t="e">
        <f t="shared" si="19"/>
        <v>#DIV/0!</v>
      </c>
      <c r="AN42" s="47" t="e">
        <f t="shared" si="20"/>
        <v>#DIV/0!</v>
      </c>
      <c r="AO42" s="45"/>
      <c r="AP42" s="46" t="e">
        <f t="shared" si="21"/>
        <v>#DIV/0!</v>
      </c>
      <c r="AQ42" s="47" t="e">
        <f t="shared" si="22"/>
        <v>#DIV/0!</v>
      </c>
      <c r="AR42" s="45"/>
      <c r="AS42" s="46">
        <f t="shared" si="23"/>
        <v>0</v>
      </c>
      <c r="AT42" s="47">
        <f t="shared" si="24"/>
        <v>0</v>
      </c>
      <c r="AU42" s="45"/>
      <c r="AV42" s="46" t="e">
        <f t="shared" si="25"/>
        <v>#DIV/0!</v>
      </c>
      <c r="AW42" s="47" t="e">
        <f t="shared" si="26"/>
        <v>#DIV/0!</v>
      </c>
      <c r="AX42" s="45"/>
      <c r="AY42" s="46">
        <f t="shared" si="27"/>
        <v>0</v>
      </c>
      <c r="AZ42" s="47">
        <f t="shared" si="28"/>
        <v>0</v>
      </c>
      <c r="BA42" s="48" t="e">
        <f t="shared" si="29"/>
        <v>#DIV/0!</v>
      </c>
    </row>
    <row r="43" spans="1:53" ht="16" hidden="1" thickBot="1">
      <c r="A43" s="30"/>
      <c r="B43" s="31"/>
      <c r="C43" s="31"/>
      <c r="D43" s="31"/>
      <c r="E43" s="32"/>
      <c r="F43" s="33"/>
      <c r="G43" s="74"/>
      <c r="H43" s="70"/>
      <c r="I43" s="77">
        <f>IF(H43=Tablas!$B$5,Tablas!$C$5,VLOOKUP(H43,Tablas!$B$5:$D$40,2,FALSE))</f>
        <v>1</v>
      </c>
      <c r="J43" s="65">
        <f>IF(I43=0,"",VLOOKUP(I43,Tablas!$C$5:$D$40,2,FALSE))</f>
        <v>0</v>
      </c>
      <c r="K43" s="34" t="str">
        <f t="shared" si="30"/>
        <v>0</v>
      </c>
      <c r="L43" s="35">
        <f t="shared" si="1"/>
        <v>0</v>
      </c>
      <c r="M43" s="35">
        <f t="shared" si="2"/>
        <v>0</v>
      </c>
      <c r="N43" s="35">
        <f t="shared" si="3"/>
        <v>0</v>
      </c>
      <c r="O43" s="35">
        <f t="shared" si="4"/>
        <v>0</v>
      </c>
      <c r="P43" s="35">
        <f t="shared" si="5"/>
        <v>0</v>
      </c>
      <c r="Q43" s="36">
        <v>0.75</v>
      </c>
      <c r="R43" s="37">
        <f t="shared" si="6"/>
        <v>0</v>
      </c>
      <c r="S43" s="36">
        <v>0.75</v>
      </c>
      <c r="T43" s="38">
        <f t="shared" si="7"/>
        <v>0</v>
      </c>
      <c r="U43" s="39">
        <f t="shared" si="8"/>
        <v>0</v>
      </c>
      <c r="V43" s="40">
        <f t="shared" si="9"/>
        <v>0</v>
      </c>
      <c r="W43" s="41">
        <f t="shared" si="10"/>
        <v>0</v>
      </c>
      <c r="X43" s="42">
        <f t="shared" si="11"/>
        <v>0</v>
      </c>
      <c r="Y43" s="43" t="s">
        <v>395</v>
      </c>
      <c r="Z43" s="36">
        <v>1</v>
      </c>
      <c r="AA43" s="44">
        <f t="shared" si="12"/>
        <v>0</v>
      </c>
      <c r="AB43" s="36">
        <v>1</v>
      </c>
      <c r="AC43" s="44">
        <f t="shared" si="13"/>
        <v>0</v>
      </c>
      <c r="AD43" s="36">
        <v>1</v>
      </c>
      <c r="AE43" s="44">
        <f t="shared" si="14"/>
        <v>0</v>
      </c>
      <c r="AF43" s="45"/>
      <c r="AG43" s="46" t="e">
        <f t="shared" si="15"/>
        <v>#DIV/0!</v>
      </c>
      <c r="AH43" s="47" t="e">
        <f t="shared" si="16"/>
        <v>#DIV/0!</v>
      </c>
      <c r="AI43" s="45"/>
      <c r="AJ43" s="46" t="e">
        <f t="shared" si="17"/>
        <v>#DIV/0!</v>
      </c>
      <c r="AK43" s="47" t="e">
        <f t="shared" si="18"/>
        <v>#DIV/0!</v>
      </c>
      <c r="AL43" s="45"/>
      <c r="AM43" s="46" t="e">
        <f t="shared" si="19"/>
        <v>#DIV/0!</v>
      </c>
      <c r="AN43" s="47" t="e">
        <f t="shared" si="20"/>
        <v>#DIV/0!</v>
      </c>
      <c r="AO43" s="45"/>
      <c r="AP43" s="46" t="e">
        <f t="shared" si="21"/>
        <v>#DIV/0!</v>
      </c>
      <c r="AQ43" s="47" t="e">
        <f t="shared" si="22"/>
        <v>#DIV/0!</v>
      </c>
      <c r="AR43" s="45"/>
      <c r="AS43" s="46">
        <f t="shared" si="23"/>
        <v>0</v>
      </c>
      <c r="AT43" s="47">
        <f t="shared" si="24"/>
        <v>0</v>
      </c>
      <c r="AU43" s="45"/>
      <c r="AV43" s="46" t="e">
        <f t="shared" si="25"/>
        <v>#DIV/0!</v>
      </c>
      <c r="AW43" s="47" t="e">
        <f t="shared" si="26"/>
        <v>#DIV/0!</v>
      </c>
      <c r="AX43" s="45"/>
      <c r="AY43" s="46">
        <f t="shared" si="27"/>
        <v>0</v>
      </c>
      <c r="AZ43" s="47">
        <f t="shared" si="28"/>
        <v>0</v>
      </c>
      <c r="BA43" s="48" t="e">
        <f t="shared" si="29"/>
        <v>#DIV/0!</v>
      </c>
    </row>
    <row r="44" spans="1:53" ht="16" hidden="1" thickBot="1">
      <c r="A44" s="30"/>
      <c r="B44" s="31"/>
      <c r="C44" s="31"/>
      <c r="D44" s="31"/>
      <c r="E44" s="32"/>
      <c r="F44" s="33"/>
      <c r="G44" s="74"/>
      <c r="H44" s="70"/>
      <c r="I44" s="77">
        <f>IF(H44=Tablas!$B$5,Tablas!$C$5,VLOOKUP(H44,Tablas!$B$5:$D$40,2,FALSE))</f>
        <v>1</v>
      </c>
      <c r="J44" s="65">
        <f>IF(I44=0,"",VLOOKUP(I44,Tablas!$C$5:$D$40,2,FALSE))</f>
        <v>0</v>
      </c>
      <c r="K44" s="34" t="str">
        <f t="shared" si="30"/>
        <v>0</v>
      </c>
      <c r="L44" s="35">
        <f t="shared" si="1"/>
        <v>0</v>
      </c>
      <c r="M44" s="35">
        <f t="shared" si="2"/>
        <v>0</v>
      </c>
      <c r="N44" s="35">
        <f t="shared" si="3"/>
        <v>0</v>
      </c>
      <c r="O44" s="35">
        <f t="shared" si="4"/>
        <v>0</v>
      </c>
      <c r="P44" s="35">
        <f t="shared" si="5"/>
        <v>0</v>
      </c>
      <c r="Q44" s="36">
        <v>0.75</v>
      </c>
      <c r="R44" s="37">
        <f t="shared" si="6"/>
        <v>0</v>
      </c>
      <c r="S44" s="36">
        <v>0.75</v>
      </c>
      <c r="T44" s="38">
        <f t="shared" si="7"/>
        <v>0</v>
      </c>
      <c r="U44" s="39">
        <f t="shared" si="8"/>
        <v>0</v>
      </c>
      <c r="V44" s="40">
        <f t="shared" si="9"/>
        <v>0</v>
      </c>
      <c r="W44" s="41">
        <f t="shared" si="10"/>
        <v>0</v>
      </c>
      <c r="X44" s="42">
        <f t="shared" si="11"/>
        <v>0</v>
      </c>
      <c r="Y44" s="43" t="s">
        <v>395</v>
      </c>
      <c r="Z44" s="36">
        <v>1</v>
      </c>
      <c r="AA44" s="44">
        <f t="shared" si="12"/>
        <v>0</v>
      </c>
      <c r="AB44" s="36">
        <v>1</v>
      </c>
      <c r="AC44" s="44">
        <f t="shared" si="13"/>
        <v>0</v>
      </c>
      <c r="AD44" s="36">
        <v>1</v>
      </c>
      <c r="AE44" s="44">
        <f t="shared" si="14"/>
        <v>0</v>
      </c>
      <c r="AF44" s="45"/>
      <c r="AG44" s="46" t="e">
        <f t="shared" si="15"/>
        <v>#DIV/0!</v>
      </c>
      <c r="AH44" s="47" t="e">
        <f t="shared" si="16"/>
        <v>#DIV/0!</v>
      </c>
      <c r="AI44" s="45"/>
      <c r="AJ44" s="46" t="e">
        <f t="shared" si="17"/>
        <v>#DIV/0!</v>
      </c>
      <c r="AK44" s="47" t="e">
        <f t="shared" si="18"/>
        <v>#DIV/0!</v>
      </c>
      <c r="AL44" s="45"/>
      <c r="AM44" s="46" t="e">
        <f t="shared" si="19"/>
        <v>#DIV/0!</v>
      </c>
      <c r="AN44" s="47" t="e">
        <f t="shared" si="20"/>
        <v>#DIV/0!</v>
      </c>
      <c r="AO44" s="45"/>
      <c r="AP44" s="46" t="e">
        <f t="shared" si="21"/>
        <v>#DIV/0!</v>
      </c>
      <c r="AQ44" s="47" t="e">
        <f t="shared" si="22"/>
        <v>#DIV/0!</v>
      </c>
      <c r="AR44" s="45"/>
      <c r="AS44" s="46">
        <f t="shared" si="23"/>
        <v>0</v>
      </c>
      <c r="AT44" s="47">
        <f t="shared" si="24"/>
        <v>0</v>
      </c>
      <c r="AU44" s="45"/>
      <c r="AV44" s="46" t="e">
        <f t="shared" si="25"/>
        <v>#DIV/0!</v>
      </c>
      <c r="AW44" s="47" t="e">
        <f t="shared" si="26"/>
        <v>#DIV/0!</v>
      </c>
      <c r="AX44" s="45"/>
      <c r="AY44" s="46">
        <f t="shared" si="27"/>
        <v>0</v>
      </c>
      <c r="AZ44" s="47">
        <f t="shared" si="28"/>
        <v>0</v>
      </c>
      <c r="BA44" s="48" t="e">
        <f t="shared" si="29"/>
        <v>#DIV/0!</v>
      </c>
    </row>
    <row r="45" spans="1:53" ht="16" hidden="1" thickBot="1">
      <c r="A45" s="30"/>
      <c r="B45" s="31"/>
      <c r="C45" s="31"/>
      <c r="D45" s="31"/>
      <c r="E45" s="32"/>
      <c r="F45" s="33"/>
      <c r="G45" s="74"/>
      <c r="H45" s="70"/>
      <c r="I45" s="77">
        <f>IF(H45=Tablas!$B$5,Tablas!$C$5,VLOOKUP(H45,Tablas!$B$5:$D$40,2,FALSE))</f>
        <v>1</v>
      </c>
      <c r="J45" s="65">
        <f>IF(I45=0,"",VLOOKUP(I45,Tablas!$C$5:$D$40,2,FALSE))</f>
        <v>0</v>
      </c>
      <c r="K45" s="34" t="str">
        <f t="shared" si="30"/>
        <v>0</v>
      </c>
      <c r="L45" s="35">
        <f t="shared" si="1"/>
        <v>0</v>
      </c>
      <c r="M45" s="35">
        <f t="shared" si="2"/>
        <v>0</v>
      </c>
      <c r="N45" s="35">
        <f t="shared" si="3"/>
        <v>0</v>
      </c>
      <c r="O45" s="35">
        <f t="shared" si="4"/>
        <v>0</v>
      </c>
      <c r="P45" s="35">
        <f t="shared" si="5"/>
        <v>0</v>
      </c>
      <c r="Q45" s="36">
        <v>0.75</v>
      </c>
      <c r="R45" s="37">
        <f t="shared" si="6"/>
        <v>0</v>
      </c>
      <c r="S45" s="36">
        <v>0.75</v>
      </c>
      <c r="T45" s="38">
        <f t="shared" si="7"/>
        <v>0</v>
      </c>
      <c r="U45" s="39">
        <f t="shared" si="8"/>
        <v>0</v>
      </c>
      <c r="V45" s="40">
        <f t="shared" si="9"/>
        <v>0</v>
      </c>
      <c r="W45" s="41">
        <f t="shared" si="10"/>
        <v>0</v>
      </c>
      <c r="X45" s="42">
        <f t="shared" si="11"/>
        <v>0</v>
      </c>
      <c r="Y45" s="43" t="s">
        <v>395</v>
      </c>
      <c r="Z45" s="36">
        <v>1</v>
      </c>
      <c r="AA45" s="44">
        <f t="shared" si="12"/>
        <v>0</v>
      </c>
      <c r="AB45" s="36">
        <v>1</v>
      </c>
      <c r="AC45" s="44">
        <f t="shared" si="13"/>
        <v>0</v>
      </c>
      <c r="AD45" s="36">
        <v>1</v>
      </c>
      <c r="AE45" s="44">
        <f t="shared" si="14"/>
        <v>0</v>
      </c>
      <c r="AF45" s="45"/>
      <c r="AG45" s="46" t="e">
        <f t="shared" si="15"/>
        <v>#DIV/0!</v>
      </c>
      <c r="AH45" s="47" t="e">
        <f t="shared" si="16"/>
        <v>#DIV/0!</v>
      </c>
      <c r="AI45" s="45"/>
      <c r="AJ45" s="46" t="e">
        <f t="shared" si="17"/>
        <v>#DIV/0!</v>
      </c>
      <c r="AK45" s="47" t="e">
        <f t="shared" si="18"/>
        <v>#DIV/0!</v>
      </c>
      <c r="AL45" s="45"/>
      <c r="AM45" s="46" t="e">
        <f t="shared" si="19"/>
        <v>#DIV/0!</v>
      </c>
      <c r="AN45" s="47" t="e">
        <f t="shared" si="20"/>
        <v>#DIV/0!</v>
      </c>
      <c r="AO45" s="45"/>
      <c r="AP45" s="46" t="e">
        <f t="shared" si="21"/>
        <v>#DIV/0!</v>
      </c>
      <c r="AQ45" s="47" t="e">
        <f t="shared" si="22"/>
        <v>#DIV/0!</v>
      </c>
      <c r="AR45" s="45"/>
      <c r="AS45" s="46">
        <f t="shared" si="23"/>
        <v>0</v>
      </c>
      <c r="AT45" s="47">
        <f t="shared" si="24"/>
        <v>0</v>
      </c>
      <c r="AU45" s="45"/>
      <c r="AV45" s="46" t="e">
        <f t="shared" si="25"/>
        <v>#DIV/0!</v>
      </c>
      <c r="AW45" s="47" t="e">
        <f t="shared" si="26"/>
        <v>#DIV/0!</v>
      </c>
      <c r="AX45" s="45"/>
      <c r="AY45" s="46">
        <f t="shared" si="27"/>
        <v>0</v>
      </c>
      <c r="AZ45" s="47">
        <f t="shared" si="28"/>
        <v>0</v>
      </c>
      <c r="BA45" s="48" t="e">
        <f t="shared" si="29"/>
        <v>#DIV/0!</v>
      </c>
    </row>
    <row r="46" spans="1:53" ht="16" hidden="1" thickBot="1">
      <c r="A46" s="30"/>
      <c r="B46" s="31"/>
      <c r="C46" s="31"/>
      <c r="D46" s="31"/>
      <c r="E46" s="32"/>
      <c r="F46" s="33"/>
      <c r="G46" s="74"/>
      <c r="H46" s="70"/>
      <c r="I46" s="77">
        <f>IF(H46=Tablas!$B$5,Tablas!$C$5,VLOOKUP(H46,Tablas!$B$5:$D$40,2,FALSE))</f>
        <v>1</v>
      </c>
      <c r="J46" s="65">
        <f>IF(I46=0,"",VLOOKUP(I46,Tablas!$C$5:$D$40,2,FALSE))</f>
        <v>0</v>
      </c>
      <c r="K46" s="34" t="str">
        <f t="shared" si="30"/>
        <v>0</v>
      </c>
      <c r="L46" s="35">
        <f t="shared" si="1"/>
        <v>0</v>
      </c>
      <c r="M46" s="35">
        <f t="shared" si="2"/>
        <v>0</v>
      </c>
      <c r="N46" s="35">
        <f t="shared" si="3"/>
        <v>0</v>
      </c>
      <c r="O46" s="35">
        <f t="shared" si="4"/>
        <v>0</v>
      </c>
      <c r="P46" s="35">
        <f t="shared" si="5"/>
        <v>0</v>
      </c>
      <c r="Q46" s="36">
        <v>0.75</v>
      </c>
      <c r="R46" s="37">
        <f t="shared" si="6"/>
        <v>0</v>
      </c>
      <c r="S46" s="36">
        <v>0.75</v>
      </c>
      <c r="T46" s="38">
        <f t="shared" si="7"/>
        <v>0</v>
      </c>
      <c r="U46" s="39">
        <f t="shared" si="8"/>
        <v>0</v>
      </c>
      <c r="V46" s="40">
        <f t="shared" si="9"/>
        <v>0</v>
      </c>
      <c r="W46" s="41">
        <f t="shared" si="10"/>
        <v>0</v>
      </c>
      <c r="X46" s="42">
        <f t="shared" si="11"/>
        <v>0</v>
      </c>
      <c r="Y46" s="43" t="s">
        <v>0</v>
      </c>
      <c r="Z46" s="36">
        <v>1</v>
      </c>
      <c r="AA46" s="44">
        <f t="shared" si="12"/>
        <v>0</v>
      </c>
      <c r="AB46" s="36">
        <v>1</v>
      </c>
      <c r="AC46" s="44">
        <f t="shared" si="13"/>
        <v>0</v>
      </c>
      <c r="AD46" s="36">
        <v>1</v>
      </c>
      <c r="AE46" s="44">
        <f t="shared" si="14"/>
        <v>0</v>
      </c>
      <c r="AF46" s="45"/>
      <c r="AG46" s="46" t="e">
        <f t="shared" si="15"/>
        <v>#DIV/0!</v>
      </c>
      <c r="AH46" s="47" t="e">
        <f t="shared" si="16"/>
        <v>#DIV/0!</v>
      </c>
      <c r="AI46" s="45"/>
      <c r="AJ46" s="46" t="e">
        <f t="shared" si="17"/>
        <v>#DIV/0!</v>
      </c>
      <c r="AK46" s="47" t="e">
        <f t="shared" si="18"/>
        <v>#DIV/0!</v>
      </c>
      <c r="AL46" s="45"/>
      <c r="AM46" s="46" t="e">
        <f t="shared" si="19"/>
        <v>#DIV/0!</v>
      </c>
      <c r="AN46" s="47" t="e">
        <f t="shared" si="20"/>
        <v>#DIV/0!</v>
      </c>
      <c r="AO46" s="45"/>
      <c r="AP46" s="46" t="e">
        <f t="shared" si="21"/>
        <v>#DIV/0!</v>
      </c>
      <c r="AQ46" s="47" t="e">
        <f t="shared" si="22"/>
        <v>#DIV/0!</v>
      </c>
      <c r="AR46" s="45"/>
      <c r="AS46" s="46">
        <f t="shared" si="23"/>
        <v>0</v>
      </c>
      <c r="AT46" s="47">
        <f t="shared" si="24"/>
        <v>0</v>
      </c>
      <c r="AU46" s="45"/>
      <c r="AV46" s="46" t="e">
        <f t="shared" si="25"/>
        <v>#DIV/0!</v>
      </c>
      <c r="AW46" s="47" t="e">
        <f t="shared" si="26"/>
        <v>#DIV/0!</v>
      </c>
      <c r="AX46" s="45"/>
      <c r="AY46" s="46">
        <f t="shared" si="27"/>
        <v>0</v>
      </c>
      <c r="AZ46" s="47">
        <f t="shared" si="28"/>
        <v>0</v>
      </c>
      <c r="BA46" s="48" t="e">
        <f t="shared" si="29"/>
        <v>#DIV/0!</v>
      </c>
    </row>
    <row r="47" spans="1:53" ht="16" hidden="1" thickBot="1">
      <c r="A47" s="30"/>
      <c r="B47" s="31"/>
      <c r="C47" s="31"/>
      <c r="D47" s="31"/>
      <c r="E47" s="32"/>
      <c r="F47" s="33"/>
      <c r="G47" s="74"/>
      <c r="H47" s="70"/>
      <c r="I47" s="77">
        <f>IF(H47=Tablas!$B$5,Tablas!$C$5,VLOOKUP(H47,Tablas!$B$5:$D$40,2,FALSE))</f>
        <v>1</v>
      </c>
      <c r="J47" s="65">
        <f>IF(I47=0,"",VLOOKUP(I47,Tablas!$C$5:$D$40,2,FALSE))</f>
        <v>0</v>
      </c>
      <c r="K47" s="34" t="str">
        <f t="shared" si="30"/>
        <v>0</v>
      </c>
      <c r="L47" s="35">
        <f t="shared" si="1"/>
        <v>0</v>
      </c>
      <c r="M47" s="35">
        <f t="shared" si="2"/>
        <v>0</v>
      </c>
      <c r="N47" s="35">
        <f t="shared" si="3"/>
        <v>0</v>
      </c>
      <c r="O47" s="35">
        <f t="shared" si="4"/>
        <v>0</v>
      </c>
      <c r="P47" s="35">
        <f t="shared" si="5"/>
        <v>0</v>
      </c>
      <c r="Q47" s="36">
        <v>0.75</v>
      </c>
      <c r="R47" s="37">
        <f t="shared" si="6"/>
        <v>0</v>
      </c>
      <c r="S47" s="36">
        <v>0.75</v>
      </c>
      <c r="T47" s="38">
        <f t="shared" si="7"/>
        <v>0</v>
      </c>
      <c r="U47" s="39">
        <f t="shared" si="8"/>
        <v>0</v>
      </c>
      <c r="V47" s="40">
        <f t="shared" si="9"/>
        <v>0</v>
      </c>
      <c r="W47" s="41">
        <f t="shared" si="10"/>
        <v>0</v>
      </c>
      <c r="X47" s="42">
        <f t="shared" si="11"/>
        <v>0</v>
      </c>
      <c r="Y47" s="43" t="s">
        <v>0</v>
      </c>
      <c r="Z47" s="36">
        <v>1</v>
      </c>
      <c r="AA47" s="44">
        <f t="shared" si="12"/>
        <v>0</v>
      </c>
      <c r="AB47" s="36">
        <v>1</v>
      </c>
      <c r="AC47" s="44">
        <f t="shared" si="13"/>
        <v>0</v>
      </c>
      <c r="AD47" s="36">
        <v>1</v>
      </c>
      <c r="AE47" s="44">
        <f t="shared" si="14"/>
        <v>0</v>
      </c>
      <c r="AF47" s="45"/>
      <c r="AG47" s="46" t="e">
        <f t="shared" si="15"/>
        <v>#DIV/0!</v>
      </c>
      <c r="AH47" s="47" t="e">
        <f t="shared" si="16"/>
        <v>#DIV/0!</v>
      </c>
      <c r="AI47" s="45"/>
      <c r="AJ47" s="46" t="e">
        <f t="shared" si="17"/>
        <v>#DIV/0!</v>
      </c>
      <c r="AK47" s="47" t="e">
        <f t="shared" si="18"/>
        <v>#DIV/0!</v>
      </c>
      <c r="AL47" s="45"/>
      <c r="AM47" s="46" t="e">
        <f t="shared" si="19"/>
        <v>#DIV/0!</v>
      </c>
      <c r="AN47" s="47" t="e">
        <f t="shared" si="20"/>
        <v>#DIV/0!</v>
      </c>
      <c r="AO47" s="45"/>
      <c r="AP47" s="46" t="e">
        <f t="shared" si="21"/>
        <v>#DIV/0!</v>
      </c>
      <c r="AQ47" s="47" t="e">
        <f t="shared" si="22"/>
        <v>#DIV/0!</v>
      </c>
      <c r="AR47" s="45"/>
      <c r="AS47" s="46">
        <f t="shared" si="23"/>
        <v>0</v>
      </c>
      <c r="AT47" s="47">
        <f t="shared" si="24"/>
        <v>0</v>
      </c>
      <c r="AU47" s="45"/>
      <c r="AV47" s="46" t="e">
        <f t="shared" si="25"/>
        <v>#DIV/0!</v>
      </c>
      <c r="AW47" s="47" t="e">
        <f t="shared" si="26"/>
        <v>#DIV/0!</v>
      </c>
      <c r="AX47" s="45"/>
      <c r="AY47" s="46">
        <f t="shared" si="27"/>
        <v>0</v>
      </c>
      <c r="AZ47" s="47">
        <f t="shared" si="28"/>
        <v>0</v>
      </c>
      <c r="BA47" s="48" t="e">
        <f t="shared" si="29"/>
        <v>#DIV/0!</v>
      </c>
    </row>
    <row r="48" spans="1:53" ht="16" hidden="1" thickBot="1">
      <c r="A48" s="30"/>
      <c r="B48" s="31"/>
      <c r="C48" s="31"/>
      <c r="D48" s="31"/>
      <c r="E48" s="32"/>
      <c r="F48" s="33"/>
      <c r="G48" s="74"/>
      <c r="H48" s="70"/>
      <c r="I48" s="77">
        <f>IF(H48=Tablas!$B$5,Tablas!$C$5,VLOOKUP(H48,Tablas!$B$5:$D$40,2,FALSE))</f>
        <v>1</v>
      </c>
      <c r="J48" s="65">
        <f>IF(I48=0,"",VLOOKUP(I48,Tablas!$C$5:$D$40,2,FALSE))</f>
        <v>0</v>
      </c>
      <c r="K48" s="34" t="str">
        <f t="shared" si="30"/>
        <v>0</v>
      </c>
      <c r="L48" s="35">
        <f t="shared" si="1"/>
        <v>0</v>
      </c>
      <c r="M48" s="35">
        <f t="shared" si="2"/>
        <v>0</v>
      </c>
      <c r="N48" s="35">
        <f t="shared" si="3"/>
        <v>0</v>
      </c>
      <c r="O48" s="35">
        <f t="shared" si="4"/>
        <v>0</v>
      </c>
      <c r="P48" s="35">
        <f t="shared" si="5"/>
        <v>0</v>
      </c>
      <c r="Q48" s="36">
        <v>0.75</v>
      </c>
      <c r="R48" s="37">
        <f t="shared" si="6"/>
        <v>0</v>
      </c>
      <c r="S48" s="36">
        <v>0.75</v>
      </c>
      <c r="T48" s="38">
        <f t="shared" si="7"/>
        <v>0</v>
      </c>
      <c r="U48" s="39">
        <f t="shared" si="8"/>
        <v>0</v>
      </c>
      <c r="V48" s="40">
        <f t="shared" si="9"/>
        <v>0</v>
      </c>
      <c r="W48" s="41">
        <f t="shared" si="10"/>
        <v>0</v>
      </c>
      <c r="X48" s="42">
        <f t="shared" si="11"/>
        <v>0</v>
      </c>
      <c r="Y48" s="43" t="s">
        <v>0</v>
      </c>
      <c r="Z48" s="36">
        <v>1</v>
      </c>
      <c r="AA48" s="44">
        <f t="shared" si="12"/>
        <v>0</v>
      </c>
      <c r="AB48" s="36">
        <v>1</v>
      </c>
      <c r="AC48" s="44">
        <f t="shared" si="13"/>
        <v>0</v>
      </c>
      <c r="AD48" s="36">
        <v>1</v>
      </c>
      <c r="AE48" s="44">
        <f t="shared" si="14"/>
        <v>0</v>
      </c>
      <c r="AF48" s="45"/>
      <c r="AG48" s="46" t="e">
        <f t="shared" si="15"/>
        <v>#DIV/0!</v>
      </c>
      <c r="AH48" s="47" t="e">
        <f t="shared" si="16"/>
        <v>#DIV/0!</v>
      </c>
      <c r="AI48" s="45"/>
      <c r="AJ48" s="46" t="e">
        <f t="shared" si="17"/>
        <v>#DIV/0!</v>
      </c>
      <c r="AK48" s="47" t="e">
        <f t="shared" si="18"/>
        <v>#DIV/0!</v>
      </c>
      <c r="AL48" s="45"/>
      <c r="AM48" s="46" t="e">
        <f t="shared" si="19"/>
        <v>#DIV/0!</v>
      </c>
      <c r="AN48" s="47" t="e">
        <f t="shared" si="20"/>
        <v>#DIV/0!</v>
      </c>
      <c r="AO48" s="45"/>
      <c r="AP48" s="46" t="e">
        <f t="shared" si="21"/>
        <v>#DIV/0!</v>
      </c>
      <c r="AQ48" s="47" t="e">
        <f t="shared" si="22"/>
        <v>#DIV/0!</v>
      </c>
      <c r="AR48" s="45"/>
      <c r="AS48" s="46">
        <f t="shared" si="23"/>
        <v>0</v>
      </c>
      <c r="AT48" s="47">
        <f t="shared" si="24"/>
        <v>0</v>
      </c>
      <c r="AU48" s="45"/>
      <c r="AV48" s="46" t="e">
        <f t="shared" si="25"/>
        <v>#DIV/0!</v>
      </c>
      <c r="AW48" s="47" t="e">
        <f t="shared" si="26"/>
        <v>#DIV/0!</v>
      </c>
      <c r="AX48" s="45"/>
      <c r="AY48" s="46">
        <f t="shared" si="27"/>
        <v>0</v>
      </c>
      <c r="AZ48" s="47">
        <f t="shared" si="28"/>
        <v>0</v>
      </c>
      <c r="BA48" s="48" t="e">
        <f t="shared" si="29"/>
        <v>#DIV/0!</v>
      </c>
    </row>
    <row r="49" spans="1:53" ht="16" hidden="1" thickBot="1">
      <c r="A49" s="30"/>
      <c r="B49" s="31"/>
      <c r="C49" s="31"/>
      <c r="D49" s="31"/>
      <c r="E49" s="32"/>
      <c r="F49" s="33"/>
      <c r="G49" s="74"/>
      <c r="H49" s="70"/>
      <c r="I49" s="77">
        <f>IF(H49=Tablas!$B$5,Tablas!$C$5,VLOOKUP(H49,Tablas!$B$5:$D$40,2,FALSE))</f>
        <v>1</v>
      </c>
      <c r="J49" s="65">
        <f>IF(I49=0,"",VLOOKUP(I49,Tablas!$C$5:$D$40,2,FALSE))</f>
        <v>0</v>
      </c>
      <c r="K49" s="34" t="str">
        <f t="shared" si="30"/>
        <v>0</v>
      </c>
      <c r="L49" s="35">
        <f t="shared" si="1"/>
        <v>0</v>
      </c>
      <c r="M49" s="35">
        <f t="shared" si="2"/>
        <v>0</v>
      </c>
      <c r="N49" s="35">
        <f t="shared" si="3"/>
        <v>0</v>
      </c>
      <c r="O49" s="35">
        <f t="shared" si="4"/>
        <v>0</v>
      </c>
      <c r="P49" s="35">
        <f t="shared" si="5"/>
        <v>0</v>
      </c>
      <c r="Q49" s="36">
        <v>0.75</v>
      </c>
      <c r="R49" s="37">
        <f t="shared" si="6"/>
        <v>0</v>
      </c>
      <c r="S49" s="36">
        <v>0.75</v>
      </c>
      <c r="T49" s="38">
        <f t="shared" si="7"/>
        <v>0</v>
      </c>
      <c r="U49" s="39">
        <f t="shared" si="8"/>
        <v>0</v>
      </c>
      <c r="V49" s="40">
        <f t="shared" si="9"/>
        <v>0</v>
      </c>
      <c r="W49" s="41">
        <f t="shared" si="10"/>
        <v>0</v>
      </c>
      <c r="X49" s="42">
        <f t="shared" si="11"/>
        <v>0</v>
      </c>
      <c r="Y49" s="43" t="s">
        <v>0</v>
      </c>
      <c r="Z49" s="36">
        <v>1</v>
      </c>
      <c r="AA49" s="44">
        <f t="shared" si="12"/>
        <v>0</v>
      </c>
      <c r="AB49" s="36">
        <v>1</v>
      </c>
      <c r="AC49" s="44">
        <f t="shared" si="13"/>
        <v>0</v>
      </c>
      <c r="AD49" s="36">
        <v>1</v>
      </c>
      <c r="AE49" s="44">
        <f t="shared" si="14"/>
        <v>0</v>
      </c>
      <c r="AF49" s="45"/>
      <c r="AG49" s="46" t="e">
        <f t="shared" si="15"/>
        <v>#DIV/0!</v>
      </c>
      <c r="AH49" s="47" t="e">
        <f t="shared" si="16"/>
        <v>#DIV/0!</v>
      </c>
      <c r="AI49" s="45"/>
      <c r="AJ49" s="46" t="e">
        <f t="shared" si="17"/>
        <v>#DIV/0!</v>
      </c>
      <c r="AK49" s="47" t="e">
        <f t="shared" si="18"/>
        <v>#DIV/0!</v>
      </c>
      <c r="AL49" s="45"/>
      <c r="AM49" s="46" t="e">
        <f t="shared" si="19"/>
        <v>#DIV/0!</v>
      </c>
      <c r="AN49" s="47" t="e">
        <f t="shared" si="20"/>
        <v>#DIV/0!</v>
      </c>
      <c r="AO49" s="45"/>
      <c r="AP49" s="46" t="e">
        <f t="shared" si="21"/>
        <v>#DIV/0!</v>
      </c>
      <c r="AQ49" s="47" t="e">
        <f t="shared" si="22"/>
        <v>#DIV/0!</v>
      </c>
      <c r="AR49" s="45"/>
      <c r="AS49" s="46">
        <f t="shared" si="23"/>
        <v>0</v>
      </c>
      <c r="AT49" s="47">
        <f t="shared" si="24"/>
        <v>0</v>
      </c>
      <c r="AU49" s="45"/>
      <c r="AV49" s="46" t="e">
        <f t="shared" si="25"/>
        <v>#DIV/0!</v>
      </c>
      <c r="AW49" s="47" t="e">
        <f t="shared" si="26"/>
        <v>#DIV/0!</v>
      </c>
      <c r="AX49" s="45"/>
      <c r="AY49" s="46">
        <f t="shared" si="27"/>
        <v>0</v>
      </c>
      <c r="AZ49" s="47">
        <f t="shared" si="28"/>
        <v>0</v>
      </c>
      <c r="BA49" s="48" t="e">
        <f t="shared" si="29"/>
        <v>#DIV/0!</v>
      </c>
    </row>
    <row r="50" spans="1:53" ht="16" hidden="1" thickBot="1">
      <c r="A50" s="30"/>
      <c r="B50" s="31"/>
      <c r="C50" s="31"/>
      <c r="D50" s="31"/>
      <c r="E50" s="32"/>
      <c r="F50" s="33"/>
      <c r="G50" s="74"/>
      <c r="H50" s="70"/>
      <c r="I50" s="77">
        <f>IF(H50=Tablas!$B$5,Tablas!$C$5,VLOOKUP(H50,Tablas!$B$5:$D$40,2,FALSE))</f>
        <v>1</v>
      </c>
      <c r="J50" s="65">
        <f>IF(I50=0,"",VLOOKUP(I50,Tablas!$C$5:$D$40,2,FALSE))</f>
        <v>0</v>
      </c>
      <c r="K50" s="34" t="str">
        <f t="shared" si="30"/>
        <v>0</v>
      </c>
      <c r="L50" s="35">
        <f t="shared" si="1"/>
        <v>0</v>
      </c>
      <c r="M50" s="35">
        <f t="shared" si="2"/>
        <v>0</v>
      </c>
      <c r="N50" s="35">
        <f t="shared" si="3"/>
        <v>0</v>
      </c>
      <c r="O50" s="35">
        <f t="shared" si="4"/>
        <v>0</v>
      </c>
      <c r="P50" s="35">
        <f t="shared" si="5"/>
        <v>0</v>
      </c>
      <c r="Q50" s="36">
        <v>0.75</v>
      </c>
      <c r="R50" s="37">
        <f t="shared" si="6"/>
        <v>0</v>
      </c>
      <c r="S50" s="36">
        <v>0.75</v>
      </c>
      <c r="T50" s="38">
        <f t="shared" si="7"/>
        <v>0</v>
      </c>
      <c r="U50" s="39">
        <f t="shared" si="8"/>
        <v>0</v>
      </c>
      <c r="V50" s="40">
        <f t="shared" si="9"/>
        <v>0</v>
      </c>
      <c r="W50" s="41">
        <f t="shared" si="10"/>
        <v>0</v>
      </c>
      <c r="X50" s="42">
        <f t="shared" si="11"/>
        <v>0</v>
      </c>
      <c r="Y50" s="43" t="s">
        <v>0</v>
      </c>
      <c r="Z50" s="36">
        <v>1</v>
      </c>
      <c r="AA50" s="44">
        <f t="shared" si="12"/>
        <v>0</v>
      </c>
      <c r="AB50" s="36">
        <v>1</v>
      </c>
      <c r="AC50" s="44">
        <f t="shared" si="13"/>
        <v>0</v>
      </c>
      <c r="AD50" s="36">
        <v>1</v>
      </c>
      <c r="AE50" s="44">
        <f t="shared" si="14"/>
        <v>0</v>
      </c>
      <c r="AF50" s="45"/>
      <c r="AG50" s="46" t="e">
        <f t="shared" si="15"/>
        <v>#DIV/0!</v>
      </c>
      <c r="AH50" s="47" t="e">
        <f t="shared" si="16"/>
        <v>#DIV/0!</v>
      </c>
      <c r="AI50" s="45"/>
      <c r="AJ50" s="46" t="e">
        <f t="shared" si="17"/>
        <v>#DIV/0!</v>
      </c>
      <c r="AK50" s="47" t="e">
        <f t="shared" si="18"/>
        <v>#DIV/0!</v>
      </c>
      <c r="AL50" s="45"/>
      <c r="AM50" s="46" t="e">
        <f t="shared" si="19"/>
        <v>#DIV/0!</v>
      </c>
      <c r="AN50" s="47" t="e">
        <f t="shared" si="20"/>
        <v>#DIV/0!</v>
      </c>
      <c r="AO50" s="45"/>
      <c r="AP50" s="46" t="e">
        <f t="shared" si="21"/>
        <v>#DIV/0!</v>
      </c>
      <c r="AQ50" s="47" t="e">
        <f t="shared" si="22"/>
        <v>#DIV/0!</v>
      </c>
      <c r="AR50" s="45"/>
      <c r="AS50" s="46">
        <f t="shared" si="23"/>
        <v>0</v>
      </c>
      <c r="AT50" s="47">
        <f t="shared" si="24"/>
        <v>0</v>
      </c>
      <c r="AU50" s="45"/>
      <c r="AV50" s="46" t="e">
        <f t="shared" si="25"/>
        <v>#DIV/0!</v>
      </c>
      <c r="AW50" s="47" t="e">
        <f t="shared" si="26"/>
        <v>#DIV/0!</v>
      </c>
      <c r="AX50" s="45"/>
      <c r="AY50" s="46">
        <f t="shared" si="27"/>
        <v>0</v>
      </c>
      <c r="AZ50" s="47">
        <f t="shared" si="28"/>
        <v>0</v>
      </c>
      <c r="BA50" s="48" t="e">
        <f t="shared" si="29"/>
        <v>#DIV/0!</v>
      </c>
    </row>
    <row r="51" spans="1:53" ht="16" hidden="1" thickBot="1">
      <c r="A51" s="30"/>
      <c r="B51" s="31"/>
      <c r="C51" s="31"/>
      <c r="D51" s="31"/>
      <c r="E51" s="32"/>
      <c r="F51" s="33"/>
      <c r="G51" s="74"/>
      <c r="H51" s="70"/>
      <c r="I51" s="77">
        <f>IF(H51=Tablas!$B$5,Tablas!$C$5,VLOOKUP(H51,Tablas!$B$5:$D$40,2,FALSE))</f>
        <v>1</v>
      </c>
      <c r="J51" s="65">
        <f>IF(I51=0,"",VLOOKUP(I51,Tablas!$C$5:$D$40,2,FALSE))</f>
        <v>0</v>
      </c>
      <c r="K51" s="34" t="str">
        <f t="shared" si="30"/>
        <v>0</v>
      </c>
      <c r="L51" s="35">
        <f t="shared" si="1"/>
        <v>0</v>
      </c>
      <c r="M51" s="35">
        <f t="shared" si="2"/>
        <v>0</v>
      </c>
      <c r="N51" s="35">
        <f t="shared" si="3"/>
        <v>0</v>
      </c>
      <c r="O51" s="35">
        <f t="shared" si="4"/>
        <v>0</v>
      </c>
      <c r="P51" s="35">
        <f t="shared" si="5"/>
        <v>0</v>
      </c>
      <c r="Q51" s="36">
        <v>0.75</v>
      </c>
      <c r="R51" s="37">
        <f t="shared" si="6"/>
        <v>0</v>
      </c>
      <c r="S51" s="36">
        <v>0.75</v>
      </c>
      <c r="T51" s="38">
        <f t="shared" si="7"/>
        <v>0</v>
      </c>
      <c r="U51" s="39">
        <f t="shared" si="8"/>
        <v>0</v>
      </c>
      <c r="V51" s="40">
        <f t="shared" si="9"/>
        <v>0</v>
      </c>
      <c r="W51" s="41">
        <f t="shared" si="10"/>
        <v>0</v>
      </c>
      <c r="X51" s="42">
        <f t="shared" si="11"/>
        <v>0</v>
      </c>
      <c r="Y51" s="43" t="s">
        <v>0</v>
      </c>
      <c r="Z51" s="36">
        <v>1</v>
      </c>
      <c r="AA51" s="44">
        <f t="shared" si="12"/>
        <v>0</v>
      </c>
      <c r="AB51" s="36">
        <v>1</v>
      </c>
      <c r="AC51" s="44">
        <f t="shared" si="13"/>
        <v>0</v>
      </c>
      <c r="AD51" s="36">
        <v>1</v>
      </c>
      <c r="AE51" s="44">
        <f t="shared" si="14"/>
        <v>0</v>
      </c>
      <c r="AF51" s="45"/>
      <c r="AG51" s="46" t="e">
        <f t="shared" si="15"/>
        <v>#DIV/0!</v>
      </c>
      <c r="AH51" s="47" t="e">
        <f t="shared" si="16"/>
        <v>#DIV/0!</v>
      </c>
      <c r="AI51" s="45"/>
      <c r="AJ51" s="46" t="e">
        <f t="shared" si="17"/>
        <v>#DIV/0!</v>
      </c>
      <c r="AK51" s="47" t="e">
        <f t="shared" si="18"/>
        <v>#DIV/0!</v>
      </c>
      <c r="AL51" s="45"/>
      <c r="AM51" s="46" t="e">
        <f t="shared" si="19"/>
        <v>#DIV/0!</v>
      </c>
      <c r="AN51" s="47" t="e">
        <f t="shared" si="20"/>
        <v>#DIV/0!</v>
      </c>
      <c r="AO51" s="45"/>
      <c r="AP51" s="46" t="e">
        <f t="shared" si="21"/>
        <v>#DIV/0!</v>
      </c>
      <c r="AQ51" s="47" t="e">
        <f t="shared" si="22"/>
        <v>#DIV/0!</v>
      </c>
      <c r="AR51" s="45"/>
      <c r="AS51" s="46">
        <f t="shared" si="23"/>
        <v>0</v>
      </c>
      <c r="AT51" s="47">
        <f t="shared" si="24"/>
        <v>0</v>
      </c>
      <c r="AU51" s="45"/>
      <c r="AV51" s="46" t="e">
        <f t="shared" si="25"/>
        <v>#DIV/0!</v>
      </c>
      <c r="AW51" s="47" t="e">
        <f t="shared" si="26"/>
        <v>#DIV/0!</v>
      </c>
      <c r="AX51" s="45"/>
      <c r="AY51" s="46">
        <f t="shared" si="27"/>
        <v>0</v>
      </c>
      <c r="AZ51" s="47">
        <f t="shared" si="28"/>
        <v>0</v>
      </c>
      <c r="BA51" s="48" t="e">
        <f t="shared" si="29"/>
        <v>#DIV/0!</v>
      </c>
    </row>
    <row r="52" spans="1:53" ht="16" hidden="1" thickBot="1">
      <c r="A52" s="30"/>
      <c r="B52" s="31"/>
      <c r="C52" s="31"/>
      <c r="D52" s="31"/>
      <c r="E52" s="32"/>
      <c r="F52" s="33"/>
      <c r="G52" s="74"/>
      <c r="H52" s="70"/>
      <c r="I52" s="77">
        <f>IF(H52=Tablas!$B$5,Tablas!$C$5,VLOOKUP(H52,Tablas!$B$5:$D$40,2,FALSE))</f>
        <v>1</v>
      </c>
      <c r="J52" s="65">
        <f>IF(I52=0,"",VLOOKUP(I52,Tablas!$C$5:$D$40,2,FALSE))</f>
        <v>0</v>
      </c>
      <c r="K52" s="34" t="str">
        <f t="shared" si="30"/>
        <v>0</v>
      </c>
      <c r="L52" s="35">
        <f t="shared" si="1"/>
        <v>0</v>
      </c>
      <c r="M52" s="35">
        <f t="shared" si="2"/>
        <v>0</v>
      </c>
      <c r="N52" s="35">
        <f t="shared" si="3"/>
        <v>0</v>
      </c>
      <c r="O52" s="35">
        <f t="shared" si="4"/>
        <v>0</v>
      </c>
      <c r="P52" s="35">
        <f t="shared" si="5"/>
        <v>0</v>
      </c>
      <c r="Q52" s="36">
        <v>0.75</v>
      </c>
      <c r="R52" s="37">
        <f t="shared" si="6"/>
        <v>0</v>
      </c>
      <c r="S52" s="36">
        <v>0.75</v>
      </c>
      <c r="T52" s="38">
        <f t="shared" si="7"/>
        <v>0</v>
      </c>
      <c r="U52" s="39">
        <f t="shared" si="8"/>
        <v>0</v>
      </c>
      <c r="V52" s="40">
        <f t="shared" si="9"/>
        <v>0</v>
      </c>
      <c r="W52" s="41">
        <f t="shared" si="10"/>
        <v>0</v>
      </c>
      <c r="X52" s="42">
        <f t="shared" si="11"/>
        <v>0</v>
      </c>
      <c r="Y52" s="43" t="s">
        <v>0</v>
      </c>
      <c r="Z52" s="36">
        <v>1</v>
      </c>
      <c r="AA52" s="44">
        <f t="shared" si="12"/>
        <v>0</v>
      </c>
      <c r="AB52" s="36">
        <v>1</v>
      </c>
      <c r="AC52" s="44">
        <f t="shared" si="13"/>
        <v>0</v>
      </c>
      <c r="AD52" s="36">
        <v>1</v>
      </c>
      <c r="AE52" s="44">
        <f t="shared" si="14"/>
        <v>0</v>
      </c>
      <c r="AF52" s="45"/>
      <c r="AG52" s="46" t="e">
        <f t="shared" si="15"/>
        <v>#DIV/0!</v>
      </c>
      <c r="AH52" s="47" t="e">
        <f t="shared" si="16"/>
        <v>#DIV/0!</v>
      </c>
      <c r="AI52" s="45"/>
      <c r="AJ52" s="46" t="e">
        <f t="shared" si="17"/>
        <v>#DIV/0!</v>
      </c>
      <c r="AK52" s="47" t="e">
        <f t="shared" si="18"/>
        <v>#DIV/0!</v>
      </c>
      <c r="AL52" s="45"/>
      <c r="AM52" s="46" t="e">
        <f t="shared" si="19"/>
        <v>#DIV/0!</v>
      </c>
      <c r="AN52" s="47" t="e">
        <f t="shared" si="20"/>
        <v>#DIV/0!</v>
      </c>
      <c r="AO52" s="45"/>
      <c r="AP52" s="46" t="e">
        <f t="shared" si="21"/>
        <v>#DIV/0!</v>
      </c>
      <c r="AQ52" s="47" t="e">
        <f t="shared" si="22"/>
        <v>#DIV/0!</v>
      </c>
      <c r="AR52" s="45"/>
      <c r="AS52" s="46">
        <f t="shared" si="23"/>
        <v>0</v>
      </c>
      <c r="AT52" s="47">
        <f t="shared" si="24"/>
        <v>0</v>
      </c>
      <c r="AU52" s="45"/>
      <c r="AV52" s="46" t="e">
        <f t="shared" si="25"/>
        <v>#DIV/0!</v>
      </c>
      <c r="AW52" s="47" t="e">
        <f t="shared" si="26"/>
        <v>#DIV/0!</v>
      </c>
      <c r="AX52" s="45"/>
      <c r="AY52" s="46">
        <f t="shared" si="27"/>
        <v>0</v>
      </c>
      <c r="AZ52" s="47">
        <f t="shared" si="28"/>
        <v>0</v>
      </c>
      <c r="BA52" s="48" t="e">
        <f t="shared" si="29"/>
        <v>#DIV/0!</v>
      </c>
    </row>
    <row r="53" spans="1:53" ht="16" hidden="1" thickBot="1">
      <c r="A53" s="30"/>
      <c r="B53" s="31"/>
      <c r="C53" s="31"/>
      <c r="D53" s="31"/>
      <c r="E53" s="32"/>
      <c r="F53" s="33"/>
      <c r="G53" s="74"/>
      <c r="H53" s="70"/>
      <c r="I53" s="77">
        <f>IF(H53=Tablas!$B$5,Tablas!$C$5,VLOOKUP(H53,Tablas!$B$5:$D$40,2,FALSE))</f>
        <v>1</v>
      </c>
      <c r="J53" s="65">
        <f>IF(I53=0,"",VLOOKUP(I53,Tablas!$C$5:$D$40,2,FALSE))</f>
        <v>0</v>
      </c>
      <c r="K53" s="34" t="str">
        <f t="shared" si="30"/>
        <v>0</v>
      </c>
      <c r="L53" s="35">
        <f t="shared" si="1"/>
        <v>0</v>
      </c>
      <c r="M53" s="35">
        <f t="shared" si="2"/>
        <v>0</v>
      </c>
      <c r="N53" s="35">
        <f t="shared" si="3"/>
        <v>0</v>
      </c>
      <c r="O53" s="35">
        <f t="shared" si="4"/>
        <v>0</v>
      </c>
      <c r="P53" s="35">
        <f t="shared" si="5"/>
        <v>0</v>
      </c>
      <c r="Q53" s="36">
        <v>0.75</v>
      </c>
      <c r="R53" s="37">
        <f t="shared" si="6"/>
        <v>0</v>
      </c>
      <c r="S53" s="36">
        <v>0.75</v>
      </c>
      <c r="T53" s="38">
        <f t="shared" si="7"/>
        <v>0</v>
      </c>
      <c r="U53" s="39">
        <f t="shared" si="8"/>
        <v>0</v>
      </c>
      <c r="V53" s="40">
        <f t="shared" si="9"/>
        <v>0</v>
      </c>
      <c r="W53" s="41">
        <f t="shared" si="10"/>
        <v>0</v>
      </c>
      <c r="X53" s="42">
        <f t="shared" si="11"/>
        <v>0</v>
      </c>
      <c r="Y53" s="43" t="s">
        <v>0</v>
      </c>
      <c r="Z53" s="36">
        <v>1</v>
      </c>
      <c r="AA53" s="44">
        <f t="shared" si="12"/>
        <v>0</v>
      </c>
      <c r="AB53" s="36">
        <v>1</v>
      </c>
      <c r="AC53" s="44">
        <f t="shared" si="13"/>
        <v>0</v>
      </c>
      <c r="AD53" s="36">
        <v>1</v>
      </c>
      <c r="AE53" s="44">
        <f t="shared" si="14"/>
        <v>0</v>
      </c>
      <c r="AF53" s="45"/>
      <c r="AG53" s="46" t="e">
        <f t="shared" si="15"/>
        <v>#DIV/0!</v>
      </c>
      <c r="AH53" s="47" t="e">
        <f t="shared" si="16"/>
        <v>#DIV/0!</v>
      </c>
      <c r="AI53" s="45"/>
      <c r="AJ53" s="46" t="e">
        <f t="shared" si="17"/>
        <v>#DIV/0!</v>
      </c>
      <c r="AK53" s="47" t="e">
        <f t="shared" si="18"/>
        <v>#DIV/0!</v>
      </c>
      <c r="AL53" s="45"/>
      <c r="AM53" s="46" t="e">
        <f t="shared" si="19"/>
        <v>#DIV/0!</v>
      </c>
      <c r="AN53" s="47" t="e">
        <f t="shared" si="20"/>
        <v>#DIV/0!</v>
      </c>
      <c r="AO53" s="45"/>
      <c r="AP53" s="46" t="e">
        <f t="shared" si="21"/>
        <v>#DIV/0!</v>
      </c>
      <c r="AQ53" s="47" t="e">
        <f t="shared" si="22"/>
        <v>#DIV/0!</v>
      </c>
      <c r="AR53" s="45"/>
      <c r="AS53" s="46">
        <f t="shared" si="23"/>
        <v>0</v>
      </c>
      <c r="AT53" s="47">
        <f t="shared" si="24"/>
        <v>0</v>
      </c>
      <c r="AU53" s="45"/>
      <c r="AV53" s="46" t="e">
        <f t="shared" si="25"/>
        <v>#DIV/0!</v>
      </c>
      <c r="AW53" s="47" t="e">
        <f t="shared" si="26"/>
        <v>#DIV/0!</v>
      </c>
      <c r="AX53" s="45"/>
      <c r="AY53" s="46">
        <f t="shared" si="27"/>
        <v>0</v>
      </c>
      <c r="AZ53" s="47">
        <f t="shared" si="28"/>
        <v>0</v>
      </c>
      <c r="BA53" s="48" t="e">
        <f t="shared" si="29"/>
        <v>#DIV/0!</v>
      </c>
    </row>
    <row r="54" spans="1:53" ht="16" hidden="1" thickBot="1">
      <c r="A54" s="30"/>
      <c r="B54" s="31"/>
      <c r="C54" s="31"/>
      <c r="D54" s="31"/>
      <c r="E54" s="32"/>
      <c r="F54" s="33"/>
      <c r="G54" s="74"/>
      <c r="H54" s="70"/>
      <c r="I54" s="77">
        <f>IF(H54=Tablas!$B$5,Tablas!$C$5,VLOOKUP(H54,Tablas!$B$5:$D$40,2,FALSE))</f>
        <v>1</v>
      </c>
      <c r="J54" s="65">
        <f>IF(I54=0,"",VLOOKUP(I54,Tablas!$C$5:$D$40,2,FALSE))</f>
        <v>0</v>
      </c>
      <c r="K54" s="34" t="str">
        <f t="shared" si="30"/>
        <v>0</v>
      </c>
      <c r="L54" s="35">
        <f t="shared" si="1"/>
        <v>0</v>
      </c>
      <c r="M54" s="35">
        <f t="shared" si="2"/>
        <v>0</v>
      </c>
      <c r="N54" s="35">
        <f t="shared" si="3"/>
        <v>0</v>
      </c>
      <c r="O54" s="35">
        <f t="shared" si="4"/>
        <v>0</v>
      </c>
      <c r="P54" s="35">
        <f t="shared" si="5"/>
        <v>0</v>
      </c>
      <c r="Q54" s="36">
        <v>0.75</v>
      </c>
      <c r="R54" s="37">
        <f t="shared" si="6"/>
        <v>0</v>
      </c>
      <c r="S54" s="36">
        <v>0.75</v>
      </c>
      <c r="T54" s="38">
        <f t="shared" si="7"/>
        <v>0</v>
      </c>
      <c r="U54" s="39">
        <f t="shared" si="8"/>
        <v>0</v>
      </c>
      <c r="V54" s="40">
        <f t="shared" si="9"/>
        <v>0</v>
      </c>
      <c r="W54" s="41">
        <f t="shared" si="10"/>
        <v>0</v>
      </c>
      <c r="X54" s="42">
        <f t="shared" si="11"/>
        <v>0</v>
      </c>
      <c r="Y54" s="43" t="s">
        <v>0</v>
      </c>
      <c r="Z54" s="36">
        <v>1</v>
      </c>
      <c r="AA54" s="44">
        <f t="shared" si="12"/>
        <v>0</v>
      </c>
      <c r="AB54" s="36">
        <v>1</v>
      </c>
      <c r="AC54" s="44">
        <f t="shared" si="13"/>
        <v>0</v>
      </c>
      <c r="AD54" s="36">
        <v>1</v>
      </c>
      <c r="AE54" s="44">
        <f t="shared" si="14"/>
        <v>0</v>
      </c>
      <c r="AF54" s="45"/>
      <c r="AG54" s="46" t="e">
        <f t="shared" si="15"/>
        <v>#DIV/0!</v>
      </c>
      <c r="AH54" s="47" t="e">
        <f t="shared" si="16"/>
        <v>#DIV/0!</v>
      </c>
      <c r="AI54" s="45"/>
      <c r="AJ54" s="46" t="e">
        <f t="shared" si="17"/>
        <v>#DIV/0!</v>
      </c>
      <c r="AK54" s="47" t="e">
        <f t="shared" si="18"/>
        <v>#DIV/0!</v>
      </c>
      <c r="AL54" s="45"/>
      <c r="AM54" s="46" t="e">
        <f t="shared" si="19"/>
        <v>#DIV/0!</v>
      </c>
      <c r="AN54" s="47" t="e">
        <f t="shared" si="20"/>
        <v>#DIV/0!</v>
      </c>
      <c r="AO54" s="45"/>
      <c r="AP54" s="46" t="e">
        <f t="shared" si="21"/>
        <v>#DIV/0!</v>
      </c>
      <c r="AQ54" s="47" t="e">
        <f t="shared" si="22"/>
        <v>#DIV/0!</v>
      </c>
      <c r="AR54" s="45"/>
      <c r="AS54" s="46">
        <f t="shared" si="23"/>
        <v>0</v>
      </c>
      <c r="AT54" s="47">
        <f t="shared" si="24"/>
        <v>0</v>
      </c>
      <c r="AU54" s="45"/>
      <c r="AV54" s="46" t="e">
        <f t="shared" si="25"/>
        <v>#DIV/0!</v>
      </c>
      <c r="AW54" s="47" t="e">
        <f t="shared" si="26"/>
        <v>#DIV/0!</v>
      </c>
      <c r="AX54" s="45"/>
      <c r="AY54" s="46">
        <f t="shared" si="27"/>
        <v>0</v>
      </c>
      <c r="AZ54" s="47">
        <f t="shared" si="28"/>
        <v>0</v>
      </c>
      <c r="BA54" s="48" t="e">
        <f t="shared" si="29"/>
        <v>#DIV/0!</v>
      </c>
    </row>
    <row r="55" spans="1:53" ht="16" hidden="1" thickBot="1">
      <c r="A55" s="30"/>
      <c r="B55" s="31"/>
      <c r="C55" s="31"/>
      <c r="D55" s="31"/>
      <c r="E55" s="32"/>
      <c r="F55" s="33"/>
      <c r="G55" s="74"/>
      <c r="H55" s="70"/>
      <c r="I55" s="77">
        <f>IF(H55=Tablas!$B$5,Tablas!$C$5,VLOOKUP(H55,Tablas!$B$5:$D$40,2,FALSE))</f>
        <v>1</v>
      </c>
      <c r="J55" s="65">
        <f>IF(I55=0,"",VLOOKUP(I55,Tablas!$C$5:$D$40,2,FALSE))</f>
        <v>0</v>
      </c>
      <c r="K55" s="34" t="str">
        <f t="shared" si="30"/>
        <v>0</v>
      </c>
      <c r="L55" s="35">
        <f t="shared" si="1"/>
        <v>0</v>
      </c>
      <c r="M55" s="35">
        <f t="shared" si="2"/>
        <v>0</v>
      </c>
      <c r="N55" s="35">
        <f t="shared" si="3"/>
        <v>0</v>
      </c>
      <c r="O55" s="35">
        <f t="shared" si="4"/>
        <v>0</v>
      </c>
      <c r="P55" s="35">
        <f t="shared" si="5"/>
        <v>0</v>
      </c>
      <c r="Q55" s="36">
        <v>0.75</v>
      </c>
      <c r="R55" s="37">
        <f t="shared" si="6"/>
        <v>0</v>
      </c>
      <c r="S55" s="36">
        <v>0.75</v>
      </c>
      <c r="T55" s="38">
        <f t="shared" si="7"/>
        <v>0</v>
      </c>
      <c r="U55" s="39">
        <f t="shared" si="8"/>
        <v>0</v>
      </c>
      <c r="V55" s="40">
        <f t="shared" si="9"/>
        <v>0</v>
      </c>
      <c r="W55" s="41">
        <f t="shared" si="10"/>
        <v>0</v>
      </c>
      <c r="X55" s="42">
        <f t="shared" si="11"/>
        <v>0</v>
      </c>
      <c r="Y55" s="43" t="s">
        <v>0</v>
      </c>
      <c r="Z55" s="36">
        <v>1</v>
      </c>
      <c r="AA55" s="44">
        <f t="shared" si="12"/>
        <v>0</v>
      </c>
      <c r="AB55" s="36">
        <v>1</v>
      </c>
      <c r="AC55" s="44">
        <f t="shared" si="13"/>
        <v>0</v>
      </c>
      <c r="AD55" s="36">
        <v>1</v>
      </c>
      <c r="AE55" s="44">
        <f t="shared" si="14"/>
        <v>0</v>
      </c>
      <c r="AF55" s="45"/>
      <c r="AG55" s="46" t="e">
        <f t="shared" si="15"/>
        <v>#DIV/0!</v>
      </c>
      <c r="AH55" s="47" t="e">
        <f t="shared" si="16"/>
        <v>#DIV/0!</v>
      </c>
      <c r="AI55" s="45"/>
      <c r="AJ55" s="46" t="e">
        <f t="shared" si="17"/>
        <v>#DIV/0!</v>
      </c>
      <c r="AK55" s="47" t="e">
        <f t="shared" si="18"/>
        <v>#DIV/0!</v>
      </c>
      <c r="AL55" s="45"/>
      <c r="AM55" s="46" t="e">
        <f t="shared" si="19"/>
        <v>#DIV/0!</v>
      </c>
      <c r="AN55" s="47" t="e">
        <f t="shared" si="20"/>
        <v>#DIV/0!</v>
      </c>
      <c r="AO55" s="45"/>
      <c r="AP55" s="46" t="e">
        <f t="shared" si="21"/>
        <v>#DIV/0!</v>
      </c>
      <c r="AQ55" s="47" t="e">
        <f t="shared" si="22"/>
        <v>#DIV/0!</v>
      </c>
      <c r="AR55" s="45"/>
      <c r="AS55" s="46">
        <f t="shared" si="23"/>
        <v>0</v>
      </c>
      <c r="AT55" s="47">
        <f t="shared" si="24"/>
        <v>0</v>
      </c>
      <c r="AU55" s="45"/>
      <c r="AV55" s="46" t="e">
        <f t="shared" si="25"/>
        <v>#DIV/0!</v>
      </c>
      <c r="AW55" s="47" t="e">
        <f t="shared" si="26"/>
        <v>#DIV/0!</v>
      </c>
      <c r="AX55" s="45"/>
      <c r="AY55" s="46">
        <f t="shared" si="27"/>
        <v>0</v>
      </c>
      <c r="AZ55" s="47">
        <f t="shared" si="28"/>
        <v>0</v>
      </c>
      <c r="BA55" s="48" t="e">
        <f t="shared" si="29"/>
        <v>#DIV/0!</v>
      </c>
    </row>
    <row r="56" spans="1:53" ht="16" hidden="1" thickBot="1">
      <c r="A56" s="30"/>
      <c r="B56" s="31"/>
      <c r="C56" s="31"/>
      <c r="D56" s="31"/>
      <c r="E56" s="32"/>
      <c r="F56" s="33"/>
      <c r="G56" s="74"/>
      <c r="H56" s="70"/>
      <c r="I56" s="77">
        <f>IF(H56=Tablas!$B$5,Tablas!$C$5,VLOOKUP(H56,Tablas!$B$5:$D$40,2,FALSE))</f>
        <v>1</v>
      </c>
      <c r="J56" s="65">
        <f>IF(I56=0,"",VLOOKUP(I56,Tablas!$C$5:$D$40,2,FALSE))</f>
        <v>0</v>
      </c>
      <c r="K56" s="34" t="str">
        <f t="shared" si="30"/>
        <v>0</v>
      </c>
      <c r="L56" s="35">
        <f t="shared" si="1"/>
        <v>0</v>
      </c>
      <c r="M56" s="35">
        <f t="shared" si="2"/>
        <v>0</v>
      </c>
      <c r="N56" s="35">
        <f t="shared" si="3"/>
        <v>0</v>
      </c>
      <c r="O56" s="35">
        <f t="shared" si="4"/>
        <v>0</v>
      </c>
      <c r="P56" s="35">
        <f t="shared" si="5"/>
        <v>0</v>
      </c>
      <c r="Q56" s="36">
        <v>0.75</v>
      </c>
      <c r="R56" s="37">
        <f t="shared" si="6"/>
        <v>0</v>
      </c>
      <c r="S56" s="36">
        <v>0.75</v>
      </c>
      <c r="T56" s="38">
        <f t="shared" si="7"/>
        <v>0</v>
      </c>
      <c r="U56" s="39">
        <f t="shared" si="8"/>
        <v>0</v>
      </c>
      <c r="V56" s="40">
        <f t="shared" si="9"/>
        <v>0</v>
      </c>
      <c r="W56" s="41">
        <f t="shared" si="10"/>
        <v>0</v>
      </c>
      <c r="X56" s="42">
        <f t="shared" si="11"/>
        <v>0</v>
      </c>
      <c r="Y56" s="43" t="s">
        <v>0</v>
      </c>
      <c r="Z56" s="36">
        <v>1</v>
      </c>
      <c r="AA56" s="44">
        <f t="shared" si="12"/>
        <v>0</v>
      </c>
      <c r="AB56" s="36">
        <v>1</v>
      </c>
      <c r="AC56" s="44">
        <f t="shared" si="13"/>
        <v>0</v>
      </c>
      <c r="AD56" s="36">
        <v>1</v>
      </c>
      <c r="AE56" s="44">
        <f t="shared" si="14"/>
        <v>0</v>
      </c>
      <c r="AF56" s="45"/>
      <c r="AG56" s="46" t="e">
        <f t="shared" si="15"/>
        <v>#DIV/0!</v>
      </c>
      <c r="AH56" s="47" t="e">
        <f t="shared" si="16"/>
        <v>#DIV/0!</v>
      </c>
      <c r="AI56" s="45"/>
      <c r="AJ56" s="46" t="e">
        <f t="shared" si="17"/>
        <v>#DIV/0!</v>
      </c>
      <c r="AK56" s="47" t="e">
        <f t="shared" si="18"/>
        <v>#DIV/0!</v>
      </c>
      <c r="AL56" s="45"/>
      <c r="AM56" s="46" t="e">
        <f t="shared" si="19"/>
        <v>#DIV/0!</v>
      </c>
      <c r="AN56" s="47" t="e">
        <f t="shared" si="20"/>
        <v>#DIV/0!</v>
      </c>
      <c r="AO56" s="45"/>
      <c r="AP56" s="46" t="e">
        <f t="shared" si="21"/>
        <v>#DIV/0!</v>
      </c>
      <c r="AQ56" s="47" t="e">
        <f t="shared" si="22"/>
        <v>#DIV/0!</v>
      </c>
      <c r="AR56" s="45"/>
      <c r="AS56" s="46">
        <f t="shared" si="23"/>
        <v>0</v>
      </c>
      <c r="AT56" s="47">
        <f t="shared" si="24"/>
        <v>0</v>
      </c>
      <c r="AU56" s="45"/>
      <c r="AV56" s="46" t="e">
        <f t="shared" si="25"/>
        <v>#DIV/0!</v>
      </c>
      <c r="AW56" s="47" t="e">
        <f t="shared" si="26"/>
        <v>#DIV/0!</v>
      </c>
      <c r="AX56" s="45"/>
      <c r="AY56" s="46">
        <f t="shared" si="27"/>
        <v>0</v>
      </c>
      <c r="AZ56" s="47">
        <f t="shared" si="28"/>
        <v>0</v>
      </c>
      <c r="BA56" s="48" t="e">
        <f t="shared" si="29"/>
        <v>#DIV/0!</v>
      </c>
    </row>
    <row r="57" spans="1:53" ht="16" hidden="1" thickBot="1">
      <c r="A57" s="30"/>
      <c r="B57" s="31"/>
      <c r="C57" s="31"/>
      <c r="D57" s="31"/>
      <c r="E57" s="32"/>
      <c r="F57" s="33"/>
      <c r="G57" s="74"/>
      <c r="H57" s="70"/>
      <c r="I57" s="77">
        <f>IF(H57=Tablas!$B$5,Tablas!$C$5,VLOOKUP(H57,Tablas!$B$5:$D$40,2,FALSE))</f>
        <v>1</v>
      </c>
      <c r="J57" s="65">
        <f>IF(I57=0,"",VLOOKUP(I57,Tablas!$C$5:$D$40,2,FALSE))</f>
        <v>0</v>
      </c>
      <c r="K57" s="34" t="str">
        <f t="shared" si="30"/>
        <v>0</v>
      </c>
      <c r="L57" s="35">
        <f t="shared" si="1"/>
        <v>0</v>
      </c>
      <c r="M57" s="35">
        <f t="shared" si="2"/>
        <v>0</v>
      </c>
      <c r="N57" s="35">
        <f t="shared" si="3"/>
        <v>0</v>
      </c>
      <c r="O57" s="35">
        <f t="shared" si="4"/>
        <v>0</v>
      </c>
      <c r="P57" s="35">
        <f t="shared" si="5"/>
        <v>0</v>
      </c>
      <c r="Q57" s="36">
        <v>0.75</v>
      </c>
      <c r="R57" s="37">
        <f t="shared" si="6"/>
        <v>0</v>
      </c>
      <c r="S57" s="36">
        <v>0.75</v>
      </c>
      <c r="T57" s="38">
        <f t="shared" si="7"/>
        <v>0</v>
      </c>
      <c r="U57" s="39">
        <f t="shared" si="8"/>
        <v>0</v>
      </c>
      <c r="V57" s="40">
        <f t="shared" si="9"/>
        <v>0</v>
      </c>
      <c r="W57" s="41">
        <f t="shared" si="10"/>
        <v>0</v>
      </c>
      <c r="X57" s="42">
        <f t="shared" si="11"/>
        <v>0</v>
      </c>
      <c r="Y57" s="43" t="s">
        <v>0</v>
      </c>
      <c r="Z57" s="36">
        <v>1</v>
      </c>
      <c r="AA57" s="44">
        <f t="shared" si="12"/>
        <v>0</v>
      </c>
      <c r="AB57" s="36">
        <v>1</v>
      </c>
      <c r="AC57" s="44">
        <f t="shared" si="13"/>
        <v>0</v>
      </c>
      <c r="AD57" s="36">
        <v>1</v>
      </c>
      <c r="AE57" s="44">
        <f t="shared" si="14"/>
        <v>0</v>
      </c>
      <c r="AF57" s="45"/>
      <c r="AG57" s="46" t="e">
        <f t="shared" si="15"/>
        <v>#DIV/0!</v>
      </c>
      <c r="AH57" s="47" t="e">
        <f t="shared" si="16"/>
        <v>#DIV/0!</v>
      </c>
      <c r="AI57" s="45"/>
      <c r="AJ57" s="46" t="e">
        <f t="shared" si="17"/>
        <v>#DIV/0!</v>
      </c>
      <c r="AK57" s="47" t="e">
        <f t="shared" si="18"/>
        <v>#DIV/0!</v>
      </c>
      <c r="AL57" s="45"/>
      <c r="AM57" s="46" t="e">
        <f t="shared" si="19"/>
        <v>#DIV/0!</v>
      </c>
      <c r="AN57" s="47" t="e">
        <f t="shared" si="20"/>
        <v>#DIV/0!</v>
      </c>
      <c r="AO57" s="45"/>
      <c r="AP57" s="46" t="e">
        <f t="shared" si="21"/>
        <v>#DIV/0!</v>
      </c>
      <c r="AQ57" s="47" t="e">
        <f t="shared" si="22"/>
        <v>#DIV/0!</v>
      </c>
      <c r="AR57" s="45"/>
      <c r="AS57" s="46">
        <f t="shared" si="23"/>
        <v>0</v>
      </c>
      <c r="AT57" s="47">
        <f t="shared" si="24"/>
        <v>0</v>
      </c>
      <c r="AU57" s="45"/>
      <c r="AV57" s="46" t="e">
        <f t="shared" si="25"/>
        <v>#DIV/0!</v>
      </c>
      <c r="AW57" s="47" t="e">
        <f t="shared" si="26"/>
        <v>#DIV/0!</v>
      </c>
      <c r="AX57" s="45"/>
      <c r="AY57" s="46">
        <f t="shared" si="27"/>
        <v>0</v>
      </c>
      <c r="AZ57" s="47">
        <f t="shared" si="28"/>
        <v>0</v>
      </c>
      <c r="BA57" s="48" t="e">
        <f t="shared" si="29"/>
        <v>#DIV/0!</v>
      </c>
    </row>
    <row r="58" spans="1:53" ht="16" hidden="1" thickBot="1">
      <c r="A58" s="30"/>
      <c r="B58" s="31"/>
      <c r="C58" s="31"/>
      <c r="D58" s="31"/>
      <c r="E58" s="32"/>
      <c r="F58" s="33"/>
      <c r="G58" s="74"/>
      <c r="H58" s="70"/>
      <c r="I58" s="77">
        <f>IF(H58=Tablas!$B$5,Tablas!$C$5,VLOOKUP(H58,Tablas!$B$5:$D$40,2,FALSE))</f>
        <v>1</v>
      </c>
      <c r="J58" s="65">
        <f>IF(I58=0,"",VLOOKUP(I58,Tablas!$C$5:$D$40,2,FALSE))</f>
        <v>0</v>
      </c>
      <c r="K58" s="34" t="str">
        <f t="shared" si="30"/>
        <v>0</v>
      </c>
      <c r="L58" s="35">
        <f t="shared" si="1"/>
        <v>0</v>
      </c>
      <c r="M58" s="35">
        <f t="shared" si="2"/>
        <v>0</v>
      </c>
      <c r="N58" s="35">
        <f t="shared" si="3"/>
        <v>0</v>
      </c>
      <c r="O58" s="35">
        <f t="shared" si="4"/>
        <v>0</v>
      </c>
      <c r="P58" s="35">
        <f t="shared" si="5"/>
        <v>0</v>
      </c>
      <c r="Q58" s="36">
        <v>0.75</v>
      </c>
      <c r="R58" s="37">
        <f t="shared" si="6"/>
        <v>0</v>
      </c>
      <c r="S58" s="36">
        <v>0.75</v>
      </c>
      <c r="T58" s="38">
        <f t="shared" si="7"/>
        <v>0</v>
      </c>
      <c r="U58" s="39">
        <f t="shared" si="8"/>
        <v>0</v>
      </c>
      <c r="V58" s="40">
        <f t="shared" si="9"/>
        <v>0</v>
      </c>
      <c r="W58" s="41">
        <f t="shared" si="10"/>
        <v>0</v>
      </c>
      <c r="X58" s="42">
        <f t="shared" si="11"/>
        <v>0</v>
      </c>
      <c r="Y58" s="43" t="s">
        <v>0</v>
      </c>
      <c r="Z58" s="36">
        <v>1</v>
      </c>
      <c r="AA58" s="44">
        <f t="shared" si="12"/>
        <v>0</v>
      </c>
      <c r="AB58" s="36">
        <v>1</v>
      </c>
      <c r="AC58" s="44">
        <f t="shared" si="13"/>
        <v>0</v>
      </c>
      <c r="AD58" s="36">
        <v>1</v>
      </c>
      <c r="AE58" s="44">
        <f t="shared" si="14"/>
        <v>0</v>
      </c>
      <c r="AF58" s="45"/>
      <c r="AG58" s="46" t="e">
        <f t="shared" si="15"/>
        <v>#DIV/0!</v>
      </c>
      <c r="AH58" s="47" t="e">
        <f t="shared" si="16"/>
        <v>#DIV/0!</v>
      </c>
      <c r="AI58" s="45"/>
      <c r="AJ58" s="46" t="e">
        <f t="shared" si="17"/>
        <v>#DIV/0!</v>
      </c>
      <c r="AK58" s="47" t="e">
        <f t="shared" si="18"/>
        <v>#DIV/0!</v>
      </c>
      <c r="AL58" s="45"/>
      <c r="AM58" s="46" t="e">
        <f t="shared" si="19"/>
        <v>#DIV/0!</v>
      </c>
      <c r="AN58" s="47" t="e">
        <f t="shared" si="20"/>
        <v>#DIV/0!</v>
      </c>
      <c r="AO58" s="45"/>
      <c r="AP58" s="46" t="e">
        <f t="shared" si="21"/>
        <v>#DIV/0!</v>
      </c>
      <c r="AQ58" s="47" t="e">
        <f t="shared" si="22"/>
        <v>#DIV/0!</v>
      </c>
      <c r="AR58" s="45"/>
      <c r="AS58" s="46">
        <f t="shared" si="23"/>
        <v>0</v>
      </c>
      <c r="AT58" s="47">
        <f t="shared" si="24"/>
        <v>0</v>
      </c>
      <c r="AU58" s="45"/>
      <c r="AV58" s="46" t="e">
        <f t="shared" si="25"/>
        <v>#DIV/0!</v>
      </c>
      <c r="AW58" s="47" t="e">
        <f t="shared" si="26"/>
        <v>#DIV/0!</v>
      </c>
      <c r="AX58" s="45"/>
      <c r="AY58" s="46">
        <f t="shared" si="27"/>
        <v>0</v>
      </c>
      <c r="AZ58" s="47">
        <f t="shared" si="28"/>
        <v>0</v>
      </c>
      <c r="BA58" s="48" t="e">
        <f t="shared" si="29"/>
        <v>#DIV/0!</v>
      </c>
    </row>
    <row r="59" spans="1:53" ht="16" hidden="1" thickBot="1">
      <c r="A59" s="30"/>
      <c r="B59" s="31"/>
      <c r="C59" s="31"/>
      <c r="D59" s="31"/>
      <c r="E59" s="32"/>
      <c r="F59" s="33"/>
      <c r="G59" s="74"/>
      <c r="H59" s="70"/>
      <c r="I59" s="77">
        <f>IF(H59=Tablas!$B$5,Tablas!$C$5,VLOOKUP(H59,Tablas!$B$5:$D$40,2,FALSE))</f>
        <v>1</v>
      </c>
      <c r="J59" s="65">
        <f>IF(I59=0,"",VLOOKUP(I59,Tablas!$C$5:$D$40,2,FALSE))</f>
        <v>0</v>
      </c>
      <c r="K59" s="34" t="str">
        <f t="shared" si="30"/>
        <v>0</v>
      </c>
      <c r="L59" s="35">
        <f t="shared" si="1"/>
        <v>0</v>
      </c>
      <c r="M59" s="35">
        <f t="shared" si="2"/>
        <v>0</v>
      </c>
      <c r="N59" s="35">
        <f t="shared" si="3"/>
        <v>0</v>
      </c>
      <c r="O59" s="35">
        <f t="shared" si="4"/>
        <v>0</v>
      </c>
      <c r="P59" s="35">
        <f t="shared" si="5"/>
        <v>0</v>
      </c>
      <c r="Q59" s="36">
        <v>0.75</v>
      </c>
      <c r="R59" s="37">
        <f t="shared" si="6"/>
        <v>0</v>
      </c>
      <c r="S59" s="36">
        <v>0.75</v>
      </c>
      <c r="T59" s="38">
        <f t="shared" si="7"/>
        <v>0</v>
      </c>
      <c r="U59" s="39">
        <f t="shared" si="8"/>
        <v>0</v>
      </c>
      <c r="V59" s="40">
        <f t="shared" si="9"/>
        <v>0</v>
      </c>
      <c r="W59" s="41">
        <f t="shared" si="10"/>
        <v>0</v>
      </c>
      <c r="X59" s="42">
        <f t="shared" si="11"/>
        <v>0</v>
      </c>
      <c r="Y59" s="43" t="s">
        <v>0</v>
      </c>
      <c r="Z59" s="36">
        <v>1</v>
      </c>
      <c r="AA59" s="44">
        <f t="shared" si="12"/>
        <v>0</v>
      </c>
      <c r="AB59" s="36">
        <v>1</v>
      </c>
      <c r="AC59" s="44">
        <f t="shared" si="13"/>
        <v>0</v>
      </c>
      <c r="AD59" s="36">
        <v>1</v>
      </c>
      <c r="AE59" s="44">
        <f t="shared" si="14"/>
        <v>0</v>
      </c>
      <c r="AF59" s="45"/>
      <c r="AG59" s="46" t="e">
        <f t="shared" si="15"/>
        <v>#DIV/0!</v>
      </c>
      <c r="AH59" s="47" t="e">
        <f t="shared" si="16"/>
        <v>#DIV/0!</v>
      </c>
      <c r="AI59" s="45"/>
      <c r="AJ59" s="46" t="e">
        <f t="shared" si="17"/>
        <v>#DIV/0!</v>
      </c>
      <c r="AK59" s="47" t="e">
        <f t="shared" si="18"/>
        <v>#DIV/0!</v>
      </c>
      <c r="AL59" s="45"/>
      <c r="AM59" s="46" t="e">
        <f t="shared" si="19"/>
        <v>#DIV/0!</v>
      </c>
      <c r="AN59" s="47" t="e">
        <f t="shared" si="20"/>
        <v>#DIV/0!</v>
      </c>
      <c r="AO59" s="45"/>
      <c r="AP59" s="46" t="e">
        <f t="shared" si="21"/>
        <v>#DIV/0!</v>
      </c>
      <c r="AQ59" s="47" t="e">
        <f t="shared" si="22"/>
        <v>#DIV/0!</v>
      </c>
      <c r="AR59" s="45"/>
      <c r="AS59" s="46">
        <f t="shared" si="23"/>
        <v>0</v>
      </c>
      <c r="AT59" s="47">
        <f t="shared" si="24"/>
        <v>0</v>
      </c>
      <c r="AU59" s="45"/>
      <c r="AV59" s="46" t="e">
        <f t="shared" si="25"/>
        <v>#DIV/0!</v>
      </c>
      <c r="AW59" s="47" t="e">
        <f t="shared" si="26"/>
        <v>#DIV/0!</v>
      </c>
      <c r="AX59" s="45"/>
      <c r="AY59" s="46">
        <f t="shared" si="27"/>
        <v>0</v>
      </c>
      <c r="AZ59" s="47">
        <f t="shared" si="28"/>
        <v>0</v>
      </c>
      <c r="BA59" s="48" t="e">
        <f t="shared" si="29"/>
        <v>#DIV/0!</v>
      </c>
    </row>
    <row r="60" spans="1:53" ht="16" hidden="1" thickBot="1">
      <c r="A60" s="30"/>
      <c r="B60" s="31"/>
      <c r="C60" s="31"/>
      <c r="D60" s="31"/>
      <c r="E60" s="32"/>
      <c r="F60" s="33"/>
      <c r="G60" s="74"/>
      <c r="H60" s="70"/>
      <c r="I60" s="77">
        <f>IF(H60=Tablas!$B$5,Tablas!$C$5,VLOOKUP(H60,Tablas!$B$5:$D$40,2,FALSE))</f>
        <v>1</v>
      </c>
      <c r="J60" s="65">
        <f>IF(I60=0,"",VLOOKUP(I60,Tablas!$C$5:$D$40,2,FALSE))</f>
        <v>0</v>
      </c>
      <c r="K60" s="34" t="str">
        <f t="shared" si="30"/>
        <v>0</v>
      </c>
      <c r="L60" s="35">
        <f t="shared" si="1"/>
        <v>0</v>
      </c>
      <c r="M60" s="35">
        <f t="shared" si="2"/>
        <v>0</v>
      </c>
      <c r="N60" s="35">
        <f t="shared" si="3"/>
        <v>0</v>
      </c>
      <c r="O60" s="35">
        <f t="shared" si="4"/>
        <v>0</v>
      </c>
      <c r="P60" s="35">
        <f t="shared" si="5"/>
        <v>0</v>
      </c>
      <c r="Q60" s="36">
        <v>0.75</v>
      </c>
      <c r="R60" s="37">
        <f t="shared" si="6"/>
        <v>0</v>
      </c>
      <c r="S60" s="36">
        <v>0.75</v>
      </c>
      <c r="T60" s="38">
        <f t="shared" si="7"/>
        <v>0</v>
      </c>
      <c r="U60" s="39">
        <f t="shared" si="8"/>
        <v>0</v>
      </c>
      <c r="V60" s="40">
        <f t="shared" si="9"/>
        <v>0</v>
      </c>
      <c r="W60" s="41">
        <f t="shared" si="10"/>
        <v>0</v>
      </c>
      <c r="X60" s="42">
        <f t="shared" si="11"/>
        <v>0</v>
      </c>
      <c r="Y60" s="43" t="s">
        <v>0</v>
      </c>
      <c r="Z60" s="36">
        <v>1</v>
      </c>
      <c r="AA60" s="44">
        <f t="shared" si="12"/>
        <v>0</v>
      </c>
      <c r="AB60" s="36">
        <v>1</v>
      </c>
      <c r="AC60" s="44">
        <f t="shared" si="13"/>
        <v>0</v>
      </c>
      <c r="AD60" s="36">
        <v>1</v>
      </c>
      <c r="AE60" s="44">
        <f t="shared" si="14"/>
        <v>0</v>
      </c>
      <c r="AF60" s="45"/>
      <c r="AG60" s="46" t="e">
        <f t="shared" si="15"/>
        <v>#DIV/0!</v>
      </c>
      <c r="AH60" s="47" t="e">
        <f t="shared" si="16"/>
        <v>#DIV/0!</v>
      </c>
      <c r="AI60" s="45"/>
      <c r="AJ60" s="46" t="e">
        <f t="shared" si="17"/>
        <v>#DIV/0!</v>
      </c>
      <c r="AK60" s="47" t="e">
        <f t="shared" si="18"/>
        <v>#DIV/0!</v>
      </c>
      <c r="AL60" s="45"/>
      <c r="AM60" s="46" t="e">
        <f t="shared" si="19"/>
        <v>#DIV/0!</v>
      </c>
      <c r="AN60" s="47" t="e">
        <f t="shared" si="20"/>
        <v>#DIV/0!</v>
      </c>
      <c r="AO60" s="45"/>
      <c r="AP60" s="46" t="e">
        <f t="shared" si="21"/>
        <v>#DIV/0!</v>
      </c>
      <c r="AQ60" s="47" t="e">
        <f t="shared" si="22"/>
        <v>#DIV/0!</v>
      </c>
      <c r="AR60" s="45"/>
      <c r="AS60" s="46">
        <f t="shared" si="23"/>
        <v>0</v>
      </c>
      <c r="AT60" s="47">
        <f t="shared" si="24"/>
        <v>0</v>
      </c>
      <c r="AU60" s="45"/>
      <c r="AV60" s="46" t="e">
        <f t="shared" si="25"/>
        <v>#DIV/0!</v>
      </c>
      <c r="AW60" s="47" t="e">
        <f t="shared" si="26"/>
        <v>#DIV/0!</v>
      </c>
      <c r="AX60" s="45"/>
      <c r="AY60" s="46">
        <f t="shared" si="27"/>
        <v>0</v>
      </c>
      <c r="AZ60" s="47">
        <f t="shared" si="28"/>
        <v>0</v>
      </c>
      <c r="BA60" s="48" t="e">
        <f t="shared" si="29"/>
        <v>#DIV/0!</v>
      </c>
    </row>
    <row r="61" spans="1:53" ht="16" hidden="1" thickBot="1">
      <c r="A61" s="30"/>
      <c r="B61" s="31"/>
      <c r="C61" s="31"/>
      <c r="D61" s="31"/>
      <c r="E61" s="32"/>
      <c r="F61" s="33"/>
      <c r="G61" s="74"/>
      <c r="H61" s="70"/>
      <c r="I61" s="77">
        <f>IF(H61=Tablas!$B$5,Tablas!$C$5,VLOOKUP(H61,Tablas!$B$5:$D$40,2,FALSE))</f>
        <v>1</v>
      </c>
      <c r="J61" s="65">
        <f>IF(I61=0,"",VLOOKUP(I61,Tablas!$C$5:$D$40,2,FALSE))</f>
        <v>0</v>
      </c>
      <c r="K61" s="34" t="str">
        <f t="shared" si="30"/>
        <v>0</v>
      </c>
      <c r="L61" s="35">
        <f t="shared" si="1"/>
        <v>0</v>
      </c>
      <c r="M61" s="35">
        <f t="shared" si="2"/>
        <v>0</v>
      </c>
      <c r="N61" s="35">
        <f t="shared" si="3"/>
        <v>0</v>
      </c>
      <c r="O61" s="35">
        <f t="shared" si="4"/>
        <v>0</v>
      </c>
      <c r="P61" s="35">
        <f t="shared" si="5"/>
        <v>0</v>
      </c>
      <c r="Q61" s="36">
        <v>0.75</v>
      </c>
      <c r="R61" s="37">
        <f t="shared" si="6"/>
        <v>0</v>
      </c>
      <c r="S61" s="36">
        <v>0.75</v>
      </c>
      <c r="T61" s="38">
        <f t="shared" si="7"/>
        <v>0</v>
      </c>
      <c r="U61" s="39">
        <f t="shared" si="8"/>
        <v>0</v>
      </c>
      <c r="V61" s="40">
        <f t="shared" si="9"/>
        <v>0</v>
      </c>
      <c r="W61" s="41">
        <f t="shared" si="10"/>
        <v>0</v>
      </c>
      <c r="X61" s="42">
        <f t="shared" si="11"/>
        <v>0</v>
      </c>
      <c r="Y61" s="43" t="s">
        <v>0</v>
      </c>
      <c r="Z61" s="36">
        <v>1</v>
      </c>
      <c r="AA61" s="44">
        <f t="shared" si="12"/>
        <v>0</v>
      </c>
      <c r="AB61" s="36">
        <v>1</v>
      </c>
      <c r="AC61" s="44">
        <f t="shared" si="13"/>
        <v>0</v>
      </c>
      <c r="AD61" s="36">
        <v>1</v>
      </c>
      <c r="AE61" s="44">
        <f t="shared" si="14"/>
        <v>0</v>
      </c>
      <c r="AF61" s="45"/>
      <c r="AG61" s="46" t="e">
        <f t="shared" si="15"/>
        <v>#DIV/0!</v>
      </c>
      <c r="AH61" s="47" t="e">
        <f t="shared" si="16"/>
        <v>#DIV/0!</v>
      </c>
      <c r="AI61" s="45"/>
      <c r="AJ61" s="46" t="e">
        <f t="shared" si="17"/>
        <v>#DIV/0!</v>
      </c>
      <c r="AK61" s="47" t="e">
        <f t="shared" si="18"/>
        <v>#DIV/0!</v>
      </c>
      <c r="AL61" s="45"/>
      <c r="AM61" s="46" t="e">
        <f t="shared" si="19"/>
        <v>#DIV/0!</v>
      </c>
      <c r="AN61" s="47" t="e">
        <f t="shared" si="20"/>
        <v>#DIV/0!</v>
      </c>
      <c r="AO61" s="45"/>
      <c r="AP61" s="46" t="e">
        <f t="shared" si="21"/>
        <v>#DIV/0!</v>
      </c>
      <c r="AQ61" s="47" t="e">
        <f t="shared" si="22"/>
        <v>#DIV/0!</v>
      </c>
      <c r="AR61" s="45"/>
      <c r="AS61" s="46">
        <f t="shared" si="23"/>
        <v>0</v>
      </c>
      <c r="AT61" s="47">
        <f t="shared" si="24"/>
        <v>0</v>
      </c>
      <c r="AU61" s="45"/>
      <c r="AV61" s="46" t="e">
        <f t="shared" si="25"/>
        <v>#DIV/0!</v>
      </c>
      <c r="AW61" s="47" t="e">
        <f t="shared" si="26"/>
        <v>#DIV/0!</v>
      </c>
      <c r="AX61" s="45"/>
      <c r="AY61" s="46">
        <f t="shared" si="27"/>
        <v>0</v>
      </c>
      <c r="AZ61" s="47">
        <f t="shared" si="28"/>
        <v>0</v>
      </c>
      <c r="BA61" s="48" t="e">
        <f t="shared" si="29"/>
        <v>#DIV/0!</v>
      </c>
    </row>
    <row r="62" spans="1:53" ht="16" hidden="1" thickBot="1">
      <c r="A62" s="30"/>
      <c r="B62" s="31"/>
      <c r="C62" s="31"/>
      <c r="D62" s="31"/>
      <c r="E62" s="32"/>
      <c r="F62" s="33"/>
      <c r="G62" s="74"/>
      <c r="H62" s="70"/>
      <c r="I62" s="77">
        <f>IF(H62=Tablas!$B$5,Tablas!$C$5,VLOOKUP(H62,Tablas!$B$5:$D$40,2,FALSE))</f>
        <v>1</v>
      </c>
      <c r="J62" s="65">
        <f>IF(I62=0,"",VLOOKUP(I62,Tablas!$C$5:$D$40,2,FALSE))</f>
        <v>0</v>
      </c>
      <c r="K62" s="34" t="str">
        <f t="shared" si="30"/>
        <v>0</v>
      </c>
      <c r="L62" s="35">
        <f t="shared" si="1"/>
        <v>0</v>
      </c>
      <c r="M62" s="35">
        <f t="shared" si="2"/>
        <v>0</v>
      </c>
      <c r="N62" s="35">
        <f t="shared" si="3"/>
        <v>0</v>
      </c>
      <c r="O62" s="35">
        <f t="shared" si="4"/>
        <v>0</v>
      </c>
      <c r="P62" s="35">
        <f t="shared" si="5"/>
        <v>0</v>
      </c>
      <c r="Q62" s="36">
        <v>0.75</v>
      </c>
      <c r="R62" s="37">
        <f t="shared" si="6"/>
        <v>0</v>
      </c>
      <c r="S62" s="36">
        <v>0.75</v>
      </c>
      <c r="T62" s="38">
        <f t="shared" si="7"/>
        <v>0</v>
      </c>
      <c r="U62" s="39">
        <f t="shared" si="8"/>
        <v>0</v>
      </c>
      <c r="V62" s="40">
        <f t="shared" si="9"/>
        <v>0</v>
      </c>
      <c r="W62" s="41">
        <f t="shared" si="10"/>
        <v>0</v>
      </c>
      <c r="X62" s="42">
        <f t="shared" si="11"/>
        <v>0</v>
      </c>
      <c r="Y62" s="43" t="s">
        <v>0</v>
      </c>
      <c r="Z62" s="36">
        <v>1</v>
      </c>
      <c r="AA62" s="44">
        <f t="shared" si="12"/>
        <v>0</v>
      </c>
      <c r="AB62" s="36">
        <v>1</v>
      </c>
      <c r="AC62" s="44">
        <f t="shared" si="13"/>
        <v>0</v>
      </c>
      <c r="AD62" s="36">
        <v>1</v>
      </c>
      <c r="AE62" s="44">
        <f t="shared" si="14"/>
        <v>0</v>
      </c>
      <c r="AF62" s="45"/>
      <c r="AG62" s="46" t="e">
        <f t="shared" si="15"/>
        <v>#DIV/0!</v>
      </c>
      <c r="AH62" s="47" t="e">
        <f t="shared" si="16"/>
        <v>#DIV/0!</v>
      </c>
      <c r="AI62" s="45"/>
      <c r="AJ62" s="46" t="e">
        <f t="shared" si="17"/>
        <v>#DIV/0!</v>
      </c>
      <c r="AK62" s="47" t="e">
        <f t="shared" si="18"/>
        <v>#DIV/0!</v>
      </c>
      <c r="AL62" s="45"/>
      <c r="AM62" s="46" t="e">
        <f t="shared" si="19"/>
        <v>#DIV/0!</v>
      </c>
      <c r="AN62" s="47" t="e">
        <f t="shared" si="20"/>
        <v>#DIV/0!</v>
      </c>
      <c r="AO62" s="45"/>
      <c r="AP62" s="46" t="e">
        <f t="shared" si="21"/>
        <v>#DIV/0!</v>
      </c>
      <c r="AQ62" s="47" t="e">
        <f t="shared" si="22"/>
        <v>#DIV/0!</v>
      </c>
      <c r="AR62" s="45"/>
      <c r="AS62" s="46">
        <f t="shared" si="23"/>
        <v>0</v>
      </c>
      <c r="AT62" s="47">
        <f t="shared" si="24"/>
        <v>0</v>
      </c>
      <c r="AU62" s="45"/>
      <c r="AV62" s="46" t="e">
        <f t="shared" si="25"/>
        <v>#DIV/0!</v>
      </c>
      <c r="AW62" s="47" t="e">
        <f t="shared" si="26"/>
        <v>#DIV/0!</v>
      </c>
      <c r="AX62" s="45"/>
      <c r="AY62" s="46">
        <f t="shared" si="27"/>
        <v>0</v>
      </c>
      <c r="AZ62" s="47">
        <f t="shared" si="28"/>
        <v>0</v>
      </c>
      <c r="BA62" s="48" t="e">
        <f t="shared" si="29"/>
        <v>#DIV/0!</v>
      </c>
    </row>
    <row r="63" spans="1:53" ht="16" hidden="1" thickBot="1">
      <c r="A63" s="30"/>
      <c r="B63" s="31"/>
      <c r="C63" s="31"/>
      <c r="D63" s="31"/>
      <c r="E63" s="32"/>
      <c r="F63" s="33"/>
      <c r="G63" s="74"/>
      <c r="H63" s="70"/>
      <c r="I63" s="77">
        <f>IF(H63=Tablas!$B$5,Tablas!$C$5,VLOOKUP(H63,Tablas!$B$5:$D$40,2,FALSE))</f>
        <v>1</v>
      </c>
      <c r="J63" s="65">
        <f>IF(I63=0,"",VLOOKUP(I63,Tablas!$C$5:$D$40,2,FALSE))</f>
        <v>0</v>
      </c>
      <c r="K63" s="34" t="str">
        <f t="shared" si="30"/>
        <v>0</v>
      </c>
      <c r="L63" s="35">
        <f t="shared" si="1"/>
        <v>0</v>
      </c>
      <c r="M63" s="35">
        <f t="shared" si="2"/>
        <v>0</v>
      </c>
      <c r="N63" s="35">
        <f t="shared" si="3"/>
        <v>0</v>
      </c>
      <c r="O63" s="35">
        <f t="shared" si="4"/>
        <v>0</v>
      </c>
      <c r="P63" s="35">
        <f t="shared" si="5"/>
        <v>0</v>
      </c>
      <c r="Q63" s="36">
        <v>0.75</v>
      </c>
      <c r="R63" s="37">
        <f t="shared" si="6"/>
        <v>0</v>
      </c>
      <c r="S63" s="36">
        <v>0.75</v>
      </c>
      <c r="T63" s="38">
        <f t="shared" si="7"/>
        <v>0</v>
      </c>
      <c r="U63" s="39">
        <f t="shared" si="8"/>
        <v>0</v>
      </c>
      <c r="V63" s="40">
        <f t="shared" si="9"/>
        <v>0</v>
      </c>
      <c r="W63" s="41">
        <f t="shared" si="10"/>
        <v>0</v>
      </c>
      <c r="X63" s="42">
        <f t="shared" si="11"/>
        <v>0</v>
      </c>
      <c r="Y63" s="43" t="s">
        <v>0</v>
      </c>
      <c r="Z63" s="36">
        <v>1</v>
      </c>
      <c r="AA63" s="44">
        <f t="shared" si="12"/>
        <v>0</v>
      </c>
      <c r="AB63" s="36">
        <v>1</v>
      </c>
      <c r="AC63" s="44">
        <f t="shared" si="13"/>
        <v>0</v>
      </c>
      <c r="AD63" s="36">
        <v>1</v>
      </c>
      <c r="AE63" s="44">
        <f t="shared" si="14"/>
        <v>0</v>
      </c>
      <c r="AF63" s="45"/>
      <c r="AG63" s="46" t="e">
        <f t="shared" si="15"/>
        <v>#DIV/0!</v>
      </c>
      <c r="AH63" s="47" t="e">
        <f t="shared" si="16"/>
        <v>#DIV/0!</v>
      </c>
      <c r="AI63" s="45"/>
      <c r="AJ63" s="46" t="e">
        <f t="shared" si="17"/>
        <v>#DIV/0!</v>
      </c>
      <c r="AK63" s="47" t="e">
        <f t="shared" si="18"/>
        <v>#DIV/0!</v>
      </c>
      <c r="AL63" s="45"/>
      <c r="AM63" s="46" t="e">
        <f t="shared" si="19"/>
        <v>#DIV/0!</v>
      </c>
      <c r="AN63" s="47" t="e">
        <f t="shared" si="20"/>
        <v>#DIV/0!</v>
      </c>
      <c r="AO63" s="45"/>
      <c r="AP63" s="46" t="e">
        <f t="shared" si="21"/>
        <v>#DIV/0!</v>
      </c>
      <c r="AQ63" s="47" t="e">
        <f t="shared" si="22"/>
        <v>#DIV/0!</v>
      </c>
      <c r="AR63" s="45"/>
      <c r="AS63" s="46">
        <f t="shared" si="23"/>
        <v>0</v>
      </c>
      <c r="AT63" s="47">
        <f t="shared" si="24"/>
        <v>0</v>
      </c>
      <c r="AU63" s="45"/>
      <c r="AV63" s="46" t="e">
        <f t="shared" si="25"/>
        <v>#DIV/0!</v>
      </c>
      <c r="AW63" s="47" t="e">
        <f t="shared" si="26"/>
        <v>#DIV/0!</v>
      </c>
      <c r="AX63" s="45"/>
      <c r="AY63" s="46">
        <f t="shared" si="27"/>
        <v>0</v>
      </c>
      <c r="AZ63" s="47">
        <f t="shared" si="28"/>
        <v>0</v>
      </c>
      <c r="BA63" s="48" t="e">
        <f t="shared" si="29"/>
        <v>#DIV/0!</v>
      </c>
    </row>
    <row r="64" spans="1:53" ht="16" hidden="1" thickBot="1">
      <c r="A64" s="30"/>
      <c r="B64" s="31"/>
      <c r="C64" s="31"/>
      <c r="D64" s="31"/>
      <c r="E64" s="32"/>
      <c r="F64" s="33"/>
      <c r="G64" s="74"/>
      <c r="H64" s="70"/>
      <c r="I64" s="77">
        <f>IF(H64=Tablas!$B$5,Tablas!$C$5,VLOOKUP(H64,Tablas!$B$5:$D$40,2,FALSE))</f>
        <v>1</v>
      </c>
      <c r="J64" s="65">
        <f>IF(I64=0,"",VLOOKUP(I64,Tablas!$C$5:$D$40,2,FALSE))</f>
        <v>0</v>
      </c>
      <c r="K64" s="34" t="str">
        <f t="shared" si="30"/>
        <v>0</v>
      </c>
      <c r="L64" s="35">
        <f t="shared" si="1"/>
        <v>0</v>
      </c>
      <c r="M64" s="35">
        <f t="shared" si="2"/>
        <v>0</v>
      </c>
      <c r="N64" s="35">
        <f t="shared" si="3"/>
        <v>0</v>
      </c>
      <c r="O64" s="35">
        <f t="shared" si="4"/>
        <v>0</v>
      </c>
      <c r="P64" s="35">
        <f t="shared" si="5"/>
        <v>0</v>
      </c>
      <c r="Q64" s="36">
        <v>0.75</v>
      </c>
      <c r="R64" s="37">
        <f t="shared" si="6"/>
        <v>0</v>
      </c>
      <c r="S64" s="36">
        <v>0.75</v>
      </c>
      <c r="T64" s="38">
        <f t="shared" si="7"/>
        <v>0</v>
      </c>
      <c r="U64" s="39">
        <f t="shared" si="8"/>
        <v>0</v>
      </c>
      <c r="V64" s="40">
        <f t="shared" si="9"/>
        <v>0</v>
      </c>
      <c r="W64" s="41">
        <f t="shared" si="10"/>
        <v>0</v>
      </c>
      <c r="X64" s="42">
        <f t="shared" si="11"/>
        <v>0</v>
      </c>
      <c r="Y64" s="43" t="s">
        <v>0</v>
      </c>
      <c r="Z64" s="36">
        <v>1</v>
      </c>
      <c r="AA64" s="44">
        <f t="shared" si="12"/>
        <v>0</v>
      </c>
      <c r="AB64" s="36">
        <v>1</v>
      </c>
      <c r="AC64" s="44">
        <f t="shared" si="13"/>
        <v>0</v>
      </c>
      <c r="AD64" s="36">
        <v>1</v>
      </c>
      <c r="AE64" s="44">
        <f t="shared" si="14"/>
        <v>0</v>
      </c>
      <c r="AF64" s="45"/>
      <c r="AG64" s="46" t="e">
        <f t="shared" si="15"/>
        <v>#DIV/0!</v>
      </c>
      <c r="AH64" s="47" t="e">
        <f t="shared" si="16"/>
        <v>#DIV/0!</v>
      </c>
      <c r="AI64" s="45"/>
      <c r="AJ64" s="46" t="e">
        <f t="shared" si="17"/>
        <v>#DIV/0!</v>
      </c>
      <c r="AK64" s="47" t="e">
        <f t="shared" si="18"/>
        <v>#DIV/0!</v>
      </c>
      <c r="AL64" s="45"/>
      <c r="AM64" s="46" t="e">
        <f t="shared" si="19"/>
        <v>#DIV/0!</v>
      </c>
      <c r="AN64" s="47" t="e">
        <f t="shared" si="20"/>
        <v>#DIV/0!</v>
      </c>
      <c r="AO64" s="45"/>
      <c r="AP64" s="46" t="e">
        <f t="shared" si="21"/>
        <v>#DIV/0!</v>
      </c>
      <c r="AQ64" s="47" t="e">
        <f t="shared" si="22"/>
        <v>#DIV/0!</v>
      </c>
      <c r="AR64" s="45"/>
      <c r="AS64" s="46">
        <f t="shared" si="23"/>
        <v>0</v>
      </c>
      <c r="AT64" s="47">
        <f t="shared" si="24"/>
        <v>0</v>
      </c>
      <c r="AU64" s="45"/>
      <c r="AV64" s="46" t="e">
        <f t="shared" si="25"/>
        <v>#DIV/0!</v>
      </c>
      <c r="AW64" s="47" t="e">
        <f t="shared" si="26"/>
        <v>#DIV/0!</v>
      </c>
      <c r="AX64" s="45"/>
      <c r="AY64" s="46">
        <f t="shared" si="27"/>
        <v>0</v>
      </c>
      <c r="AZ64" s="47">
        <f t="shared" si="28"/>
        <v>0</v>
      </c>
      <c r="BA64" s="48" t="e">
        <f t="shared" si="29"/>
        <v>#DIV/0!</v>
      </c>
    </row>
    <row r="65" spans="1:53" ht="16" hidden="1" thickBot="1">
      <c r="A65" s="30"/>
      <c r="B65" s="31"/>
      <c r="C65" s="31"/>
      <c r="D65" s="31"/>
      <c r="E65" s="32"/>
      <c r="F65" s="33"/>
      <c r="G65" s="74"/>
      <c r="H65" s="70"/>
      <c r="I65" s="77">
        <f>IF(H65=Tablas!$B$5,Tablas!$C$5,VLOOKUP(H65,Tablas!$B$5:$D$40,2,FALSE))</f>
        <v>1</v>
      </c>
      <c r="J65" s="65">
        <f>IF(I65=0,"",VLOOKUP(I65,Tablas!$C$5:$D$40,2,FALSE))</f>
        <v>0</v>
      </c>
      <c r="K65" s="34" t="str">
        <f t="shared" si="30"/>
        <v>0</v>
      </c>
      <c r="L65" s="35">
        <f t="shared" si="1"/>
        <v>0</v>
      </c>
      <c r="M65" s="35">
        <f t="shared" si="2"/>
        <v>0</v>
      </c>
      <c r="N65" s="35">
        <f t="shared" si="3"/>
        <v>0</v>
      </c>
      <c r="O65" s="35">
        <f t="shared" si="4"/>
        <v>0</v>
      </c>
      <c r="P65" s="35">
        <f t="shared" si="5"/>
        <v>0</v>
      </c>
      <c r="Q65" s="36">
        <v>0.75</v>
      </c>
      <c r="R65" s="37">
        <f t="shared" si="6"/>
        <v>0</v>
      </c>
      <c r="S65" s="36">
        <v>0.75</v>
      </c>
      <c r="T65" s="38">
        <f t="shared" si="7"/>
        <v>0</v>
      </c>
      <c r="U65" s="39">
        <f t="shared" si="8"/>
        <v>0</v>
      </c>
      <c r="V65" s="40">
        <f t="shared" si="9"/>
        <v>0</v>
      </c>
      <c r="W65" s="41">
        <f t="shared" si="10"/>
        <v>0</v>
      </c>
      <c r="X65" s="42">
        <f t="shared" si="11"/>
        <v>0</v>
      </c>
      <c r="Y65" s="43" t="s">
        <v>0</v>
      </c>
      <c r="Z65" s="36">
        <v>1</v>
      </c>
      <c r="AA65" s="44">
        <f t="shared" si="12"/>
        <v>0</v>
      </c>
      <c r="AB65" s="36">
        <v>1</v>
      </c>
      <c r="AC65" s="44">
        <f t="shared" si="13"/>
        <v>0</v>
      </c>
      <c r="AD65" s="36">
        <v>1</v>
      </c>
      <c r="AE65" s="44">
        <f t="shared" si="14"/>
        <v>0</v>
      </c>
      <c r="AF65" s="45"/>
      <c r="AG65" s="46" t="e">
        <f t="shared" si="15"/>
        <v>#DIV/0!</v>
      </c>
      <c r="AH65" s="47" t="e">
        <f t="shared" si="16"/>
        <v>#DIV/0!</v>
      </c>
      <c r="AI65" s="45"/>
      <c r="AJ65" s="46" t="e">
        <f t="shared" si="17"/>
        <v>#DIV/0!</v>
      </c>
      <c r="AK65" s="47" t="e">
        <f t="shared" si="18"/>
        <v>#DIV/0!</v>
      </c>
      <c r="AL65" s="45"/>
      <c r="AM65" s="46" t="e">
        <f t="shared" si="19"/>
        <v>#DIV/0!</v>
      </c>
      <c r="AN65" s="47" t="e">
        <f t="shared" si="20"/>
        <v>#DIV/0!</v>
      </c>
      <c r="AO65" s="45"/>
      <c r="AP65" s="46" t="e">
        <f t="shared" si="21"/>
        <v>#DIV/0!</v>
      </c>
      <c r="AQ65" s="47" t="e">
        <f t="shared" si="22"/>
        <v>#DIV/0!</v>
      </c>
      <c r="AR65" s="45"/>
      <c r="AS65" s="46">
        <f t="shared" si="23"/>
        <v>0</v>
      </c>
      <c r="AT65" s="47">
        <f t="shared" si="24"/>
        <v>0</v>
      </c>
      <c r="AU65" s="45"/>
      <c r="AV65" s="46" t="e">
        <f t="shared" si="25"/>
        <v>#DIV/0!</v>
      </c>
      <c r="AW65" s="47" t="e">
        <f t="shared" si="26"/>
        <v>#DIV/0!</v>
      </c>
      <c r="AX65" s="45"/>
      <c r="AY65" s="46">
        <f t="shared" si="27"/>
        <v>0</v>
      </c>
      <c r="AZ65" s="47">
        <f t="shared" si="28"/>
        <v>0</v>
      </c>
      <c r="BA65" s="48" t="e">
        <f t="shared" si="29"/>
        <v>#DIV/0!</v>
      </c>
    </row>
    <row r="66" spans="1:53" ht="16" hidden="1" thickBot="1">
      <c r="A66" s="30"/>
      <c r="B66" s="31"/>
      <c r="C66" s="31"/>
      <c r="D66" s="31"/>
      <c r="E66" s="32"/>
      <c r="F66" s="33"/>
      <c r="G66" s="74"/>
      <c r="H66" s="70"/>
      <c r="I66" s="77">
        <f>IF(H66=Tablas!$B$5,Tablas!$C$5,VLOOKUP(H66,Tablas!$B$5:$D$40,2,FALSE))</f>
        <v>1</v>
      </c>
      <c r="J66" s="65">
        <f>IF(I66=0,"",VLOOKUP(I66,Tablas!$C$5:$D$40,2,FALSE))</f>
        <v>0</v>
      </c>
      <c r="K66" s="34" t="str">
        <f t="shared" si="30"/>
        <v>0</v>
      </c>
      <c r="L66" s="35">
        <f t="shared" si="1"/>
        <v>0</v>
      </c>
      <c r="M66" s="35">
        <f t="shared" si="2"/>
        <v>0</v>
      </c>
      <c r="N66" s="35">
        <f t="shared" si="3"/>
        <v>0</v>
      </c>
      <c r="O66" s="35">
        <f t="shared" si="4"/>
        <v>0</v>
      </c>
      <c r="P66" s="35">
        <f t="shared" si="5"/>
        <v>0</v>
      </c>
      <c r="Q66" s="36">
        <v>0.75</v>
      </c>
      <c r="R66" s="37">
        <f t="shared" si="6"/>
        <v>0</v>
      </c>
      <c r="S66" s="36">
        <v>0.75</v>
      </c>
      <c r="T66" s="38">
        <f t="shared" si="7"/>
        <v>0</v>
      </c>
      <c r="U66" s="39">
        <f t="shared" si="8"/>
        <v>0</v>
      </c>
      <c r="V66" s="40">
        <f t="shared" si="9"/>
        <v>0</v>
      </c>
      <c r="W66" s="41">
        <f t="shared" si="10"/>
        <v>0</v>
      </c>
      <c r="X66" s="42">
        <f t="shared" si="11"/>
        <v>0</v>
      </c>
      <c r="Y66" s="43" t="s">
        <v>0</v>
      </c>
      <c r="Z66" s="36">
        <v>1</v>
      </c>
      <c r="AA66" s="44">
        <f t="shared" si="12"/>
        <v>0</v>
      </c>
      <c r="AB66" s="36">
        <v>1</v>
      </c>
      <c r="AC66" s="44">
        <f t="shared" si="13"/>
        <v>0</v>
      </c>
      <c r="AD66" s="36">
        <v>1</v>
      </c>
      <c r="AE66" s="44">
        <f t="shared" si="14"/>
        <v>0</v>
      </c>
      <c r="AF66" s="45"/>
      <c r="AG66" s="46" t="e">
        <f t="shared" si="15"/>
        <v>#DIV/0!</v>
      </c>
      <c r="AH66" s="47" t="e">
        <f t="shared" si="16"/>
        <v>#DIV/0!</v>
      </c>
      <c r="AI66" s="45"/>
      <c r="AJ66" s="46" t="e">
        <f t="shared" si="17"/>
        <v>#DIV/0!</v>
      </c>
      <c r="AK66" s="47" t="e">
        <f t="shared" si="18"/>
        <v>#DIV/0!</v>
      </c>
      <c r="AL66" s="45"/>
      <c r="AM66" s="46" t="e">
        <f t="shared" si="19"/>
        <v>#DIV/0!</v>
      </c>
      <c r="AN66" s="47" t="e">
        <f t="shared" si="20"/>
        <v>#DIV/0!</v>
      </c>
      <c r="AO66" s="45"/>
      <c r="AP66" s="46" t="e">
        <f t="shared" si="21"/>
        <v>#DIV/0!</v>
      </c>
      <c r="AQ66" s="47" t="e">
        <f t="shared" si="22"/>
        <v>#DIV/0!</v>
      </c>
      <c r="AR66" s="45"/>
      <c r="AS66" s="46">
        <f t="shared" si="23"/>
        <v>0</v>
      </c>
      <c r="AT66" s="47">
        <f t="shared" si="24"/>
        <v>0</v>
      </c>
      <c r="AU66" s="45"/>
      <c r="AV66" s="46" t="e">
        <f t="shared" si="25"/>
        <v>#DIV/0!</v>
      </c>
      <c r="AW66" s="47" t="e">
        <f t="shared" si="26"/>
        <v>#DIV/0!</v>
      </c>
      <c r="AX66" s="45"/>
      <c r="AY66" s="46">
        <f t="shared" si="27"/>
        <v>0</v>
      </c>
      <c r="AZ66" s="47">
        <f t="shared" si="28"/>
        <v>0</v>
      </c>
      <c r="BA66" s="48" t="e">
        <f t="shared" si="29"/>
        <v>#DIV/0!</v>
      </c>
    </row>
    <row r="67" spans="1:53" ht="16" hidden="1" thickBot="1">
      <c r="A67" s="30"/>
      <c r="B67" s="31"/>
      <c r="C67" s="31"/>
      <c r="D67" s="31"/>
      <c r="E67" s="32"/>
      <c r="F67" s="33"/>
      <c r="G67" s="74"/>
      <c r="H67" s="70"/>
      <c r="I67" s="77">
        <f>IF(H67=Tablas!$B$5,Tablas!$C$5,VLOOKUP(H67,Tablas!$B$5:$D$40,2,FALSE))</f>
        <v>1</v>
      </c>
      <c r="J67" s="65">
        <f>IF(I67=0,"",VLOOKUP(I67,Tablas!$C$5:$D$40,2,FALSE))</f>
        <v>0</v>
      </c>
      <c r="K67" s="34" t="str">
        <f t="shared" si="30"/>
        <v>0</v>
      </c>
      <c r="L67" s="35">
        <f t="shared" si="1"/>
        <v>0</v>
      </c>
      <c r="M67" s="35">
        <f t="shared" si="2"/>
        <v>0</v>
      </c>
      <c r="N67" s="35">
        <f t="shared" si="3"/>
        <v>0</v>
      </c>
      <c r="O67" s="35">
        <f t="shared" si="4"/>
        <v>0</v>
      </c>
      <c r="P67" s="35">
        <f t="shared" si="5"/>
        <v>0</v>
      </c>
      <c r="Q67" s="36">
        <v>0.75</v>
      </c>
      <c r="R67" s="37">
        <f t="shared" si="6"/>
        <v>0</v>
      </c>
      <c r="S67" s="36">
        <v>0.75</v>
      </c>
      <c r="T67" s="38">
        <f t="shared" si="7"/>
        <v>0</v>
      </c>
      <c r="U67" s="39">
        <f t="shared" si="8"/>
        <v>0</v>
      </c>
      <c r="V67" s="40">
        <f t="shared" si="9"/>
        <v>0</v>
      </c>
      <c r="W67" s="41">
        <f t="shared" si="10"/>
        <v>0</v>
      </c>
      <c r="X67" s="42">
        <f t="shared" si="11"/>
        <v>0</v>
      </c>
      <c r="Y67" s="43" t="s">
        <v>0</v>
      </c>
      <c r="Z67" s="36">
        <v>1</v>
      </c>
      <c r="AA67" s="44">
        <f t="shared" si="12"/>
        <v>0</v>
      </c>
      <c r="AB67" s="36">
        <v>1</v>
      </c>
      <c r="AC67" s="44">
        <f t="shared" si="13"/>
        <v>0</v>
      </c>
      <c r="AD67" s="36">
        <v>1</v>
      </c>
      <c r="AE67" s="44">
        <f t="shared" si="14"/>
        <v>0</v>
      </c>
      <c r="AF67" s="45"/>
      <c r="AG67" s="46" t="e">
        <f t="shared" si="15"/>
        <v>#DIV/0!</v>
      </c>
      <c r="AH67" s="47" t="e">
        <f t="shared" si="16"/>
        <v>#DIV/0!</v>
      </c>
      <c r="AI67" s="45"/>
      <c r="AJ67" s="46" t="e">
        <f t="shared" si="17"/>
        <v>#DIV/0!</v>
      </c>
      <c r="AK67" s="47" t="e">
        <f t="shared" si="18"/>
        <v>#DIV/0!</v>
      </c>
      <c r="AL67" s="45"/>
      <c r="AM67" s="46" t="e">
        <f t="shared" si="19"/>
        <v>#DIV/0!</v>
      </c>
      <c r="AN67" s="47" t="e">
        <f t="shared" si="20"/>
        <v>#DIV/0!</v>
      </c>
      <c r="AO67" s="45"/>
      <c r="AP67" s="46" t="e">
        <f t="shared" si="21"/>
        <v>#DIV/0!</v>
      </c>
      <c r="AQ67" s="47" t="e">
        <f t="shared" si="22"/>
        <v>#DIV/0!</v>
      </c>
      <c r="AR67" s="45"/>
      <c r="AS67" s="46">
        <f t="shared" si="23"/>
        <v>0</v>
      </c>
      <c r="AT67" s="47">
        <f t="shared" si="24"/>
        <v>0</v>
      </c>
      <c r="AU67" s="45"/>
      <c r="AV67" s="46" t="e">
        <f t="shared" si="25"/>
        <v>#DIV/0!</v>
      </c>
      <c r="AW67" s="47" t="e">
        <f t="shared" si="26"/>
        <v>#DIV/0!</v>
      </c>
      <c r="AX67" s="45"/>
      <c r="AY67" s="46">
        <f t="shared" si="27"/>
        <v>0</v>
      </c>
      <c r="AZ67" s="47">
        <f t="shared" si="28"/>
        <v>0</v>
      </c>
      <c r="BA67" s="48" t="e">
        <f t="shared" si="29"/>
        <v>#DIV/0!</v>
      </c>
    </row>
    <row r="68" spans="1:53" ht="16" hidden="1" thickBot="1">
      <c r="A68" s="30"/>
      <c r="B68" s="31"/>
      <c r="C68" s="31"/>
      <c r="D68" s="31"/>
      <c r="E68" s="32"/>
      <c r="F68" s="33"/>
      <c r="G68" s="74"/>
      <c r="H68" s="70"/>
      <c r="I68" s="77">
        <f>IF(H68=Tablas!$B$5,Tablas!$C$5,VLOOKUP(H68,Tablas!$B$5:$D$40,2,FALSE))</f>
        <v>1</v>
      </c>
      <c r="J68" s="65">
        <f>IF(I68=0,"",VLOOKUP(I68,Tablas!$C$5:$D$40,2,FALSE))</f>
        <v>0</v>
      </c>
      <c r="K68" s="34" t="str">
        <f t="shared" si="30"/>
        <v>0</v>
      </c>
      <c r="L68" s="35">
        <f t="shared" si="1"/>
        <v>0</v>
      </c>
      <c r="M68" s="35">
        <f t="shared" si="2"/>
        <v>0</v>
      </c>
      <c r="N68" s="35">
        <f t="shared" si="3"/>
        <v>0</v>
      </c>
      <c r="O68" s="35">
        <f t="shared" si="4"/>
        <v>0</v>
      </c>
      <c r="P68" s="35">
        <f t="shared" si="5"/>
        <v>0</v>
      </c>
      <c r="Q68" s="36">
        <v>0.75</v>
      </c>
      <c r="R68" s="37">
        <f t="shared" si="6"/>
        <v>0</v>
      </c>
      <c r="S68" s="36">
        <v>0.75</v>
      </c>
      <c r="T68" s="38">
        <f t="shared" si="7"/>
        <v>0</v>
      </c>
      <c r="U68" s="39">
        <f t="shared" si="8"/>
        <v>0</v>
      </c>
      <c r="V68" s="40">
        <f t="shared" si="9"/>
        <v>0</v>
      </c>
      <c r="W68" s="41">
        <f t="shared" si="10"/>
        <v>0</v>
      </c>
      <c r="X68" s="42">
        <f t="shared" si="11"/>
        <v>0</v>
      </c>
      <c r="Y68" s="43" t="s">
        <v>0</v>
      </c>
      <c r="Z68" s="36">
        <v>1</v>
      </c>
      <c r="AA68" s="44">
        <f t="shared" si="12"/>
        <v>0</v>
      </c>
      <c r="AB68" s="36">
        <v>1</v>
      </c>
      <c r="AC68" s="44">
        <f t="shared" si="13"/>
        <v>0</v>
      </c>
      <c r="AD68" s="36">
        <v>1</v>
      </c>
      <c r="AE68" s="44">
        <f t="shared" si="14"/>
        <v>0</v>
      </c>
      <c r="AF68" s="45"/>
      <c r="AG68" s="46" t="e">
        <f t="shared" si="15"/>
        <v>#DIV/0!</v>
      </c>
      <c r="AH68" s="47" t="e">
        <f t="shared" si="16"/>
        <v>#DIV/0!</v>
      </c>
      <c r="AI68" s="45"/>
      <c r="AJ68" s="46" t="e">
        <f t="shared" si="17"/>
        <v>#DIV/0!</v>
      </c>
      <c r="AK68" s="47" t="e">
        <f t="shared" si="18"/>
        <v>#DIV/0!</v>
      </c>
      <c r="AL68" s="45"/>
      <c r="AM68" s="46" t="e">
        <f t="shared" si="19"/>
        <v>#DIV/0!</v>
      </c>
      <c r="AN68" s="47" t="e">
        <f t="shared" si="20"/>
        <v>#DIV/0!</v>
      </c>
      <c r="AO68" s="45"/>
      <c r="AP68" s="46" t="e">
        <f t="shared" si="21"/>
        <v>#DIV/0!</v>
      </c>
      <c r="AQ68" s="47" t="e">
        <f t="shared" si="22"/>
        <v>#DIV/0!</v>
      </c>
      <c r="AR68" s="45"/>
      <c r="AS68" s="46">
        <f t="shared" si="23"/>
        <v>0</v>
      </c>
      <c r="AT68" s="47">
        <f t="shared" si="24"/>
        <v>0</v>
      </c>
      <c r="AU68" s="45"/>
      <c r="AV68" s="46" t="e">
        <f t="shared" si="25"/>
        <v>#DIV/0!</v>
      </c>
      <c r="AW68" s="47" t="e">
        <f t="shared" si="26"/>
        <v>#DIV/0!</v>
      </c>
      <c r="AX68" s="45"/>
      <c r="AY68" s="46">
        <f t="shared" si="27"/>
        <v>0</v>
      </c>
      <c r="AZ68" s="47">
        <f t="shared" si="28"/>
        <v>0</v>
      </c>
      <c r="BA68" s="48" t="e">
        <f t="shared" si="29"/>
        <v>#DIV/0!</v>
      </c>
    </row>
    <row r="69" spans="1:53" ht="16" hidden="1" thickBot="1">
      <c r="A69" s="30"/>
      <c r="B69" s="31"/>
      <c r="C69" s="31"/>
      <c r="D69" s="31"/>
      <c r="E69" s="32"/>
      <c r="F69" s="33"/>
      <c r="G69" s="74"/>
      <c r="H69" s="70"/>
      <c r="I69" s="77">
        <f>IF(H69=Tablas!$B$5,Tablas!$C$5,VLOOKUP(H69,Tablas!$B$5:$D$40,2,FALSE))</f>
        <v>1</v>
      </c>
      <c r="J69" s="65">
        <f>IF(I69=0,"",VLOOKUP(I69,Tablas!$C$5:$D$40,2,FALSE))</f>
        <v>0</v>
      </c>
      <c r="K69" s="34" t="str">
        <f t="shared" si="30"/>
        <v>0</v>
      </c>
      <c r="L69" s="35">
        <f t="shared" si="1"/>
        <v>0</v>
      </c>
      <c r="M69" s="35">
        <f t="shared" si="2"/>
        <v>0</v>
      </c>
      <c r="N69" s="35">
        <f t="shared" si="3"/>
        <v>0</v>
      </c>
      <c r="O69" s="35">
        <f t="shared" si="4"/>
        <v>0</v>
      </c>
      <c r="P69" s="35">
        <f t="shared" si="5"/>
        <v>0</v>
      </c>
      <c r="Q69" s="36">
        <v>0.75</v>
      </c>
      <c r="R69" s="37">
        <f t="shared" si="6"/>
        <v>0</v>
      </c>
      <c r="S69" s="36">
        <v>0.75</v>
      </c>
      <c r="T69" s="38">
        <f t="shared" si="7"/>
        <v>0</v>
      </c>
      <c r="U69" s="39">
        <f t="shared" si="8"/>
        <v>0</v>
      </c>
      <c r="V69" s="40">
        <f t="shared" si="9"/>
        <v>0</v>
      </c>
      <c r="W69" s="41">
        <f t="shared" si="10"/>
        <v>0</v>
      </c>
      <c r="X69" s="42">
        <f t="shared" si="11"/>
        <v>0</v>
      </c>
      <c r="Y69" s="43" t="s">
        <v>0</v>
      </c>
      <c r="Z69" s="36">
        <v>1</v>
      </c>
      <c r="AA69" s="44">
        <f t="shared" si="12"/>
        <v>0</v>
      </c>
      <c r="AB69" s="36">
        <v>1</v>
      </c>
      <c r="AC69" s="44">
        <f t="shared" si="13"/>
        <v>0</v>
      </c>
      <c r="AD69" s="36">
        <v>1</v>
      </c>
      <c r="AE69" s="44">
        <f t="shared" si="14"/>
        <v>0</v>
      </c>
      <c r="AF69" s="45"/>
      <c r="AG69" s="46" t="e">
        <f t="shared" si="15"/>
        <v>#DIV/0!</v>
      </c>
      <c r="AH69" s="47" t="e">
        <f t="shared" si="16"/>
        <v>#DIV/0!</v>
      </c>
      <c r="AI69" s="45"/>
      <c r="AJ69" s="46" t="e">
        <f t="shared" si="17"/>
        <v>#DIV/0!</v>
      </c>
      <c r="AK69" s="47" t="e">
        <f t="shared" si="18"/>
        <v>#DIV/0!</v>
      </c>
      <c r="AL69" s="45"/>
      <c r="AM69" s="46" t="e">
        <f t="shared" si="19"/>
        <v>#DIV/0!</v>
      </c>
      <c r="AN69" s="47" t="e">
        <f t="shared" si="20"/>
        <v>#DIV/0!</v>
      </c>
      <c r="AO69" s="45"/>
      <c r="AP69" s="46" t="e">
        <f t="shared" si="21"/>
        <v>#DIV/0!</v>
      </c>
      <c r="AQ69" s="47" t="e">
        <f t="shared" si="22"/>
        <v>#DIV/0!</v>
      </c>
      <c r="AR69" s="45"/>
      <c r="AS69" s="46">
        <f t="shared" si="23"/>
        <v>0</v>
      </c>
      <c r="AT69" s="47">
        <f t="shared" si="24"/>
        <v>0</v>
      </c>
      <c r="AU69" s="45"/>
      <c r="AV69" s="46" t="e">
        <f t="shared" si="25"/>
        <v>#DIV/0!</v>
      </c>
      <c r="AW69" s="47" t="e">
        <f t="shared" si="26"/>
        <v>#DIV/0!</v>
      </c>
      <c r="AX69" s="45"/>
      <c r="AY69" s="46">
        <f t="shared" si="27"/>
        <v>0</v>
      </c>
      <c r="AZ69" s="47">
        <f t="shared" si="28"/>
        <v>0</v>
      </c>
      <c r="BA69" s="48" t="e">
        <f t="shared" si="29"/>
        <v>#DIV/0!</v>
      </c>
    </row>
    <row r="70" spans="1:53" ht="16" hidden="1" thickBot="1">
      <c r="A70" s="30"/>
      <c r="B70" s="31"/>
      <c r="C70" s="31"/>
      <c r="D70" s="31"/>
      <c r="E70" s="32"/>
      <c r="F70" s="33"/>
      <c r="G70" s="74"/>
      <c r="H70" s="70"/>
      <c r="I70" s="77">
        <f>IF(H70=Tablas!$B$5,Tablas!$C$5,VLOOKUP(H70,Tablas!$B$5:$D$40,2,FALSE))</f>
        <v>1</v>
      </c>
      <c r="J70" s="65">
        <f>IF(I70=0,"",VLOOKUP(I70,Tablas!$C$5:$D$40,2,FALSE))</f>
        <v>0</v>
      </c>
      <c r="K70" s="34" t="str">
        <f t="shared" si="30"/>
        <v>0</v>
      </c>
      <c r="L70" s="35">
        <f t="shared" si="1"/>
        <v>0</v>
      </c>
      <c r="M70" s="35">
        <f t="shared" si="2"/>
        <v>0</v>
      </c>
      <c r="N70" s="35">
        <f t="shared" si="3"/>
        <v>0</v>
      </c>
      <c r="O70" s="35">
        <f t="shared" si="4"/>
        <v>0</v>
      </c>
      <c r="P70" s="35">
        <f t="shared" si="5"/>
        <v>0</v>
      </c>
      <c r="Q70" s="36">
        <v>0.75</v>
      </c>
      <c r="R70" s="37">
        <f t="shared" si="6"/>
        <v>0</v>
      </c>
      <c r="S70" s="36">
        <v>0.75</v>
      </c>
      <c r="T70" s="38">
        <f t="shared" si="7"/>
        <v>0</v>
      </c>
      <c r="U70" s="39">
        <f t="shared" si="8"/>
        <v>0</v>
      </c>
      <c r="V70" s="40">
        <f t="shared" si="9"/>
        <v>0</v>
      </c>
      <c r="W70" s="41">
        <f t="shared" si="10"/>
        <v>0</v>
      </c>
      <c r="X70" s="42">
        <f t="shared" si="11"/>
        <v>0</v>
      </c>
      <c r="Y70" s="43" t="s">
        <v>0</v>
      </c>
      <c r="Z70" s="36">
        <v>1</v>
      </c>
      <c r="AA70" s="44">
        <f t="shared" si="12"/>
        <v>0</v>
      </c>
      <c r="AB70" s="36">
        <v>1</v>
      </c>
      <c r="AC70" s="44">
        <f t="shared" si="13"/>
        <v>0</v>
      </c>
      <c r="AD70" s="36">
        <v>1</v>
      </c>
      <c r="AE70" s="44">
        <f t="shared" si="14"/>
        <v>0</v>
      </c>
      <c r="AF70" s="45"/>
      <c r="AG70" s="46" t="e">
        <f t="shared" si="15"/>
        <v>#DIV/0!</v>
      </c>
      <c r="AH70" s="47" t="e">
        <f t="shared" si="16"/>
        <v>#DIV/0!</v>
      </c>
      <c r="AI70" s="45"/>
      <c r="AJ70" s="46" t="e">
        <f t="shared" si="17"/>
        <v>#DIV/0!</v>
      </c>
      <c r="AK70" s="47" t="e">
        <f t="shared" si="18"/>
        <v>#DIV/0!</v>
      </c>
      <c r="AL70" s="45"/>
      <c r="AM70" s="46" t="e">
        <f t="shared" si="19"/>
        <v>#DIV/0!</v>
      </c>
      <c r="AN70" s="47" t="e">
        <f t="shared" si="20"/>
        <v>#DIV/0!</v>
      </c>
      <c r="AO70" s="45"/>
      <c r="AP70" s="46" t="e">
        <f t="shared" si="21"/>
        <v>#DIV/0!</v>
      </c>
      <c r="AQ70" s="47" t="e">
        <f t="shared" si="22"/>
        <v>#DIV/0!</v>
      </c>
      <c r="AR70" s="45"/>
      <c r="AS70" s="46">
        <f t="shared" si="23"/>
        <v>0</v>
      </c>
      <c r="AT70" s="47">
        <f t="shared" si="24"/>
        <v>0</v>
      </c>
      <c r="AU70" s="45"/>
      <c r="AV70" s="46" t="e">
        <f t="shared" si="25"/>
        <v>#DIV/0!</v>
      </c>
      <c r="AW70" s="47" t="e">
        <f t="shared" si="26"/>
        <v>#DIV/0!</v>
      </c>
      <c r="AX70" s="45"/>
      <c r="AY70" s="46">
        <f t="shared" si="27"/>
        <v>0</v>
      </c>
      <c r="AZ70" s="47">
        <f t="shared" si="28"/>
        <v>0</v>
      </c>
      <c r="BA70" s="48" t="e">
        <f t="shared" si="29"/>
        <v>#DIV/0!</v>
      </c>
    </row>
    <row r="71" spans="1:53" ht="16" hidden="1" thickBot="1">
      <c r="A71" s="30"/>
      <c r="B71" s="31"/>
      <c r="C71" s="31"/>
      <c r="D71" s="31"/>
      <c r="E71" s="32"/>
      <c r="F71" s="33"/>
      <c r="G71" s="74"/>
      <c r="H71" s="70"/>
      <c r="I71" s="77">
        <f>IF(H71=Tablas!$B$5,Tablas!$C$5,VLOOKUP(H71,Tablas!$B$5:$D$40,2,FALSE))</f>
        <v>1</v>
      </c>
      <c r="J71" s="65">
        <f>IF(I71=0,"",VLOOKUP(I71,Tablas!$C$5:$D$40,2,FALSE))</f>
        <v>0</v>
      </c>
      <c r="K71" s="34" t="str">
        <f t="shared" si="30"/>
        <v>0</v>
      </c>
      <c r="L71" s="35">
        <f t="shared" si="1"/>
        <v>0</v>
      </c>
      <c r="M71" s="35">
        <f t="shared" si="2"/>
        <v>0</v>
      </c>
      <c r="N71" s="35">
        <f t="shared" si="3"/>
        <v>0</v>
      </c>
      <c r="O71" s="35">
        <f t="shared" si="4"/>
        <v>0</v>
      </c>
      <c r="P71" s="35">
        <f t="shared" si="5"/>
        <v>0</v>
      </c>
      <c r="Q71" s="36">
        <v>0.75</v>
      </c>
      <c r="R71" s="37">
        <f t="shared" si="6"/>
        <v>0</v>
      </c>
      <c r="S71" s="36">
        <v>0.75</v>
      </c>
      <c r="T71" s="38">
        <f t="shared" si="7"/>
        <v>0</v>
      </c>
      <c r="U71" s="39">
        <f t="shared" si="8"/>
        <v>0</v>
      </c>
      <c r="V71" s="40">
        <f t="shared" si="9"/>
        <v>0</v>
      </c>
      <c r="W71" s="41">
        <f t="shared" si="10"/>
        <v>0</v>
      </c>
      <c r="X71" s="42">
        <f t="shared" si="11"/>
        <v>0</v>
      </c>
      <c r="Y71" s="43" t="s">
        <v>0</v>
      </c>
      <c r="Z71" s="36">
        <v>1</v>
      </c>
      <c r="AA71" s="44">
        <f t="shared" si="12"/>
        <v>0</v>
      </c>
      <c r="AB71" s="36">
        <v>1</v>
      </c>
      <c r="AC71" s="44">
        <f t="shared" si="13"/>
        <v>0</v>
      </c>
      <c r="AD71" s="36">
        <v>1</v>
      </c>
      <c r="AE71" s="44">
        <f t="shared" si="14"/>
        <v>0</v>
      </c>
      <c r="AF71" s="45"/>
      <c r="AG71" s="46" t="e">
        <f t="shared" si="15"/>
        <v>#DIV/0!</v>
      </c>
      <c r="AH71" s="47" t="e">
        <f t="shared" si="16"/>
        <v>#DIV/0!</v>
      </c>
      <c r="AI71" s="45"/>
      <c r="AJ71" s="46" t="e">
        <f t="shared" si="17"/>
        <v>#DIV/0!</v>
      </c>
      <c r="AK71" s="47" t="e">
        <f t="shared" si="18"/>
        <v>#DIV/0!</v>
      </c>
      <c r="AL71" s="45"/>
      <c r="AM71" s="46" t="e">
        <f t="shared" si="19"/>
        <v>#DIV/0!</v>
      </c>
      <c r="AN71" s="47" t="e">
        <f t="shared" si="20"/>
        <v>#DIV/0!</v>
      </c>
      <c r="AO71" s="45"/>
      <c r="AP71" s="46" t="e">
        <f t="shared" si="21"/>
        <v>#DIV/0!</v>
      </c>
      <c r="AQ71" s="47" t="e">
        <f t="shared" si="22"/>
        <v>#DIV/0!</v>
      </c>
      <c r="AR71" s="45"/>
      <c r="AS71" s="46">
        <f t="shared" si="23"/>
        <v>0</v>
      </c>
      <c r="AT71" s="47">
        <f t="shared" si="24"/>
        <v>0</v>
      </c>
      <c r="AU71" s="45"/>
      <c r="AV71" s="46" t="e">
        <f t="shared" si="25"/>
        <v>#DIV/0!</v>
      </c>
      <c r="AW71" s="47" t="e">
        <f t="shared" si="26"/>
        <v>#DIV/0!</v>
      </c>
      <c r="AX71" s="45"/>
      <c r="AY71" s="46">
        <f t="shared" si="27"/>
        <v>0</v>
      </c>
      <c r="AZ71" s="47">
        <f t="shared" si="28"/>
        <v>0</v>
      </c>
      <c r="BA71" s="48" t="e">
        <f t="shared" si="29"/>
        <v>#DIV/0!</v>
      </c>
    </row>
    <row r="72" spans="1:53" ht="16" hidden="1" thickBot="1">
      <c r="A72" s="30"/>
      <c r="B72" s="31"/>
      <c r="C72" s="31"/>
      <c r="D72" s="31"/>
      <c r="E72" s="32"/>
      <c r="F72" s="33"/>
      <c r="G72" s="74"/>
      <c r="H72" s="70"/>
      <c r="I72" s="77">
        <f>IF(H72=Tablas!$B$5,Tablas!$C$5,VLOOKUP(H72,Tablas!$B$5:$D$40,2,FALSE))</f>
        <v>1</v>
      </c>
      <c r="J72" s="65">
        <f>IF(I72=0,"",VLOOKUP(I72,Tablas!$C$5:$D$40,2,FALSE))</f>
        <v>0</v>
      </c>
      <c r="K72" s="34" t="str">
        <f t="shared" si="30"/>
        <v>0</v>
      </c>
      <c r="L72" s="35">
        <f t="shared" ref="L72:L106" si="31">IF($X72=3,$K72,0)+IF($X72=4,$K72,0)+IF($X72=5,$K72,0)+IF($X72=6,$K72,0)+IF($X72=7,$K72,0)+IF($X72=10,$K72*2,0)+IF($X72=12,$K72*2,0)+IF($X72=14,$K72*2,0)+IF($X72=21,$K72*3,0)+IF($X72&lt;=1,$K72*$J72/21.75,0)+IF($X72=15,$K72*3,0)</f>
        <v>0</v>
      </c>
      <c r="M72" s="35">
        <f t="shared" ref="M72:M106" si="32">IF($X72=2,$K72,0)+IF($X72=4,$K72,0)+IF($X72=5,$K72,0)+IF($X72=6,$K72,0)+IF($X72=7,$K72,0)+IF($X72=10,$K72*2,0)+IF($X72=12,$K72*2,0)+IF($X72=14,$K72*2,0)+IF($X72=15,$K72*3,0)+IF($X72=21,$K72*3,0)+IF($X72&lt;=1,$K72*$J72/21.75,0)</f>
        <v>0</v>
      </c>
      <c r="N72" s="35">
        <f t="shared" ref="N72:N106" si="33">IF($X72=3,$K72,0)+IF($X72=4,$K72,0)+IF($X72=5,$K72,0)+IF($X72=6,$K72,0)+IF($X72=7,$K72,0)+IF($X72=10,$K72*2,0)+IF($X72=12,$K72*2,0)+IF($X72=14,$K72*2,0)+IF($X72=21,$K72*3,0)+IF($X72&lt;=1,$K72*$J72/21.75,0)+IF($X72=15,$K72*3,0)</f>
        <v>0</v>
      </c>
      <c r="O72" s="35">
        <f t="shared" ref="O72:O106" si="34">IF($X72=2,$K72,0)+IF($X72=4,$K72,0)+IF($X72=5,$K72,0)+IF($X72=6,$K72,0)+IF($X72=7,$K72,0)+IF($X72=10,$K72*2,0)+IF($X72=12,$K72*2,0)+IF($X72=14,$K72*2,0)+IF($X72=15,$K72*3,0)+IF($X72=21,$K72*3,0)+IF($X72&lt;=1,$K72*$J72/21.75,0)</f>
        <v>0</v>
      </c>
      <c r="P72" s="35">
        <f t="shared" ref="P72:P106" si="35">IF($X72=3,$K72,0)+IF($X72=4,$K72,0)+IF($X72=5,$K72,0)+IF($X72=6,$K72,0)+IF($X72=7,$K72,0)+IF($X72=10,$K72*2,0)+IF($X72=12,$K72*2,0)+IF($X72=14,$K72*2,0)+IF($X72=21,$K72*3,0)+IF($X72&lt;=1,$K72*$J72/21.75,0)+IF($X72=15,$K72*3,0)</f>
        <v>0</v>
      </c>
      <c r="Q72" s="36">
        <v>0.75</v>
      </c>
      <c r="R72" s="37">
        <f t="shared" ref="R72:R74" si="36">(IF($X72=6,$K72,)+IF($X72=7,$K72,)+IF($X72=12,$K72*2,)+IF($X72=18,$K72*3,)+IF($X72=21,$K72*3,)+IF($X72=14,$K72*2,))*Q72</f>
        <v>0</v>
      </c>
      <c r="S72" s="36">
        <v>0.75</v>
      </c>
      <c r="T72" s="38">
        <f t="shared" ref="T72:T74" si="37">(IF($X72=7,$K72,)+IF($X72=21,$K72*3,)+IF($X72=14,$K72*2,))*S72</f>
        <v>0</v>
      </c>
      <c r="U72" s="39">
        <f t="shared" ref="U72:U74" si="38">SUM(+L72+M72+N72+O72+P72+R72+T72)</f>
        <v>0</v>
      </c>
      <c r="V72" s="40">
        <f t="shared" ref="V72:V74" si="39">+U72*4.345</f>
        <v>0</v>
      </c>
      <c r="W72" s="41">
        <f t="shared" ref="W72:W74" si="40">IF(V72="","",$W$4*V72)</f>
        <v>0</v>
      </c>
      <c r="X72" s="42">
        <f t="shared" ref="X72:X106" si="41">ROUND(J72/4.3452380952381,1)</f>
        <v>0</v>
      </c>
      <c r="Y72" s="43" t="s">
        <v>0</v>
      </c>
      <c r="Z72" s="36">
        <v>1</v>
      </c>
      <c r="AA72" s="44">
        <f t="shared" ref="AA72:AA74" si="42">+IF($Y72="M",$U72,IF($Y72="MT",$U72/2,IF(Y72="MN",$U72/2,IF($Y72="MTN",$U72/3,0))))*Z72</f>
        <v>0</v>
      </c>
      <c r="AB72" s="36">
        <v>1</v>
      </c>
      <c r="AC72" s="44">
        <f t="shared" ref="AC72:AC74" si="43">+IF($Y72="T",$U72,IF($Y72="MT",$U72/2,IF($Y72="TN",$U72/2,IF($Y72="MTN",$U72/3,0))))*AB72</f>
        <v>0</v>
      </c>
      <c r="AD72" s="36">
        <v>1</v>
      </c>
      <c r="AE72" s="44">
        <f t="shared" ref="AE72:AE74" si="44">+IF($Y72="N",$U72,IF($Y72="MN",$U72/2,IF($Y72="TN",$U72/2,IF($Y72="MTN",$U72/3,0))))*AD72</f>
        <v>0</v>
      </c>
      <c r="AF72" s="45"/>
      <c r="AG72" s="46" t="e">
        <f t="shared" ref="AG72:AG75" si="45">+AF72/AH$4</f>
        <v>#DIV/0!</v>
      </c>
      <c r="AH72" s="47" t="e">
        <f t="shared" ref="AH72:AH75" si="46">AG72*AG$4/12</f>
        <v>#DIV/0!</v>
      </c>
      <c r="AI72" s="45"/>
      <c r="AJ72" s="46" t="e">
        <f t="shared" ref="AJ72:AJ75" si="47">+AI72/AK$4</f>
        <v>#DIV/0!</v>
      </c>
      <c r="AK72" s="47" t="e">
        <f t="shared" ref="AK72:AK75" si="48">AJ72*AJ$4/12</f>
        <v>#DIV/0!</v>
      </c>
      <c r="AL72" s="45"/>
      <c r="AM72" s="46" t="e">
        <f t="shared" ref="AM72:AM74" si="49">+AL72/AN$4</f>
        <v>#DIV/0!</v>
      </c>
      <c r="AN72" s="47" t="e">
        <f t="shared" ref="AN72:AN74" si="50">AM72*AM$4/12</f>
        <v>#DIV/0!</v>
      </c>
      <c r="AO72" s="45"/>
      <c r="AP72" s="46" t="e">
        <f t="shared" ref="AP72:AP74" si="51">+AO72/AQ$4</f>
        <v>#DIV/0!</v>
      </c>
      <c r="AQ72" s="47" t="e">
        <f t="shared" ref="AQ72:AQ74" si="52">AP72*AP$4/12</f>
        <v>#DIV/0!</v>
      </c>
      <c r="AR72" s="45"/>
      <c r="AS72" s="46">
        <f t="shared" ref="AS72:AS74" si="53">+AR72/AT$4</f>
        <v>0</v>
      </c>
      <c r="AT72" s="47">
        <f t="shared" ref="AT72:AT74" si="54">AS72*AS$4/12</f>
        <v>0</v>
      </c>
      <c r="AU72" s="45"/>
      <c r="AV72" s="46" t="e">
        <f t="shared" ref="AV72:AV75" si="55">+AU72/AW$4</f>
        <v>#DIV/0!</v>
      </c>
      <c r="AW72" s="47" t="e">
        <f t="shared" ref="AW72:AW75" si="56">AV72*AV$4/12</f>
        <v>#DIV/0!</v>
      </c>
      <c r="AX72" s="45"/>
      <c r="AY72" s="46">
        <f t="shared" ref="AY72:AY75" si="57">+AX72/AZ$4</f>
        <v>0</v>
      </c>
      <c r="AZ72" s="47">
        <f t="shared" ref="AZ72:AZ75" si="58">AY72*AY$4/12</f>
        <v>0</v>
      </c>
      <c r="BA72" s="48" t="e">
        <f t="shared" ref="BA72:BA75" si="59">+AH72+AK72+AN72+AQ72+AT72+AW72+AZ72</f>
        <v>#DIV/0!</v>
      </c>
    </row>
    <row r="73" spans="1:53" ht="16" hidden="1" thickBot="1">
      <c r="A73" s="30"/>
      <c r="B73" s="31"/>
      <c r="C73" s="31"/>
      <c r="D73" s="31"/>
      <c r="E73" s="32"/>
      <c r="F73" s="33"/>
      <c r="G73" s="74"/>
      <c r="H73" s="70"/>
      <c r="I73" s="77">
        <f>IF(H73=Tablas!$B$5,Tablas!$C$5,VLOOKUP(H73,Tablas!$B$5:$D$40,2,FALSE))</f>
        <v>1</v>
      </c>
      <c r="J73" s="65">
        <f>IF(I73=0,"",VLOOKUP(I73,Tablas!$C$5:$D$40,2,FALSE))</f>
        <v>0</v>
      </c>
      <c r="K73" s="34" t="str">
        <f t="shared" ref="K73:K74" si="60">IF(G73=0,"0",F73/G73)</f>
        <v>0</v>
      </c>
      <c r="L73" s="35">
        <f t="shared" si="31"/>
        <v>0</v>
      </c>
      <c r="M73" s="35">
        <f t="shared" si="32"/>
        <v>0</v>
      </c>
      <c r="N73" s="35">
        <f t="shared" si="33"/>
        <v>0</v>
      </c>
      <c r="O73" s="35">
        <f t="shared" si="34"/>
        <v>0</v>
      </c>
      <c r="P73" s="35">
        <f t="shared" si="35"/>
        <v>0</v>
      </c>
      <c r="Q73" s="36">
        <v>0.75</v>
      </c>
      <c r="R73" s="37">
        <f t="shared" si="36"/>
        <v>0</v>
      </c>
      <c r="S73" s="36">
        <v>0.75</v>
      </c>
      <c r="T73" s="38">
        <f t="shared" si="37"/>
        <v>0</v>
      </c>
      <c r="U73" s="39">
        <f t="shared" si="38"/>
        <v>0</v>
      </c>
      <c r="V73" s="40">
        <f t="shared" si="39"/>
        <v>0</v>
      </c>
      <c r="W73" s="41">
        <f t="shared" si="40"/>
        <v>0</v>
      </c>
      <c r="X73" s="42">
        <f t="shared" si="41"/>
        <v>0</v>
      </c>
      <c r="Y73" s="43" t="s">
        <v>0</v>
      </c>
      <c r="Z73" s="36">
        <v>1</v>
      </c>
      <c r="AA73" s="44">
        <f t="shared" si="42"/>
        <v>0</v>
      </c>
      <c r="AB73" s="36">
        <v>1</v>
      </c>
      <c r="AC73" s="44">
        <f t="shared" si="43"/>
        <v>0</v>
      </c>
      <c r="AD73" s="36">
        <v>1</v>
      </c>
      <c r="AE73" s="44">
        <f t="shared" si="44"/>
        <v>0</v>
      </c>
      <c r="AF73" s="45"/>
      <c r="AG73" s="46" t="e">
        <f t="shared" si="45"/>
        <v>#DIV/0!</v>
      </c>
      <c r="AH73" s="47" t="e">
        <f t="shared" si="46"/>
        <v>#DIV/0!</v>
      </c>
      <c r="AI73" s="45"/>
      <c r="AJ73" s="46" t="e">
        <f t="shared" si="47"/>
        <v>#DIV/0!</v>
      </c>
      <c r="AK73" s="47" t="e">
        <f t="shared" si="48"/>
        <v>#DIV/0!</v>
      </c>
      <c r="AL73" s="45"/>
      <c r="AM73" s="46" t="e">
        <f t="shared" si="49"/>
        <v>#DIV/0!</v>
      </c>
      <c r="AN73" s="47" t="e">
        <f t="shared" si="50"/>
        <v>#DIV/0!</v>
      </c>
      <c r="AO73" s="45"/>
      <c r="AP73" s="46" t="e">
        <f t="shared" si="51"/>
        <v>#DIV/0!</v>
      </c>
      <c r="AQ73" s="47" t="e">
        <f t="shared" si="52"/>
        <v>#DIV/0!</v>
      </c>
      <c r="AR73" s="45"/>
      <c r="AS73" s="46">
        <f t="shared" si="53"/>
        <v>0</v>
      </c>
      <c r="AT73" s="47">
        <f t="shared" si="54"/>
        <v>0</v>
      </c>
      <c r="AU73" s="45"/>
      <c r="AV73" s="46" t="e">
        <f t="shared" si="55"/>
        <v>#DIV/0!</v>
      </c>
      <c r="AW73" s="47" t="e">
        <f t="shared" si="56"/>
        <v>#DIV/0!</v>
      </c>
      <c r="AX73" s="45"/>
      <c r="AY73" s="46">
        <f t="shared" si="57"/>
        <v>0</v>
      </c>
      <c r="AZ73" s="47">
        <f t="shared" si="58"/>
        <v>0</v>
      </c>
      <c r="BA73" s="48" t="e">
        <f t="shared" si="59"/>
        <v>#DIV/0!</v>
      </c>
    </row>
    <row r="74" spans="1:53" ht="16" hidden="1" thickBot="1">
      <c r="A74" s="30"/>
      <c r="B74" s="31"/>
      <c r="C74" s="31"/>
      <c r="D74" s="31"/>
      <c r="E74" s="32"/>
      <c r="F74" s="33"/>
      <c r="G74" s="74"/>
      <c r="H74" s="70"/>
      <c r="I74" s="77">
        <f>IF(H74=Tablas!$B$5,Tablas!$C$5,VLOOKUP(H74,Tablas!$B$5:$D$40,2,FALSE))</f>
        <v>1</v>
      </c>
      <c r="J74" s="65">
        <f>IF(I74=0,"",VLOOKUP(I74,Tablas!$C$5:$D$40,2,FALSE))</f>
        <v>0</v>
      </c>
      <c r="K74" s="34" t="str">
        <f t="shared" si="60"/>
        <v>0</v>
      </c>
      <c r="L74" s="35">
        <f t="shared" si="31"/>
        <v>0</v>
      </c>
      <c r="M74" s="35">
        <f t="shared" si="32"/>
        <v>0</v>
      </c>
      <c r="N74" s="35">
        <f t="shared" si="33"/>
        <v>0</v>
      </c>
      <c r="O74" s="35">
        <f t="shared" si="34"/>
        <v>0</v>
      </c>
      <c r="P74" s="35">
        <f t="shared" si="35"/>
        <v>0</v>
      </c>
      <c r="Q74" s="36">
        <v>0.75</v>
      </c>
      <c r="R74" s="37">
        <f t="shared" si="36"/>
        <v>0</v>
      </c>
      <c r="S74" s="36">
        <v>0.75</v>
      </c>
      <c r="T74" s="38">
        <f t="shared" si="37"/>
        <v>0</v>
      </c>
      <c r="U74" s="39">
        <f t="shared" si="38"/>
        <v>0</v>
      </c>
      <c r="V74" s="40">
        <f t="shared" si="39"/>
        <v>0</v>
      </c>
      <c r="W74" s="41">
        <f t="shared" si="40"/>
        <v>0</v>
      </c>
      <c r="X74" s="42">
        <f t="shared" si="41"/>
        <v>0</v>
      </c>
      <c r="Y74" s="43" t="s">
        <v>0</v>
      </c>
      <c r="Z74" s="36">
        <v>1</v>
      </c>
      <c r="AA74" s="44">
        <f t="shared" si="42"/>
        <v>0</v>
      </c>
      <c r="AB74" s="36">
        <v>1</v>
      </c>
      <c r="AC74" s="44">
        <f t="shared" si="43"/>
        <v>0</v>
      </c>
      <c r="AD74" s="36">
        <v>1</v>
      </c>
      <c r="AE74" s="44">
        <f t="shared" si="44"/>
        <v>0</v>
      </c>
      <c r="AF74" s="45"/>
      <c r="AG74" s="46" t="e">
        <f t="shared" si="45"/>
        <v>#DIV/0!</v>
      </c>
      <c r="AH74" s="47" t="e">
        <f t="shared" si="46"/>
        <v>#DIV/0!</v>
      </c>
      <c r="AI74" s="45"/>
      <c r="AJ74" s="46" t="e">
        <f t="shared" si="47"/>
        <v>#DIV/0!</v>
      </c>
      <c r="AK74" s="47" t="e">
        <f t="shared" si="48"/>
        <v>#DIV/0!</v>
      </c>
      <c r="AL74" s="45"/>
      <c r="AM74" s="46" t="e">
        <f t="shared" si="49"/>
        <v>#DIV/0!</v>
      </c>
      <c r="AN74" s="47" t="e">
        <f t="shared" si="50"/>
        <v>#DIV/0!</v>
      </c>
      <c r="AO74" s="45"/>
      <c r="AP74" s="46" t="e">
        <f t="shared" si="51"/>
        <v>#DIV/0!</v>
      </c>
      <c r="AQ74" s="47" t="e">
        <f t="shared" si="52"/>
        <v>#DIV/0!</v>
      </c>
      <c r="AR74" s="45"/>
      <c r="AS74" s="46">
        <f t="shared" si="53"/>
        <v>0</v>
      </c>
      <c r="AT74" s="47">
        <f t="shared" si="54"/>
        <v>0</v>
      </c>
      <c r="AU74" s="45"/>
      <c r="AV74" s="46" t="e">
        <f t="shared" si="55"/>
        <v>#DIV/0!</v>
      </c>
      <c r="AW74" s="47" t="e">
        <f t="shared" si="56"/>
        <v>#DIV/0!</v>
      </c>
      <c r="AX74" s="45"/>
      <c r="AY74" s="46">
        <f t="shared" si="57"/>
        <v>0</v>
      </c>
      <c r="AZ74" s="47">
        <f t="shared" si="58"/>
        <v>0</v>
      </c>
      <c r="BA74" s="48" t="e">
        <f t="shared" si="59"/>
        <v>#DIV/0!</v>
      </c>
    </row>
    <row r="75" spans="1:53" ht="16" thickBot="1">
      <c r="A75" s="3"/>
      <c r="B75" s="6"/>
      <c r="C75" s="6"/>
      <c r="D75" s="6"/>
      <c r="E75" s="6"/>
      <c r="F75" s="49">
        <f>SUM(F8:F74)</f>
        <v>1528.75</v>
      </c>
      <c r="G75" s="6"/>
      <c r="H75" s="6"/>
      <c r="I75" s="6"/>
      <c r="J75" s="6"/>
      <c r="K75" s="63"/>
      <c r="L75" s="50">
        <f>SUM(L8:L74)</f>
        <v>0</v>
      </c>
      <c r="M75" s="50">
        <f>SUM(M8:M74)</f>
        <v>0</v>
      </c>
      <c r="N75" s="50">
        <f>SUM(N8:N74)</f>
        <v>0</v>
      </c>
      <c r="O75" s="50">
        <f>SUM(O8:O74)</f>
        <v>0</v>
      </c>
      <c r="P75" s="50">
        <f>SUM(P8:P74)</f>
        <v>0</v>
      </c>
      <c r="Q75" s="51"/>
      <c r="R75" s="50">
        <f>SUM(R8:R74)</f>
        <v>0</v>
      </c>
      <c r="S75" s="52"/>
      <c r="T75" s="50">
        <f>SUM(T8:T74)</f>
        <v>0</v>
      </c>
      <c r="U75" s="50">
        <f>SUM(U8:U74)</f>
        <v>0</v>
      </c>
      <c r="V75" s="50">
        <f>SUM(V8:V74)</f>
        <v>0</v>
      </c>
      <c r="W75" s="50">
        <f>SUM(W8:W74)</f>
        <v>0</v>
      </c>
      <c r="X75" s="53"/>
      <c r="Y75" s="53"/>
      <c r="Z75" s="53"/>
      <c r="AA75" s="50">
        <f>SUM(AA8:AA74)</f>
        <v>0</v>
      </c>
      <c r="AB75" s="60"/>
      <c r="AC75" s="50">
        <f>SUM(AC8:AC74)</f>
        <v>0</v>
      </c>
      <c r="AD75" s="60"/>
      <c r="AE75" s="50">
        <f>SUM(AE8:AE74)</f>
        <v>0</v>
      </c>
      <c r="AF75" s="54">
        <f>SUM(AF8:AF74)</f>
        <v>24.9</v>
      </c>
      <c r="AG75" s="54"/>
      <c r="AH75" s="55" t="e">
        <f>SUM(AH8:AH74)</f>
        <v>#DIV/0!</v>
      </c>
      <c r="AI75" s="54">
        <f>SUM(AI8:AI74)</f>
        <v>168.45</v>
      </c>
      <c r="AJ75" s="54"/>
      <c r="AK75" s="55" t="e">
        <f>SUM(AK8:AK74)</f>
        <v>#DIV/0!</v>
      </c>
      <c r="AL75" s="54">
        <f>SUM(AL8:AL74)</f>
        <v>621.6</v>
      </c>
      <c r="AM75" s="54"/>
      <c r="AN75" s="55" t="e">
        <f>SUM(AN8:AN74)</f>
        <v>#DIV/0!</v>
      </c>
      <c r="AO75" s="54">
        <f>SUM(AO8:AO74)</f>
        <v>86.449999999999989</v>
      </c>
      <c r="AP75" s="54"/>
      <c r="AQ75" s="55" t="e">
        <f>SUM(AQ8:AQ74)</f>
        <v>#DIV/0!</v>
      </c>
      <c r="AR75" s="54">
        <f>SUM(AR8:AR74)</f>
        <v>0</v>
      </c>
      <c r="AS75" s="54"/>
      <c r="AT75" s="55">
        <f>SUM(AT8:AT74)</f>
        <v>0</v>
      </c>
      <c r="AU75" s="54">
        <f>SUM(AU8:AU74)</f>
        <v>621.6</v>
      </c>
      <c r="AV75" s="54"/>
      <c r="AW75" s="55" t="e">
        <f>SUM(AW8:AW74)</f>
        <v>#DIV/0!</v>
      </c>
      <c r="AX75" s="54">
        <f>SUM(AX8:AX74)</f>
        <v>0</v>
      </c>
      <c r="AY75" s="54"/>
      <c r="AZ75" s="55">
        <f>SUM(AZ8:AZ74)</f>
        <v>0</v>
      </c>
      <c r="BA75" s="56" t="e">
        <f>SUM(BA8:BA74)</f>
        <v>#DIV/0!</v>
      </c>
    </row>
    <row r="76" spans="1:53" ht="16" hidden="1" thickBot="1">
      <c r="AA76" s="390">
        <f>SUM(AA75:AE75)</f>
        <v>0</v>
      </c>
      <c r="AB76" s="391"/>
      <c r="AC76" s="391"/>
      <c r="AD76" s="391"/>
      <c r="AE76" s="392"/>
      <c r="AF76" s="385" t="e">
        <f>+AH75/4.345</f>
        <v>#DIV/0!</v>
      </c>
      <c r="AG76" s="385"/>
      <c r="AH76" s="385"/>
      <c r="AI76" s="385" t="e">
        <f>+AK75/4.345</f>
        <v>#DIV/0!</v>
      </c>
      <c r="AJ76" s="385"/>
      <c r="AK76" s="385"/>
      <c r="AL76" s="385" t="e">
        <f>+AN75/4.345</f>
        <v>#DIV/0!</v>
      </c>
      <c r="AM76" s="385"/>
      <c r="AN76" s="385"/>
      <c r="AO76" s="385" t="e">
        <f>+AQ75/4.345</f>
        <v>#DIV/0!</v>
      </c>
      <c r="AP76" s="385"/>
      <c r="AQ76" s="385"/>
      <c r="AR76" s="385">
        <f>+AT75/4.345</f>
        <v>0</v>
      </c>
      <c r="AS76" s="385"/>
      <c r="AT76" s="385"/>
      <c r="AU76" s="385" t="e">
        <f>+AW75/4.345</f>
        <v>#DIV/0!</v>
      </c>
      <c r="AV76" s="385"/>
      <c r="AW76" s="385"/>
      <c r="AX76" s="385">
        <f>+AZ75/4.345</f>
        <v>0</v>
      </c>
      <c r="AY76" s="385"/>
      <c r="AZ76" s="385"/>
      <c r="BA76" s="386" t="s">
        <v>12</v>
      </c>
    </row>
    <row r="77" spans="1:53" ht="17" thickTop="1" thickBot="1">
      <c r="AF77" s="388" t="s">
        <v>11</v>
      </c>
      <c r="AG77" s="388"/>
      <c r="AH77" s="388"/>
      <c r="AI77" s="388"/>
      <c r="AJ77" s="388"/>
      <c r="AK77" s="388"/>
      <c r="AL77" s="388"/>
      <c r="AM77" s="388"/>
      <c r="AN77" s="388"/>
      <c r="AO77" s="388"/>
      <c r="AP77" s="388"/>
      <c r="AQ77" s="388"/>
      <c r="AR77" s="388"/>
      <c r="AS77" s="388"/>
      <c r="AT77" s="388"/>
      <c r="AU77" s="388"/>
      <c r="AV77" s="388"/>
      <c r="AW77" s="388"/>
      <c r="AX77" s="388"/>
      <c r="AY77" s="388"/>
      <c r="AZ77" s="389"/>
      <c r="BA77" s="387"/>
    </row>
    <row r="79" spans="1:53">
      <c r="J79" s="57"/>
    </row>
  </sheetData>
  <sheetProtection algorithmName="SHA-512" hashValue="zi2jpq86HUNfIP+gq8XFKlcp74FmszrPnm0DxZXUbaGj9sBgPD1FubUd97/gYXVeijt6S9EQr3PJPeyZ+jYdxA==" saltValue="P6YWxFxC9lWMzZR4cLW6eA==" spinCount="100000" sheet="1" selectLockedCells="1" autoFilter="0"/>
  <autoFilter ref="B7:BA76" xr:uid="{00000000-0009-0000-0000-000003000000}">
    <filterColumn colId="4">
      <customFilters>
        <customFilter operator="notEqual" val=" "/>
      </customFilters>
    </filterColumn>
  </autoFilter>
  <mergeCells count="42">
    <mergeCell ref="AU76:AW76"/>
    <mergeCell ref="AX76:AZ76"/>
    <mergeCell ref="BA76:BA77"/>
    <mergeCell ref="AF77:AZ77"/>
    <mergeCell ref="AY4:AY5"/>
    <mergeCell ref="AZ4:AZ5"/>
    <mergeCell ref="BA4:BA5"/>
    <mergeCell ref="X5:AE5"/>
    <mergeCell ref="AA76:AE76"/>
    <mergeCell ref="AF76:AH76"/>
    <mergeCell ref="AI76:AK76"/>
    <mergeCell ref="AL76:AN76"/>
    <mergeCell ref="AO76:AQ76"/>
    <mergeCell ref="AR76:AT76"/>
    <mergeCell ref="AS4:AS5"/>
    <mergeCell ref="AT4:AT5"/>
    <mergeCell ref="AU4:AU5"/>
    <mergeCell ref="AV4:AV5"/>
    <mergeCell ref="AW4:AW5"/>
    <mergeCell ref="AX4:AX5"/>
    <mergeCell ref="AM4:AM5"/>
    <mergeCell ref="AN4:AN5"/>
    <mergeCell ref="AO4:AO5"/>
    <mergeCell ref="AP4:AP5"/>
    <mergeCell ref="AQ4:AQ5"/>
    <mergeCell ref="AR4:AR5"/>
    <mergeCell ref="AR3:AT3"/>
    <mergeCell ref="AU3:AW3"/>
    <mergeCell ref="AX3:AZ3"/>
    <mergeCell ref="AF4:AF5"/>
    <mergeCell ref="AG4:AG5"/>
    <mergeCell ref="AH4:AH5"/>
    <mergeCell ref="AI4:AI5"/>
    <mergeCell ref="AJ4:AJ5"/>
    <mergeCell ref="AK4:AK5"/>
    <mergeCell ref="AL4:AL5"/>
    <mergeCell ref="B1:C1"/>
    <mergeCell ref="B3:D3"/>
    <mergeCell ref="AF3:AH3"/>
    <mergeCell ref="AI3:AK3"/>
    <mergeCell ref="AL3:AN3"/>
    <mergeCell ref="AO3:AQ3"/>
  </mergeCells>
  <hyperlinks>
    <hyperlink ref="B1:C1" location="Inici!A1" display="Inici" xr:uid="{F7C67A5D-E50A-414C-B493-F32BC61C5644}"/>
  </hyperlinks>
  <printOptions horizontalCentered="1"/>
  <pageMargins left="0.19" right="0.19" top="0.74803149606299213" bottom="0.74803149606299213" header="0.31496062992125984" footer="0.31496062992125984"/>
  <pageSetup paperSize="9" scale="45" fitToHeight="3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ERROR" xr:uid="{678E8157-4339-904F-A4F3-A6F9687630CD}">
          <x14:formula1>
            <xm:f>Tablas!$B$5:$B$40</xm:f>
          </x14:formula1>
          <xm:sqref>H8:H74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K49"/>
  <sheetViews>
    <sheetView zoomScale="108" zoomScaleNormal="70" workbookViewId="0">
      <pane xSplit="10" ySplit="3" topLeftCell="AH4" activePane="bottomRight" state="frozen"/>
      <selection activeCell="H130" sqref="H130"/>
      <selection pane="topRight" activeCell="H130" sqref="H130"/>
      <selection pane="bottomLeft" activeCell="H130" sqref="H130"/>
      <selection pane="bottomRight" activeCell="B2" sqref="B2:C2"/>
    </sheetView>
  </sheetViews>
  <sheetFormatPr baseColWidth="10" defaultColWidth="11.5" defaultRowHeight="19"/>
  <cols>
    <col min="1" max="1" width="6.83203125" style="3" bestFit="1" customWidth="1"/>
    <col min="2" max="2" width="19.1640625" style="3" customWidth="1"/>
    <col min="3" max="3" width="27" style="3" customWidth="1"/>
    <col min="4" max="4" width="5.83203125" style="3" hidden="1" customWidth="1"/>
    <col min="5" max="5" width="47.5" style="320" customWidth="1"/>
    <col min="6" max="6" width="28.6640625" style="3" customWidth="1"/>
    <col min="7" max="7" width="15.83203125" style="296" customWidth="1"/>
    <col min="8" max="8" width="15.33203125" style="296" customWidth="1"/>
    <col min="9" max="9" width="9.6640625" style="296" customWidth="1"/>
    <col min="10" max="10" width="5.83203125" style="6" bestFit="1" customWidth="1"/>
    <col min="11" max="11" width="8.1640625" style="6" hidden="1" customWidth="1"/>
    <col min="12" max="16" width="11.5" style="6" customWidth="1"/>
    <col min="17" max="18" width="8.6640625" style="6" customWidth="1"/>
    <col min="19" max="19" width="8.6640625" style="3" customWidth="1"/>
    <col min="20" max="20" width="12.83203125" style="3" customWidth="1"/>
    <col min="21" max="21" width="8.6640625" style="3" customWidth="1"/>
    <col min="22" max="23" width="12.83203125" style="3" bestFit="1" customWidth="1"/>
    <col min="24" max="24" width="15" style="3" bestFit="1" customWidth="1"/>
    <col min="25" max="25" width="3.5" style="3" customWidth="1"/>
    <col min="26" max="28" width="10" style="3" customWidth="1"/>
    <col min="29" max="29" width="9.5" style="3" bestFit="1" customWidth="1"/>
    <col min="30" max="30" width="8.6640625" style="3" customWidth="1"/>
    <col min="31" max="31" width="10" style="3" customWidth="1"/>
    <col min="32" max="32" width="9.5" style="3" bestFit="1" customWidth="1"/>
    <col min="33" max="33" width="13.5" style="3" customWidth="1"/>
    <col min="34" max="34" width="12.83203125" style="3" bestFit="1" customWidth="1"/>
    <col min="35" max="35" width="12.1640625" style="3" bestFit="1" customWidth="1"/>
    <col min="36" max="36" width="12.1640625" style="3" customWidth="1"/>
    <col min="37" max="37" width="12.33203125" style="3" bestFit="1" customWidth="1"/>
    <col min="38" max="16384" width="11.5" style="3"/>
  </cols>
  <sheetData>
    <row r="2" spans="1:37" ht="43.5" customHeight="1" thickBot="1">
      <c r="B2" s="402" t="s">
        <v>345</v>
      </c>
      <c r="C2" s="402"/>
      <c r="D2" s="304"/>
      <c r="E2" s="403" t="s">
        <v>473</v>
      </c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03"/>
      <c r="AD2" s="403"/>
      <c r="AE2" s="403"/>
      <c r="AF2" s="403"/>
      <c r="AG2" s="403"/>
      <c r="AH2" s="403"/>
    </row>
    <row r="3" spans="1:37" ht="112.5" customHeight="1" thickBot="1">
      <c r="A3" s="303" t="s">
        <v>2</v>
      </c>
      <c r="B3" s="303" t="s">
        <v>363</v>
      </c>
      <c r="C3" s="303" t="s">
        <v>364</v>
      </c>
      <c r="D3" s="303"/>
      <c r="E3" s="303" t="s">
        <v>365</v>
      </c>
      <c r="F3" s="303" t="s">
        <v>366</v>
      </c>
      <c r="G3" s="349" t="s">
        <v>367</v>
      </c>
      <c r="H3" s="349" t="s">
        <v>407</v>
      </c>
      <c r="I3" s="350" t="s">
        <v>368</v>
      </c>
      <c r="J3" s="351" t="s">
        <v>369</v>
      </c>
      <c r="K3" s="351"/>
      <c r="L3" s="351" t="s">
        <v>370</v>
      </c>
      <c r="M3" s="351" t="s">
        <v>371</v>
      </c>
      <c r="N3" s="351" t="s">
        <v>372</v>
      </c>
      <c r="O3" s="351" t="s">
        <v>373</v>
      </c>
      <c r="P3" s="351" t="s">
        <v>374</v>
      </c>
      <c r="Q3" s="351" t="s">
        <v>375</v>
      </c>
      <c r="R3" s="351" t="s">
        <v>376</v>
      </c>
      <c r="S3" s="351" t="s">
        <v>377</v>
      </c>
      <c r="T3" s="351" t="s">
        <v>378</v>
      </c>
      <c r="U3" s="351" t="s">
        <v>379</v>
      </c>
      <c r="V3" s="352" t="s">
        <v>380</v>
      </c>
      <c r="W3" s="352" t="s">
        <v>381</v>
      </c>
      <c r="X3" s="352" t="s">
        <v>382</v>
      </c>
      <c r="Y3" s="353"/>
      <c r="Z3" s="354" t="s">
        <v>383</v>
      </c>
      <c r="AA3" s="354" t="s">
        <v>384</v>
      </c>
      <c r="AB3" s="354" t="s">
        <v>385</v>
      </c>
      <c r="AC3" s="354" t="s">
        <v>386</v>
      </c>
      <c r="AD3" s="354" t="s">
        <v>387</v>
      </c>
      <c r="AE3" s="354" t="s">
        <v>388</v>
      </c>
      <c r="AF3" s="354" t="s">
        <v>389</v>
      </c>
      <c r="AG3" s="352" t="s">
        <v>390</v>
      </c>
      <c r="AH3" s="355" t="s">
        <v>391</v>
      </c>
      <c r="AI3" s="355" t="s">
        <v>392</v>
      </c>
      <c r="AJ3" s="355" t="s">
        <v>408</v>
      </c>
    </row>
    <row r="4" spans="1:37" s="319" customFormat="1" ht="50.25" customHeight="1" thickBot="1">
      <c r="A4" s="325">
        <v>1</v>
      </c>
      <c r="B4" s="324" t="s">
        <v>344</v>
      </c>
      <c r="C4" s="325" t="s">
        <v>412</v>
      </c>
      <c r="D4" s="326"/>
      <c r="E4" s="356" t="s">
        <v>410</v>
      </c>
      <c r="F4" s="324" t="s">
        <v>413</v>
      </c>
      <c r="G4" s="327" t="e">
        <f t="shared" ref="G4:G7" si="0">IF(H4=0,"0",H4/(V4/J4))</f>
        <v>#DIV/0!</v>
      </c>
      <c r="H4" s="328">
        <f>+'1'!F99</f>
        <v>1870.7899999999997</v>
      </c>
      <c r="I4" s="361">
        <v>11</v>
      </c>
      <c r="J4" s="330">
        <v>5</v>
      </c>
      <c r="K4" s="331"/>
      <c r="L4" s="332">
        <f>+'1'!L99</f>
        <v>0</v>
      </c>
      <c r="M4" s="332">
        <f>+'1'!M99</f>
        <v>0</v>
      </c>
      <c r="N4" s="332">
        <f>+'1'!N99</f>
        <v>0</v>
      </c>
      <c r="O4" s="332">
        <f>+'1'!O99</f>
        <v>0</v>
      </c>
      <c r="P4" s="332">
        <f>+'1'!P99</f>
        <v>0</v>
      </c>
      <c r="Q4" s="332">
        <f>+'1'!R99</f>
        <v>0</v>
      </c>
      <c r="R4" s="332">
        <f>+'1'!T99</f>
        <v>0</v>
      </c>
      <c r="S4" s="333">
        <f>+'1'!AA99</f>
        <v>0</v>
      </c>
      <c r="T4" s="333">
        <f>+'1'!AC99</f>
        <v>0</v>
      </c>
      <c r="U4" s="333">
        <f>+'1'!AE99</f>
        <v>0</v>
      </c>
      <c r="V4" s="334">
        <f t="shared" ref="V4:V6" si="1">SUM(+L4+M4+N4+O4+P4+Q4+R4)</f>
        <v>0</v>
      </c>
      <c r="W4" s="334">
        <f>+V4*4.345</f>
        <v>0</v>
      </c>
      <c r="X4" s="335">
        <f t="shared" ref="X4:X6" si="2">IF(W4="","",I4*W4)</f>
        <v>0</v>
      </c>
      <c r="Y4" s="336"/>
      <c r="Z4" s="333" t="e">
        <f>+'1'!AH99</f>
        <v>#DIV/0!</v>
      </c>
      <c r="AA4" s="333" t="e">
        <f>+'1'!AK99</f>
        <v>#DIV/0!</v>
      </c>
      <c r="AB4" s="333" t="e">
        <f>+'1'!AN99</f>
        <v>#DIV/0!</v>
      </c>
      <c r="AC4" s="333" t="e">
        <f>+'1'!AQ99</f>
        <v>#DIV/0!</v>
      </c>
      <c r="AD4" s="333">
        <f>+'1'!AT99</f>
        <v>0</v>
      </c>
      <c r="AE4" s="333" t="e">
        <f>+'1'!AW99</f>
        <v>#DIV/0!</v>
      </c>
      <c r="AF4" s="333">
        <f>+'1'!AZ99</f>
        <v>0</v>
      </c>
      <c r="AG4" s="337" t="e">
        <f>SUM(Z4:AF4)</f>
        <v>#DIV/0!</v>
      </c>
      <c r="AH4" s="338" t="e">
        <f t="shared" ref="AH4:AH6" si="3">+AG4*12</f>
        <v>#DIV/0!</v>
      </c>
      <c r="AI4" s="339" t="e">
        <f>+X4+AH4</f>
        <v>#DIV/0!</v>
      </c>
      <c r="AJ4" s="362" t="e">
        <f>(X4/261*247)+AH4</f>
        <v>#DIV/0!</v>
      </c>
      <c r="AK4" s="340" t="e">
        <f>+AI4/$AI$7</f>
        <v>#DIV/0!</v>
      </c>
    </row>
    <row r="5" spans="1:37" ht="50.25" customHeight="1" thickTop="1" thickBot="1">
      <c r="A5" s="325">
        <v>2</v>
      </c>
      <c r="B5" s="324" t="s">
        <v>344</v>
      </c>
      <c r="C5" s="325" t="s">
        <v>412</v>
      </c>
      <c r="D5" s="326"/>
      <c r="E5" s="356" t="s">
        <v>411</v>
      </c>
      <c r="F5" s="324" t="s">
        <v>413</v>
      </c>
      <c r="G5" s="327" t="e">
        <f>IF(H5=0,"0",H5/(V5/J5))</f>
        <v>#DIV/0!</v>
      </c>
      <c r="H5" s="328">
        <f>+'2'!F75</f>
        <v>733.33</v>
      </c>
      <c r="I5" s="361">
        <v>11</v>
      </c>
      <c r="J5" s="330">
        <v>5</v>
      </c>
      <c r="K5" s="341"/>
      <c r="L5" s="332">
        <f>+'2'!L75</f>
        <v>0</v>
      </c>
      <c r="M5" s="332">
        <f>+'2'!M75</f>
        <v>0</v>
      </c>
      <c r="N5" s="332">
        <f>+'2'!N75</f>
        <v>0</v>
      </c>
      <c r="O5" s="332">
        <f>+'2'!O75</f>
        <v>0</v>
      </c>
      <c r="P5" s="332">
        <f>+'2'!P75</f>
        <v>0</v>
      </c>
      <c r="Q5" s="332">
        <f>+'2'!R75</f>
        <v>0</v>
      </c>
      <c r="R5" s="332">
        <f>+'2'!T75</f>
        <v>0</v>
      </c>
      <c r="S5" s="333">
        <f>+'2'!AA75</f>
        <v>0</v>
      </c>
      <c r="T5" s="333">
        <f>+'2'!AC75</f>
        <v>0</v>
      </c>
      <c r="U5" s="333">
        <f>+'2'!AE75</f>
        <v>0</v>
      </c>
      <c r="V5" s="334">
        <f>SUM(+L5+M5+N5+O5+P5+Q5+R5)</f>
        <v>0</v>
      </c>
      <c r="W5" s="334">
        <f t="shared" ref="W5" si="4">+V5*4.345</f>
        <v>0</v>
      </c>
      <c r="X5" s="335">
        <f t="shared" ref="X5" si="5">IF(W5="","",I5*W5)</f>
        <v>0</v>
      </c>
      <c r="Y5" s="342"/>
      <c r="Z5" s="333" t="e">
        <f>+'2'!AH75</f>
        <v>#DIV/0!</v>
      </c>
      <c r="AA5" s="333" t="e">
        <f>+'2'!AK75</f>
        <v>#DIV/0!</v>
      </c>
      <c r="AB5" s="333" t="e">
        <f>+'2'!AN75</f>
        <v>#DIV/0!</v>
      </c>
      <c r="AC5" s="333" t="e">
        <f>+'2'!AQ75</f>
        <v>#DIV/0!</v>
      </c>
      <c r="AD5" s="333">
        <f>+'2'!AT75</f>
        <v>0</v>
      </c>
      <c r="AE5" s="333" t="e">
        <f>+'2'!AW75</f>
        <v>#DIV/0!</v>
      </c>
      <c r="AF5" s="333">
        <f>+'2'!AZ75</f>
        <v>0</v>
      </c>
      <c r="AG5" s="337" t="e">
        <f>SUM(Z5:AF5)</f>
        <v>#DIV/0!</v>
      </c>
      <c r="AH5" s="338" t="e">
        <f t="shared" ref="AH5" si="6">+AG5*12</f>
        <v>#DIV/0!</v>
      </c>
      <c r="AI5" s="339" t="e">
        <f t="shared" ref="AI5" si="7">+X5+AH5</f>
        <v>#DIV/0!</v>
      </c>
      <c r="AJ5" s="362" t="e">
        <f>(X5/261*247)+AH5</f>
        <v>#DIV/0!</v>
      </c>
      <c r="AK5" s="343" t="e">
        <f>+AI5/$AI$7</f>
        <v>#DIV/0!</v>
      </c>
    </row>
    <row r="6" spans="1:37" ht="50.25" customHeight="1" thickTop="1" thickBot="1">
      <c r="A6" s="325">
        <v>2</v>
      </c>
      <c r="B6" s="324" t="s">
        <v>344</v>
      </c>
      <c r="C6" s="325" t="s">
        <v>412</v>
      </c>
      <c r="D6" s="326"/>
      <c r="E6" s="356" t="s">
        <v>480</v>
      </c>
      <c r="F6" s="324" t="s">
        <v>481</v>
      </c>
      <c r="G6" s="327" t="e">
        <f t="shared" si="0"/>
        <v>#DIV/0!</v>
      </c>
      <c r="H6" s="328">
        <f>+'3'!F75</f>
        <v>1528.75</v>
      </c>
      <c r="I6" s="361">
        <v>11.25</v>
      </c>
      <c r="J6" s="330">
        <v>5</v>
      </c>
      <c r="K6" s="341"/>
      <c r="L6" s="332">
        <f>+'3'!L75</f>
        <v>0</v>
      </c>
      <c r="M6" s="332">
        <f>+'3'!M75</f>
        <v>0</v>
      </c>
      <c r="N6" s="332">
        <f>+'3'!N75</f>
        <v>0</v>
      </c>
      <c r="O6" s="332">
        <f>+'3'!O75</f>
        <v>0</v>
      </c>
      <c r="P6" s="332">
        <f>+'3'!P75</f>
        <v>0</v>
      </c>
      <c r="Q6" s="332">
        <f>+'3'!R75</f>
        <v>0</v>
      </c>
      <c r="R6" s="332">
        <f>+'3'!T75</f>
        <v>0</v>
      </c>
      <c r="S6" s="333">
        <f>+'3'!AA75</f>
        <v>0</v>
      </c>
      <c r="T6" s="333">
        <f>+'3'!AC75</f>
        <v>0</v>
      </c>
      <c r="U6" s="333">
        <f>+'3'!AE75</f>
        <v>0</v>
      </c>
      <c r="V6" s="334">
        <f t="shared" si="1"/>
        <v>0</v>
      </c>
      <c r="W6" s="334">
        <f t="shared" ref="W6" si="8">+V6*4.345</f>
        <v>0</v>
      </c>
      <c r="X6" s="335">
        <f t="shared" si="2"/>
        <v>0</v>
      </c>
      <c r="Y6" s="342"/>
      <c r="Z6" s="333" t="e">
        <f>+'3'!AH75</f>
        <v>#DIV/0!</v>
      </c>
      <c r="AA6" s="333" t="e">
        <f>+'3'!AK75</f>
        <v>#DIV/0!</v>
      </c>
      <c r="AB6" s="333" t="e">
        <f>+'3'!AN75</f>
        <v>#DIV/0!</v>
      </c>
      <c r="AC6" s="333" t="e">
        <f>+'3'!AQ75</f>
        <v>#DIV/0!</v>
      </c>
      <c r="AD6" s="333">
        <f>+'3'!AT75</f>
        <v>0</v>
      </c>
      <c r="AE6" s="333" t="e">
        <f>+'3'!AW75</f>
        <v>#DIV/0!</v>
      </c>
      <c r="AF6" s="333">
        <f>+'3'!AZ75</f>
        <v>0</v>
      </c>
      <c r="AG6" s="337" t="e">
        <f t="shared" ref="AG6" si="9">SUM(Z6:AF6)</f>
        <v>#DIV/0!</v>
      </c>
      <c r="AH6" s="338" t="e">
        <f t="shared" si="3"/>
        <v>#DIV/0!</v>
      </c>
      <c r="AI6" s="339" t="e">
        <f t="shared" ref="AI6" si="10">+X6+AH6</f>
        <v>#DIV/0!</v>
      </c>
      <c r="AJ6" s="362" t="e">
        <f>(X6/261*247)+AH6</f>
        <v>#DIV/0!</v>
      </c>
      <c r="AK6" s="343" t="e">
        <f>+AI6/$AI$7</f>
        <v>#DIV/0!</v>
      </c>
    </row>
    <row r="7" spans="1:37" ht="28" customHeight="1" thickTop="1" thickBot="1">
      <c r="G7" s="344" t="e">
        <f t="shared" si="0"/>
        <v>#DIV/0!</v>
      </c>
      <c r="H7" s="348">
        <f>SUM(H4:H6)</f>
        <v>4132.87</v>
      </c>
      <c r="I7" s="329"/>
      <c r="J7" s="345">
        <v>5</v>
      </c>
      <c r="K7" s="345"/>
      <c r="L7" s="346">
        <f t="shared" ref="L7:X7" si="11">SUM(L4:L6)</f>
        <v>0</v>
      </c>
      <c r="M7" s="346">
        <f t="shared" si="11"/>
        <v>0</v>
      </c>
      <c r="N7" s="346">
        <f t="shared" si="11"/>
        <v>0</v>
      </c>
      <c r="O7" s="346">
        <f t="shared" si="11"/>
        <v>0</v>
      </c>
      <c r="P7" s="346">
        <f t="shared" si="11"/>
        <v>0</v>
      </c>
      <c r="Q7" s="346">
        <f t="shared" si="11"/>
        <v>0</v>
      </c>
      <c r="R7" s="346">
        <f t="shared" si="11"/>
        <v>0</v>
      </c>
      <c r="S7" s="346">
        <f t="shared" si="11"/>
        <v>0</v>
      </c>
      <c r="T7" s="346">
        <f t="shared" si="11"/>
        <v>0</v>
      </c>
      <c r="U7" s="346">
        <f t="shared" si="11"/>
        <v>0</v>
      </c>
      <c r="V7" s="346">
        <f t="shared" si="11"/>
        <v>0</v>
      </c>
      <c r="W7" s="346">
        <f t="shared" si="11"/>
        <v>0</v>
      </c>
      <c r="X7" s="346">
        <f t="shared" si="11"/>
        <v>0</v>
      </c>
      <c r="Y7" s="346"/>
      <c r="Z7" s="346" t="e">
        <f t="shared" ref="Z7:AI7" si="12">SUM(Z4:Z6)</f>
        <v>#DIV/0!</v>
      </c>
      <c r="AA7" s="346" t="e">
        <f t="shared" si="12"/>
        <v>#DIV/0!</v>
      </c>
      <c r="AB7" s="346" t="e">
        <f t="shared" si="12"/>
        <v>#DIV/0!</v>
      </c>
      <c r="AC7" s="346" t="e">
        <f t="shared" si="12"/>
        <v>#DIV/0!</v>
      </c>
      <c r="AD7" s="346">
        <f t="shared" si="12"/>
        <v>0</v>
      </c>
      <c r="AE7" s="346" t="e">
        <f t="shared" si="12"/>
        <v>#DIV/0!</v>
      </c>
      <c r="AF7" s="346">
        <f t="shared" si="12"/>
        <v>0</v>
      </c>
      <c r="AG7" s="347" t="e">
        <f t="shared" si="12"/>
        <v>#DIV/0!</v>
      </c>
      <c r="AH7" s="347" t="e">
        <f t="shared" si="12"/>
        <v>#DIV/0!</v>
      </c>
      <c r="AI7" s="366" t="e">
        <f t="shared" si="12"/>
        <v>#DIV/0!</v>
      </c>
      <c r="AJ7" s="367" t="e">
        <f>SUM(AJ4:AJ6)</f>
        <v>#DIV/0!</v>
      </c>
      <c r="AK7" s="368" t="e">
        <f>+AI7/$AI$7</f>
        <v>#DIV/0!</v>
      </c>
    </row>
    <row r="8" spans="1:37" ht="20" thickBot="1">
      <c r="AG8" s="321" t="s">
        <v>22</v>
      </c>
      <c r="AH8" s="322"/>
      <c r="AI8" s="302" t="e">
        <f>+AI7/12</f>
        <v>#DIV/0!</v>
      </c>
    </row>
    <row r="9" spans="1:37" ht="20" thickBot="1">
      <c r="I9" s="6"/>
      <c r="J9" s="3"/>
      <c r="K9" s="3"/>
      <c r="L9" s="3"/>
      <c r="M9" s="3"/>
      <c r="N9" s="3"/>
      <c r="O9" s="3"/>
      <c r="P9" s="3"/>
      <c r="Q9" s="3"/>
      <c r="R9" s="3"/>
      <c r="AG9" s="321" t="s">
        <v>23</v>
      </c>
      <c r="AH9" s="322"/>
      <c r="AI9" s="302" t="e">
        <f>+AI8/4.345</f>
        <v>#DIV/0!</v>
      </c>
    </row>
    <row r="30" spans="8:19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64"/>
    </row>
    <row r="31" spans="8:19"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323"/>
    </row>
    <row r="32" spans="8:19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8:18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8:18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44" spans="8:18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8:18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8:18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8:18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8:18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8:18">
      <c r="H49" s="3"/>
      <c r="J49" s="3"/>
      <c r="K49" s="3"/>
      <c r="L49" s="3"/>
      <c r="M49" s="3"/>
      <c r="N49" s="3"/>
      <c r="O49" s="3"/>
      <c r="P49" s="3"/>
      <c r="Q49" s="3"/>
      <c r="R49" s="3"/>
    </row>
  </sheetData>
  <sheetProtection algorithmName="SHA-512" hashValue="YF6427ML96C0bplxXrShTDLowfSzgMFzWjZBiMJG4ihywGCjt9IWmbrNoKN7gFb9L/JdEIOmeu9rR0kJcZ91fw==" saltValue="1XQ2KFuYlWkADkITeanRww==" spinCount="100000" sheet="1" selectLockedCells="1"/>
  <autoFilter ref="A3:F21" xr:uid="{00000000-0009-0000-0000-000004000000}"/>
  <mergeCells count="2">
    <mergeCell ref="B2:C2"/>
    <mergeCell ref="E2:AH2"/>
  </mergeCells>
  <hyperlinks>
    <hyperlink ref="B2:C2" location="Inici!A1" display="Inicio" xr:uid="{00000000-0004-0000-0400-000000000000}"/>
    <hyperlink ref="E6" location="'2'!A1" display="'2'!A1" xr:uid="{00000000-0004-0000-0400-000001000000}"/>
    <hyperlink ref="E4" location="'1'!A1" display="L’Escola Pública Josep Orriols Roca" xr:uid="{00000000-0004-0000-0400-000002000000}"/>
    <hyperlink ref="E5" location="'2'!A1" display="'2'!A1" xr:uid="{4E76B791-F867-A042-98B3-7BE21AE398DA}"/>
  </hyperlinks>
  <printOptions horizontalCentered="1"/>
  <pageMargins left="0.81" right="0.12" top="0.5" bottom="0.48" header="0.31496062992125984" footer="0.31496062992125984"/>
  <pageSetup paperSize="9" scale="62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309"/>
  <sheetViews>
    <sheetView workbookViewId="0">
      <selection activeCell="F278" sqref="F278"/>
    </sheetView>
  </sheetViews>
  <sheetFormatPr baseColWidth="10" defaultRowHeight="13"/>
  <cols>
    <col min="2" max="2" width="24.1640625" bestFit="1" customWidth="1"/>
    <col min="3" max="3" width="43.6640625" customWidth="1"/>
    <col min="4" max="4" width="14.33203125" bestFit="1" customWidth="1"/>
    <col min="5" max="5" width="10.83203125" bestFit="1" customWidth="1"/>
    <col min="6" max="6" width="5.1640625" customWidth="1"/>
  </cols>
  <sheetData>
    <row r="1" spans="2:5" ht="14" thickBot="1"/>
    <row r="2" spans="2:5" ht="14" thickBot="1">
      <c r="B2" s="404" t="s">
        <v>32</v>
      </c>
      <c r="C2" s="405"/>
      <c r="D2" s="406"/>
      <c r="E2" s="78"/>
    </row>
    <row r="3" spans="2:5" ht="14" thickBot="1">
      <c r="B3" s="78"/>
      <c r="C3" s="78"/>
      <c r="D3" s="78"/>
      <c r="E3" s="78"/>
    </row>
    <row r="4" spans="2:5" ht="14" thickBot="1">
      <c r="B4" s="76" t="s">
        <v>25</v>
      </c>
      <c r="C4" s="73" t="s">
        <v>33</v>
      </c>
      <c r="D4" s="306" t="s">
        <v>348</v>
      </c>
      <c r="E4" s="78"/>
    </row>
    <row r="5" spans="2:5" ht="15">
      <c r="B5" s="75"/>
      <c r="C5" s="81">
        <v>1</v>
      </c>
      <c r="D5" s="71"/>
      <c r="E5" s="78"/>
    </row>
    <row r="6" spans="2:5" ht="15">
      <c r="B6" s="67" t="s">
        <v>34</v>
      </c>
      <c r="C6" s="82">
        <v>2</v>
      </c>
      <c r="D6" s="72">
        <f>+D11*6</f>
        <v>182.5</v>
      </c>
      <c r="E6" s="79">
        <f>+E11*6</f>
        <v>2190</v>
      </c>
    </row>
    <row r="7" spans="2:5" ht="15">
      <c r="B7" s="67" t="s">
        <v>35</v>
      </c>
      <c r="C7" s="82">
        <v>3</v>
      </c>
      <c r="D7" s="72">
        <f>+D11*5</f>
        <v>152.08333333333334</v>
      </c>
      <c r="E7" s="79">
        <f>+E11*5</f>
        <v>1825</v>
      </c>
    </row>
    <row r="8" spans="2:5" ht="15">
      <c r="B8" s="67" t="s">
        <v>36</v>
      </c>
      <c r="C8" s="82">
        <v>4</v>
      </c>
      <c r="D8" s="72">
        <f>+D11*4</f>
        <v>121.66666666666667</v>
      </c>
      <c r="E8" s="79">
        <f>+E11*4</f>
        <v>1460</v>
      </c>
    </row>
    <row r="9" spans="2:5" ht="15">
      <c r="B9" s="67" t="s">
        <v>37</v>
      </c>
      <c r="C9" s="82">
        <v>5</v>
      </c>
      <c r="D9" s="72">
        <f>365/12*3</f>
        <v>91.25</v>
      </c>
      <c r="E9" s="79">
        <f>+E11*3</f>
        <v>1095</v>
      </c>
    </row>
    <row r="10" spans="2:5" ht="15">
      <c r="B10" s="67" t="s">
        <v>38</v>
      </c>
      <c r="C10" s="82">
        <v>6</v>
      </c>
      <c r="D10" s="72">
        <f>365/12*2</f>
        <v>60.833333333333336</v>
      </c>
      <c r="E10" s="79">
        <f>+E11*2</f>
        <v>730</v>
      </c>
    </row>
    <row r="11" spans="2:5" ht="15">
      <c r="B11" s="68" t="s">
        <v>39</v>
      </c>
      <c r="C11" s="82">
        <v>7</v>
      </c>
      <c r="D11" s="72">
        <f>365/12</f>
        <v>30.416666666666668</v>
      </c>
      <c r="E11" s="79">
        <v>365</v>
      </c>
    </row>
    <row r="12" spans="2:5" ht="15">
      <c r="B12" s="67" t="s">
        <v>40</v>
      </c>
      <c r="C12" s="82">
        <v>8</v>
      </c>
      <c r="D12" s="72">
        <f>+D17*6</f>
        <v>156.43</v>
      </c>
      <c r="E12" s="79">
        <f>+E17*6</f>
        <v>1794</v>
      </c>
    </row>
    <row r="13" spans="2:5" ht="15">
      <c r="B13" s="67" t="s">
        <v>41</v>
      </c>
      <c r="C13" s="82">
        <v>9</v>
      </c>
      <c r="D13" s="72">
        <f>+D17*5</f>
        <v>130.35833333333335</v>
      </c>
      <c r="E13" s="79">
        <f>+E17*5</f>
        <v>1495</v>
      </c>
    </row>
    <row r="14" spans="2:5" ht="15">
      <c r="B14" s="67" t="s">
        <v>42</v>
      </c>
      <c r="C14" s="82">
        <v>10</v>
      </c>
      <c r="D14" s="72">
        <f>+D17*4</f>
        <v>104.28666666666668</v>
      </c>
      <c r="E14" s="79">
        <f>+E17*4</f>
        <v>1196</v>
      </c>
    </row>
    <row r="15" spans="2:5" ht="15">
      <c r="B15" s="67" t="s">
        <v>43</v>
      </c>
      <c r="C15" s="82">
        <v>11</v>
      </c>
      <c r="D15" s="72">
        <f>312.86/12*3</f>
        <v>78.215000000000003</v>
      </c>
      <c r="E15" s="79">
        <f>+E17*3</f>
        <v>897</v>
      </c>
    </row>
    <row r="16" spans="2:5" ht="15">
      <c r="B16" s="67" t="s">
        <v>44</v>
      </c>
      <c r="C16" s="82">
        <v>12</v>
      </c>
      <c r="D16" s="72">
        <f>312.86/12*2</f>
        <v>52.143333333333338</v>
      </c>
      <c r="E16" s="79">
        <f>+E17*2</f>
        <v>598</v>
      </c>
    </row>
    <row r="17" spans="2:5" ht="15">
      <c r="B17" s="68" t="s">
        <v>45</v>
      </c>
      <c r="C17" s="82">
        <v>13</v>
      </c>
      <c r="D17" s="72">
        <f>312.86/12</f>
        <v>26.071666666666669</v>
      </c>
      <c r="E17" s="79">
        <v>299</v>
      </c>
    </row>
    <row r="18" spans="2:5" ht="15">
      <c r="B18" s="67" t="s">
        <v>46</v>
      </c>
      <c r="C18" s="82">
        <v>14</v>
      </c>
      <c r="D18" s="72">
        <f>+D23*6</f>
        <v>130.35714285714286</v>
      </c>
      <c r="E18" s="79">
        <f>+E23*6</f>
        <v>1482</v>
      </c>
    </row>
    <row r="19" spans="2:5" ht="15">
      <c r="B19" s="67" t="s">
        <v>47</v>
      </c>
      <c r="C19" s="82">
        <v>15</v>
      </c>
      <c r="D19" s="72">
        <f>+D23*5</f>
        <v>108.63095238095239</v>
      </c>
      <c r="E19" s="79">
        <f>+E23*5</f>
        <v>1235</v>
      </c>
    </row>
    <row r="20" spans="2:5" ht="15">
      <c r="B20" s="67" t="s">
        <v>48</v>
      </c>
      <c r="C20" s="82">
        <v>16</v>
      </c>
      <c r="D20" s="72">
        <f>+D23*4</f>
        <v>86.904761904761912</v>
      </c>
      <c r="E20" s="79">
        <f>+E23*4</f>
        <v>988</v>
      </c>
    </row>
    <row r="21" spans="2:5" ht="15">
      <c r="B21" s="68" t="s">
        <v>49</v>
      </c>
      <c r="C21" s="82">
        <v>17</v>
      </c>
      <c r="D21" s="72">
        <f>260.71/12*3</f>
        <v>65.177499999999995</v>
      </c>
      <c r="E21" s="79">
        <f>+E23*3</f>
        <v>741</v>
      </c>
    </row>
    <row r="22" spans="2:5" ht="15">
      <c r="B22" s="67" t="s">
        <v>50</v>
      </c>
      <c r="C22" s="82">
        <v>18</v>
      </c>
      <c r="D22" s="72">
        <f>260.71/12*2</f>
        <v>43.451666666666661</v>
      </c>
      <c r="E22" s="79">
        <f>+E23*2</f>
        <v>494</v>
      </c>
    </row>
    <row r="23" spans="2:5" ht="15">
      <c r="B23" s="67" t="s">
        <v>20</v>
      </c>
      <c r="C23" s="82">
        <v>19</v>
      </c>
      <c r="D23" s="72">
        <f>365/12/7*5</f>
        <v>21.726190476190478</v>
      </c>
      <c r="E23" s="79">
        <v>247</v>
      </c>
    </row>
    <row r="24" spans="2:5" ht="15">
      <c r="B24" s="67" t="s">
        <v>51</v>
      </c>
      <c r="C24" s="82">
        <v>20</v>
      </c>
      <c r="D24" s="72">
        <f>365/12/7*4</f>
        <v>17.380952380952383</v>
      </c>
      <c r="E24" s="79">
        <f>365/2</f>
        <v>182.5</v>
      </c>
    </row>
    <row r="25" spans="2:5" ht="15">
      <c r="B25" s="67" t="s">
        <v>52</v>
      </c>
      <c r="C25" s="82">
        <v>21</v>
      </c>
      <c r="D25" s="72">
        <f>365/12/7*3</f>
        <v>13.035714285714288</v>
      </c>
      <c r="E25" s="79">
        <f>52.14*3</f>
        <v>156.42000000000002</v>
      </c>
    </row>
    <row r="26" spans="2:5" ht="15">
      <c r="B26" s="67" t="s">
        <v>31</v>
      </c>
      <c r="C26" s="82">
        <v>22</v>
      </c>
      <c r="D26" s="72">
        <f>365/12/7*2</f>
        <v>8.6904761904761916</v>
      </c>
      <c r="E26" s="79">
        <f>52.14*2</f>
        <v>104.28</v>
      </c>
    </row>
    <row r="27" spans="2:5" ht="15">
      <c r="B27" s="67" t="s">
        <v>53</v>
      </c>
      <c r="C27" s="82">
        <v>23</v>
      </c>
      <c r="D27" s="72">
        <v>10.833333333333334</v>
      </c>
      <c r="E27" s="79">
        <f>247/2</f>
        <v>123.5</v>
      </c>
    </row>
    <row r="28" spans="2:5" ht="15">
      <c r="B28" s="68" t="s">
        <v>54</v>
      </c>
      <c r="C28" s="82">
        <v>24</v>
      </c>
      <c r="D28" s="72">
        <v>12.45</v>
      </c>
      <c r="E28" s="79">
        <f>299/2</f>
        <v>149.5</v>
      </c>
    </row>
    <row r="29" spans="2:5" ht="15">
      <c r="B29" s="68" t="s">
        <v>55</v>
      </c>
      <c r="C29" s="82">
        <v>25</v>
      </c>
      <c r="D29" s="72">
        <v>15.2</v>
      </c>
      <c r="E29" s="79">
        <f>365/2</f>
        <v>182.5</v>
      </c>
    </row>
    <row r="30" spans="2:5" ht="15">
      <c r="B30" s="67" t="s">
        <v>56</v>
      </c>
      <c r="C30" s="82">
        <v>26</v>
      </c>
      <c r="D30" s="72">
        <f>365/12/7</f>
        <v>4.3452380952380958</v>
      </c>
      <c r="E30" s="79">
        <v>52.14</v>
      </c>
    </row>
    <row r="31" spans="2:5" ht="15">
      <c r="B31" s="67" t="s">
        <v>57</v>
      </c>
      <c r="C31" s="82">
        <v>27</v>
      </c>
      <c r="D31" s="72">
        <f>365/12/7/2</f>
        <v>2.1726190476190479</v>
      </c>
      <c r="E31" s="79">
        <v>26.07</v>
      </c>
    </row>
    <row r="32" spans="2:5" ht="15">
      <c r="B32" s="67" t="s">
        <v>30</v>
      </c>
      <c r="C32" s="82">
        <v>28</v>
      </c>
      <c r="D32" s="72">
        <v>2</v>
      </c>
      <c r="E32" s="79">
        <v>24</v>
      </c>
    </row>
    <row r="33" spans="2:5" ht="15">
      <c r="B33" s="67" t="s">
        <v>58</v>
      </c>
      <c r="C33" s="82">
        <v>29</v>
      </c>
      <c r="D33" s="72">
        <v>1</v>
      </c>
      <c r="E33" s="79">
        <v>12</v>
      </c>
    </row>
    <row r="34" spans="2:5" ht="15">
      <c r="B34" s="66" t="s">
        <v>59</v>
      </c>
      <c r="C34" s="82">
        <v>30</v>
      </c>
      <c r="D34" s="72">
        <v>0.83</v>
      </c>
      <c r="E34" s="79">
        <v>10</v>
      </c>
    </row>
    <row r="35" spans="2:5" ht="15">
      <c r="B35" s="67" t="s">
        <v>60</v>
      </c>
      <c r="C35" s="82">
        <v>31</v>
      </c>
      <c r="D35" s="72">
        <v>0.5</v>
      </c>
      <c r="E35" s="79">
        <v>6</v>
      </c>
    </row>
    <row r="36" spans="2:5" ht="15">
      <c r="B36" s="66" t="s">
        <v>61</v>
      </c>
      <c r="C36" s="82">
        <v>32</v>
      </c>
      <c r="D36" s="72">
        <v>0.42</v>
      </c>
      <c r="E36" s="79">
        <v>5</v>
      </c>
    </row>
    <row r="37" spans="2:5" ht="15">
      <c r="B37" s="67" t="s">
        <v>62</v>
      </c>
      <c r="C37" s="82">
        <v>33</v>
      </c>
      <c r="D37" s="72">
        <v>0.33333333333333331</v>
      </c>
      <c r="E37" s="79">
        <v>4</v>
      </c>
    </row>
    <row r="38" spans="2:5" ht="15">
      <c r="B38" s="67" t="s">
        <v>63</v>
      </c>
      <c r="C38" s="82">
        <v>34</v>
      </c>
      <c r="D38" s="72">
        <v>0.25</v>
      </c>
      <c r="E38" s="79">
        <v>3</v>
      </c>
    </row>
    <row r="39" spans="2:5" ht="15">
      <c r="B39" s="67" t="s">
        <v>64</v>
      </c>
      <c r="C39" s="82">
        <v>35</v>
      </c>
      <c r="D39" s="72">
        <v>0.16666666666666666</v>
      </c>
      <c r="E39" s="79">
        <v>2</v>
      </c>
    </row>
    <row r="40" spans="2:5" ht="15">
      <c r="B40" s="67" t="s">
        <v>65</v>
      </c>
      <c r="C40" s="82">
        <v>36</v>
      </c>
      <c r="D40" s="72">
        <v>8.3333333333333329E-2</v>
      </c>
      <c r="E40" s="79">
        <v>1</v>
      </c>
    </row>
    <row r="43" spans="2:5" ht="15">
      <c r="B43" s="83" t="s">
        <v>66</v>
      </c>
      <c r="C43" s="83" t="s">
        <v>6</v>
      </c>
      <c r="D43" s="84" t="s">
        <v>67</v>
      </c>
    </row>
    <row r="44" spans="2:5" ht="15">
      <c r="B44" s="82">
        <v>1</v>
      </c>
      <c r="C44" s="69"/>
      <c r="D44" s="85"/>
    </row>
    <row r="45" spans="2:5" ht="16">
      <c r="B45" s="82">
        <v>2</v>
      </c>
      <c r="C45" s="305" t="str">
        <f>+'RESUMEN RENDIMIENTOS'!V105</f>
        <v>Almacen</v>
      </c>
      <c r="D45" s="86">
        <f>+'RESUMEN RENDIMIENTOS'!W105</f>
        <v>180.13784461152881</v>
      </c>
    </row>
    <row r="46" spans="2:5" ht="16">
      <c r="B46" s="82">
        <v>3</v>
      </c>
      <c r="C46" s="305" t="str">
        <f>+'RESUMEN RENDIMIENTOS'!V106</f>
        <v>Archivos</v>
      </c>
      <c r="D46" s="86">
        <f>+'RESUMEN RENDIMIENTOS'!W106</f>
        <v>208.1877588705392</v>
      </c>
    </row>
    <row r="47" spans="2:5" ht="16">
      <c r="B47" s="82">
        <v>4</v>
      </c>
      <c r="C47" s="305" t="str">
        <f>+'RESUMEN RENDIMIENTOS'!V107</f>
        <v>Archivo Pasivo</v>
      </c>
      <c r="D47" s="86">
        <f>+'RESUMEN RENDIMIENTOS'!W107</f>
        <v>148.85446779134486</v>
      </c>
    </row>
    <row r="48" spans="2:5" ht="16">
      <c r="B48" s="82">
        <v>5</v>
      </c>
      <c r="C48" s="305" t="str">
        <f>+'RESUMEN RENDIMIENTOS'!V108</f>
        <v>Ascensores</v>
      </c>
      <c r="D48" s="86">
        <f>+'RESUMEN RENDIMIENTOS'!W108</f>
        <v>125.86904304949198</v>
      </c>
    </row>
    <row r="49" spans="2:4" ht="16">
      <c r="B49" s="82">
        <v>6</v>
      </c>
      <c r="C49" s="305" t="str">
        <f>+'RESUMEN RENDIMIENTOS'!V109</f>
        <v>Auditorio</v>
      </c>
      <c r="D49" s="86">
        <f>+'RESUMEN RENDIMIENTOS'!W109</f>
        <v>215.22734918689818</v>
      </c>
    </row>
    <row r="50" spans="2:4" ht="16">
      <c r="B50" s="82">
        <v>7</v>
      </c>
      <c r="C50" s="305" t="str">
        <f>+'RESUMEN RENDIMIENTOS'!V110</f>
        <v>Aula Infantil</v>
      </c>
      <c r="D50" s="86">
        <f>+'RESUMEN RENDIMIENTOS'!W110</f>
        <v>50.468301255629044</v>
      </c>
    </row>
    <row r="51" spans="2:4" ht="16">
      <c r="B51" s="82">
        <v>8</v>
      </c>
      <c r="C51" s="305" t="str">
        <f>+'RESUMEN RENDIMIENTOS'!V111</f>
        <v>Aula Taller</v>
      </c>
      <c r="D51" s="86">
        <f>+'RESUMEN RENDIMIENTOS'!W111</f>
        <v>284.68938596240116</v>
      </c>
    </row>
    <row r="52" spans="2:4" ht="16">
      <c r="B52" s="82">
        <v>9</v>
      </c>
      <c r="C52" s="305" t="str">
        <f>+'RESUMEN RENDIMIENTOS'!V112</f>
        <v>Aulas</v>
      </c>
      <c r="D52" s="86">
        <f>+'RESUMEN RENDIMIENTOS'!W112</f>
        <v>220.3812113150673</v>
      </c>
    </row>
    <row r="53" spans="2:4" ht="16">
      <c r="B53" s="82">
        <v>10</v>
      </c>
      <c r="C53" s="305" t="str">
        <f>+'RESUMEN RENDIMIENTOS'!V113</f>
        <v>Baños</v>
      </c>
      <c r="D53" s="86">
        <f>+'RESUMEN RENDIMIENTOS'!W113</f>
        <v>64.091757583241659</v>
      </c>
    </row>
    <row r="54" spans="2:4" ht="16">
      <c r="B54" s="82">
        <v>11</v>
      </c>
      <c r="C54" s="305" t="str">
        <f>+'RESUMEN RENDIMIENTOS'!V114</f>
        <v>Biblioteca</v>
      </c>
      <c r="D54" s="86">
        <f>+'RESUMEN RENDIMIENTOS'!W114</f>
        <v>192.7504498251792</v>
      </c>
    </row>
    <row r="55" spans="2:4" ht="16">
      <c r="B55" s="82">
        <v>12</v>
      </c>
      <c r="C55" s="305" t="str">
        <f>+'RESUMEN RENDIMIENTOS'!V115</f>
        <v>Biblioteca con libros</v>
      </c>
      <c r="D55" s="86">
        <f>+'RESUMEN RENDIMIENTOS'!W115</f>
        <v>177.25792729567377</v>
      </c>
    </row>
    <row r="56" spans="2:4" ht="16">
      <c r="B56" s="82">
        <v>13</v>
      </c>
      <c r="C56" s="305" t="str">
        <f>+'RESUMEN RENDIMIENTOS'!V116</f>
        <v>Cabinas de Control</v>
      </c>
      <c r="D56" s="86">
        <f>+'RESUMEN RENDIMIENTOS'!W116</f>
        <v>230.27058233262628</v>
      </c>
    </row>
    <row r="57" spans="2:4" ht="16">
      <c r="B57" s="82">
        <v>14</v>
      </c>
      <c r="C57" s="305" t="str">
        <f>+'RESUMEN RENDIMIENTOS'!V117</f>
        <v>Call Center</v>
      </c>
      <c r="D57" s="86">
        <f>+'RESUMEN RENDIMIENTOS'!W117</f>
        <v>203.0926592321089</v>
      </c>
    </row>
    <row r="58" spans="2:4" ht="16">
      <c r="B58" s="82">
        <v>15</v>
      </c>
      <c r="C58" s="305" t="str">
        <f>+'RESUMEN RENDIMIENTOS'!V118</f>
        <v>Camerino</v>
      </c>
      <c r="D58" s="86">
        <f>+'RESUMEN RENDIMIENTOS'!W118</f>
        <v>122.19269564935958</v>
      </c>
    </row>
    <row r="59" spans="2:4" ht="16">
      <c r="B59" s="82">
        <v>16</v>
      </c>
      <c r="C59" s="305" t="str">
        <f>+'RESUMEN RENDIMIENTOS'!V119</f>
        <v>Capilla</v>
      </c>
      <c r="D59" s="86">
        <f>+'RESUMEN RENDIMIENTOS'!W119</f>
        <v>281.84308285567931</v>
      </c>
    </row>
    <row r="60" spans="2:4" ht="16">
      <c r="B60" s="82">
        <v>17</v>
      </c>
      <c r="C60" s="305" t="str">
        <f>+'RESUMEN RENDIMIENTOS'!V120</f>
        <v>Cocinas completo</v>
      </c>
      <c r="D60" s="86">
        <f>+'RESUMEN RENDIMIENTOS'!W120</f>
        <v>51.653084593021092</v>
      </c>
    </row>
    <row r="61" spans="2:4" ht="16">
      <c r="B61" s="82">
        <v>18</v>
      </c>
      <c r="C61" s="305" t="str">
        <f>+'RESUMEN RENDIMIENTOS'!V121</f>
        <v>Cocinas superficies</v>
      </c>
      <c r="D61" s="86">
        <f>+'RESUMEN RENDIMIENTOS'!W121</f>
        <v>78.647156266005396</v>
      </c>
    </row>
    <row r="62" spans="2:4" ht="16">
      <c r="B62" s="82">
        <v>19</v>
      </c>
      <c r="C62" s="305" t="str">
        <f>+'RESUMEN RENDIMIENTOS'!V122</f>
        <v>Comedor completo</v>
      </c>
      <c r="D62" s="86">
        <f>+'RESUMEN RENDIMIENTOS'!W122</f>
        <v>137.10312510841163</v>
      </c>
    </row>
    <row r="63" spans="2:4" ht="16">
      <c r="B63" s="82">
        <v>20</v>
      </c>
      <c r="C63" s="305" t="str">
        <f>+'RESUMEN RENDIMIENTOS'!V123</f>
        <v>Comedor de suelos</v>
      </c>
      <c r="D63" s="86">
        <f>+'RESUMEN RENDIMIENTOS'!W123</f>
        <v>222.12543554006967</v>
      </c>
    </row>
    <row r="64" spans="2:4" ht="16">
      <c r="B64" s="82">
        <v>21</v>
      </c>
      <c r="C64" s="305" t="str">
        <f>+'RESUMEN RENDIMIENTOS'!V124</f>
        <v>Consultorio</v>
      </c>
      <c r="D64" s="86">
        <f>+'RESUMEN RENDIMIENTOS'!W124</f>
        <v>106.05675158861227</v>
      </c>
    </row>
    <row r="65" spans="2:4" ht="16">
      <c r="B65" s="82">
        <v>22</v>
      </c>
      <c r="C65" s="305" t="str">
        <f>+'RESUMEN RENDIMIENTOS'!V125</f>
        <v>Control enfermeria</v>
      </c>
      <c r="D65" s="86">
        <f>+'RESUMEN RENDIMIENTOS'!W125</f>
        <v>116.64441869836791</v>
      </c>
    </row>
    <row r="66" spans="2:4" ht="16">
      <c r="B66" s="82">
        <v>23</v>
      </c>
      <c r="C66" s="305" t="str">
        <f>+'RESUMEN RENDIMIENTOS'!V126</f>
        <v>Despachos</v>
      </c>
      <c r="D66" s="86">
        <f>+'RESUMEN RENDIMIENTOS'!W126</f>
        <v>182.03862573597252</v>
      </c>
    </row>
    <row r="67" spans="2:4" ht="16">
      <c r="B67" s="82">
        <v>24</v>
      </c>
      <c r="C67" s="305" t="str">
        <f>+'RESUMEN RENDIMIENTOS'!V127</f>
        <v>Despachos Moqueta</v>
      </c>
      <c r="D67" s="86">
        <f>+'RESUMEN RENDIMIENTOS'!W127</f>
        <v>280.38963235937018</v>
      </c>
    </row>
    <row r="68" spans="2:4" ht="16">
      <c r="B68" s="82">
        <v>25</v>
      </c>
      <c r="C68" s="305" t="str">
        <f>+'RESUMEN RENDIMIENTOS'!V128</f>
        <v>Duchas</v>
      </c>
      <c r="D68" s="86">
        <f>+'RESUMEN RENDIMIENTOS'!W128</f>
        <v>66.964285714285708</v>
      </c>
    </row>
    <row r="69" spans="2:4" ht="16">
      <c r="B69" s="82">
        <v>26</v>
      </c>
      <c r="C69" s="305" t="str">
        <f>+'RESUMEN RENDIMIENTOS'!V129</f>
        <v>Entrada Exterior</v>
      </c>
      <c r="D69" s="86">
        <f>+'RESUMEN RENDIMIENTOS'!W129</f>
        <v>292.20779220779218</v>
      </c>
    </row>
    <row r="70" spans="2:4" ht="16">
      <c r="B70" s="82">
        <v>27</v>
      </c>
      <c r="C70" s="305" t="str">
        <f>+'RESUMEN RENDIMIENTOS'!V130</f>
        <v>Escaleras</v>
      </c>
      <c r="D70" s="86">
        <f>+'RESUMEN RENDIMIENTOS'!W130</f>
        <v>161.99180303590168</v>
      </c>
    </row>
    <row r="71" spans="2:4" ht="16">
      <c r="B71" s="82">
        <v>28</v>
      </c>
      <c r="C71" s="305" t="str">
        <f>+'RESUMEN RENDIMIENTOS'!V131</f>
        <v>Estudio de Grabación</v>
      </c>
      <c r="D71" s="86">
        <f>+'RESUMEN RENDIMIENTOS'!W131</f>
        <v>213.95284375378961</v>
      </c>
    </row>
    <row r="72" spans="2:4" ht="16">
      <c r="B72" s="82">
        <v>29</v>
      </c>
      <c r="C72" s="305" t="str">
        <f>+'RESUMEN RENDIMIENTOS'!V132</f>
        <v>Gimnasio</v>
      </c>
      <c r="D72" s="86">
        <f>+'RESUMEN RENDIMIENTOS'!W132</f>
        <v>166.39367026801546</v>
      </c>
    </row>
    <row r="73" spans="2:4" ht="16">
      <c r="B73" s="82">
        <v>30</v>
      </c>
      <c r="C73" s="305" t="str">
        <f>+'RESUMEN RENDIMIENTOS'!V133</f>
        <v>Habitaciones con baño</v>
      </c>
      <c r="D73" s="86">
        <f>+'RESUMEN RENDIMIENTOS'!W133</f>
        <v>103.34225269538601</v>
      </c>
    </row>
    <row r="74" spans="2:4" ht="16">
      <c r="B74" s="82">
        <v>31</v>
      </c>
      <c r="C74" s="305" t="str">
        <f>+'RESUMEN RENDIMIENTOS'!V134</f>
        <v>Habitaciones sin baño</v>
      </c>
      <c r="D74" s="86">
        <f>+'RESUMEN RENDIMIENTOS'!W134</f>
        <v>108.42291184872587</v>
      </c>
    </row>
    <row r="75" spans="2:4" ht="16">
      <c r="B75" s="82">
        <v>32</v>
      </c>
      <c r="C75" s="305" t="str">
        <f>+'RESUMEN RENDIMIENTOS'!V135</f>
        <v>Habitaciones de guardia</v>
      </c>
      <c r="D75" s="86">
        <f>+'RESUMEN RENDIMIENTOS'!W135</f>
        <v>119.69550663432021</v>
      </c>
    </row>
    <row r="76" spans="2:4" ht="16">
      <c r="B76" s="82">
        <v>33</v>
      </c>
      <c r="C76" s="305" t="str">
        <f>+'RESUMEN RENDIMIENTOS'!V136</f>
        <v>Laboratorios</v>
      </c>
      <c r="D76" s="86">
        <f>+'RESUMEN RENDIMIENTOS'!W136</f>
        <v>207.57344864600515</v>
      </c>
    </row>
    <row r="77" spans="2:4" ht="16">
      <c r="B77" s="82">
        <v>34</v>
      </c>
      <c r="C77" s="305" t="str">
        <f>+'RESUMEN RENDIMIENTOS'!V137</f>
        <v>Locutorio</v>
      </c>
      <c r="D77" s="86">
        <f>+'RESUMEN RENDIMIENTOS'!W137</f>
        <v>230.27058233262628</v>
      </c>
    </row>
    <row r="78" spans="2:4" ht="16">
      <c r="B78" s="82">
        <v>35</v>
      </c>
      <c r="C78" s="305" t="str">
        <f>+'RESUMEN RENDIMIENTOS'!V138</f>
        <v>Office</v>
      </c>
      <c r="D78" s="86">
        <f>+'RESUMEN RENDIMIENTOS'!W138</f>
        <v>159.26675726826647</v>
      </c>
    </row>
    <row r="79" spans="2:4" ht="16">
      <c r="B79" s="82">
        <v>36</v>
      </c>
      <c r="C79" s="305" t="str">
        <f>+'RESUMEN RENDIMIENTOS'!V139</f>
        <v>Parking exterior P</v>
      </c>
      <c r="D79" s="86">
        <f>+'RESUMEN RENDIMIENTOS'!W139</f>
        <v>718.64111498257842</v>
      </c>
    </row>
    <row r="80" spans="2:4" ht="16">
      <c r="B80" s="82">
        <v>37</v>
      </c>
      <c r="C80" s="305" t="str">
        <f>+'RESUMEN RENDIMIENTOS'!V140</f>
        <v>Parking exterior M</v>
      </c>
      <c r="D80" s="86">
        <f>+'RESUMEN RENDIMIENTOS'!W140</f>
        <v>1461.0389610389609</v>
      </c>
    </row>
    <row r="81" spans="2:4" ht="16">
      <c r="B81" s="82">
        <v>38</v>
      </c>
      <c r="C81" s="305" t="str">
        <f>+'RESUMEN RENDIMIENTOS'!V141</f>
        <v>Parking exterior G</v>
      </c>
      <c r="D81" s="86">
        <f>+'RESUMEN RENDIMIENTOS'!W141</f>
        <v>1780.5081216159933</v>
      </c>
    </row>
    <row r="82" spans="2:4" ht="16">
      <c r="B82" s="82">
        <v>39</v>
      </c>
      <c r="C82" s="305" t="str">
        <f>+'RESUMEN RENDIMIENTOS'!V142</f>
        <v>Parking exterior SG</v>
      </c>
      <c r="D82" s="86">
        <f>+'RESUMEN RENDIMIENTOS'!W142</f>
        <v>1674.1071428571429</v>
      </c>
    </row>
    <row r="83" spans="2:4" ht="16">
      <c r="B83" s="82">
        <v>40</v>
      </c>
      <c r="C83" s="305" t="str">
        <f>+'RESUMEN RENDIMIENTOS'!V143</f>
        <v>Parking interior P</v>
      </c>
      <c r="D83" s="86">
        <f>+'RESUMEN RENDIMIENTOS'!W143</f>
        <v>329.58470725664409</v>
      </c>
    </row>
    <row r="84" spans="2:4" ht="16">
      <c r="B84" s="82">
        <v>41</v>
      </c>
      <c r="C84" s="305" t="str">
        <f>+'RESUMEN RENDIMIENTOS'!V144</f>
        <v>Parking interior M</v>
      </c>
      <c r="D84" s="86">
        <f>+'RESUMEN RENDIMIENTOS'!W144</f>
        <v>461.82695836236286</v>
      </c>
    </row>
    <row r="85" spans="2:4" ht="16">
      <c r="B85" s="82">
        <v>42</v>
      </c>
      <c r="C85" s="305" t="str">
        <f>+'RESUMEN RENDIMIENTOS'!V145</f>
        <v>Parquing Interior G</v>
      </c>
      <c r="D85" s="86">
        <f>+'RESUMEN RENDIMIENTOS'!W145</f>
        <v>649.91304087499861</v>
      </c>
    </row>
    <row r="86" spans="2:4" ht="16">
      <c r="B86" s="82">
        <v>43</v>
      </c>
      <c r="C86" s="305" t="str">
        <f>+'RESUMEN RENDIMIENTOS'!V146</f>
        <v>Parquing Interior SG</v>
      </c>
      <c r="D86" s="86">
        <f>+'RESUMEN RENDIMIENTOS'!W146</f>
        <v>720.58608446163555</v>
      </c>
    </row>
    <row r="87" spans="2:4" ht="16">
      <c r="B87" s="82">
        <v>44</v>
      </c>
      <c r="C87" s="305" t="str">
        <f>+'RESUMEN RENDIMIENTOS'!V147</f>
        <v>Pasillos</v>
      </c>
      <c r="D87" s="86">
        <f>+'RESUMEN RENDIMIENTOS'!W147</f>
        <v>295.12206778792046</v>
      </c>
    </row>
    <row r="88" spans="2:4" ht="16">
      <c r="B88" s="82">
        <v>45</v>
      </c>
      <c r="C88" s="305" t="str">
        <f>+'RESUMEN RENDIMIENTOS'!V148</f>
        <v>Pasillos M P</v>
      </c>
      <c r="D88" s="86">
        <f>+'RESUMEN RENDIMIENTOS'!W148</f>
        <v>347.75749447905645</v>
      </c>
    </row>
    <row r="89" spans="2:4" ht="16">
      <c r="B89" s="82">
        <v>46</v>
      </c>
      <c r="C89" s="305" t="str">
        <f>+'RESUMEN RENDIMIENTOS'!V149</f>
        <v>Pasillos M M</v>
      </c>
      <c r="D89" s="86">
        <f>+'RESUMEN RENDIMIENTOS'!W149</f>
        <v>514.87108906422145</v>
      </c>
    </row>
    <row r="90" spans="2:4" ht="16">
      <c r="B90" s="82">
        <v>47</v>
      </c>
      <c r="C90" s="305" t="str">
        <f>+'RESUMEN RENDIMIENTOS'!V150</f>
        <v>Pasillos M G</v>
      </c>
      <c r="D90" s="86">
        <f>+'RESUMEN RENDIMIENTOS'!W150</f>
        <v>613.07469064411066</v>
      </c>
    </row>
    <row r="91" spans="2:4" ht="16">
      <c r="B91" s="82">
        <v>48</v>
      </c>
      <c r="C91" s="305" t="str">
        <f>+'RESUMEN RENDIMIENTOS'!V151</f>
        <v>Pasillos M SG</v>
      </c>
      <c r="D91" s="86">
        <f>+'RESUMEN RENDIMIENTOS'!W151</f>
        <v>752.5018401259573</v>
      </c>
    </row>
    <row r="92" spans="2:4" ht="16">
      <c r="B92" s="82">
        <v>49</v>
      </c>
      <c r="C92" s="305" t="str">
        <f>+'RESUMEN RENDIMIENTOS'!V152</f>
        <v>Patio exterior</v>
      </c>
      <c r="D92" s="86">
        <f>+'RESUMEN RENDIMIENTOS'!W152</f>
        <v>876.64918889246428</v>
      </c>
    </row>
    <row r="93" spans="2:4" ht="16">
      <c r="B93" s="82">
        <v>50</v>
      </c>
      <c r="C93" s="305" t="str">
        <f>+'RESUMEN RENDIMIENTOS'!V153</f>
        <v>Patio Gravilla</v>
      </c>
      <c r="D93" s="86">
        <f>+'RESUMEN RENDIMIENTOS'!W153</f>
        <v>1981.4529585419073</v>
      </c>
    </row>
    <row r="94" spans="2:4" ht="16">
      <c r="B94" s="82">
        <v>51</v>
      </c>
      <c r="C94" s="305" t="str">
        <f>+'RESUMEN RENDIMIENTOS'!V154</f>
        <v>Pista Deportiva</v>
      </c>
      <c r="D94" s="86">
        <f>+'RESUMEN RENDIMIENTOS'!W154</f>
        <v>803.57142857142856</v>
      </c>
    </row>
    <row r="95" spans="2:4" ht="16">
      <c r="B95" s="82">
        <v>52</v>
      </c>
      <c r="C95" s="305" t="str">
        <f>+'RESUMEN RENDIMIENTOS'!V155</f>
        <v>Playa Piscina</v>
      </c>
      <c r="D95" s="86">
        <f>+'RESUMEN RENDIMIENTOS'!W155</f>
        <v>72.39382239382239</v>
      </c>
    </row>
    <row r="96" spans="2:4" ht="16">
      <c r="B96" s="82">
        <v>53</v>
      </c>
      <c r="C96" s="305" t="str">
        <f>+'RESUMEN RENDIMIENTOS'!V156</f>
        <v>Porche</v>
      </c>
      <c r="D96" s="86">
        <f>+'RESUMEN RENDIMIENTOS'!W156</f>
        <v>912.62451597647134</v>
      </c>
    </row>
    <row r="97" spans="2:4" ht="16">
      <c r="B97" s="82">
        <v>54</v>
      </c>
      <c r="C97" s="305" t="str">
        <f>+'RESUMEN RENDIMIENTOS'!V157</f>
        <v>Rack CPD</v>
      </c>
      <c r="D97" s="86">
        <f>+'RESUMEN RENDIMIENTOS'!W157</f>
        <v>172.6485824163826</v>
      </c>
    </row>
    <row r="98" spans="2:4" ht="16">
      <c r="B98" s="82">
        <v>55</v>
      </c>
      <c r="C98" s="305" t="str">
        <f>+'RESUMEN RENDIMIENTOS'!V158</f>
        <v>Rehabilitacion</v>
      </c>
      <c r="D98" s="86">
        <f>+'RESUMEN RENDIMIENTOS'!W158</f>
        <v>134.81267696665435</v>
      </c>
    </row>
    <row r="99" spans="2:4" ht="16">
      <c r="B99" s="82">
        <v>56</v>
      </c>
      <c r="C99" s="305" t="str">
        <f>+'RESUMEN RENDIMIENTOS'!V159</f>
        <v>Sala de Producción</v>
      </c>
      <c r="D99" s="86">
        <f>+'RESUMEN RENDIMIENTOS'!W159</f>
        <v>297.20627703935378</v>
      </c>
    </row>
    <row r="100" spans="2:4" ht="16">
      <c r="B100" s="82">
        <v>57</v>
      </c>
      <c r="C100" s="305" t="str">
        <f>+'RESUMEN RENDIMIENTOS'!V160</f>
        <v>Sala de produccion Mecanico</v>
      </c>
      <c r="D100" s="86">
        <f>+'RESUMEN RENDIMIENTOS'!W160</f>
        <v>1458.7379914956166</v>
      </c>
    </row>
    <row r="101" spans="2:4" ht="16">
      <c r="B101" s="82">
        <v>58</v>
      </c>
      <c r="C101" s="305" t="str">
        <f>+'RESUMEN RENDIMIENTOS'!V161</f>
        <v>Sala tecnica</v>
      </c>
      <c r="D101" s="86">
        <f>+'RESUMEN RENDIMIENTOS'!W161</f>
        <v>136.09760296079526</v>
      </c>
    </row>
    <row r="102" spans="2:4" ht="16">
      <c r="B102" s="82">
        <v>59</v>
      </c>
      <c r="C102" s="305" t="str">
        <f>+'RESUMEN RENDIMIENTOS'!V162</f>
        <v>Sala de reuniones</v>
      </c>
      <c r="D102" s="86">
        <f>+'RESUMEN RENDIMIENTOS'!W162</f>
        <v>169.6825636914914</v>
      </c>
    </row>
    <row r="103" spans="2:4" ht="16">
      <c r="B103" s="82">
        <v>60</v>
      </c>
      <c r="C103" s="305" t="str">
        <f>+'RESUMEN RENDIMIENTOS'!V163</f>
        <v>Sala de ventas P</v>
      </c>
      <c r="D103" s="86">
        <f>+'RESUMEN RENDIMIENTOS'!W163</f>
        <v>343.29554457051</v>
      </c>
    </row>
    <row r="104" spans="2:4" ht="16">
      <c r="B104" s="82">
        <v>61</v>
      </c>
      <c r="C104" s="305" t="str">
        <f>+'RESUMEN RENDIMIENTOS'!V164</f>
        <v>Sala de ventas M</v>
      </c>
      <c r="D104" s="86">
        <f>+'RESUMEN RENDIMIENTOS'!W164</f>
        <v>554.99104973948124</v>
      </c>
    </row>
    <row r="105" spans="2:4" ht="16">
      <c r="B105" s="82">
        <v>62</v>
      </c>
      <c r="C105" s="305" t="str">
        <f>+'RESUMEN RENDIMIENTOS'!V165</f>
        <v>Sala de ventas G</v>
      </c>
      <c r="D105" s="86">
        <f>+'RESUMEN RENDIMIENTOS'!W165</f>
        <v>670.81689987839002</v>
      </c>
    </row>
    <row r="106" spans="2:4" ht="16">
      <c r="B106" s="82">
        <v>63</v>
      </c>
      <c r="C106" s="305" t="str">
        <f>+'RESUMEN RENDIMIENTOS'!V166</f>
        <v>Sala de ventas SG &gt; 2500</v>
      </c>
      <c r="D106" s="86">
        <f>+'RESUMEN RENDIMIENTOS'!W166</f>
        <v>841.39847011578229</v>
      </c>
    </row>
    <row r="107" spans="2:4" ht="16">
      <c r="B107" s="82">
        <v>64</v>
      </c>
      <c r="C107" s="305" t="str">
        <f>+'RESUMEN RENDIMIENTOS'!V167</f>
        <v>Sala Gimnasia Diafana</v>
      </c>
      <c r="D107" s="86">
        <f>+'RESUMEN RENDIMIENTOS'!W167</f>
        <v>218.34061135371181</v>
      </c>
    </row>
    <row r="108" spans="2:4" ht="16">
      <c r="B108" s="82">
        <v>65</v>
      </c>
      <c r="C108" s="305" t="str">
        <f>+'RESUMEN RENDIMIENTOS'!V168</f>
        <v>Salas Blancas</v>
      </c>
      <c r="D108" s="86">
        <f>+'RESUMEN RENDIMIENTOS'!W168</f>
        <v>33.905967450271248</v>
      </c>
    </row>
    <row r="109" spans="2:4" ht="16">
      <c r="B109" s="82">
        <v>66</v>
      </c>
      <c r="C109" s="305" t="str">
        <f>+'RESUMEN RENDIMIENTOS'!V169</f>
        <v>Salas Blancas hospitalarias</v>
      </c>
      <c r="D109" s="86">
        <f>+'RESUMEN RENDIMIENTOS'!W169</f>
        <v>34.880437286097759</v>
      </c>
    </row>
    <row r="110" spans="2:4" ht="16">
      <c r="B110" s="82">
        <v>67</v>
      </c>
      <c r="C110" s="305" t="str">
        <f>+'RESUMEN RENDIMIENTOS'!V170</f>
        <v>Salas de espera</v>
      </c>
      <c r="D110" s="86">
        <f>+'RESUMEN RENDIMIENTOS'!W170</f>
        <v>217.06930695853697</v>
      </c>
    </row>
    <row r="111" spans="2:4" ht="16">
      <c r="B111" s="82">
        <v>68</v>
      </c>
      <c r="C111" s="305" t="str">
        <f>+'RESUMEN RENDIMIENTOS'!V171</f>
        <v>Salas de maquinas</v>
      </c>
      <c r="D111" s="86">
        <f>+'RESUMEN RENDIMIENTOS'!W171</f>
        <v>193.12583967756382</v>
      </c>
    </row>
    <row r="112" spans="2:4" ht="16">
      <c r="B112" s="82">
        <v>69</v>
      </c>
      <c r="C112" s="305" t="str">
        <f>+'RESUMEN RENDIMIENTOS'!V172</f>
        <v>Salas de riesgo hospitalarias</v>
      </c>
      <c r="D112" s="86">
        <f>+'RESUMEN RENDIMIENTOS'!W172</f>
        <v>91.662546450531892</v>
      </c>
    </row>
    <row r="113" spans="2:4" ht="16">
      <c r="B113" s="82">
        <v>70</v>
      </c>
      <c r="C113" s="305" t="str">
        <f>+'RESUMEN RENDIMIENTOS'!V173</f>
        <v>Salas exploración, Box</v>
      </c>
      <c r="D113" s="86">
        <f>+'RESUMEN RENDIMIENTOS'!W173</f>
        <v>106.73016716315959</v>
      </c>
    </row>
    <row r="114" spans="2:4" ht="16">
      <c r="B114" s="82">
        <v>71</v>
      </c>
      <c r="C114" s="305" t="str">
        <f>+'RESUMEN RENDIMIENTOS'!V174</f>
        <v>Saunas Hielo</v>
      </c>
      <c r="D114" s="86">
        <f>+'RESUMEN RENDIMIENTOS'!W174</f>
        <v>66.964285714285708</v>
      </c>
    </row>
    <row r="115" spans="2:4" ht="16">
      <c r="B115" s="82">
        <v>72</v>
      </c>
      <c r="C115" s="305" t="str">
        <f>+'RESUMEN RENDIMIENTOS'!V175</f>
        <v>Solarium</v>
      </c>
      <c r="D115" s="86">
        <f>+'RESUMEN RENDIMIENTOS'!W175</f>
        <v>72.39382239382239</v>
      </c>
    </row>
    <row r="116" spans="2:4" ht="16">
      <c r="B116" s="82">
        <v>73</v>
      </c>
      <c r="C116" s="305" t="str">
        <f>+'RESUMEN RENDIMIENTOS'!V176</f>
        <v>Taller</v>
      </c>
      <c r="D116" s="86">
        <f>+'RESUMEN RENDIMIENTOS'!W176</f>
        <v>354.01657768880602</v>
      </c>
    </row>
    <row r="117" spans="2:4" ht="16">
      <c r="B117" s="82">
        <v>74</v>
      </c>
      <c r="C117" s="305" t="str">
        <f>+'RESUMEN RENDIMIENTOS'!V177</f>
        <v>Vestibulos</v>
      </c>
      <c r="D117" s="86">
        <f>+'RESUMEN RENDIMIENTOS'!W177</f>
        <v>228.88381548640865</v>
      </c>
    </row>
    <row r="118" spans="2:4" ht="16">
      <c r="B118" s="82">
        <v>75</v>
      </c>
      <c r="C118" s="305" t="str">
        <f>+'RESUMEN RENDIMIENTOS'!V178</f>
        <v>Vestibulo fre M P</v>
      </c>
      <c r="D118" s="86">
        <f>+'RESUMEN RENDIMIENTOS'!W178</f>
        <v>228.88381548640865</v>
      </c>
    </row>
    <row r="119" spans="2:4" ht="16">
      <c r="B119" s="82">
        <v>76</v>
      </c>
      <c r="C119" s="305" t="str">
        <f>+'RESUMEN RENDIMIENTOS'!V179</f>
        <v>Vestibulos fre M M</v>
      </c>
      <c r="D119" s="86">
        <f>+'RESUMEN RENDIMIENTOS'!W179</f>
        <v>291.06187857699723</v>
      </c>
    </row>
    <row r="120" spans="2:4" ht="16">
      <c r="B120" s="82">
        <v>77</v>
      </c>
      <c r="C120" s="305" t="str">
        <f>+'RESUMEN RENDIMIENTOS'!V180</f>
        <v>Vestibulo fre M G</v>
      </c>
      <c r="D120" s="86">
        <f>+'RESUMEN RENDIMIENTOS'!W180</f>
        <v>320.04255946975263</v>
      </c>
    </row>
    <row r="121" spans="2:4" ht="16">
      <c r="B121" s="82">
        <v>78</v>
      </c>
      <c r="C121" s="305" t="str">
        <f>+'RESUMEN RENDIMIENTOS'!V181</f>
        <v>Vestuarios Taquillas</v>
      </c>
      <c r="D121" s="86">
        <f>+'RESUMEN RENDIMIENTOS'!W181</f>
        <v>148.65487998429029</v>
      </c>
    </row>
    <row r="122" spans="2:4" ht="16">
      <c r="B122" s="82">
        <v>79</v>
      </c>
      <c r="C122" s="305" t="str">
        <f>+'RESUMEN RENDIMIENTOS'!V182</f>
        <v>Vestuarios Completos</v>
      </c>
      <c r="D122" s="86">
        <f>+'RESUMEN RENDIMIENTOS'!W182</f>
        <v>114.3771463934039</v>
      </c>
    </row>
    <row r="123" spans="2:4" ht="16">
      <c r="B123" s="82">
        <v>80</v>
      </c>
      <c r="C123" s="305" t="str">
        <f>+'RESUMEN RENDIMIENTOS'!V183</f>
        <v>Zona limpio</v>
      </c>
      <c r="D123" s="86">
        <f>+'RESUMEN RENDIMIENTOS'!W183</f>
        <v>190.55601256184707</v>
      </c>
    </row>
    <row r="124" spans="2:4" ht="16">
      <c r="B124" s="82">
        <v>81</v>
      </c>
      <c r="C124" s="305" t="str">
        <f>+'RESUMEN RENDIMIENTOS'!V184</f>
        <v>Zona Sucio</v>
      </c>
      <c r="D124" s="86">
        <f>+'RESUMEN RENDIMIENTOS'!W184</f>
        <v>190.55601256184707</v>
      </c>
    </row>
    <row r="125" spans="2:4" ht="16">
      <c r="B125" s="82">
        <v>82</v>
      </c>
      <c r="C125" s="305" t="str">
        <f>+'RESUMEN RENDIMIENTOS'!V185</f>
        <v>Zonas Administrativas</v>
      </c>
      <c r="D125" s="86">
        <f>+'RESUMEN RENDIMIENTOS'!W185</f>
        <v>217.52409321515051</v>
      </c>
    </row>
    <row r="126" spans="2:4" ht="16">
      <c r="B126" s="82">
        <v>83</v>
      </c>
      <c r="C126" s="305" t="str">
        <f>+'RESUMEN RENDIMIENTOS'!V186</f>
        <v>Zonas administrativas Moqueta</v>
      </c>
      <c r="D126" s="86">
        <f>+'RESUMEN RENDIMIENTOS'!W186</f>
        <v>285.87765907374916</v>
      </c>
    </row>
    <row r="127" spans="2:4" ht="16">
      <c r="B127" s="82">
        <v>84</v>
      </c>
      <c r="C127" s="305" t="str">
        <f>+'RESUMEN RENDIMIENTOS'!V187</f>
        <v>Vacio 1</v>
      </c>
      <c r="D127" s="86">
        <f>+'RESUMEN RENDIMIENTOS'!W187</f>
        <v>1250.0000000000002</v>
      </c>
    </row>
    <row r="128" spans="2:4" ht="16">
      <c r="B128" s="82">
        <v>85</v>
      </c>
      <c r="C128" s="305" t="str">
        <f>+'RESUMEN RENDIMIENTOS'!V188</f>
        <v>Vacio 2</v>
      </c>
      <c r="D128" s="86">
        <f>+'RESUMEN RENDIMIENTOS'!W188</f>
        <v>1250.0000000000002</v>
      </c>
    </row>
    <row r="129" spans="2:4" ht="16">
      <c r="B129" s="82">
        <v>86</v>
      </c>
      <c r="C129" s="305" t="str">
        <f>+'RESUMEN RENDIMIENTOS'!V189</f>
        <v>Vacio 3</v>
      </c>
      <c r="D129" s="86">
        <f>+'RESUMEN RENDIMIENTOS'!W189</f>
        <v>1250.0000000000002</v>
      </c>
    </row>
    <row r="130" spans="2:4" ht="16">
      <c r="B130" s="82">
        <v>87</v>
      </c>
      <c r="C130" s="305" t="str">
        <f>+'RESUMEN RENDIMIENTOS'!V190</f>
        <v>Vacio 4</v>
      </c>
      <c r="D130" s="86">
        <f>+'RESUMEN RENDIMIENTOS'!W190</f>
        <v>1250.0000000000002</v>
      </c>
    </row>
    <row r="131" spans="2:4" ht="16">
      <c r="B131" s="82">
        <v>88</v>
      </c>
      <c r="C131" s="305" t="str">
        <f>+'RESUMEN RENDIMIENTOS'!V191</f>
        <v>Vacio 5</v>
      </c>
      <c r="D131" s="86">
        <f>+'RESUMEN RENDIMIENTOS'!W191</f>
        <v>1250.0000000000002</v>
      </c>
    </row>
    <row r="132" spans="2:4" ht="16">
      <c r="B132" s="82">
        <v>89</v>
      </c>
      <c r="C132" s="305" t="str">
        <f>+'RESUMEN RENDIMIENTOS'!V192</f>
        <v>Vacio 6</v>
      </c>
      <c r="D132" s="86">
        <f>+'RESUMEN RENDIMIENTOS'!W192</f>
        <v>1250.0000000000002</v>
      </c>
    </row>
    <row r="133" spans="2:4" ht="16">
      <c r="B133" s="82">
        <v>90</v>
      </c>
      <c r="C133" s="305" t="str">
        <f>+'RESUMEN RENDIMIENTOS'!V193</f>
        <v>Vacio 7</v>
      </c>
      <c r="D133" s="86">
        <f>+'RESUMEN RENDIMIENTOS'!W193</f>
        <v>1250.0000000000002</v>
      </c>
    </row>
    <row r="134" spans="2:4" ht="16">
      <c r="B134" s="82">
        <v>91</v>
      </c>
      <c r="C134" s="305" t="str">
        <f>+'RESUMEN RENDIMIENTOS'!V194</f>
        <v>Vacio 8</v>
      </c>
      <c r="D134" s="86">
        <f>+'RESUMEN RENDIMIENTOS'!W194</f>
        <v>1250.0000000000002</v>
      </c>
    </row>
    <row r="135" spans="2:4" ht="16">
      <c r="B135" s="82">
        <v>92</v>
      </c>
      <c r="C135" s="305" t="str">
        <f>+'RESUMEN RENDIMIENTOS'!V195</f>
        <v>Vacio 9</v>
      </c>
      <c r="D135" s="86">
        <f>+'RESUMEN RENDIMIENTOS'!W195</f>
        <v>1250.0000000000002</v>
      </c>
    </row>
    <row r="136" spans="2:4" ht="16">
      <c r="B136" s="82">
        <v>93</v>
      </c>
      <c r="C136" s="305" t="str">
        <f>+'RESUMEN RENDIMIENTOS'!V196</f>
        <v>Vacio 10</v>
      </c>
      <c r="D136" s="86">
        <f>+'RESUMEN RENDIMIENTOS'!W196</f>
        <v>1250.0000000000002</v>
      </c>
    </row>
    <row r="137" spans="2:4" ht="16">
      <c r="B137" s="82">
        <v>94</v>
      </c>
      <c r="C137" s="305" t="str">
        <f>+'RESUMEN RENDIMIENTOS'!V197</f>
        <v>Cristales cocinas</v>
      </c>
      <c r="D137" s="86">
        <f>+'RESUMEN RENDIMIENTOS'!W197</f>
        <v>3</v>
      </c>
    </row>
    <row r="138" spans="2:4" ht="16">
      <c r="B138" s="82">
        <v>95</v>
      </c>
      <c r="C138" s="305" t="str">
        <f>+'RESUMEN RENDIMIENTOS'!V198</f>
        <v>Cristales Obra</v>
      </c>
      <c r="D138" s="86">
        <f>+'RESUMEN RENDIMIENTOS'!W198</f>
        <v>3</v>
      </c>
    </row>
    <row r="139" spans="2:4" ht="16">
      <c r="B139" s="82">
        <v>96</v>
      </c>
      <c r="C139" s="305" t="str">
        <f>+'RESUMEN RENDIMIENTOS'!V199</f>
        <v>Paredes Alicatadas</v>
      </c>
      <c r="D139" s="86">
        <f>+'RESUMEN RENDIMIENTOS'!W199</f>
        <v>60</v>
      </c>
    </row>
    <row r="140" spans="2:4" ht="16">
      <c r="B140" s="82">
        <v>97</v>
      </c>
      <c r="C140" s="305" t="str">
        <f>+'RESUMEN RENDIMIENTOS'!V200</f>
        <v>Techos PVC</v>
      </c>
      <c r="D140" s="86">
        <f>+'RESUMEN RENDIMIENTOS'!W200</f>
        <v>40</v>
      </c>
    </row>
    <row r="141" spans="2:4" ht="16">
      <c r="B141" s="82">
        <v>98</v>
      </c>
      <c r="C141" s="305" t="str">
        <f>+'RESUMEN RENDIMIENTOS'!V201</f>
        <v>Limpieza de Graderias exteriores</v>
      </c>
      <c r="D141" s="86">
        <f>+'RESUMEN RENDIMIENTOS'!W201</f>
        <v>500</v>
      </c>
    </row>
    <row r="142" spans="2:4" ht="16">
      <c r="B142" s="82">
        <v>99</v>
      </c>
      <c r="C142" s="305" t="str">
        <f>+'RESUMEN RENDIMIENTOS'!V202</f>
        <v>Limpieza de Graderias interiores</v>
      </c>
      <c r="D142" s="86">
        <f>+'RESUMEN RENDIMIENTOS'!W202</f>
        <v>300</v>
      </c>
    </row>
    <row r="143" spans="2:4" ht="16">
      <c r="B143" s="82">
        <v>100</v>
      </c>
      <c r="C143" s="305" t="str">
        <f>+'RESUMEN RENDIMIENTOS'!V203</f>
        <v>Vacio</v>
      </c>
      <c r="D143" s="86">
        <f>+'RESUMEN RENDIMIENTOS'!W203</f>
        <v>0.1</v>
      </c>
    </row>
    <row r="144" spans="2:4" ht="16">
      <c r="B144" s="82">
        <v>101</v>
      </c>
      <c r="C144" s="305" t="str">
        <f>+'RESUMEN RENDIMIENTOS'!V204</f>
        <v>Vacio</v>
      </c>
      <c r="D144" s="86">
        <f>+'RESUMEN RENDIMIENTOS'!W204</f>
        <v>0.1</v>
      </c>
    </row>
    <row r="145" spans="2:4" ht="16">
      <c r="B145" s="82">
        <v>102</v>
      </c>
      <c r="C145" s="305" t="str">
        <f>+'RESUMEN RENDIMIENTOS'!V205</f>
        <v>Vacio</v>
      </c>
      <c r="D145" s="86">
        <f>+'RESUMEN RENDIMIENTOS'!W205</f>
        <v>0.1</v>
      </c>
    </row>
    <row r="146" spans="2:4" ht="16">
      <c r="B146" s="82">
        <v>103</v>
      </c>
      <c r="C146" s="305" t="str">
        <f>+'RESUMEN RENDIMIENTOS'!V206</f>
        <v>Vacio</v>
      </c>
      <c r="D146" s="86">
        <f>+'RESUMEN RENDIMIENTOS'!W206</f>
        <v>0.1</v>
      </c>
    </row>
    <row r="147" spans="2:4" ht="16">
      <c r="B147" s="82">
        <v>104</v>
      </c>
      <c r="C147" s="305" t="str">
        <f>+'RESUMEN RENDIMIENTOS'!V207</f>
        <v>Vacio</v>
      </c>
      <c r="D147" s="86">
        <f>+'RESUMEN RENDIMIENTOS'!W207</f>
        <v>0.1</v>
      </c>
    </row>
    <row r="148" spans="2:4" ht="16">
      <c r="B148" s="82">
        <v>105</v>
      </c>
      <c r="C148" s="305" t="str">
        <f>+'RESUMEN RENDIMIENTOS'!V208</f>
        <v>Vacio</v>
      </c>
      <c r="D148" s="86">
        <f>+'RESUMEN RENDIMIENTOS'!W208</f>
        <v>0.1</v>
      </c>
    </row>
    <row r="149" spans="2:4" ht="16">
      <c r="B149" s="82">
        <v>106</v>
      </c>
      <c r="C149" s="305" t="str">
        <f>+'RESUMEN RENDIMIENTOS'!V209</f>
        <v>Vacio</v>
      </c>
      <c r="D149" s="86">
        <f>+'RESUMEN RENDIMIENTOS'!W209</f>
        <v>0.1</v>
      </c>
    </row>
    <row r="150" spans="2:4" ht="16">
      <c r="B150" s="82">
        <v>107</v>
      </c>
      <c r="C150" s="305" t="str">
        <f>+'RESUMEN RENDIMIENTOS'!V210</f>
        <v>Vacio</v>
      </c>
      <c r="D150" s="86">
        <f>+'RESUMEN RENDIMIENTOS'!W210</f>
        <v>0.1</v>
      </c>
    </row>
    <row r="151" spans="2:4" ht="16">
      <c r="B151" s="82">
        <v>108</v>
      </c>
      <c r="C151" s="305" t="str">
        <f>+'RESUMEN RENDIMIENTOS'!V211</f>
        <v>Vacio</v>
      </c>
      <c r="D151" s="86">
        <f>+'RESUMEN RENDIMIENTOS'!W211</f>
        <v>0.1</v>
      </c>
    </row>
    <row r="152" spans="2:4" ht="16">
      <c r="B152" s="82">
        <v>109</v>
      </c>
      <c r="C152" s="305" t="str">
        <f>+'RESUMEN RENDIMIENTOS'!V212</f>
        <v>Vacio</v>
      </c>
      <c r="D152" s="86">
        <f>+'RESUMEN RENDIMIENTOS'!W212</f>
        <v>0.1</v>
      </c>
    </row>
    <row r="153" spans="2:4" ht="16">
      <c r="B153" s="82">
        <v>110</v>
      </c>
      <c r="C153" s="305" t="str">
        <f>+'RESUMEN RENDIMIENTOS'!V213</f>
        <v>Aplicación de emulsiones</v>
      </c>
      <c r="D153" s="86">
        <f>+'RESUMEN RENDIMIENTOS'!W213</f>
        <v>32.21649484536082</v>
      </c>
    </row>
    <row r="154" spans="2:4" ht="16">
      <c r="B154" s="82">
        <v>111</v>
      </c>
      <c r="C154" s="305" t="str">
        <f>+'RESUMEN RENDIMIENTOS'!V214</f>
        <v>Aplicación de emulsiones, decapado</v>
      </c>
      <c r="D154" s="86">
        <f>+'RESUMEN RENDIMIENTOS'!W214</f>
        <v>17.070142768466791</v>
      </c>
    </row>
    <row r="155" spans="2:4" ht="16">
      <c r="B155" s="82">
        <v>112</v>
      </c>
      <c r="C155" s="305" t="str">
        <f>+'RESUMEN RENDIMIENTOS'!V215</f>
        <v>Cristalizado de Suelos</v>
      </c>
      <c r="D155" s="86">
        <f>+'RESUMEN RENDIMIENTOS'!W215</f>
        <v>29.761904761904759</v>
      </c>
    </row>
    <row r="156" spans="2:4" ht="16">
      <c r="B156" s="82">
        <v>113</v>
      </c>
      <c r="C156" s="305" t="str">
        <f>+'RESUMEN RENDIMIENTOS'!V216</f>
        <v>Decapado Cristalizado de Suelos</v>
      </c>
      <c r="D156" s="86">
        <f>+'RESUMEN RENDIMIENTOS'!W216</f>
        <v>15.580736543909349</v>
      </c>
    </row>
    <row r="157" spans="2:4" ht="16">
      <c r="B157" s="82">
        <v>114</v>
      </c>
      <c r="C157" s="305" t="str">
        <f>+'RESUMEN RENDIMIENTOS'!V217</f>
        <v>Limpieza de Moquetas Champú</v>
      </c>
      <c r="D157" s="86">
        <f>+'RESUMEN RENDIMIENTOS'!W217</f>
        <v>19.305019305019307</v>
      </c>
    </row>
    <row r="158" spans="2:4" ht="16">
      <c r="B158" s="82">
        <v>115</v>
      </c>
      <c r="C158" s="305" t="str">
        <f>+'RESUMEN RENDIMIENTOS'!V218</f>
        <v>Limpieza de Moquetas IE</v>
      </c>
      <c r="D158" s="86">
        <f>+'RESUMEN RENDIMIENTOS'!W218</f>
        <v>24.489795918367342</v>
      </c>
    </row>
    <row r="159" spans="2:4" ht="16">
      <c r="B159" s="82">
        <v>116</v>
      </c>
      <c r="C159" s="305" t="str">
        <f>+'RESUMEN RENDIMIENTOS'!V219</f>
        <v>Vacio</v>
      </c>
      <c r="D159" s="86">
        <f>+'RESUMEN RENDIMIENTOS'!W219</f>
        <v>0.1</v>
      </c>
    </row>
    <row r="160" spans="2:4" ht="16">
      <c r="B160" s="82">
        <v>117</v>
      </c>
      <c r="C160" s="305" t="str">
        <f>+'RESUMEN RENDIMIENTOS'!V220</f>
        <v>Vacio</v>
      </c>
      <c r="D160" s="86">
        <f>+'RESUMEN RENDIMIENTOS'!W220</f>
        <v>0.1</v>
      </c>
    </row>
    <row r="161" spans="2:4" ht="16">
      <c r="B161" s="82">
        <v>118</v>
      </c>
      <c r="C161" s="305" t="str">
        <f>+'RESUMEN RENDIMIENTOS'!V221</f>
        <v>Mantenimiento altas</v>
      </c>
      <c r="D161" s="86">
        <f>+'RESUMEN RENDIMIENTOS'!W221</f>
        <v>1</v>
      </c>
    </row>
    <row r="162" spans="2:4" ht="16">
      <c r="B162" s="82">
        <v>119</v>
      </c>
      <c r="C162" s="305" t="str">
        <f>+'RESUMEN RENDIMIENTOS'!V222</f>
        <v>Responsable edificio</v>
      </c>
      <c r="D162" s="86">
        <f>+'RESUMEN RENDIMIENTOS'!W222</f>
        <v>1</v>
      </c>
    </row>
    <row r="163" spans="2:4" ht="16">
      <c r="B163" s="82">
        <v>120</v>
      </c>
      <c r="C163" s="305" t="str">
        <f>+'RESUMEN RENDIMIENTOS'!V223</f>
        <v>Mantenimiento zona</v>
      </c>
      <c r="D163" s="86">
        <f>+'RESUMEN RENDIMIENTOS'!W223</f>
        <v>1</v>
      </c>
    </row>
    <row r="164" spans="2:4" ht="16">
      <c r="B164" s="82">
        <v>121</v>
      </c>
      <c r="C164" s="305" t="str">
        <f>+'RESUMEN RENDIMIENTOS'!V224</f>
        <v>Vacio</v>
      </c>
      <c r="D164" s="86">
        <f>+'RESUMEN RENDIMIENTOS'!W224</f>
        <v>0.1</v>
      </c>
    </row>
    <row r="165" spans="2:4" ht="16">
      <c r="B165" s="82">
        <v>122</v>
      </c>
      <c r="C165" s="305" t="str">
        <f>+'RESUMEN RENDIMIENTOS'!V225</f>
        <v>Vacio</v>
      </c>
      <c r="D165" s="86">
        <f>+'RESUMEN RENDIMIENTOS'!W225</f>
        <v>0.1</v>
      </c>
    </row>
    <row r="166" spans="2:4" ht="16">
      <c r="B166" s="82">
        <v>123</v>
      </c>
      <c r="C166" s="305" t="str">
        <f>+'RESUMEN RENDIMIENTOS'!V226</f>
        <v>Descanso Personal</v>
      </c>
      <c r="D166" s="86">
        <f>+'RESUMEN RENDIMIENTOS'!W226</f>
        <v>1</v>
      </c>
    </row>
    <row r="167" spans="2:4" ht="16">
      <c r="B167" s="82">
        <v>124</v>
      </c>
      <c r="C167" s="305" t="str">
        <f>+'RESUMEN RENDIMIENTOS'!V227</f>
        <v>Vacio</v>
      </c>
      <c r="D167" s="86">
        <f>+'RESUMEN RENDIMIENTOS'!W227</f>
        <v>0.1</v>
      </c>
    </row>
    <row r="168" spans="2:4" ht="16">
      <c r="B168" s="82">
        <v>125</v>
      </c>
      <c r="C168" s="305" t="str">
        <f>+'RESUMEN RENDIMIENTOS'!V228</f>
        <v>Vacio</v>
      </c>
      <c r="D168" s="86">
        <f>+'RESUMEN RENDIMIENTOS'!W228</f>
        <v>0.1</v>
      </c>
    </row>
    <row r="169" spans="2:4" ht="16">
      <c r="B169" s="82">
        <v>126</v>
      </c>
      <c r="C169" s="305" t="str">
        <f>+'RESUMEN RENDIMIENTOS'!V229</f>
        <v>Vacio</v>
      </c>
      <c r="D169" s="86">
        <f>+'RESUMEN RENDIMIENTOS'!W229</f>
        <v>0.1</v>
      </c>
    </row>
    <row r="170" spans="2:4" ht="16">
      <c r="B170" s="82">
        <v>127</v>
      </c>
      <c r="C170" s="305" t="str">
        <f>+'RESUMEN RENDIMIENTOS'!V230</f>
        <v>Vacio</v>
      </c>
      <c r="D170" s="86">
        <f>+'RESUMEN RENDIMIENTOS'!W230</f>
        <v>0.1</v>
      </c>
    </row>
    <row r="171" spans="2:4" ht="16">
      <c r="B171" s="82">
        <v>128</v>
      </c>
      <c r="C171" s="305" t="str">
        <f>+'RESUMEN RENDIMIENTOS'!V231</f>
        <v>Cristales</v>
      </c>
      <c r="D171" s="86">
        <f>+'RESUMEN RENDIMIENTOS'!W231</f>
        <v>30</v>
      </c>
    </row>
    <row r="172" spans="2:4" ht="16">
      <c r="B172" s="82">
        <v>129</v>
      </c>
      <c r="C172" s="305" t="str">
        <f>+'RESUMEN RENDIMIENTOS'!V232</f>
        <v>Cristales escaparates</v>
      </c>
      <c r="D172" s="86">
        <f>+'RESUMEN RENDIMIENTOS'!W232</f>
        <v>40</v>
      </c>
    </row>
    <row r="173" spans="2:4" ht="16">
      <c r="B173" s="82">
        <v>130</v>
      </c>
      <c r="C173" s="305" t="str">
        <f>+'RESUMEN RENDIMIENTOS'!V233</f>
        <v>Cristales cocinas</v>
      </c>
      <c r="D173" s="86">
        <f>+'RESUMEN RENDIMIENTOS'!W233</f>
        <v>3</v>
      </c>
    </row>
    <row r="174" spans="2:4" ht="16">
      <c r="B174" s="82">
        <v>131</v>
      </c>
      <c r="C174" s="305" t="str">
        <f>+'RESUMEN RENDIMIENTOS'!V234</f>
        <v>Cristales Obra</v>
      </c>
      <c r="D174" s="86">
        <f>+'RESUMEN RENDIMIENTOS'!W234</f>
        <v>3</v>
      </c>
    </row>
    <row r="175" spans="2:4" ht="16">
      <c r="B175" s="82">
        <v>132</v>
      </c>
      <c r="C175" s="305" t="str">
        <f>+'RESUMEN RENDIMIENTOS'!V235</f>
        <v>Paredes Alicatadas</v>
      </c>
      <c r="D175" s="86">
        <f>+'RESUMEN RENDIMIENTOS'!W235</f>
        <v>60</v>
      </c>
    </row>
    <row r="176" spans="2:4" ht="16">
      <c r="B176" s="82">
        <v>133</v>
      </c>
      <c r="C176" s="305" t="str">
        <f>+'RESUMEN RENDIMIENTOS'!V236</f>
        <v>Techos PVC</v>
      </c>
      <c r="D176" s="86">
        <f>+'RESUMEN RENDIMIENTOS'!W236</f>
        <v>40</v>
      </c>
    </row>
    <row r="177" spans="2:4" ht="16">
      <c r="B177" s="82">
        <v>134</v>
      </c>
      <c r="C177" s="305" t="str">
        <f>+'RESUMEN RENDIMIENTOS'!V237</f>
        <v>Limpieza de Graderias exteriores</v>
      </c>
      <c r="D177" s="86">
        <f>+'RESUMEN RENDIMIENTOS'!W237</f>
        <v>500</v>
      </c>
    </row>
    <row r="178" spans="2:4" ht="16">
      <c r="B178" s="82">
        <v>135</v>
      </c>
      <c r="C178" s="305" t="str">
        <f>+'RESUMEN RENDIMIENTOS'!V238</f>
        <v>Limpieza de Graderias interiores</v>
      </c>
      <c r="D178" s="86">
        <f>+'RESUMEN RENDIMIENTOS'!W238</f>
        <v>300</v>
      </c>
    </row>
    <row r="179" spans="2:4" ht="16">
      <c r="B179" s="82">
        <v>136</v>
      </c>
      <c r="C179" s="305" t="str">
        <f>+'RESUMEN RENDIMIENTOS'!V239</f>
        <v>Vacio</v>
      </c>
      <c r="D179" s="86">
        <f>+'RESUMEN RENDIMIENTOS'!W239</f>
        <v>0.1</v>
      </c>
    </row>
    <row r="180" spans="2:4" ht="16">
      <c r="B180" s="82">
        <v>137</v>
      </c>
      <c r="C180" s="305" t="str">
        <f>+'RESUMEN RENDIMIENTOS'!V240</f>
        <v>Vacio</v>
      </c>
      <c r="D180" s="86">
        <f>+'RESUMEN RENDIMIENTOS'!W240</f>
        <v>0.1</v>
      </c>
    </row>
    <row r="181" spans="2:4" ht="16">
      <c r="B181" s="82">
        <v>138</v>
      </c>
      <c r="C181" s="305" t="str">
        <f>+'RESUMEN RENDIMIENTOS'!V241</f>
        <v>Vacio</v>
      </c>
      <c r="D181" s="86">
        <f>+'RESUMEN RENDIMIENTOS'!W241</f>
        <v>0.1</v>
      </c>
    </row>
    <row r="182" spans="2:4" ht="16">
      <c r="B182" s="82">
        <v>139</v>
      </c>
      <c r="C182" s="305" t="str">
        <f>+'RESUMEN RENDIMIENTOS'!V242</f>
        <v>Vacio</v>
      </c>
      <c r="D182" s="86">
        <f>+'RESUMEN RENDIMIENTOS'!W242</f>
        <v>0.1</v>
      </c>
    </row>
    <row r="183" spans="2:4" ht="16">
      <c r="B183" s="82">
        <v>140</v>
      </c>
      <c r="C183" s="305" t="str">
        <f>+'RESUMEN RENDIMIENTOS'!V243</f>
        <v>Vacio</v>
      </c>
      <c r="D183" s="86">
        <f>+'RESUMEN RENDIMIENTOS'!W243</f>
        <v>0.1</v>
      </c>
    </row>
    <row r="184" spans="2:4" ht="16">
      <c r="B184" s="82">
        <v>141</v>
      </c>
      <c r="C184" s="305" t="str">
        <f>+'RESUMEN RENDIMIENTOS'!V244</f>
        <v>Vacio</v>
      </c>
      <c r="D184" s="86">
        <f>+'RESUMEN RENDIMIENTOS'!W244</f>
        <v>0.1</v>
      </c>
    </row>
    <row r="185" spans="2:4" ht="16">
      <c r="B185" s="82">
        <v>142</v>
      </c>
      <c r="C185" s="305" t="str">
        <f>+'RESUMEN RENDIMIENTOS'!V245</f>
        <v>Vacio</v>
      </c>
      <c r="D185" s="86">
        <f>+'RESUMEN RENDIMIENTOS'!W245</f>
        <v>0.1</v>
      </c>
    </row>
    <row r="186" spans="2:4" ht="16">
      <c r="B186" s="82">
        <v>143</v>
      </c>
      <c r="C186" s="305" t="str">
        <f>+'RESUMEN RENDIMIENTOS'!V246</f>
        <v>Vacio</v>
      </c>
      <c r="D186" s="86">
        <f>+'RESUMEN RENDIMIENTOS'!W246</f>
        <v>0.1</v>
      </c>
    </row>
    <row r="187" spans="2:4" ht="16">
      <c r="B187" s="82">
        <v>144</v>
      </c>
      <c r="C187" s="305" t="str">
        <f>+'RESUMEN RENDIMIENTOS'!V247</f>
        <v>Vacio</v>
      </c>
      <c r="D187" s="86">
        <f>+'RESUMEN RENDIMIENTOS'!W247</f>
        <v>0.1</v>
      </c>
    </row>
    <row r="188" spans="2:4" ht="16">
      <c r="B188" s="82">
        <v>145</v>
      </c>
      <c r="C188" s="305" t="str">
        <f>+'RESUMEN RENDIMIENTOS'!V248</f>
        <v>Vacio</v>
      </c>
      <c r="D188" s="86">
        <f>+'RESUMEN RENDIMIENTOS'!W248</f>
        <v>0.1</v>
      </c>
    </row>
    <row r="189" spans="2:4" ht="16">
      <c r="B189" s="82">
        <v>146</v>
      </c>
      <c r="C189" s="305" t="str">
        <f>+'RESUMEN RENDIMIENTOS'!V7</f>
        <v>Aclarado</v>
      </c>
      <c r="D189" s="86">
        <f>+'RESUMEN RENDIMIENTOS'!W7</f>
        <v>200</v>
      </c>
    </row>
    <row r="190" spans="2:4" ht="16">
      <c r="B190" s="82">
        <v>147</v>
      </c>
      <c r="C190" s="305" t="str">
        <f>+'RESUMEN RENDIMIENTOS'!V8</f>
        <v>Alfombras Adhesivas</v>
      </c>
      <c r="D190" s="86">
        <f>+'RESUMEN RENDIMIENTOS'!W8</f>
        <v>35</v>
      </c>
    </row>
    <row r="191" spans="2:4" ht="16">
      <c r="B191" s="82">
        <v>148</v>
      </c>
      <c r="C191" s="305" t="str">
        <f>+'RESUMEN RENDIMIENTOS'!V9</f>
        <v>Aplicación de emulsiones</v>
      </c>
      <c r="D191" s="86">
        <f>+'RESUMEN RENDIMIENTOS'!W9</f>
        <v>40</v>
      </c>
    </row>
    <row r="192" spans="2:4" ht="16">
      <c r="B192" s="82">
        <v>149</v>
      </c>
      <c r="C192" s="305" t="str">
        <f>+'RESUMEN RENDIMIENTOS'!V10</f>
        <v>Aspiracion de agua</v>
      </c>
      <c r="D192" s="86">
        <f>+'RESUMEN RENDIMIENTOS'!W10</f>
        <v>200</v>
      </c>
    </row>
    <row r="193" spans="2:4" ht="16">
      <c r="B193" s="82">
        <v>150</v>
      </c>
      <c r="C193" s="305" t="str">
        <f>+'RESUMEN RENDIMIENTOS'!V11</f>
        <v>Aspiracion de polvo en moquetas</v>
      </c>
      <c r="D193" s="86">
        <f>+'RESUMEN RENDIMIENTOS'!W11</f>
        <v>320</v>
      </c>
    </row>
    <row r="194" spans="2:4" ht="16">
      <c r="B194" s="82">
        <v>151</v>
      </c>
      <c r="C194" s="305" t="str">
        <f>+'RESUMEN RENDIMIENTOS'!V12</f>
        <v>Aspirado alfombras Rack</v>
      </c>
      <c r="D194" s="86">
        <f>+'RESUMEN RENDIMIENTOS'!W12</f>
        <v>9</v>
      </c>
    </row>
    <row r="195" spans="2:4" ht="16">
      <c r="B195" s="82">
        <v>152</v>
      </c>
      <c r="C195" s="305" t="str">
        <f>+'RESUMEN RENDIMIENTOS'!V13</f>
        <v>Aspirado Cepillado Moquetas</v>
      </c>
      <c r="D195" s="86">
        <f>+'RESUMEN RENDIMIENTOS'!W13</f>
        <v>600</v>
      </c>
    </row>
    <row r="196" spans="2:4" ht="16">
      <c r="B196" s="82">
        <v>153</v>
      </c>
      <c r="C196" s="305" t="str">
        <f>+'RESUMEN RENDIMIENTOS'!V14</f>
        <v>Aspirado con barredora moquetas</v>
      </c>
      <c r="D196" s="86">
        <f>+'RESUMEN RENDIMIENTOS'!W14</f>
        <v>1200</v>
      </c>
    </row>
    <row r="197" spans="2:4" ht="16">
      <c r="B197" s="82">
        <v>154</v>
      </c>
      <c r="C197" s="305" t="str">
        <f>+'RESUMEN RENDIMIENTOS'!V15</f>
        <v>Aspirado entre lineas</v>
      </c>
      <c r="D197" s="86">
        <f>+'RESUMEN RENDIMIENTOS'!W15</f>
        <v>1200</v>
      </c>
    </row>
    <row r="198" spans="2:4" ht="16">
      <c r="B198" s="82">
        <v>155</v>
      </c>
      <c r="C198" s="305" t="str">
        <f>+'RESUMEN RENDIMIENTOS'!V16</f>
        <v>Aspirado paredes tapizadas</v>
      </c>
      <c r="D198" s="86">
        <f>+'RESUMEN RENDIMIENTOS'!W16</f>
        <v>50</v>
      </c>
    </row>
    <row r="199" spans="2:4" ht="16">
      <c r="B199" s="82">
        <v>156</v>
      </c>
      <c r="C199" s="305" t="str">
        <f>+'RESUMEN RENDIMIENTOS'!V17</f>
        <v>Barrido de suelos</v>
      </c>
      <c r="D199" s="86">
        <f>+'RESUMEN RENDIMIENTOS'!W17</f>
        <v>400</v>
      </c>
    </row>
    <row r="200" spans="2:4" ht="16">
      <c r="B200" s="82">
        <v>157</v>
      </c>
      <c r="C200" s="305" t="str">
        <f>+'RESUMEN RENDIMIENTOS'!V18</f>
        <v>Barrido Humedo 1,5 m</v>
      </c>
      <c r="D200" s="86">
        <f>+'RESUMEN RENDIMIENTOS'!W18</f>
        <v>1800</v>
      </c>
    </row>
    <row r="201" spans="2:4" ht="16">
      <c r="B201" s="82">
        <v>158</v>
      </c>
      <c r="C201" s="305" t="str">
        <f>+'RESUMEN RENDIMIENTOS'!V19</f>
        <v>Barrido Humedo 45 cm</v>
      </c>
      <c r="D201" s="86">
        <f>+'RESUMEN RENDIMIENTOS'!W19</f>
        <v>900</v>
      </c>
    </row>
    <row r="202" spans="2:4" ht="16">
      <c r="B202" s="82">
        <v>159</v>
      </c>
      <c r="C202" s="305" t="str">
        <f>+'RESUMEN RENDIMIENTOS'!V20</f>
        <v>Barrido Humedo 75 cm</v>
      </c>
      <c r="D202" s="86">
        <f>+'RESUMEN RENDIMIENTOS'!W20</f>
        <v>1400</v>
      </c>
    </row>
    <row r="203" spans="2:4" ht="16">
      <c r="B203" s="82">
        <v>160</v>
      </c>
      <c r="C203" s="305" t="str">
        <f>+'RESUMEN RENDIMIENTOS'!V21</f>
        <v>Barrido Mec G</v>
      </c>
      <c r="D203" s="86">
        <f>+'RESUMEN RENDIMIENTOS'!W21</f>
        <v>3600</v>
      </c>
    </row>
    <row r="204" spans="2:4" ht="16">
      <c r="B204" s="82">
        <v>161</v>
      </c>
      <c r="C204" s="305" t="str">
        <f>+'RESUMEN RENDIMIENTOS'!V22</f>
        <v>Barrido Mec M</v>
      </c>
      <c r="D204" s="86">
        <f>+'RESUMEN RENDIMIENTOS'!W22</f>
        <v>1800</v>
      </c>
    </row>
    <row r="205" spans="2:4" ht="16">
      <c r="B205" s="82">
        <v>162</v>
      </c>
      <c r="C205" s="305" t="str">
        <f>+'RESUMEN RENDIMIENTOS'!V23</f>
        <v>Barrido Mec P</v>
      </c>
      <c r="D205" s="86">
        <f>+'RESUMEN RENDIMIENTOS'!W23</f>
        <v>1100</v>
      </c>
    </row>
    <row r="206" spans="2:4" ht="16">
      <c r="B206" s="82">
        <v>163</v>
      </c>
      <c r="C206" s="305" t="str">
        <f>+'RESUMEN RENDIMIENTOS'!V24</f>
        <v>Barrido Mec SG</v>
      </c>
      <c r="D206" s="86">
        <f>+'RESUMEN RENDIMIENTOS'!W24</f>
        <v>5000</v>
      </c>
    </row>
    <row r="207" spans="2:4" ht="16">
      <c r="B207" s="82">
        <v>164</v>
      </c>
      <c r="C207" s="305" t="str">
        <f>+'RESUMEN RENDIMIENTOS'!V25</f>
        <v>Camas acompañantes</v>
      </c>
      <c r="D207" s="86">
        <f>+'RESUMEN RENDIMIENTOS'!W25</f>
        <v>800</v>
      </c>
    </row>
    <row r="208" spans="2:4" ht="16">
      <c r="B208" s="82">
        <v>165</v>
      </c>
      <c r="C208" s="305" t="str">
        <f>+'RESUMEN RENDIMIENTOS'!V26</f>
        <v>Cristalizado de suelos</v>
      </c>
      <c r="D208" s="86">
        <f>+'RESUMEN RENDIMIENTOS'!W26</f>
        <v>35</v>
      </c>
    </row>
    <row r="209" spans="2:4" ht="16">
      <c r="B209" s="82">
        <v>166</v>
      </c>
      <c r="C209" s="305" t="str">
        <f>+'RESUMEN RENDIMIENTOS'!V27</f>
        <v>Descanso</v>
      </c>
      <c r="D209" s="86">
        <f>+'RESUMEN RENDIMIENTOS'!W27</f>
        <v>2.40003840061441</v>
      </c>
    </row>
    <row r="210" spans="2:4" ht="16">
      <c r="B210" s="82">
        <v>167</v>
      </c>
      <c r="C210" s="305" t="str">
        <f>+'RESUMEN RENDIMIENTOS'!V28</f>
        <v>Desempolvado de mobiliario</v>
      </c>
      <c r="D210" s="86">
        <f>+'RESUMEN RENDIMIENTOS'!W28</f>
        <v>960</v>
      </c>
    </row>
    <row r="211" spans="2:4" ht="16">
      <c r="B211" s="82">
        <v>168</v>
      </c>
      <c r="C211" s="305" t="str">
        <f>+'RESUMEN RENDIMIENTOS'!V29</f>
        <v>Desempolvado de paredes</v>
      </c>
      <c r="D211" s="86">
        <f>+'RESUMEN RENDIMIENTOS'!W29</f>
        <v>800</v>
      </c>
    </row>
    <row r="212" spans="2:4" ht="16">
      <c r="B212" s="82">
        <v>169</v>
      </c>
      <c r="C212" s="305" t="str">
        <f>+'RESUMEN RENDIMIENTOS'!V30</f>
        <v>Desempolvado de paredes con mopsec</v>
      </c>
      <c r="D212" s="86">
        <f>+'RESUMEN RENDIMIENTOS'!W30</f>
        <v>450</v>
      </c>
    </row>
    <row r="213" spans="2:4" ht="16">
      <c r="B213" s="82">
        <v>170</v>
      </c>
      <c r="C213" s="305" t="str">
        <f>+'RESUMEN RENDIMIENTOS'!V31</f>
        <v>Desempolvado de persionas con mopsec</v>
      </c>
      <c r="D213" s="86">
        <f>+'RESUMEN RENDIMIENTOS'!W31</f>
        <v>400</v>
      </c>
    </row>
    <row r="214" spans="2:4" ht="16">
      <c r="B214" s="82">
        <v>171</v>
      </c>
      <c r="C214" s="305" t="str">
        <f>+'RESUMEN RENDIMIENTOS'!V32</f>
        <v>Desempolvado de puertas y marcos</v>
      </c>
      <c r="D214" s="86">
        <f>+'RESUMEN RENDIMIENTOS'!W32</f>
        <v>2000</v>
      </c>
    </row>
    <row r="215" spans="2:4" ht="16">
      <c r="B215" s="82">
        <v>172</v>
      </c>
      <c r="C215" s="305" t="str">
        <f>+'RESUMEN RENDIMIENTOS'!V33</f>
        <v>Desempolvado de puntos de luz</v>
      </c>
      <c r="D215" s="86">
        <f>+'RESUMEN RENDIMIENTOS'!W33</f>
        <v>750</v>
      </c>
    </row>
    <row r="216" spans="2:4" ht="16">
      <c r="B216" s="82">
        <v>173</v>
      </c>
      <c r="C216" s="305" t="str">
        <f>+'RESUMEN RENDIMIENTOS'!V34</f>
        <v>Desempolvado de radiadores</v>
      </c>
      <c r="D216" s="86">
        <f>+'RESUMEN RENDIMIENTOS'!W34</f>
        <v>550</v>
      </c>
    </row>
    <row r="217" spans="2:4" ht="16">
      <c r="B217" s="82">
        <v>174</v>
      </c>
      <c r="C217" s="305" t="str">
        <f>+'RESUMEN RENDIMIENTOS'!V35</f>
        <v>Desempolvado de techos</v>
      </c>
      <c r="D217" s="86">
        <f>+'RESUMEN RENDIMIENTOS'!W35</f>
        <v>600</v>
      </c>
    </row>
    <row r="218" spans="2:4" ht="16">
      <c r="B218" s="82">
        <v>175</v>
      </c>
      <c r="C218" s="305" t="str">
        <f>+'RESUMEN RENDIMIENTOS'!V36</f>
        <v>Fregado a fondo de paredes</v>
      </c>
      <c r="D218" s="86">
        <f>+'RESUMEN RENDIMIENTOS'!W36</f>
        <v>30</v>
      </c>
    </row>
    <row r="219" spans="2:4" ht="16">
      <c r="B219" s="82">
        <v>176</v>
      </c>
      <c r="C219" s="305" t="str">
        <f>+'RESUMEN RENDIMIENTOS'!V37</f>
        <v>Fregado con mocho domestico</v>
      </c>
      <c r="D219" s="86">
        <f>+'RESUMEN RENDIMIENTOS'!W37</f>
        <v>300</v>
      </c>
    </row>
    <row r="220" spans="2:4" ht="16">
      <c r="B220" s="82">
        <v>177</v>
      </c>
      <c r="C220" s="305" t="str">
        <f>+'RESUMEN RENDIMIENTOS'!V38</f>
        <v>Fregado con mopa. Cubo doble</v>
      </c>
      <c r="D220" s="86">
        <f>+'RESUMEN RENDIMIENTOS'!W38</f>
        <v>425</v>
      </c>
    </row>
    <row r="221" spans="2:4" ht="16">
      <c r="B221" s="82">
        <v>178</v>
      </c>
      <c r="C221" s="305" t="str">
        <f>+'RESUMEN RENDIMIENTOS'!V39</f>
        <v>Fregado con mopa. Cubo sencillo</v>
      </c>
      <c r="D221" s="86">
        <f>+'RESUMEN RENDIMIENTOS'!W39</f>
        <v>500</v>
      </c>
    </row>
    <row r="222" spans="2:4" ht="16">
      <c r="B222" s="82">
        <v>179</v>
      </c>
      <c r="C222" s="305" t="str">
        <f>+'RESUMEN RENDIMIENTOS'!V40</f>
        <v>Fregado con sistema Bio</v>
      </c>
      <c r="D222" s="86">
        <f>+'RESUMEN RENDIMIENTOS'!W40</f>
        <v>550</v>
      </c>
    </row>
    <row r="223" spans="2:4" ht="16">
      <c r="B223" s="82">
        <v>180</v>
      </c>
      <c r="C223" s="305" t="str">
        <f>+'RESUMEN RENDIMIENTOS'!V41</f>
        <v>Fregado con sistema pretratado</v>
      </c>
      <c r="D223" s="86">
        <f>+'RESUMEN RENDIMIENTOS'!W41</f>
        <v>600</v>
      </c>
    </row>
    <row r="224" spans="2:4" ht="16">
      <c r="B224" s="82">
        <v>181</v>
      </c>
      <c r="C224" s="305" t="str">
        <f>+'RESUMEN RENDIMIENTOS'!V42</f>
        <v>Fregado mecanico de suelos Fregadora G</v>
      </c>
      <c r="D224" s="86">
        <f>+'RESUMEN RENDIMIENTOS'!W42</f>
        <v>1800</v>
      </c>
    </row>
    <row r="225" spans="2:4" ht="16">
      <c r="B225" s="82">
        <v>182</v>
      </c>
      <c r="C225" s="305" t="str">
        <f>+'RESUMEN RENDIMIENTOS'!V43</f>
        <v>Fregado mecanico de suelos Fregadora M</v>
      </c>
      <c r="D225" s="86">
        <f>+'RESUMEN RENDIMIENTOS'!W43</f>
        <v>1200</v>
      </c>
    </row>
    <row r="226" spans="2:4" ht="16">
      <c r="B226" s="82">
        <v>183</v>
      </c>
      <c r="C226" s="305" t="str">
        <f>+'RESUMEN RENDIMIENTOS'!V44</f>
        <v>Fregado mecanico de suelos Fregadora P</v>
      </c>
      <c r="D226" s="86">
        <f>+'RESUMEN RENDIMIENTOS'!W44</f>
        <v>600</v>
      </c>
    </row>
    <row r="227" spans="2:4" ht="16">
      <c r="B227" s="82">
        <v>184</v>
      </c>
      <c r="C227" s="305" t="str">
        <f>+'RESUMEN RENDIMIENTOS'!V45</f>
        <v>Fregado mecanico de suelos Fregadora SG</v>
      </c>
      <c r="D227" s="86">
        <f>+'RESUMEN RENDIMIENTOS'!W45</f>
        <v>3500</v>
      </c>
    </row>
    <row r="228" spans="2:4" ht="16">
      <c r="B228" s="82">
        <v>185</v>
      </c>
      <c r="C228" s="305" t="str">
        <f>+'RESUMEN RENDIMIENTOS'!V46</f>
        <v>Fregado mecanico de suelos Rotativa</v>
      </c>
      <c r="D228" s="86">
        <f>+'RESUMEN RENDIMIENTOS'!W46</f>
        <v>110</v>
      </c>
    </row>
    <row r="229" spans="2:4" ht="16">
      <c r="B229" s="82">
        <v>186</v>
      </c>
      <c r="C229" s="305" t="str">
        <f>+'RESUMEN RENDIMIENTOS'!V47</f>
        <v>Limpieza a fondo de bajos estantes en almacenes</v>
      </c>
      <c r="D229" s="86">
        <f>+'RESUMEN RENDIMIENTOS'!W47</f>
        <v>100</v>
      </c>
    </row>
    <row r="230" spans="2:4" ht="16">
      <c r="B230" s="82">
        <v>187</v>
      </c>
      <c r="C230" s="305" t="str">
        <f>+'RESUMEN RENDIMIENTOS'!V48</f>
        <v>Limpieza a fondo de mobiliario</v>
      </c>
      <c r="D230" s="86">
        <f>+'RESUMEN RENDIMIENTOS'!W48</f>
        <v>80</v>
      </c>
    </row>
    <row r="231" spans="2:4" ht="16">
      <c r="B231" s="82">
        <v>188</v>
      </c>
      <c r="C231" s="305" t="str">
        <f>+'RESUMEN RENDIMIENTOS'!V49</f>
        <v>Limpieza a fondo de persianas</v>
      </c>
      <c r="D231" s="86">
        <f>+'RESUMEN RENDIMIENTOS'!W49</f>
        <v>40</v>
      </c>
    </row>
    <row r="232" spans="2:4" ht="16">
      <c r="B232" s="82">
        <v>189</v>
      </c>
      <c r="C232" s="305" t="str">
        <f>+'RESUMEN RENDIMIENTOS'!V50</f>
        <v>Limpieza alicatados baños habitaciones</v>
      </c>
      <c r="D232" s="86">
        <f>+'RESUMEN RENDIMIENTOS'!W50</f>
        <v>240</v>
      </c>
    </row>
    <row r="233" spans="2:4" ht="16">
      <c r="B233" s="82">
        <v>190</v>
      </c>
      <c r="C233" s="305" t="str">
        <f>+'RESUMEN RENDIMIENTOS'!V51</f>
        <v>Limpieza de accesorios y dispensadores en aseos</v>
      </c>
      <c r="D233" s="86">
        <f>+'RESUMEN RENDIMIENTOS'!W51</f>
        <v>550</v>
      </c>
    </row>
    <row r="234" spans="2:4" ht="16">
      <c r="B234" s="82">
        <v>191</v>
      </c>
      <c r="C234" s="305" t="str">
        <f>+'RESUMEN RENDIMIENTOS'!V52</f>
        <v>Limpieza de alicatados</v>
      </c>
      <c r="D234" s="86">
        <f>+'RESUMEN RENDIMIENTOS'!W52</f>
        <v>60</v>
      </c>
    </row>
    <row r="235" spans="2:4" ht="16">
      <c r="B235" s="82">
        <v>192</v>
      </c>
      <c r="C235" s="305" t="str">
        <f>+'RESUMEN RENDIMIENTOS'!V53</f>
        <v>Limpieza de barandillas</v>
      </c>
      <c r="D235" s="86">
        <f>+'RESUMEN RENDIMIENTOS'!W53</f>
        <v>250</v>
      </c>
    </row>
    <row r="236" spans="2:4" ht="16">
      <c r="B236" s="82">
        <v>193</v>
      </c>
      <c r="C236" s="305" t="str">
        <f>+'RESUMEN RENDIMIENTOS'!V54</f>
        <v>Limpieza de campana extractora</v>
      </c>
      <c r="D236" s="86">
        <f>+'RESUMEN RENDIMIENTOS'!W54</f>
        <v>50</v>
      </c>
    </row>
    <row r="237" spans="2:4" ht="16">
      <c r="B237" s="82">
        <v>194</v>
      </c>
      <c r="C237" s="305" t="str">
        <f>+'RESUMEN RENDIMIENTOS'!V55</f>
        <v>Limpieza de carros</v>
      </c>
      <c r="D237" s="86">
        <f>+'RESUMEN RENDIMIENTOS'!W55</f>
        <v>6</v>
      </c>
    </row>
    <row r="238" spans="2:4" ht="16">
      <c r="B238" s="82">
        <v>195</v>
      </c>
      <c r="C238" s="305" t="str">
        <f>+'RESUMEN RENDIMIENTOS'!V56</f>
        <v>Limpieza de cristales exteriores</v>
      </c>
      <c r="D238" s="86">
        <f>+'RESUMEN RENDIMIENTOS'!W56</f>
        <v>30</v>
      </c>
    </row>
    <row r="239" spans="2:4" ht="16">
      <c r="B239" s="82">
        <v>196</v>
      </c>
      <c r="C239" s="305" t="str">
        <f>+'RESUMEN RENDIMIENTOS'!V57</f>
        <v>Limpieza de cristales interiores</v>
      </c>
      <c r="D239" s="86">
        <f>+'RESUMEN RENDIMIENTOS'!W57</f>
        <v>35</v>
      </c>
    </row>
    <row r="240" spans="2:4" ht="16">
      <c r="B240" s="82">
        <v>197</v>
      </c>
      <c r="C240" s="305" t="str">
        <f>+'RESUMEN RENDIMIENTOS'!V58</f>
        <v>Limpieza de cuñas y bandejas</v>
      </c>
      <c r="D240" s="86">
        <f>+'RESUMEN RENDIMIENTOS'!W58</f>
        <v>900</v>
      </c>
    </row>
    <row r="241" spans="2:4" ht="16">
      <c r="B241" s="82">
        <v>198</v>
      </c>
      <c r="C241" s="305" t="str">
        <f>+'RESUMEN RENDIMIENTOS'!V59</f>
        <v>Limpieza de espejos</v>
      </c>
      <c r="D241" s="86">
        <f>+'RESUMEN RENDIMIENTOS'!W59</f>
        <v>500</v>
      </c>
    </row>
    <row r="242" spans="2:4" ht="16">
      <c r="B242" s="82">
        <v>199</v>
      </c>
      <c r="C242" s="305" t="str">
        <f>+'RESUMEN RENDIMIENTOS'!V60</f>
        <v>Limpieza de juguetes</v>
      </c>
      <c r="D242" s="86">
        <f>+'RESUMEN RENDIMIENTOS'!W60</f>
        <v>100</v>
      </c>
    </row>
    <row r="243" spans="2:4" ht="16">
      <c r="B243" s="82">
        <v>200</v>
      </c>
      <c r="C243" s="305" t="str">
        <f>+'RESUMEN RENDIMIENTOS'!V61</f>
        <v>Limpieza de libros</v>
      </c>
      <c r="D243" s="86">
        <f>+'RESUMEN RENDIMIENTOS'!W61</f>
        <v>10</v>
      </c>
    </row>
    <row r="244" spans="2:4" ht="16">
      <c r="B244" s="82">
        <v>201</v>
      </c>
      <c r="C244" s="305" t="str">
        <f>+'RESUMEN RENDIMIENTOS'!V62</f>
        <v>Limpieza de maquinaria</v>
      </c>
      <c r="D244" s="86">
        <f>+'RESUMEN RENDIMIENTOS'!W62</f>
        <v>40</v>
      </c>
    </row>
    <row r="245" spans="2:4" ht="16">
      <c r="B245" s="82">
        <v>202</v>
      </c>
      <c r="C245" s="305" t="str">
        <f>+'RESUMEN RENDIMIENTOS'!V63</f>
        <v>Limpieza de Microondas</v>
      </c>
      <c r="D245" s="86">
        <f>+'RESUMEN RENDIMIENTOS'!W63</f>
        <v>500</v>
      </c>
    </row>
    <row r="246" spans="2:4" ht="16">
      <c r="B246" s="82">
        <v>203</v>
      </c>
      <c r="C246" s="305" t="str">
        <f>+'RESUMEN RENDIMIENTOS'!V64</f>
        <v>Limpieza de mobiliario cocina</v>
      </c>
      <c r="D246" s="86">
        <f>+'RESUMEN RENDIMIENTOS'!W64</f>
        <v>400</v>
      </c>
    </row>
    <row r="247" spans="2:4" ht="16">
      <c r="B247" s="82">
        <v>204</v>
      </c>
      <c r="C247" s="305" t="str">
        <f>+'RESUMEN RENDIMIENTOS'!V65</f>
        <v>Limpieza de moquetas con shampu</v>
      </c>
      <c r="D247" s="86">
        <f>+'RESUMEN RENDIMIENTOS'!W65</f>
        <v>25</v>
      </c>
    </row>
    <row r="248" spans="2:4" ht="16">
      <c r="B248" s="82">
        <v>205</v>
      </c>
      <c r="C248" s="305" t="str">
        <f>+'RESUMEN RENDIMIENTOS'!V66</f>
        <v>Limpieza de moquetas Host</v>
      </c>
      <c r="D248" s="86">
        <f>+'RESUMEN RENDIMIENTOS'!W66</f>
        <v>80</v>
      </c>
    </row>
    <row r="249" spans="2:4" ht="16">
      <c r="B249" s="82">
        <v>206</v>
      </c>
      <c r="C249" s="305" t="str">
        <f>+'RESUMEN RENDIMIENTOS'!V67</f>
        <v>Limpieza de Moquetas IE</v>
      </c>
      <c r="D249" s="86">
        <f>+'RESUMEN RENDIMIENTOS'!W67</f>
        <v>30</v>
      </c>
    </row>
    <row r="250" spans="2:4" ht="16">
      <c r="B250" s="82">
        <v>207</v>
      </c>
      <c r="C250" s="305" t="str">
        <f>+'RESUMEN RENDIMIENTOS'!V68</f>
        <v>Limpieza de neveras</v>
      </c>
      <c r="D250" s="86">
        <f>+'RESUMEN RENDIMIENTOS'!W68</f>
        <v>500</v>
      </c>
    </row>
    <row r="251" spans="2:4" ht="16">
      <c r="B251" s="82">
        <v>208</v>
      </c>
      <c r="C251" s="305" t="str">
        <f>+'RESUMEN RENDIMIENTOS'!V69</f>
        <v xml:space="preserve">Limpieza de papeleras </v>
      </c>
      <c r="D251" s="86">
        <f>+'RESUMEN RENDIMIENTOS'!W69</f>
        <v>900</v>
      </c>
    </row>
    <row r="252" spans="2:4" ht="16">
      <c r="B252" s="82">
        <v>209</v>
      </c>
      <c r="C252" s="305" t="str">
        <f>+'RESUMEN RENDIMIENTOS'!V70</f>
        <v>Limpieza de paredes con rastrillo</v>
      </c>
      <c r="D252" s="86">
        <f>+'RESUMEN RENDIMIENTOS'!W70</f>
        <v>70</v>
      </c>
    </row>
    <row r="253" spans="2:4" ht="16">
      <c r="B253" s="82">
        <v>210</v>
      </c>
      <c r="C253" s="305" t="str">
        <f>+'RESUMEN RENDIMIENTOS'!V71</f>
        <v>Limpieza de picas consultas</v>
      </c>
      <c r="D253" s="86">
        <f>+'RESUMEN RENDIMIENTOS'!W71</f>
        <v>1200</v>
      </c>
    </row>
    <row r="254" spans="2:4" ht="16">
      <c r="B254" s="82">
        <v>211</v>
      </c>
      <c r="C254" s="305" t="str">
        <f>+'RESUMEN RENDIMIENTOS'!V72</f>
        <v>Limpieza de Pizarras</v>
      </c>
      <c r="D254" s="86">
        <f>+'RESUMEN RENDIMIENTOS'!W72</f>
        <v>400</v>
      </c>
    </row>
    <row r="255" spans="2:4" ht="16">
      <c r="B255" s="82">
        <v>212</v>
      </c>
      <c r="C255" s="305" t="str">
        <f>+'RESUMEN RENDIMIENTOS'!V73</f>
        <v>Limpieza de puertas y marcos</v>
      </c>
      <c r="D255" s="86">
        <f>+'RESUMEN RENDIMIENTOS'!W73</f>
        <v>805</v>
      </c>
    </row>
    <row r="256" spans="2:4" ht="16">
      <c r="B256" s="82">
        <v>213</v>
      </c>
      <c r="C256" s="305" t="str">
        <f>+'RESUMEN RENDIMIENTOS'!V74</f>
        <v>Limpieza de puntos de luz</v>
      </c>
      <c r="D256" s="86">
        <f>+'RESUMEN RENDIMIENTOS'!W74</f>
        <v>25</v>
      </c>
    </row>
    <row r="257" spans="2:4" ht="16">
      <c r="B257" s="82">
        <v>214</v>
      </c>
      <c r="C257" s="305" t="str">
        <f>+'RESUMEN RENDIMIENTOS'!V75</f>
        <v>Limpieza de rejillas y sumideros</v>
      </c>
      <c r="D257" s="86">
        <f>+'RESUMEN RENDIMIENTOS'!W75</f>
        <v>600</v>
      </c>
    </row>
    <row r="258" spans="2:4" ht="16">
      <c r="B258" s="82">
        <v>215</v>
      </c>
      <c r="C258" s="305" t="str">
        <f>+'RESUMEN RENDIMIENTOS'!V76</f>
        <v>Limpieza de rodapies, zocalos</v>
      </c>
      <c r="D258" s="86">
        <f>+'RESUMEN RENDIMIENTOS'!W76</f>
        <v>250</v>
      </c>
    </row>
    <row r="259" spans="2:4" ht="16">
      <c r="B259" s="82">
        <v>216</v>
      </c>
      <c r="C259" s="305" t="str">
        <f>+'RESUMEN RENDIMIENTOS'!V77</f>
        <v>Limpieza de salas de ordenadores</v>
      </c>
      <c r="D259" s="86">
        <f>+'RESUMEN RENDIMIENTOS'!W77</f>
        <v>270</v>
      </c>
    </row>
    <row r="260" spans="2:4" ht="16">
      <c r="B260" s="82">
        <v>217</v>
      </c>
      <c r="C260" s="305" t="str">
        <f>+'RESUMEN RENDIMIENTOS'!V78</f>
        <v>Limpieza de sanitarios Wc</v>
      </c>
      <c r="D260" s="86">
        <f>+'RESUMEN RENDIMIENTOS'!W78</f>
        <v>325</v>
      </c>
    </row>
    <row r="261" spans="2:4" ht="16">
      <c r="B261" s="82">
        <v>218</v>
      </c>
      <c r="C261" s="305" t="str">
        <f>+'RESUMEN RENDIMIENTOS'!V79</f>
        <v>Limpieza elementos superficies verticales</v>
      </c>
      <c r="D261" s="86">
        <f>+'RESUMEN RENDIMIENTOS'!W79</f>
        <v>1000</v>
      </c>
    </row>
    <row r="262" spans="2:4" ht="16">
      <c r="B262" s="82">
        <v>219</v>
      </c>
      <c r="C262" s="305" t="str">
        <f>+'RESUMEN RENDIMIENTOS'!V80</f>
        <v>Limpieza humeda/desinfeccion de mobiliario</v>
      </c>
      <c r="D262" s="86">
        <f>+'RESUMEN RENDIMIENTOS'!W80</f>
        <v>450</v>
      </c>
    </row>
    <row r="263" spans="2:4" ht="16">
      <c r="B263" s="82">
        <v>220</v>
      </c>
      <c r="C263" s="305" t="str">
        <f>+'RESUMEN RENDIMIENTOS'!V81</f>
        <v>Limpieza humeda/desinfeccion de paredes</v>
      </c>
      <c r="D263" s="86">
        <f>+'RESUMEN RENDIMIENTOS'!W81</f>
        <v>125</v>
      </c>
    </row>
    <row r="264" spans="2:4" ht="16">
      <c r="B264" s="82">
        <v>221</v>
      </c>
      <c r="C264" s="305" t="str">
        <f>+'RESUMEN RENDIMIENTOS'!V82</f>
        <v>Limpieza humeda/desinfeccion de techos</v>
      </c>
      <c r="D264" s="86">
        <f>+'RESUMEN RENDIMIENTOS'!W82</f>
        <v>60</v>
      </c>
    </row>
    <row r="265" spans="2:4" ht="16">
      <c r="B265" s="82">
        <v>222</v>
      </c>
      <c r="C265" s="305" t="str">
        <f>+'RESUMEN RENDIMIENTOS'!V83</f>
        <v xml:space="preserve">Limpieza Lavabos, picas </v>
      </c>
      <c r="D265" s="86">
        <f>+'RESUMEN RENDIMIENTOS'!W83</f>
        <v>400</v>
      </c>
    </row>
    <row r="266" spans="2:4" ht="16">
      <c r="B266" s="82">
        <v>223</v>
      </c>
      <c r="C266" s="305" t="str">
        <f>+'RESUMEN RENDIMIENTOS'!V84</f>
        <v>Limpieza perimetral bajo maquinas</v>
      </c>
      <c r="D266" s="86">
        <f>+'RESUMEN RENDIMIENTOS'!W84</f>
        <v>150</v>
      </c>
    </row>
    <row r="267" spans="2:4" ht="16">
      <c r="B267" s="82">
        <v>224</v>
      </c>
      <c r="C267" s="305" t="str">
        <f>+'RESUMEN RENDIMIENTOS'!V85</f>
        <v>Limpieza porche clase infantil</v>
      </c>
      <c r="D267" s="86">
        <f>+'RESUMEN RENDIMIENTOS'!W85</f>
        <v>300</v>
      </c>
    </row>
    <row r="268" spans="2:4" ht="16">
      <c r="B268" s="82">
        <v>225</v>
      </c>
      <c r="C268" s="305" t="str">
        <f>+'RESUMEN RENDIMIENTOS'!V86</f>
        <v xml:space="preserve">Limpieza presión </v>
      </c>
      <c r="D268" s="86">
        <f>+'RESUMEN RENDIMIENTOS'!W86</f>
        <v>250</v>
      </c>
    </row>
    <row r="269" spans="2:4" ht="27" customHeight="1">
      <c r="B269" s="82">
        <v>226</v>
      </c>
      <c r="C269" s="305" t="str">
        <f>+'RESUMEN RENDIMIENTOS'!V87</f>
        <v>Mantenimiento de estantes accesibles, extintores rotulos</v>
      </c>
      <c r="D269" s="86">
        <f>+'RESUMEN RENDIMIENTOS'!W87</f>
        <v>500</v>
      </c>
    </row>
    <row r="270" spans="2:4" ht="16">
      <c r="B270" s="82">
        <v>227</v>
      </c>
      <c r="C270" s="305" t="str">
        <f>+'RESUMEN RENDIMIENTOS'!V88</f>
        <v>Metodo spray con maquina de alta velocidad</v>
      </c>
      <c r="D270" s="86">
        <f>+'RESUMEN RENDIMIENTOS'!W88</f>
        <v>250</v>
      </c>
    </row>
    <row r="271" spans="2:4" ht="16">
      <c r="B271" s="82">
        <v>228</v>
      </c>
      <c r="C271" s="305" t="str">
        <f>+'RESUMEN RENDIMIENTOS'!V89</f>
        <v>Neutralizado de suelos</v>
      </c>
      <c r="D271" s="86">
        <f>+'RESUMEN RENDIMIENTOS'!W89</f>
        <v>80</v>
      </c>
    </row>
    <row r="272" spans="2:4" ht="16">
      <c r="B272" s="82">
        <v>229</v>
      </c>
      <c r="C272" s="305" t="str">
        <f>+'RESUMEN RENDIMIENTOS'!V90</f>
        <v>Pulverizado</v>
      </c>
      <c r="D272" s="86">
        <f>+'RESUMEN RENDIMIENTOS'!W90</f>
        <v>300</v>
      </c>
    </row>
    <row r="273" spans="2:4" ht="16">
      <c r="B273" s="82">
        <v>230</v>
      </c>
      <c r="C273" s="305" t="str">
        <f>+'RESUMEN RENDIMIENTOS'!V91</f>
        <v>Recogida papeles exterior</v>
      </c>
      <c r="D273" s="86">
        <f>+'RESUMEN RENDIMIENTOS'!W91</f>
        <v>3000</v>
      </c>
    </row>
    <row r="274" spans="2:4" ht="16">
      <c r="B274" s="82">
        <v>231</v>
      </c>
      <c r="C274" s="305" t="str">
        <f>+'RESUMEN RENDIMIENTOS'!V92</f>
        <v>Repaso de cristales</v>
      </c>
      <c r="D274" s="86">
        <f>+'RESUMEN RENDIMIENTOS'!W92</f>
        <v>1500</v>
      </c>
    </row>
    <row r="275" spans="2:4" ht="16">
      <c r="B275" s="82">
        <v>232</v>
      </c>
      <c r="C275" s="305" t="str">
        <f>+'RESUMEN RENDIMIENTOS'!V93</f>
        <v>Repaso elementos superficies verticales</v>
      </c>
      <c r="D275" s="86">
        <f>+'RESUMEN RENDIMIENTOS'!W93</f>
        <v>2000</v>
      </c>
    </row>
    <row r="276" spans="2:4" ht="16">
      <c r="B276" s="82">
        <v>233</v>
      </c>
      <c r="C276" s="305" t="str">
        <f>+'RESUMEN RENDIMIENTOS'!V94</f>
        <v>Retirada de cartones</v>
      </c>
      <c r="D276" s="86">
        <f>+'RESUMEN RENDIMIENTOS'!W94</f>
        <v>2500</v>
      </c>
    </row>
    <row r="277" spans="2:4" ht="16">
      <c r="B277" s="82">
        <v>234</v>
      </c>
      <c r="C277" s="305" t="str">
        <f>+'RESUMEN RENDIMIENTOS'!V95</f>
        <v>Retirada papeles patios exteriores</v>
      </c>
      <c r="D277" s="86">
        <f>+'RESUMEN RENDIMIENTOS'!W95</f>
        <v>3000</v>
      </c>
    </row>
    <row r="278" spans="2:4" ht="16">
      <c r="B278" s="82">
        <v>235</v>
      </c>
      <c r="C278" s="305" t="str">
        <f>+'RESUMEN RENDIMIENTOS'!V96</f>
        <v>Tratamiento de suelos Aplicacion de emulsiones</v>
      </c>
      <c r="D278" s="86">
        <f>+'RESUMEN RENDIMIENTOS'!W96</f>
        <v>70</v>
      </c>
    </row>
    <row r="279" spans="2:4" ht="16">
      <c r="B279" s="82">
        <v>236</v>
      </c>
      <c r="C279" s="305" t="str">
        <f>+'RESUMEN RENDIMIENTOS'!V97</f>
        <v>Vaciado contenedores basura</v>
      </c>
      <c r="D279" s="86">
        <f>+'RESUMEN RENDIMIENTOS'!W97</f>
        <v>2000</v>
      </c>
    </row>
    <row r="280" spans="2:4" ht="16">
      <c r="B280" s="82">
        <v>237</v>
      </c>
      <c r="C280" s="305" t="str">
        <f>+'RESUMEN RENDIMIENTOS'!V98</f>
        <v xml:space="preserve">Vaciado de papeleras </v>
      </c>
      <c r="D280" s="86">
        <f>+'RESUMEN RENDIMIENTOS'!W98</f>
        <v>1800</v>
      </c>
    </row>
    <row r="281" spans="2:4" ht="16">
      <c r="B281" s="82">
        <v>238</v>
      </c>
      <c r="C281" s="305" t="str">
        <f>+'RESUMEN RENDIMIENTOS'!V99</f>
        <v>Vaciado papeleras aparcamiento</v>
      </c>
      <c r="D281" s="86">
        <f>+'RESUMEN RENDIMIENTOS'!W99</f>
        <v>3000</v>
      </c>
    </row>
    <row r="282" spans="2:4" ht="16">
      <c r="B282" s="82">
        <v>239</v>
      </c>
      <c r="C282" s="305" t="str">
        <f>+'RESUMEN RENDIMIENTOS'!V100</f>
        <v>Vacio</v>
      </c>
      <c r="D282" s="86">
        <f>+'RESUMEN RENDIMIENTOS'!W100</f>
        <v>0.1</v>
      </c>
    </row>
    <row r="283" spans="2:4" ht="16">
      <c r="B283" s="82">
        <v>240</v>
      </c>
      <c r="C283" s="305" t="str">
        <f>+'RESUMEN RENDIMIENTOS'!V101</f>
        <v>Vacio</v>
      </c>
      <c r="D283" s="86">
        <f>+'RESUMEN RENDIMIENTOS'!W101</f>
        <v>0.1</v>
      </c>
    </row>
    <row r="284" spans="2:4" ht="16">
      <c r="B284" s="82">
        <v>241</v>
      </c>
      <c r="C284" s="305" t="str">
        <f>+'RESUMEN RENDIMIENTOS'!V102</f>
        <v>Vacio</v>
      </c>
      <c r="D284" s="86">
        <f>+'RESUMEN RENDIMIENTOS'!W102</f>
        <v>0.1</v>
      </c>
    </row>
    <row r="285" spans="2:4" ht="16">
      <c r="B285" s="82">
        <v>242</v>
      </c>
      <c r="C285" s="305" t="str">
        <f>+'RESUMEN RENDIMIENTOS'!V103</f>
        <v>Vacio</v>
      </c>
      <c r="D285" s="86">
        <f>+'RESUMEN RENDIMIENTOS'!W103</f>
        <v>0.1</v>
      </c>
    </row>
    <row r="286" spans="2:4" ht="16">
      <c r="B286" s="82">
        <v>243</v>
      </c>
      <c r="C286" s="305" t="str">
        <f>+'RESUMEN RENDIMIENTOS'!V104</f>
        <v>Vacio</v>
      </c>
      <c r="D286" s="86">
        <f>+'RESUMEN RENDIMIENTOS'!W104</f>
        <v>0.1</v>
      </c>
    </row>
    <row r="287" spans="2:4" ht="15">
      <c r="B287" s="82">
        <v>244</v>
      </c>
      <c r="C287" s="80"/>
      <c r="D287" s="86"/>
    </row>
    <row r="288" spans="2:4" ht="15">
      <c r="B288" s="82">
        <v>245</v>
      </c>
      <c r="C288" s="80"/>
      <c r="D288" s="86"/>
    </row>
    <row r="289" spans="2:4" ht="15">
      <c r="B289" s="82">
        <v>246</v>
      </c>
      <c r="C289" s="80"/>
      <c r="D289" s="86"/>
    </row>
    <row r="290" spans="2:4" ht="15">
      <c r="B290" s="82">
        <v>247</v>
      </c>
      <c r="C290" s="80"/>
      <c r="D290" s="86"/>
    </row>
    <row r="291" spans="2:4" ht="15">
      <c r="B291" s="82">
        <v>248</v>
      </c>
      <c r="C291" s="80"/>
      <c r="D291" s="86"/>
    </row>
    <row r="292" spans="2:4" ht="15">
      <c r="B292" s="82">
        <v>249</v>
      </c>
      <c r="C292" s="80"/>
      <c r="D292" s="86"/>
    </row>
    <row r="293" spans="2:4" ht="15">
      <c r="B293" s="82">
        <v>250</v>
      </c>
      <c r="C293" s="80"/>
      <c r="D293" s="86"/>
    </row>
    <row r="294" spans="2:4" ht="15">
      <c r="B294" s="82">
        <v>251</v>
      </c>
      <c r="C294" s="80"/>
      <c r="D294" s="86"/>
    </row>
    <row r="295" spans="2:4" ht="15">
      <c r="B295" s="82">
        <v>252</v>
      </c>
      <c r="C295" s="80"/>
      <c r="D295" s="86"/>
    </row>
    <row r="296" spans="2:4" ht="15">
      <c r="B296" s="82">
        <v>253</v>
      </c>
      <c r="C296" s="80"/>
      <c r="D296" s="86"/>
    </row>
    <row r="297" spans="2:4" ht="15">
      <c r="B297" s="82">
        <v>254</v>
      </c>
      <c r="C297" s="80"/>
      <c r="D297" s="86"/>
    </row>
    <row r="298" spans="2:4" ht="15">
      <c r="B298" s="82">
        <v>255</v>
      </c>
      <c r="C298" s="80"/>
      <c r="D298" s="86"/>
    </row>
    <row r="299" spans="2:4" ht="15">
      <c r="B299" s="82">
        <v>256</v>
      </c>
      <c r="C299" s="80"/>
      <c r="D299" s="86"/>
    </row>
    <row r="300" spans="2:4" ht="15">
      <c r="B300" s="82">
        <v>257</v>
      </c>
      <c r="C300" s="80"/>
      <c r="D300" s="86"/>
    </row>
    <row r="301" spans="2:4" ht="15">
      <c r="B301" s="82">
        <v>258</v>
      </c>
      <c r="C301" s="80"/>
      <c r="D301" s="86"/>
    </row>
    <row r="302" spans="2:4" ht="15">
      <c r="B302" s="82">
        <v>259</v>
      </c>
      <c r="C302" s="80"/>
      <c r="D302" s="86"/>
    </row>
    <row r="303" spans="2:4" ht="15">
      <c r="B303" s="82">
        <v>260</v>
      </c>
      <c r="C303" s="80"/>
      <c r="D303" s="86"/>
    </row>
    <row r="304" spans="2:4" ht="15">
      <c r="B304" s="82">
        <v>261</v>
      </c>
      <c r="C304" s="80"/>
      <c r="D304" s="86"/>
    </row>
    <row r="305" spans="2:4" ht="15">
      <c r="B305" s="82">
        <v>262</v>
      </c>
      <c r="C305" s="80"/>
      <c r="D305" s="86"/>
    </row>
    <row r="306" spans="2:4" ht="15">
      <c r="B306" s="82">
        <v>263</v>
      </c>
      <c r="C306" s="80"/>
      <c r="D306" s="86"/>
    </row>
    <row r="307" spans="2:4" ht="15">
      <c r="B307" s="82">
        <v>264</v>
      </c>
      <c r="C307" s="80"/>
      <c r="D307" s="86"/>
    </row>
    <row r="308" spans="2:4" ht="15">
      <c r="B308" s="82">
        <v>265</v>
      </c>
      <c r="C308" s="80"/>
      <c r="D308" s="86"/>
    </row>
    <row r="309" spans="2:4" ht="15">
      <c r="B309" s="82">
        <v>266</v>
      </c>
      <c r="C309" s="80"/>
      <c r="D309" s="86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S1490"/>
  <sheetViews>
    <sheetView topLeftCell="B1" zoomScale="80" zoomScaleNormal="80" workbookViewId="0">
      <selection activeCell="G4" sqref="G4"/>
    </sheetView>
  </sheetViews>
  <sheetFormatPr baseColWidth="10" defaultColWidth="11.5" defaultRowHeight="16"/>
  <cols>
    <col min="1" max="1" width="5.1640625" style="88" customWidth="1"/>
    <col min="2" max="2" width="46.6640625" style="179" customWidth="1"/>
    <col min="3" max="3" width="15.33203125" style="179" customWidth="1"/>
    <col min="4" max="4" width="22" style="88" customWidth="1"/>
    <col min="5" max="5" width="12.6640625" style="88" customWidth="1"/>
    <col min="6" max="6" width="15.1640625" style="88" customWidth="1"/>
    <col min="7" max="7" width="7.1640625" style="88" customWidth="1"/>
    <col min="8" max="8" width="38.6640625" style="88" customWidth="1"/>
    <col min="9" max="9" width="15.33203125" style="88" bestFit="1" customWidth="1"/>
    <col min="10" max="10" width="24.6640625" style="88" customWidth="1"/>
    <col min="11" max="11" width="16.33203125" style="179" customWidth="1"/>
    <col min="12" max="12" width="21.83203125" style="88" bestFit="1" customWidth="1"/>
    <col min="13" max="13" width="14.1640625" style="88" customWidth="1"/>
    <col min="14" max="14" width="39.6640625" style="88" customWidth="1"/>
    <col min="15" max="15" width="15.5" style="88" bestFit="1" customWidth="1"/>
    <col min="16" max="16" width="19.1640625" style="88" customWidth="1"/>
    <col min="17" max="17" width="12.83203125" style="88" customWidth="1"/>
    <col min="18" max="18" width="16" style="88" customWidth="1"/>
    <col min="19" max="19" width="10.5" style="88" bestFit="1" customWidth="1"/>
    <col min="20" max="20" width="10.5" style="88" customWidth="1"/>
    <col min="21" max="21" width="11.5" style="88" bestFit="1" customWidth="1"/>
    <col min="22" max="22" width="55" style="89" bestFit="1" customWidth="1"/>
    <col min="23" max="23" width="19.33203125" style="89" bestFit="1" customWidth="1"/>
    <col min="24" max="24" width="13.6640625" style="89" bestFit="1" customWidth="1"/>
    <col min="25" max="25" width="18.33203125" style="89" bestFit="1" customWidth="1"/>
    <col min="26" max="26" width="20.83203125" style="89" customWidth="1"/>
    <col min="27" max="27" width="11.5" style="88"/>
    <col min="28" max="28" width="29.5" style="88" bestFit="1" customWidth="1"/>
    <col min="29" max="29" width="17.1640625" style="88" bestFit="1" customWidth="1"/>
    <col min="30" max="30" width="13.1640625" style="88" bestFit="1" customWidth="1"/>
    <col min="31" max="31" width="13" style="88" bestFit="1" customWidth="1"/>
    <col min="32" max="32" width="18.83203125" style="90" customWidth="1"/>
    <col min="33" max="33" width="14.33203125" style="90" bestFit="1" customWidth="1"/>
    <col min="34" max="34" width="13.83203125" style="90" bestFit="1" customWidth="1"/>
    <col min="35" max="35" width="12.33203125" style="88" bestFit="1" customWidth="1"/>
    <col min="36" max="36" width="11.6640625" style="88" bestFit="1" customWidth="1"/>
    <col min="37" max="37" width="16.6640625" style="88" customWidth="1"/>
    <col min="38" max="38" width="20.6640625" style="88" customWidth="1"/>
    <col min="39" max="39" width="15" style="88" bestFit="1" customWidth="1"/>
    <col min="40" max="40" width="8.6640625" style="88" bestFit="1" customWidth="1"/>
    <col min="41" max="41" width="13.1640625" style="88" customWidth="1"/>
    <col min="42" max="42" width="13" style="88" bestFit="1" customWidth="1"/>
    <col min="43" max="44" width="11.5" style="88"/>
    <col min="45" max="45" width="33.1640625" style="88" bestFit="1" customWidth="1"/>
    <col min="46" max="46" width="10.33203125" style="88" bestFit="1" customWidth="1"/>
    <col min="47" max="47" width="24.1640625" style="88" bestFit="1" customWidth="1"/>
    <col min="48" max="48" width="5.33203125" style="88" bestFit="1" customWidth="1"/>
    <col min="49" max="49" width="8.33203125" style="88" bestFit="1" customWidth="1"/>
    <col min="50" max="50" width="20.5" style="88" bestFit="1" customWidth="1"/>
    <col min="51" max="51" width="8.33203125" style="88" bestFit="1" customWidth="1"/>
    <col min="52" max="52" width="17.1640625" style="88" bestFit="1" customWidth="1"/>
    <col min="53" max="53" width="5.33203125" style="88" bestFit="1" customWidth="1"/>
    <col min="54" max="54" width="7.5" style="88" bestFit="1" customWidth="1"/>
    <col min="55" max="55" width="34.33203125" style="88" bestFit="1" customWidth="1"/>
    <col min="56" max="56" width="6.5" style="88" bestFit="1" customWidth="1"/>
    <col min="57" max="57" width="30" style="88" bestFit="1" customWidth="1"/>
    <col min="58" max="58" width="5.33203125" style="88" bestFit="1" customWidth="1"/>
    <col min="59" max="59" width="9.33203125" style="88" bestFit="1" customWidth="1"/>
    <col min="60" max="16384" width="11.5" style="88"/>
  </cols>
  <sheetData>
    <row r="1" spans="1:45" ht="31" thickTop="1">
      <c r="A1" s="430" t="s">
        <v>261</v>
      </c>
      <c r="B1" s="431"/>
      <c r="C1" s="434" t="s">
        <v>262</v>
      </c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  <c r="S1" s="87"/>
      <c r="T1" s="87"/>
    </row>
    <row r="2" spans="1:45" ht="12" customHeight="1" thickBot="1">
      <c r="A2" s="432"/>
      <c r="B2" s="433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  <c r="O2" s="92"/>
      <c r="P2" s="92"/>
      <c r="Q2" s="92"/>
      <c r="R2" s="91"/>
      <c r="S2" s="87"/>
      <c r="T2" s="87"/>
    </row>
    <row r="3" spans="1:45" s="89" customFormat="1" ht="18" thickTop="1" thickBot="1">
      <c r="A3" s="93"/>
      <c r="B3" s="94" t="str">
        <f>+I260</f>
        <v>Almacen</v>
      </c>
      <c r="C3" s="94">
        <f>+K282</f>
        <v>180.13784461152881</v>
      </c>
      <c r="D3" s="94" t="str">
        <f>+I304</f>
        <v>Gimnasio</v>
      </c>
      <c r="E3" s="94"/>
      <c r="F3" s="94">
        <f>+K326</f>
        <v>166.39367026801546</v>
      </c>
      <c r="G3" s="95"/>
      <c r="H3" s="94" t="str">
        <f>I964</f>
        <v>Sala de Producción</v>
      </c>
      <c r="I3" s="94">
        <f>+K986</f>
        <v>297.20627703935378</v>
      </c>
      <c r="J3" s="96" t="str">
        <f>O964</f>
        <v>Zonas administrativas Moqueta</v>
      </c>
      <c r="K3" s="96"/>
      <c r="L3" s="96">
        <f>+Q986</f>
        <v>285.87765907374916</v>
      </c>
      <c r="M3" s="97"/>
      <c r="N3" s="96" t="str">
        <f>+I920</f>
        <v>Aplicación de emulsiones</v>
      </c>
      <c r="O3" s="96">
        <f>+K942</f>
        <v>32.21649484536082</v>
      </c>
      <c r="P3" s="96" t="s">
        <v>3</v>
      </c>
      <c r="Q3" s="96"/>
      <c r="R3" s="96">
        <v>30</v>
      </c>
      <c r="S3" s="98"/>
      <c r="T3" s="98"/>
      <c r="AF3" s="99"/>
      <c r="AG3" s="99"/>
      <c r="AH3" s="99"/>
    </row>
    <row r="4" spans="1:45" s="102" customFormat="1" ht="18" thickTop="1" thickBot="1">
      <c r="A4" s="100"/>
      <c r="B4" s="94" t="str">
        <f>+O260</f>
        <v>Archivos</v>
      </c>
      <c r="C4" s="94">
        <f>+Q282</f>
        <v>208.1877588705392</v>
      </c>
      <c r="D4" s="94" t="str">
        <f>+O348</f>
        <v>Habitaciones con baño</v>
      </c>
      <c r="E4" s="94"/>
      <c r="F4" s="94">
        <f>+Q370</f>
        <v>103.34225269538601</v>
      </c>
      <c r="G4" s="95"/>
      <c r="H4" s="94" t="str">
        <f>+C1008</f>
        <v>Sala de produccion Mecanico</v>
      </c>
      <c r="I4" s="94">
        <f>+E1030</f>
        <v>1458.7379914956166</v>
      </c>
      <c r="J4" s="96" t="str">
        <f>+O1316</f>
        <v>Vacio 1</v>
      </c>
      <c r="K4" s="96"/>
      <c r="L4" s="96">
        <f>+Q1338</f>
        <v>1250.0000000000002</v>
      </c>
      <c r="M4" s="97"/>
      <c r="N4" s="96" t="str">
        <f>C920</f>
        <v>Aplicación de emulsiones, decapado</v>
      </c>
      <c r="O4" s="96">
        <f>+E942</f>
        <v>17.070142768466791</v>
      </c>
      <c r="P4" s="96" t="s">
        <v>169</v>
      </c>
      <c r="Q4" s="96"/>
      <c r="R4" s="96">
        <v>40</v>
      </c>
      <c r="S4" s="101"/>
      <c r="T4" s="101"/>
      <c r="AF4" s="103"/>
      <c r="AG4" s="103"/>
      <c r="AH4" s="103"/>
      <c r="AI4" s="407" t="s">
        <v>263</v>
      </c>
      <c r="AJ4" s="407" t="s">
        <v>264</v>
      </c>
      <c r="AL4" s="407" t="s">
        <v>265</v>
      </c>
    </row>
    <row r="5" spans="1:45" s="102" customFormat="1" ht="19" thickTop="1" thickBot="1">
      <c r="A5" s="100"/>
      <c r="B5" s="94" t="str">
        <f>+I1140</f>
        <v>Archivo Pasivo</v>
      </c>
      <c r="C5" s="94">
        <f>+K1162</f>
        <v>148.85446779134486</v>
      </c>
      <c r="D5" s="94" t="str">
        <f>+I392</f>
        <v>Habitaciones sin baño</v>
      </c>
      <c r="E5" s="94"/>
      <c r="F5" s="94">
        <f>+K414</f>
        <v>108.42291184872587</v>
      </c>
      <c r="G5" s="95"/>
      <c r="H5" s="94" t="str">
        <f>+C1272</f>
        <v>Sala tecnica</v>
      </c>
      <c r="I5" s="94">
        <f>+E1294</f>
        <v>136.09760296079526</v>
      </c>
      <c r="J5" s="96" t="str">
        <f>+C1360</f>
        <v>Vacio 2</v>
      </c>
      <c r="K5" s="96"/>
      <c r="L5" s="96">
        <f>+E1382</f>
        <v>1250.0000000000002</v>
      </c>
      <c r="M5" s="97"/>
      <c r="N5" s="96" t="str">
        <f>+O920</f>
        <v>Cristalizado de Suelos</v>
      </c>
      <c r="O5" s="96">
        <f>+Q942</f>
        <v>29.761904761904759</v>
      </c>
      <c r="P5" s="96" t="s">
        <v>153</v>
      </c>
      <c r="Q5" s="96"/>
      <c r="R5" s="96">
        <v>3</v>
      </c>
      <c r="S5" s="101"/>
      <c r="T5" s="101"/>
      <c r="U5" s="104" t="s">
        <v>66</v>
      </c>
      <c r="V5" s="104" t="s">
        <v>266</v>
      </c>
      <c r="W5" s="104" t="s">
        <v>67</v>
      </c>
      <c r="X5" s="105" t="s">
        <v>267</v>
      </c>
      <c r="Y5" s="105" t="s">
        <v>268</v>
      </c>
      <c r="Z5" s="105" t="s">
        <v>269</v>
      </c>
      <c r="AB5" s="106"/>
      <c r="AC5" s="107" t="s">
        <v>270</v>
      </c>
      <c r="AD5" s="107" t="s">
        <v>271</v>
      </c>
      <c r="AE5" s="107" t="s">
        <v>272</v>
      </c>
      <c r="AF5" s="107" t="s">
        <v>273</v>
      </c>
      <c r="AG5" s="107" t="s">
        <v>274</v>
      </c>
      <c r="AH5" s="107" t="s">
        <v>18</v>
      </c>
      <c r="AI5" s="408"/>
      <c r="AJ5" s="408"/>
      <c r="AK5" s="107" t="s">
        <v>275</v>
      </c>
      <c r="AL5" s="408"/>
      <c r="AM5" s="107" t="s">
        <v>18</v>
      </c>
      <c r="AN5" s="108" t="s">
        <v>276</v>
      </c>
      <c r="AO5" s="108" t="s">
        <v>277</v>
      </c>
      <c r="AS5" s="102" t="s">
        <v>5</v>
      </c>
    </row>
    <row r="6" spans="1:45" s="102" customFormat="1" ht="18" thickTop="1" thickBot="1">
      <c r="A6" s="100"/>
      <c r="B6" s="94" t="str">
        <f>+C480</f>
        <v>Ascensores</v>
      </c>
      <c r="C6" s="94">
        <f>+E502</f>
        <v>125.86904304949198</v>
      </c>
      <c r="D6" s="94" t="str">
        <f>+C392</f>
        <v>Habitaciones de guardia</v>
      </c>
      <c r="E6" s="94"/>
      <c r="F6" s="94">
        <f>+E414</f>
        <v>119.69550663432021</v>
      </c>
      <c r="G6" s="95"/>
      <c r="H6" s="94" t="str">
        <f>I788</f>
        <v>Sala de reuniones</v>
      </c>
      <c r="I6" s="94">
        <f>+K810</f>
        <v>169.6825636914914</v>
      </c>
      <c r="J6" s="96" t="str">
        <f>+I1360</f>
        <v>Vacio 3</v>
      </c>
      <c r="K6" s="96"/>
      <c r="L6" s="96">
        <f>+K1382</f>
        <v>1250.0000000000002</v>
      </c>
      <c r="M6" s="97"/>
      <c r="N6" s="96" t="str">
        <f>+C964</f>
        <v>Decapado Cristalizado de Suelos</v>
      </c>
      <c r="O6" s="96">
        <f>+E986</f>
        <v>15.580736543909349</v>
      </c>
      <c r="P6" s="96" t="s">
        <v>154</v>
      </c>
      <c r="Q6" s="96"/>
      <c r="R6" s="96">
        <v>3</v>
      </c>
      <c r="S6" s="101"/>
      <c r="T6" s="101"/>
      <c r="U6" s="109">
        <v>1</v>
      </c>
      <c r="V6" s="110">
        <v>0</v>
      </c>
      <c r="W6" s="111"/>
      <c r="X6" s="112"/>
      <c r="Y6" s="112"/>
      <c r="Z6" s="112"/>
      <c r="AB6" s="113"/>
      <c r="AC6" s="114"/>
      <c r="AD6" s="114"/>
      <c r="AE6" s="114"/>
      <c r="AF6" s="114"/>
      <c r="AG6" s="114"/>
      <c r="AH6" s="114"/>
      <c r="AI6" s="114"/>
      <c r="AJ6" s="114"/>
      <c r="AK6" s="115"/>
      <c r="AL6" s="114"/>
      <c r="AM6" s="114"/>
      <c r="AN6" s="113"/>
      <c r="AO6" s="116"/>
      <c r="AS6" s="102" t="s">
        <v>68</v>
      </c>
    </row>
    <row r="7" spans="1:45" s="102" customFormat="1" ht="18" thickTop="1" thickBot="1">
      <c r="A7" s="100"/>
      <c r="B7" s="94" t="str">
        <f>+I744</f>
        <v>Auditorio</v>
      </c>
      <c r="C7" s="94">
        <f>+K766</f>
        <v>215.22734918689818</v>
      </c>
      <c r="D7" s="94" t="str">
        <f>+O436</f>
        <v>Laboratorios</v>
      </c>
      <c r="E7" s="94"/>
      <c r="F7" s="94">
        <f>+Q458</f>
        <v>207.57344864600515</v>
      </c>
      <c r="G7" s="95"/>
      <c r="H7" s="94" t="str">
        <f>+I436</f>
        <v>Sala de ventas P</v>
      </c>
      <c r="I7" s="94">
        <f>+K458</f>
        <v>343.29554457051</v>
      </c>
      <c r="J7" s="96" t="str">
        <f>+O1360</f>
        <v>Vacio 4</v>
      </c>
      <c r="K7" s="96"/>
      <c r="L7" s="96">
        <f>+Q1382</f>
        <v>1250.0000000000002</v>
      </c>
      <c r="M7" s="97"/>
      <c r="N7" s="96" t="str">
        <f>I876</f>
        <v>Limpieza de Moquetas Champú</v>
      </c>
      <c r="O7" s="96">
        <f>+K898</f>
        <v>19.305019305019307</v>
      </c>
      <c r="P7" s="96" t="s">
        <v>155</v>
      </c>
      <c r="Q7" s="96"/>
      <c r="R7" s="96">
        <v>60</v>
      </c>
      <c r="S7" s="101"/>
      <c r="T7" s="101"/>
      <c r="U7" s="109">
        <v>2</v>
      </c>
      <c r="V7" s="117" t="s">
        <v>170</v>
      </c>
      <c r="W7" s="118">
        <v>200</v>
      </c>
      <c r="X7" s="119"/>
      <c r="Y7" s="119"/>
      <c r="Z7" s="119"/>
      <c r="AB7" s="120" t="s">
        <v>278</v>
      </c>
      <c r="AC7" s="121"/>
      <c r="AD7" s="122">
        <v>6000</v>
      </c>
      <c r="AE7" s="123">
        <v>2E-3</v>
      </c>
      <c r="AF7" s="122">
        <f>+AD7*AE7</f>
        <v>12</v>
      </c>
      <c r="AG7" s="122">
        <f t="shared" ref="AG7:AG26" si="0">1000/AF7</f>
        <v>83.333333333333329</v>
      </c>
      <c r="AH7" s="122">
        <v>70</v>
      </c>
      <c r="AI7" s="115">
        <v>1</v>
      </c>
      <c r="AJ7" s="123">
        <f t="shared" ref="AJ7:AJ26" si="1">+IF(AI7=1,80%,IF(AI7=2,60%,IF(AI7=3,40%,IF(AI7=4,20%,IF(AI7=0,"""",0)))))</f>
        <v>0.8</v>
      </c>
      <c r="AK7" s="115">
        <v>1</v>
      </c>
      <c r="AL7" s="124">
        <f t="shared" ref="AL7:AL26" si="2">+IF(AK7=100%,1,IF(AK7=2,90%,IF(AK7=3,80%,IF(AK7=4,70%,IF(AK7=0,"""",0)))))</f>
        <v>1</v>
      </c>
      <c r="AM7" s="122">
        <f>((AH7/AJ7)*AG7)*AL7</f>
        <v>7291.6666666666661</v>
      </c>
      <c r="AN7" s="125">
        <v>0.75</v>
      </c>
      <c r="AO7" s="126">
        <f t="shared" ref="AO7:AO26" si="3">+AN7/AM7*100</f>
        <v>1.0285714285714287E-2</v>
      </c>
      <c r="AP7" s="127">
        <f>+AG7*AH7</f>
        <v>5833.333333333333</v>
      </c>
      <c r="AS7" s="102" t="s">
        <v>70</v>
      </c>
    </row>
    <row r="8" spans="1:45" s="102" customFormat="1" ht="18" thickTop="1" thickBot="1">
      <c r="A8" s="100"/>
      <c r="B8" s="94" t="str">
        <f>+C744</f>
        <v>Aula Infantil</v>
      </c>
      <c r="C8" s="94">
        <f>+E766</f>
        <v>50.468301255629044</v>
      </c>
      <c r="D8" s="94" t="str">
        <f>+I1228</f>
        <v>Locutorio</v>
      </c>
      <c r="E8" s="94"/>
      <c r="F8" s="94">
        <f>+K1250</f>
        <v>230.27058233262628</v>
      </c>
      <c r="G8" s="95"/>
      <c r="H8" s="94" t="str">
        <f>+C436</f>
        <v>Sala de ventas M</v>
      </c>
      <c r="I8" s="94">
        <f>+E458</f>
        <v>554.99104973948124</v>
      </c>
      <c r="J8" s="96" t="str">
        <f>+C1404</f>
        <v>Vacio 5</v>
      </c>
      <c r="K8" s="96"/>
      <c r="L8" s="96">
        <f>+E1426</f>
        <v>1250.0000000000002</v>
      </c>
      <c r="M8" s="97"/>
      <c r="N8" s="96" t="str">
        <f>O876</f>
        <v>Limpieza de Moquetas IE</v>
      </c>
      <c r="O8" s="96">
        <f>+Q898</f>
        <v>24.489795918367342</v>
      </c>
      <c r="P8" s="96" t="s">
        <v>156</v>
      </c>
      <c r="Q8" s="96"/>
      <c r="R8" s="96">
        <v>40</v>
      </c>
      <c r="S8" s="101"/>
      <c r="T8" s="101"/>
      <c r="U8" s="109">
        <v>3</v>
      </c>
      <c r="V8" s="117" t="s">
        <v>171</v>
      </c>
      <c r="W8" s="118">
        <v>35</v>
      </c>
      <c r="X8" s="119"/>
      <c r="Y8" s="119"/>
      <c r="Z8" s="119"/>
      <c r="AB8" s="120" t="s">
        <v>279</v>
      </c>
      <c r="AC8" s="121"/>
      <c r="AD8" s="122">
        <v>6000</v>
      </c>
      <c r="AE8" s="123">
        <v>0.01</v>
      </c>
      <c r="AF8" s="122">
        <f>+AD8*AE8</f>
        <v>60</v>
      </c>
      <c r="AG8" s="122">
        <f t="shared" si="0"/>
        <v>16.666666666666668</v>
      </c>
      <c r="AH8" s="122">
        <v>100</v>
      </c>
      <c r="AI8" s="115">
        <v>1</v>
      </c>
      <c r="AJ8" s="123">
        <f t="shared" si="1"/>
        <v>0.8</v>
      </c>
      <c r="AK8" s="115">
        <v>1</v>
      </c>
      <c r="AL8" s="124">
        <f t="shared" si="2"/>
        <v>1</v>
      </c>
      <c r="AM8" s="122">
        <f t="shared" ref="AM8:AM26" si="4">((AH8/AJ8)*AG8)*AL8</f>
        <v>2083.3333333333335</v>
      </c>
      <c r="AN8" s="126">
        <v>2</v>
      </c>
      <c r="AO8" s="126">
        <f t="shared" si="3"/>
        <v>9.5999999999999988E-2</v>
      </c>
      <c r="AS8" s="102" t="s">
        <v>71</v>
      </c>
    </row>
    <row r="9" spans="1:45" s="102" customFormat="1" ht="18" thickTop="1" thickBot="1">
      <c r="A9" s="100"/>
      <c r="B9" s="94" t="str">
        <f>+I1096</f>
        <v>Aula Taller</v>
      </c>
      <c r="C9" s="94">
        <f>+K1118</f>
        <v>284.68938596240116</v>
      </c>
      <c r="D9" s="94" t="str">
        <f>+C1096</f>
        <v>Office</v>
      </c>
      <c r="E9" s="94"/>
      <c r="F9" s="94">
        <f>+E1118</f>
        <v>159.26675726826647</v>
      </c>
      <c r="G9" s="95"/>
      <c r="H9" s="94" t="str">
        <f>+O392</f>
        <v>Sala de ventas G</v>
      </c>
      <c r="I9" s="94">
        <f>+Q414</f>
        <v>670.81689987839002</v>
      </c>
      <c r="J9" s="96" t="str">
        <f>+I1404</f>
        <v>Vacio 6</v>
      </c>
      <c r="K9" s="96"/>
      <c r="L9" s="96">
        <f>+K1426</f>
        <v>1250.0000000000002</v>
      </c>
      <c r="M9" s="97"/>
      <c r="N9" s="96" t="s">
        <v>159</v>
      </c>
      <c r="O9" s="96">
        <v>0.1</v>
      </c>
      <c r="P9" s="96" t="s">
        <v>157</v>
      </c>
      <c r="Q9" s="96"/>
      <c r="R9" s="96">
        <v>500</v>
      </c>
      <c r="S9" s="101"/>
      <c r="T9" s="101"/>
      <c r="U9" s="109">
        <v>4</v>
      </c>
      <c r="V9" s="117" t="s">
        <v>27</v>
      </c>
      <c r="W9" s="118">
        <v>40</v>
      </c>
      <c r="X9" s="119"/>
      <c r="Y9" s="119"/>
      <c r="Z9" s="119"/>
      <c r="AB9" s="120" t="s">
        <v>280</v>
      </c>
      <c r="AC9" s="121"/>
      <c r="AD9" s="122">
        <v>6000</v>
      </c>
      <c r="AE9" s="123">
        <v>0.01</v>
      </c>
      <c r="AF9" s="122">
        <f>+AD9*AE9</f>
        <v>60</v>
      </c>
      <c r="AG9" s="122">
        <f t="shared" si="0"/>
        <v>16.666666666666668</v>
      </c>
      <c r="AH9" s="122">
        <v>60</v>
      </c>
      <c r="AI9" s="115">
        <v>1</v>
      </c>
      <c r="AJ9" s="123">
        <f t="shared" si="1"/>
        <v>0.8</v>
      </c>
      <c r="AK9" s="115">
        <v>1</v>
      </c>
      <c r="AL9" s="124">
        <f t="shared" si="2"/>
        <v>1</v>
      </c>
      <c r="AM9" s="122">
        <f t="shared" si="4"/>
        <v>1250</v>
      </c>
      <c r="AN9" s="126">
        <v>4</v>
      </c>
      <c r="AO9" s="126">
        <f t="shared" si="3"/>
        <v>0.32</v>
      </c>
      <c r="AS9" s="102" t="s">
        <v>72</v>
      </c>
    </row>
    <row r="10" spans="1:45" s="102" customFormat="1" ht="18" thickTop="1" thickBot="1">
      <c r="A10" s="100"/>
      <c r="B10" s="94" t="str">
        <f>I348</f>
        <v>Aulas</v>
      </c>
      <c r="C10" s="94">
        <f>+K370</f>
        <v>220.3812113150673</v>
      </c>
      <c r="D10" s="94" t="s">
        <v>97</v>
      </c>
      <c r="E10" s="94"/>
      <c r="F10" s="94">
        <f>+K634</f>
        <v>718.64111498257842</v>
      </c>
      <c r="G10" s="95"/>
      <c r="H10" s="94" t="str">
        <f>+C568</f>
        <v>Sala de ventas SG &gt; 2500</v>
      </c>
      <c r="I10" s="94">
        <f>+E590</f>
        <v>841.39847011578229</v>
      </c>
      <c r="J10" s="96" t="str">
        <f>+O1404</f>
        <v>Vacio 7</v>
      </c>
      <c r="K10" s="96"/>
      <c r="L10" s="96">
        <f>+Q1426</f>
        <v>1250.0000000000002</v>
      </c>
      <c r="M10" s="97"/>
      <c r="N10" s="96" t="s">
        <v>159</v>
      </c>
      <c r="O10" s="96">
        <v>0.1</v>
      </c>
      <c r="P10" s="96" t="s">
        <v>158</v>
      </c>
      <c r="Q10" s="96"/>
      <c r="R10" s="96">
        <v>300</v>
      </c>
      <c r="S10" s="101"/>
      <c r="T10" s="101"/>
      <c r="U10" s="109">
        <v>5</v>
      </c>
      <c r="V10" s="117" t="s">
        <v>172</v>
      </c>
      <c r="W10" s="118">
        <v>200</v>
      </c>
      <c r="X10" s="119"/>
      <c r="Y10" s="119"/>
      <c r="Z10" s="119"/>
      <c r="AB10" s="120" t="s">
        <v>281</v>
      </c>
      <c r="AC10" s="121"/>
      <c r="AD10" s="122">
        <v>6000</v>
      </c>
      <c r="AE10" s="123">
        <v>0.05</v>
      </c>
      <c r="AF10" s="122">
        <f>+AD10*AE10</f>
        <v>300</v>
      </c>
      <c r="AG10" s="122">
        <f t="shared" si="0"/>
        <v>3.3333333333333335</v>
      </c>
      <c r="AH10" s="122">
        <v>300</v>
      </c>
      <c r="AI10" s="115">
        <v>1</v>
      </c>
      <c r="AJ10" s="123">
        <f t="shared" si="1"/>
        <v>0.8</v>
      </c>
      <c r="AK10" s="115">
        <v>1</v>
      </c>
      <c r="AL10" s="124">
        <f t="shared" si="2"/>
        <v>1</v>
      </c>
      <c r="AM10" s="122">
        <f t="shared" si="4"/>
        <v>1250</v>
      </c>
      <c r="AN10" s="126">
        <v>1.18</v>
      </c>
      <c r="AO10" s="126">
        <f t="shared" si="3"/>
        <v>9.4399999999999998E-2</v>
      </c>
      <c r="AS10" s="102" t="s">
        <v>73</v>
      </c>
    </row>
    <row r="11" spans="1:45" s="102" customFormat="1" ht="18" thickTop="1" thickBot="1">
      <c r="A11" s="100"/>
      <c r="B11" s="94" t="str">
        <f>+I216</f>
        <v>Baños</v>
      </c>
      <c r="C11" s="94">
        <f>+K238</f>
        <v>64.091757583241659</v>
      </c>
      <c r="D11" s="94" t="s">
        <v>98</v>
      </c>
      <c r="E11" s="94"/>
      <c r="F11" s="94">
        <f>+Q634</f>
        <v>1461.0389610389609</v>
      </c>
      <c r="G11" s="95"/>
      <c r="H11" s="94" t="str">
        <f>O788</f>
        <v>Sala Gimnasia Diafana</v>
      </c>
      <c r="I11" s="94">
        <f>+Q810</f>
        <v>218.34061135371181</v>
      </c>
      <c r="J11" s="96" t="str">
        <f>+C1448</f>
        <v>Vacio 8</v>
      </c>
      <c r="K11" s="96"/>
      <c r="L11" s="96">
        <f>+E1470</f>
        <v>1250.0000000000002</v>
      </c>
      <c r="M11" s="97"/>
      <c r="N11" s="96" t="s">
        <v>165</v>
      </c>
      <c r="O11" s="96">
        <v>1</v>
      </c>
      <c r="P11" s="96" t="s">
        <v>159</v>
      </c>
      <c r="Q11" s="96"/>
      <c r="R11" s="96">
        <v>0.1</v>
      </c>
      <c r="S11" s="101"/>
      <c r="T11" s="101"/>
      <c r="U11" s="109">
        <v>6</v>
      </c>
      <c r="V11" s="117" t="s">
        <v>173</v>
      </c>
      <c r="W11" s="118">
        <v>320</v>
      </c>
      <c r="X11" s="119"/>
      <c r="Y11" s="119"/>
      <c r="Z11" s="119"/>
      <c r="AB11" s="120" t="s">
        <v>282</v>
      </c>
      <c r="AC11" s="121"/>
      <c r="AD11" s="122">
        <v>0</v>
      </c>
      <c r="AE11" s="123">
        <v>1</v>
      </c>
      <c r="AF11" s="122">
        <v>1000</v>
      </c>
      <c r="AG11" s="122">
        <f t="shared" si="0"/>
        <v>1</v>
      </c>
      <c r="AH11" s="122">
        <v>3000</v>
      </c>
      <c r="AI11" s="115">
        <v>1</v>
      </c>
      <c r="AJ11" s="123">
        <f t="shared" si="1"/>
        <v>0.8</v>
      </c>
      <c r="AK11" s="115">
        <v>1</v>
      </c>
      <c r="AL11" s="124">
        <f t="shared" si="2"/>
        <v>1</v>
      </c>
      <c r="AM11" s="122">
        <f t="shared" si="4"/>
        <v>3750</v>
      </c>
      <c r="AN11" s="126">
        <v>2.62</v>
      </c>
      <c r="AO11" s="126">
        <f t="shared" si="3"/>
        <v>6.986666666666666E-2</v>
      </c>
      <c r="AS11" s="102" t="s">
        <v>74</v>
      </c>
    </row>
    <row r="12" spans="1:45" s="102" customFormat="1" ht="18" thickTop="1" thickBot="1">
      <c r="A12" s="100"/>
      <c r="B12" s="94" t="str">
        <f>O744</f>
        <v>Biblioteca</v>
      </c>
      <c r="C12" s="94">
        <f>Q766</f>
        <v>192.7504498251792</v>
      </c>
      <c r="D12" s="94" t="str">
        <f>+C656</f>
        <v>Parking exterior G</v>
      </c>
      <c r="E12" s="94"/>
      <c r="F12" s="94">
        <f>+E678</f>
        <v>1780.5081216159933</v>
      </c>
      <c r="G12" s="95"/>
      <c r="H12" s="94" t="str">
        <f>C788</f>
        <v>Salas Blancas</v>
      </c>
      <c r="I12" s="94">
        <f>+E810</f>
        <v>33.905967450271248</v>
      </c>
      <c r="J12" s="96" t="str">
        <f>+I1448</f>
        <v>Vacio 9</v>
      </c>
      <c r="K12" s="96"/>
      <c r="L12" s="96">
        <f>+K1470</f>
        <v>1250.0000000000002</v>
      </c>
      <c r="M12" s="97"/>
      <c r="N12" s="96" t="s">
        <v>166</v>
      </c>
      <c r="O12" s="96">
        <v>1</v>
      </c>
      <c r="P12" s="96" t="s">
        <v>159</v>
      </c>
      <c r="Q12" s="96"/>
      <c r="R12" s="96">
        <v>0.1</v>
      </c>
      <c r="S12" s="101"/>
      <c r="T12" s="101"/>
      <c r="U12" s="109">
        <v>7</v>
      </c>
      <c r="V12" s="117" t="s">
        <v>174</v>
      </c>
      <c r="W12" s="118">
        <v>9</v>
      </c>
      <c r="X12" s="119"/>
      <c r="Y12" s="119"/>
      <c r="Z12" s="119"/>
      <c r="AB12" s="120" t="s">
        <v>283</v>
      </c>
      <c r="AC12" s="121"/>
      <c r="AD12" s="122">
        <v>0</v>
      </c>
      <c r="AE12" s="123">
        <v>1</v>
      </c>
      <c r="AF12" s="122">
        <v>1000</v>
      </c>
      <c r="AG12" s="122">
        <f t="shared" si="0"/>
        <v>1</v>
      </c>
      <c r="AH12" s="122">
        <v>1000</v>
      </c>
      <c r="AI12" s="115">
        <v>1</v>
      </c>
      <c r="AJ12" s="123">
        <f t="shared" si="1"/>
        <v>0.8</v>
      </c>
      <c r="AK12" s="115">
        <v>1</v>
      </c>
      <c r="AL12" s="124">
        <f t="shared" si="2"/>
        <v>1</v>
      </c>
      <c r="AM12" s="122">
        <f t="shared" si="4"/>
        <v>1250</v>
      </c>
      <c r="AN12" s="126">
        <v>1.59</v>
      </c>
      <c r="AO12" s="126">
        <f t="shared" si="3"/>
        <v>0.12720000000000001</v>
      </c>
      <c r="AS12" s="102" t="s">
        <v>4</v>
      </c>
    </row>
    <row r="13" spans="1:45" s="102" customFormat="1" ht="18" thickTop="1" thickBot="1">
      <c r="A13" s="100"/>
      <c r="B13" s="94" t="str">
        <f>+O1272</f>
        <v>Biblioteca con libros</v>
      </c>
      <c r="C13" s="94">
        <f>+Q1294</f>
        <v>177.25792729567377</v>
      </c>
      <c r="D13" s="94" t="s">
        <v>100</v>
      </c>
      <c r="E13" s="94"/>
      <c r="F13" s="94">
        <f>+Q1118</f>
        <v>1674.1071428571429</v>
      </c>
      <c r="G13" s="95"/>
      <c r="H13" s="94" t="str">
        <f>O1008</f>
        <v>Salas Blancas hospitalarias</v>
      </c>
      <c r="I13" s="94">
        <f>+Q1030</f>
        <v>34.880437286097759</v>
      </c>
      <c r="J13" s="96" t="str">
        <f>+O1448</f>
        <v>Vacio 10</v>
      </c>
      <c r="K13" s="96"/>
      <c r="L13" s="96">
        <f>+Q1470</f>
        <v>1250.0000000000002</v>
      </c>
      <c r="M13" s="97"/>
      <c r="N13" s="96" t="s">
        <v>167</v>
      </c>
      <c r="O13" s="96">
        <v>1</v>
      </c>
      <c r="P13" s="96" t="s">
        <v>159</v>
      </c>
      <c r="Q13" s="96"/>
      <c r="R13" s="96">
        <v>0.1</v>
      </c>
      <c r="S13" s="101"/>
      <c r="T13" s="101"/>
      <c r="U13" s="109">
        <v>8</v>
      </c>
      <c r="V13" s="117" t="s">
        <v>175</v>
      </c>
      <c r="W13" s="118">
        <v>600</v>
      </c>
      <c r="X13" s="119"/>
      <c r="Y13" s="119"/>
      <c r="Z13" s="119"/>
      <c r="AB13" s="120" t="s">
        <v>284</v>
      </c>
      <c r="AC13" s="121"/>
      <c r="AD13" s="122">
        <v>6000</v>
      </c>
      <c r="AE13" s="123">
        <v>0.05</v>
      </c>
      <c r="AF13" s="122">
        <f t="shared" ref="AF13:AF18" si="5">+AD13*AE13</f>
        <v>300</v>
      </c>
      <c r="AG13" s="122">
        <f t="shared" si="0"/>
        <v>3.3333333333333335</v>
      </c>
      <c r="AH13" s="122">
        <v>300</v>
      </c>
      <c r="AI13" s="115">
        <v>1</v>
      </c>
      <c r="AJ13" s="123">
        <f t="shared" si="1"/>
        <v>0.8</v>
      </c>
      <c r="AK13" s="115">
        <v>1</v>
      </c>
      <c r="AL13" s="124">
        <f t="shared" si="2"/>
        <v>1</v>
      </c>
      <c r="AM13" s="122">
        <f t="shared" si="4"/>
        <v>1250</v>
      </c>
      <c r="AN13" s="128">
        <v>2.1</v>
      </c>
      <c r="AO13" s="126">
        <f t="shared" si="3"/>
        <v>0.16800000000000001</v>
      </c>
      <c r="AS13" s="102" t="s">
        <v>75</v>
      </c>
    </row>
    <row r="14" spans="1:45" s="102" customFormat="1" ht="18" thickTop="1" thickBot="1">
      <c r="A14" s="100"/>
      <c r="B14" s="94" t="str">
        <f>+O1228</f>
        <v>Cabinas de Control</v>
      </c>
      <c r="C14" s="94">
        <f>+Q1250</f>
        <v>230.27058233262628</v>
      </c>
      <c r="D14" s="94" t="str">
        <f>+I656</f>
        <v>Parking interior P</v>
      </c>
      <c r="E14" s="94"/>
      <c r="F14" s="94">
        <f>+K678</f>
        <v>329.58470725664409</v>
      </c>
      <c r="G14" s="95"/>
      <c r="H14" s="94" t="str">
        <f>+I40</f>
        <v>Salas de espera</v>
      </c>
      <c r="I14" s="94">
        <f>+K62</f>
        <v>217.06930695853697</v>
      </c>
      <c r="J14" s="96"/>
      <c r="K14" s="96"/>
      <c r="L14" s="96"/>
      <c r="M14" s="97"/>
      <c r="N14" s="96" t="s">
        <v>159</v>
      </c>
      <c r="O14" s="96">
        <v>0.1</v>
      </c>
      <c r="P14" s="96" t="s">
        <v>159</v>
      </c>
      <c r="Q14" s="96"/>
      <c r="R14" s="96">
        <v>0.1</v>
      </c>
      <c r="S14" s="101"/>
      <c r="T14" s="101"/>
      <c r="U14" s="109">
        <v>9</v>
      </c>
      <c r="V14" s="117" t="s">
        <v>176</v>
      </c>
      <c r="W14" s="118">
        <v>1200</v>
      </c>
      <c r="X14" s="119"/>
      <c r="Y14" s="119"/>
      <c r="Z14" s="119"/>
      <c r="AB14" s="120" t="s">
        <v>285</v>
      </c>
      <c r="AC14" s="121"/>
      <c r="AD14" s="122">
        <v>6000</v>
      </c>
      <c r="AE14" s="123">
        <v>0.05</v>
      </c>
      <c r="AF14" s="122">
        <f t="shared" si="5"/>
        <v>300</v>
      </c>
      <c r="AG14" s="122">
        <f t="shared" si="0"/>
        <v>3.3333333333333335</v>
      </c>
      <c r="AH14" s="122">
        <v>50</v>
      </c>
      <c r="AI14" s="115">
        <v>1</v>
      </c>
      <c r="AJ14" s="123">
        <f t="shared" si="1"/>
        <v>0.8</v>
      </c>
      <c r="AK14" s="115">
        <v>1</v>
      </c>
      <c r="AL14" s="124">
        <f t="shared" si="2"/>
        <v>1</v>
      </c>
      <c r="AM14" s="122">
        <f t="shared" si="4"/>
        <v>208.33333333333334</v>
      </c>
      <c r="AN14" s="128">
        <v>2.5</v>
      </c>
      <c r="AO14" s="126">
        <f t="shared" si="3"/>
        <v>1.2</v>
      </c>
      <c r="AS14" s="102" t="s">
        <v>80</v>
      </c>
    </row>
    <row r="15" spans="1:45" s="102" customFormat="1" ht="18" thickTop="1" thickBot="1">
      <c r="A15" s="100"/>
      <c r="B15" s="94" t="str">
        <f>+C1184</f>
        <v>Call Center</v>
      </c>
      <c r="C15" s="94">
        <f>+E1206</f>
        <v>203.0926592321089</v>
      </c>
      <c r="D15" s="94" t="str">
        <f>+O656</f>
        <v>Parking interior M</v>
      </c>
      <c r="E15" s="94"/>
      <c r="F15" s="94">
        <f>+Q678</f>
        <v>461.82695836236286</v>
      </c>
      <c r="G15" s="95"/>
      <c r="H15" s="94" t="str">
        <f>+C40</f>
        <v>Salas de maquinas</v>
      </c>
      <c r="I15" s="94">
        <f>E62</f>
        <v>193.12583967756382</v>
      </c>
      <c r="J15" s="96"/>
      <c r="K15" s="96"/>
      <c r="L15" s="96"/>
      <c r="M15" s="97"/>
      <c r="N15" s="96" t="s">
        <v>159</v>
      </c>
      <c r="O15" s="96">
        <v>0.1</v>
      </c>
      <c r="P15" s="96" t="s">
        <v>159</v>
      </c>
      <c r="Q15" s="96"/>
      <c r="R15" s="96">
        <v>0.1</v>
      </c>
      <c r="S15" s="101"/>
      <c r="T15" s="101"/>
      <c r="U15" s="109">
        <v>10</v>
      </c>
      <c r="V15" s="117" t="s">
        <v>177</v>
      </c>
      <c r="W15" s="118">
        <v>1200</v>
      </c>
      <c r="X15" s="119"/>
      <c r="Y15" s="119"/>
      <c r="Z15" s="119"/>
      <c r="AB15" s="120" t="s">
        <v>286</v>
      </c>
      <c r="AC15" s="121"/>
      <c r="AD15" s="122">
        <v>6000</v>
      </c>
      <c r="AE15" s="123">
        <v>0.04</v>
      </c>
      <c r="AF15" s="122">
        <f t="shared" si="5"/>
        <v>240</v>
      </c>
      <c r="AG15" s="122">
        <f t="shared" si="0"/>
        <v>4.166666666666667</v>
      </c>
      <c r="AH15" s="122">
        <v>500</v>
      </c>
      <c r="AI15" s="115">
        <v>1</v>
      </c>
      <c r="AJ15" s="123">
        <f t="shared" si="1"/>
        <v>0.8</v>
      </c>
      <c r="AK15" s="115">
        <v>1</v>
      </c>
      <c r="AL15" s="124">
        <f t="shared" si="2"/>
        <v>1</v>
      </c>
      <c r="AM15" s="122">
        <f t="shared" si="4"/>
        <v>2604.166666666667</v>
      </c>
      <c r="AN15" s="126">
        <v>1.0900000000000001</v>
      </c>
      <c r="AO15" s="126">
        <f t="shared" si="3"/>
        <v>4.1855999999999997E-2</v>
      </c>
      <c r="AS15" s="102" t="s">
        <v>81</v>
      </c>
    </row>
    <row r="16" spans="1:45" s="102" customFormat="1" ht="18" thickTop="1" thickBot="1">
      <c r="A16" s="100"/>
      <c r="B16" s="94" t="str">
        <f>+I1184</f>
        <v>Camerino</v>
      </c>
      <c r="C16" s="94">
        <f>+K1206</f>
        <v>122.19269564935958</v>
      </c>
      <c r="D16" s="94" t="str">
        <f>+C1140</f>
        <v>Parquing Interior G</v>
      </c>
      <c r="E16" s="94"/>
      <c r="F16" s="94">
        <f>+E1162</f>
        <v>649.91304087499861</v>
      </c>
      <c r="G16" s="95"/>
      <c r="H16" s="94" t="str">
        <f>+C1052</f>
        <v>Salas de riesgo hospitalarias</v>
      </c>
      <c r="I16" s="94">
        <f>+E1074</f>
        <v>91.662546450531892</v>
      </c>
      <c r="J16" s="96"/>
      <c r="K16" s="96"/>
      <c r="L16" s="96"/>
      <c r="M16" s="97"/>
      <c r="N16" s="96" t="s">
        <v>168</v>
      </c>
      <c r="O16" s="96">
        <v>1</v>
      </c>
      <c r="P16" s="96" t="s">
        <v>159</v>
      </c>
      <c r="Q16" s="96"/>
      <c r="R16" s="96">
        <v>0.1</v>
      </c>
      <c r="S16" s="101"/>
      <c r="T16" s="101"/>
      <c r="U16" s="109">
        <v>11</v>
      </c>
      <c r="V16" s="117" t="s">
        <v>178</v>
      </c>
      <c r="W16" s="118">
        <v>50</v>
      </c>
      <c r="X16" s="119"/>
      <c r="Y16" s="119"/>
      <c r="Z16" s="119"/>
      <c r="AB16" s="120" t="s">
        <v>287</v>
      </c>
      <c r="AC16" s="121"/>
      <c r="AD16" s="122">
        <v>6000</v>
      </c>
      <c r="AE16" s="123">
        <v>5.0000000000000001E-3</v>
      </c>
      <c r="AF16" s="122">
        <f t="shared" si="5"/>
        <v>30</v>
      </c>
      <c r="AG16" s="122">
        <f t="shared" si="0"/>
        <v>33.333333333333336</v>
      </c>
      <c r="AH16" s="122">
        <v>50</v>
      </c>
      <c r="AI16" s="115">
        <v>1</v>
      </c>
      <c r="AJ16" s="123">
        <f t="shared" si="1"/>
        <v>0.8</v>
      </c>
      <c r="AK16" s="115">
        <v>1</v>
      </c>
      <c r="AL16" s="124">
        <f t="shared" si="2"/>
        <v>1</v>
      </c>
      <c r="AM16" s="122">
        <f t="shared" si="4"/>
        <v>2083.3333333333335</v>
      </c>
      <c r="AN16" s="126">
        <v>1.92</v>
      </c>
      <c r="AO16" s="126">
        <f t="shared" si="3"/>
        <v>9.2159999999999992E-2</v>
      </c>
      <c r="AS16" s="102" t="s">
        <v>82</v>
      </c>
    </row>
    <row r="17" spans="1:45" s="102" customFormat="1" ht="18" thickTop="1" thickBot="1">
      <c r="A17" s="100"/>
      <c r="B17" s="94" t="str">
        <f>+O700</f>
        <v>Capilla</v>
      </c>
      <c r="C17" s="94">
        <f>+Q722</f>
        <v>281.84308285567931</v>
      </c>
      <c r="D17" s="94" t="str">
        <f>+C700</f>
        <v>Parquing Interior SG</v>
      </c>
      <c r="E17" s="94"/>
      <c r="F17" s="94">
        <f>+E722</f>
        <v>720.58608446163555</v>
      </c>
      <c r="G17" s="95"/>
      <c r="H17" s="94" t="str">
        <f>O1052</f>
        <v>Salas exploración, Box</v>
      </c>
      <c r="I17" s="94">
        <f>+Q1074</f>
        <v>106.73016716315959</v>
      </c>
      <c r="J17" s="96"/>
      <c r="K17" s="96"/>
      <c r="L17" s="96"/>
      <c r="M17" s="97"/>
      <c r="N17" s="96" t="s">
        <v>159</v>
      </c>
      <c r="O17" s="96">
        <v>0.1</v>
      </c>
      <c r="P17" s="96" t="s">
        <v>159</v>
      </c>
      <c r="Q17" s="96"/>
      <c r="R17" s="96">
        <v>0.1</v>
      </c>
      <c r="S17" s="101"/>
      <c r="T17" s="101"/>
      <c r="U17" s="109">
        <v>12</v>
      </c>
      <c r="V17" s="117" t="s">
        <v>179</v>
      </c>
      <c r="W17" s="118">
        <v>400</v>
      </c>
      <c r="X17" s="119"/>
      <c r="Y17" s="119"/>
      <c r="Z17" s="119"/>
      <c r="AB17" s="120" t="s">
        <v>288</v>
      </c>
      <c r="AC17" s="121"/>
      <c r="AD17" s="122">
        <v>6000</v>
      </c>
      <c r="AE17" s="123">
        <v>2.5000000000000001E-3</v>
      </c>
      <c r="AF17" s="122">
        <f t="shared" si="5"/>
        <v>15</v>
      </c>
      <c r="AG17" s="122">
        <f t="shared" si="0"/>
        <v>66.666666666666671</v>
      </c>
      <c r="AH17" s="122">
        <v>150</v>
      </c>
      <c r="AI17" s="115">
        <v>1</v>
      </c>
      <c r="AJ17" s="123">
        <f t="shared" si="1"/>
        <v>0.8</v>
      </c>
      <c r="AK17" s="115">
        <v>1</v>
      </c>
      <c r="AL17" s="124">
        <f t="shared" si="2"/>
        <v>1</v>
      </c>
      <c r="AM17" s="122">
        <f t="shared" si="4"/>
        <v>12500</v>
      </c>
      <c r="AN17" s="126">
        <v>1.93</v>
      </c>
      <c r="AO17" s="126">
        <f t="shared" si="3"/>
        <v>1.5439999999999999E-2</v>
      </c>
      <c r="AS17" s="102" t="s">
        <v>83</v>
      </c>
    </row>
    <row r="18" spans="1:45" s="102" customFormat="1" ht="18" thickTop="1" thickBot="1">
      <c r="A18" s="100"/>
      <c r="B18" s="94" t="str">
        <f>+O524</f>
        <v>Cocinas completo</v>
      </c>
      <c r="C18" s="94">
        <f>+Q546</f>
        <v>51.653084593021092</v>
      </c>
      <c r="D18" s="94" t="str">
        <f>+C128</f>
        <v>Pasillos</v>
      </c>
      <c r="E18" s="94"/>
      <c r="F18" s="94">
        <f>+E150</f>
        <v>295.12206778792046</v>
      </c>
      <c r="G18" s="95"/>
      <c r="H18" s="94" t="str">
        <f>+O832</f>
        <v>Saunas Hielo</v>
      </c>
      <c r="I18" s="94">
        <f>+Q854</f>
        <v>66.964285714285708</v>
      </c>
      <c r="J18" s="96"/>
      <c r="K18" s="96"/>
      <c r="L18" s="96"/>
      <c r="M18" s="97"/>
      <c r="N18" s="96" t="s">
        <v>159</v>
      </c>
      <c r="O18" s="96">
        <v>0.1</v>
      </c>
      <c r="P18" s="96" t="s">
        <v>159</v>
      </c>
      <c r="Q18" s="96"/>
      <c r="R18" s="96">
        <v>0.1</v>
      </c>
      <c r="S18" s="101"/>
      <c r="T18" s="101"/>
      <c r="U18" s="109">
        <v>13</v>
      </c>
      <c r="V18" s="117" t="s">
        <v>180</v>
      </c>
      <c r="W18" s="118">
        <v>1800</v>
      </c>
      <c r="X18" s="119"/>
      <c r="Y18" s="119"/>
      <c r="Z18" s="119"/>
      <c r="AB18" s="120" t="s">
        <v>289</v>
      </c>
      <c r="AC18" s="121"/>
      <c r="AD18" s="122">
        <v>6000</v>
      </c>
      <c r="AE18" s="123">
        <v>2.5000000000000001E-3</v>
      </c>
      <c r="AF18" s="122">
        <f t="shared" si="5"/>
        <v>15</v>
      </c>
      <c r="AG18" s="122">
        <f t="shared" si="0"/>
        <v>66.666666666666671</v>
      </c>
      <c r="AH18" s="122">
        <v>150</v>
      </c>
      <c r="AI18" s="115">
        <v>1</v>
      </c>
      <c r="AJ18" s="123">
        <f t="shared" si="1"/>
        <v>0.8</v>
      </c>
      <c r="AK18" s="115">
        <v>1</v>
      </c>
      <c r="AL18" s="124">
        <f t="shared" si="2"/>
        <v>1</v>
      </c>
      <c r="AM18" s="122">
        <f t="shared" si="4"/>
        <v>12500</v>
      </c>
      <c r="AN18" s="126">
        <v>1.76</v>
      </c>
      <c r="AO18" s="126">
        <f t="shared" si="3"/>
        <v>1.4080000000000001E-2</v>
      </c>
      <c r="AS18" s="102" t="s">
        <v>84</v>
      </c>
    </row>
    <row r="19" spans="1:45" s="102" customFormat="1" ht="18" thickTop="1" thickBot="1">
      <c r="A19" s="100"/>
      <c r="B19" s="94" t="str">
        <f>+I524</f>
        <v>Cocinas superficies</v>
      </c>
      <c r="C19" s="94">
        <f>+K546</f>
        <v>78.647156266005396</v>
      </c>
      <c r="D19" s="94" t="str">
        <f>+I128</f>
        <v>Pasillos M P</v>
      </c>
      <c r="E19" s="94"/>
      <c r="F19" s="94">
        <f>+K150</f>
        <v>347.75749447905645</v>
      </c>
      <c r="G19" s="95"/>
      <c r="H19" s="94" t="str">
        <f>C876</f>
        <v>Solarium</v>
      </c>
      <c r="I19" s="94">
        <f>E898</f>
        <v>72.39382239382239</v>
      </c>
      <c r="J19" s="96"/>
      <c r="K19" s="96"/>
      <c r="L19" s="96"/>
      <c r="M19" s="97"/>
      <c r="N19" s="96" t="s">
        <v>159</v>
      </c>
      <c r="O19" s="96">
        <v>0.1</v>
      </c>
      <c r="P19" s="96" t="s">
        <v>159</v>
      </c>
      <c r="Q19" s="96"/>
      <c r="R19" s="96">
        <v>0.1</v>
      </c>
      <c r="S19" s="101"/>
      <c r="T19" s="101"/>
      <c r="U19" s="109">
        <v>14</v>
      </c>
      <c r="V19" s="117" t="s">
        <v>181</v>
      </c>
      <c r="W19" s="118">
        <v>900</v>
      </c>
      <c r="X19" s="119"/>
      <c r="Y19" s="119"/>
      <c r="Z19" s="119"/>
      <c r="AB19" s="120" t="s">
        <v>290</v>
      </c>
      <c r="AC19" s="121"/>
      <c r="AD19" s="129"/>
      <c r="AE19" s="123">
        <v>1</v>
      </c>
      <c r="AF19" s="122">
        <v>1000</v>
      </c>
      <c r="AG19" s="122">
        <f t="shared" si="0"/>
        <v>1</v>
      </c>
      <c r="AH19" s="122">
        <v>100</v>
      </c>
      <c r="AI19" s="115">
        <v>1</v>
      </c>
      <c r="AJ19" s="123">
        <f t="shared" si="1"/>
        <v>0.8</v>
      </c>
      <c r="AK19" s="115">
        <v>1</v>
      </c>
      <c r="AL19" s="124">
        <f t="shared" si="2"/>
        <v>1</v>
      </c>
      <c r="AM19" s="122">
        <f t="shared" si="4"/>
        <v>125</v>
      </c>
      <c r="AN19" s="126">
        <v>4</v>
      </c>
      <c r="AO19" s="126">
        <f t="shared" si="3"/>
        <v>3.2</v>
      </c>
      <c r="AS19" s="102" t="s">
        <v>85</v>
      </c>
    </row>
    <row r="20" spans="1:45" s="102" customFormat="1" ht="18" thickTop="1" thickBot="1">
      <c r="A20" s="100"/>
      <c r="B20" s="94" t="str">
        <f>+C524</f>
        <v>Comedor completo</v>
      </c>
      <c r="C20" s="94">
        <f>+E546</f>
        <v>137.10312510841163</v>
      </c>
      <c r="D20" s="94" t="str">
        <f>+O128</f>
        <v>Pasillos M M</v>
      </c>
      <c r="E20" s="94"/>
      <c r="F20" s="94">
        <f>Q150</f>
        <v>514.87108906422145</v>
      </c>
      <c r="G20" s="95"/>
      <c r="H20" s="94" t="str">
        <f>+C1228</f>
        <v>Taller</v>
      </c>
      <c r="I20" s="94">
        <f>+E1250</f>
        <v>354.01657768880602</v>
      </c>
      <c r="J20" s="96"/>
      <c r="K20" s="96"/>
      <c r="L20" s="96"/>
      <c r="M20" s="97"/>
      <c r="N20" s="96" t="s">
        <v>159</v>
      </c>
      <c r="O20" s="96">
        <v>0.1</v>
      </c>
      <c r="P20" s="96" t="s">
        <v>159</v>
      </c>
      <c r="Q20" s="96"/>
      <c r="R20" s="96">
        <v>0.1</v>
      </c>
      <c r="S20" s="101"/>
      <c r="T20" s="101"/>
      <c r="U20" s="109">
        <v>15</v>
      </c>
      <c r="V20" s="117" t="s">
        <v>182</v>
      </c>
      <c r="W20" s="118">
        <v>1400</v>
      </c>
      <c r="X20" s="119"/>
      <c r="Y20" s="119"/>
      <c r="Z20" s="119"/>
      <c r="AB20" s="120" t="s">
        <v>291</v>
      </c>
      <c r="AC20" s="121"/>
      <c r="AD20" s="122">
        <v>0</v>
      </c>
      <c r="AE20" s="123">
        <v>1</v>
      </c>
      <c r="AF20" s="122">
        <v>1000</v>
      </c>
      <c r="AG20" s="122">
        <f t="shared" si="0"/>
        <v>1</v>
      </c>
      <c r="AH20" s="122">
        <v>20</v>
      </c>
      <c r="AI20" s="115">
        <v>1</v>
      </c>
      <c r="AJ20" s="124">
        <f t="shared" si="1"/>
        <v>0.8</v>
      </c>
      <c r="AK20" s="115">
        <v>1</v>
      </c>
      <c r="AL20" s="124">
        <f t="shared" si="2"/>
        <v>1</v>
      </c>
      <c r="AM20" s="122">
        <f t="shared" si="4"/>
        <v>25</v>
      </c>
      <c r="AN20" s="126">
        <v>7.5</v>
      </c>
      <c r="AO20" s="126">
        <f t="shared" si="3"/>
        <v>30</v>
      </c>
      <c r="AS20" s="102" t="s">
        <v>86</v>
      </c>
    </row>
    <row r="21" spans="1:45" s="102" customFormat="1" ht="18" thickTop="1" thickBot="1">
      <c r="A21" s="100"/>
      <c r="B21" s="94" t="str">
        <f>+O480</f>
        <v>Comedor de suelos</v>
      </c>
      <c r="C21" s="94">
        <f>+Q502</f>
        <v>222.12543554006967</v>
      </c>
      <c r="D21" s="94" t="str">
        <f>+C172</f>
        <v>Pasillos M G</v>
      </c>
      <c r="E21" s="94"/>
      <c r="F21" s="94">
        <f>+E194</f>
        <v>613.07469064411066</v>
      </c>
      <c r="G21" s="95"/>
      <c r="H21" s="94" t="str">
        <f>+O172</f>
        <v>Vestibulos</v>
      </c>
      <c r="I21" s="94">
        <f>+Q194</f>
        <v>228.88381548640865</v>
      </c>
      <c r="J21" s="96"/>
      <c r="K21" s="96"/>
      <c r="L21" s="96"/>
      <c r="M21" s="97"/>
      <c r="N21" s="96" t="s">
        <v>292</v>
      </c>
      <c r="O21" s="96"/>
      <c r="P21" s="96"/>
      <c r="Q21" s="96"/>
      <c r="R21" s="96"/>
      <c r="S21" s="101"/>
      <c r="T21" s="101"/>
      <c r="U21" s="109">
        <v>16</v>
      </c>
      <c r="V21" s="117" t="s">
        <v>183</v>
      </c>
      <c r="W21" s="118">
        <v>3600</v>
      </c>
      <c r="X21" s="119"/>
      <c r="Y21" s="119"/>
      <c r="Z21" s="119"/>
      <c r="AB21" s="120" t="s">
        <v>293</v>
      </c>
      <c r="AC21" s="121"/>
      <c r="AD21" s="122">
        <v>0</v>
      </c>
      <c r="AE21" s="123">
        <v>1</v>
      </c>
      <c r="AF21" s="122">
        <v>1000</v>
      </c>
      <c r="AG21" s="122">
        <f t="shared" si="0"/>
        <v>1</v>
      </c>
      <c r="AH21" s="122">
        <v>1000</v>
      </c>
      <c r="AI21" s="115">
        <v>1</v>
      </c>
      <c r="AJ21" s="124">
        <f t="shared" si="1"/>
        <v>0.8</v>
      </c>
      <c r="AK21" s="115">
        <v>1</v>
      </c>
      <c r="AL21" s="124">
        <f t="shared" si="2"/>
        <v>1</v>
      </c>
      <c r="AM21" s="122">
        <f t="shared" si="4"/>
        <v>1250</v>
      </c>
      <c r="AN21" s="126">
        <v>2.09</v>
      </c>
      <c r="AO21" s="126">
        <f t="shared" si="3"/>
        <v>0.16719999999999999</v>
      </c>
      <c r="AS21" s="102" t="s">
        <v>8</v>
      </c>
    </row>
    <row r="22" spans="1:45" s="102" customFormat="1" ht="18" thickTop="1" thickBot="1">
      <c r="A22" s="100"/>
      <c r="B22" s="94" t="str">
        <f>O304</f>
        <v>Consultorio</v>
      </c>
      <c r="C22" s="94">
        <f>+Q326</f>
        <v>106.05675158861227</v>
      </c>
      <c r="D22" s="94" t="str">
        <f>+I172</f>
        <v>Pasillos M SG</v>
      </c>
      <c r="E22" s="94"/>
      <c r="F22" s="94">
        <f>K194</f>
        <v>752.5018401259573</v>
      </c>
      <c r="G22" s="95"/>
      <c r="H22" s="94" t="str">
        <f>+I568</f>
        <v>Vestibulo fre M P</v>
      </c>
      <c r="I22" s="94">
        <f>+K590</f>
        <v>228.88381548640865</v>
      </c>
      <c r="J22" s="96"/>
      <c r="K22" s="96"/>
      <c r="L22" s="96"/>
      <c r="M22" s="97"/>
      <c r="N22" s="96" t="s">
        <v>294</v>
      </c>
      <c r="O22" s="96"/>
      <c r="P22" s="96"/>
      <c r="Q22" s="96"/>
      <c r="R22" s="96"/>
      <c r="S22" s="101"/>
      <c r="T22" s="101"/>
      <c r="U22" s="109">
        <v>17</v>
      </c>
      <c r="V22" s="117" t="s">
        <v>184</v>
      </c>
      <c r="W22" s="118">
        <v>1800</v>
      </c>
      <c r="X22" s="119"/>
      <c r="Y22" s="119"/>
      <c r="Z22" s="119"/>
      <c r="AB22" s="120" t="s">
        <v>295</v>
      </c>
      <c r="AC22" s="121"/>
      <c r="AD22" s="122">
        <v>6000</v>
      </c>
      <c r="AE22" s="123">
        <v>0.05</v>
      </c>
      <c r="AF22" s="122">
        <f>+AD22*AE22</f>
        <v>300</v>
      </c>
      <c r="AG22" s="122">
        <f t="shared" si="0"/>
        <v>3.3333333333333335</v>
      </c>
      <c r="AH22" s="122">
        <v>100</v>
      </c>
      <c r="AI22" s="115">
        <v>1</v>
      </c>
      <c r="AJ22" s="123">
        <f t="shared" si="1"/>
        <v>0.8</v>
      </c>
      <c r="AK22" s="115">
        <v>1</v>
      </c>
      <c r="AL22" s="124">
        <f t="shared" si="2"/>
        <v>1</v>
      </c>
      <c r="AM22" s="122">
        <f t="shared" si="4"/>
        <v>416.66666666666669</v>
      </c>
      <c r="AN22" s="126">
        <v>3</v>
      </c>
      <c r="AO22" s="126">
        <f t="shared" si="3"/>
        <v>0.72</v>
      </c>
      <c r="AS22" s="102" t="s">
        <v>87</v>
      </c>
    </row>
    <row r="23" spans="1:45" s="102" customFormat="1" ht="18" thickTop="1" thickBot="1">
      <c r="A23" s="100"/>
      <c r="B23" s="94" t="str">
        <f>I1052</f>
        <v>Control enfermeria</v>
      </c>
      <c r="C23" s="94">
        <f>+K1074</f>
        <v>116.64441869836791</v>
      </c>
      <c r="D23" s="94" t="str">
        <f>+I700</f>
        <v>Patio exterior</v>
      </c>
      <c r="E23" s="94"/>
      <c r="F23" s="94">
        <f>+K722</f>
        <v>876.64918889246428</v>
      </c>
      <c r="G23" s="95"/>
      <c r="H23" s="94" t="str">
        <f>+C216</f>
        <v>Vestibulos fre M M</v>
      </c>
      <c r="I23" s="94">
        <f>+E238</f>
        <v>291.06187857699723</v>
      </c>
      <c r="J23" s="96"/>
      <c r="K23" s="96"/>
      <c r="L23" s="96"/>
      <c r="M23" s="97"/>
      <c r="N23" s="96" t="s">
        <v>296</v>
      </c>
      <c r="O23" s="96"/>
      <c r="P23" s="96"/>
      <c r="Q23" s="96"/>
      <c r="R23" s="96"/>
      <c r="S23" s="101"/>
      <c r="T23" s="101"/>
      <c r="U23" s="109">
        <v>18</v>
      </c>
      <c r="V23" s="117" t="s">
        <v>185</v>
      </c>
      <c r="W23" s="118">
        <v>1100</v>
      </c>
      <c r="X23" s="119"/>
      <c r="Y23" s="119"/>
      <c r="Z23" s="119"/>
      <c r="AB23" s="120" t="s">
        <v>295</v>
      </c>
      <c r="AC23" s="121"/>
      <c r="AD23" s="122">
        <v>6000</v>
      </c>
      <c r="AE23" s="123">
        <v>0.05</v>
      </c>
      <c r="AF23" s="122">
        <f>+AD23*AE23</f>
        <v>300</v>
      </c>
      <c r="AG23" s="122">
        <f t="shared" si="0"/>
        <v>3.3333333333333335</v>
      </c>
      <c r="AH23" s="122">
        <v>100</v>
      </c>
      <c r="AI23" s="115">
        <v>1</v>
      </c>
      <c r="AJ23" s="123">
        <f t="shared" si="1"/>
        <v>0.8</v>
      </c>
      <c r="AK23" s="115">
        <v>1</v>
      </c>
      <c r="AL23" s="124">
        <f t="shared" si="2"/>
        <v>1</v>
      </c>
      <c r="AM23" s="122">
        <f t="shared" si="4"/>
        <v>416.66666666666669</v>
      </c>
      <c r="AN23" s="126">
        <v>2.5</v>
      </c>
      <c r="AO23" s="126">
        <f t="shared" si="3"/>
        <v>0.6</v>
      </c>
      <c r="AP23" s="130" t="e">
        <f>+AB59/AC46</f>
        <v>#DIV/0!</v>
      </c>
      <c r="AS23" s="102" t="s">
        <v>88</v>
      </c>
    </row>
    <row r="24" spans="1:45" s="102" customFormat="1" ht="18" thickTop="1" thickBot="1">
      <c r="A24" s="100"/>
      <c r="B24" s="94" t="str">
        <f>+O40</f>
        <v>Despachos</v>
      </c>
      <c r="C24" s="94">
        <f>+Q62</f>
        <v>182.03862573597252</v>
      </c>
      <c r="D24" s="94" t="str">
        <f>+I1316</f>
        <v>Patio Gravilla</v>
      </c>
      <c r="E24" s="94"/>
      <c r="F24" s="94">
        <f>+K1338</f>
        <v>1981.4529585419073</v>
      </c>
      <c r="G24" s="95"/>
      <c r="H24" s="94" t="str">
        <f>+O568</f>
        <v>Vestibulo fre M G</v>
      </c>
      <c r="I24" s="94">
        <f>+Q590</f>
        <v>320.04255946975263</v>
      </c>
      <c r="J24" s="96"/>
      <c r="K24" s="96"/>
      <c r="L24" s="96"/>
      <c r="M24" s="97"/>
      <c r="N24" s="96" t="s">
        <v>297</v>
      </c>
      <c r="O24" s="96"/>
      <c r="P24" s="96"/>
      <c r="Q24" s="96"/>
      <c r="R24" s="96"/>
      <c r="S24" s="101"/>
      <c r="T24" s="101"/>
      <c r="U24" s="109">
        <v>19</v>
      </c>
      <c r="V24" s="117" t="s">
        <v>186</v>
      </c>
      <c r="W24" s="118">
        <v>5000</v>
      </c>
      <c r="X24" s="119"/>
      <c r="Y24" s="119"/>
      <c r="Z24" s="119"/>
      <c r="AB24" s="120" t="s">
        <v>298</v>
      </c>
      <c r="AC24" s="121"/>
      <c r="AD24" s="122">
        <v>6000</v>
      </c>
      <c r="AE24" s="123">
        <v>0.02</v>
      </c>
      <c r="AF24" s="122">
        <f>+AD24*AE24</f>
        <v>120</v>
      </c>
      <c r="AG24" s="122">
        <f t="shared" si="0"/>
        <v>8.3333333333333339</v>
      </c>
      <c r="AH24" s="122">
        <v>100</v>
      </c>
      <c r="AI24" s="115">
        <v>1</v>
      </c>
      <c r="AJ24" s="123">
        <f t="shared" si="1"/>
        <v>0.8</v>
      </c>
      <c r="AK24" s="115">
        <v>1</v>
      </c>
      <c r="AL24" s="124">
        <f>+IF(AK24=100%,1,IF(AK24=2,90%,IF(AK24=3,80%,IF(AK24=4,70%,IF(AK24=0,"""",0)))))</f>
        <v>1</v>
      </c>
      <c r="AM24" s="122">
        <f t="shared" si="4"/>
        <v>1041.6666666666667</v>
      </c>
      <c r="AN24" s="126">
        <v>3.5</v>
      </c>
      <c r="AO24" s="126">
        <f t="shared" si="3"/>
        <v>0.33599999999999997</v>
      </c>
      <c r="AS24" s="102" t="s">
        <v>89</v>
      </c>
    </row>
    <row r="25" spans="1:45" s="102" customFormat="1" ht="18" thickTop="1" thickBot="1">
      <c r="A25" s="100"/>
      <c r="B25" s="94" t="str">
        <f>+O84</f>
        <v>Despachos Moqueta</v>
      </c>
      <c r="C25" s="94">
        <f>Q106</f>
        <v>280.38963235937018</v>
      </c>
      <c r="D25" s="94" t="str">
        <f>+C304</f>
        <v>Pista Deportiva</v>
      </c>
      <c r="E25" s="94"/>
      <c r="F25" s="94">
        <f>+E326</f>
        <v>803.57142857142856</v>
      </c>
      <c r="G25" s="95"/>
      <c r="H25" s="94" t="str">
        <f>+C260</f>
        <v>Vestuarios Taquillas</v>
      </c>
      <c r="I25" s="94">
        <f>+E282</f>
        <v>148.65487998429029</v>
      </c>
      <c r="J25" s="96"/>
      <c r="K25" s="96"/>
      <c r="L25" s="96"/>
      <c r="M25" s="97"/>
      <c r="N25" s="96" t="s">
        <v>299</v>
      </c>
      <c r="O25" s="96"/>
      <c r="P25" s="96"/>
      <c r="Q25" s="96"/>
      <c r="R25" s="96"/>
      <c r="S25" s="101"/>
      <c r="U25" s="109">
        <v>20</v>
      </c>
      <c r="V25" s="117" t="s">
        <v>187</v>
      </c>
      <c r="W25" s="118">
        <v>800</v>
      </c>
      <c r="X25" s="119"/>
      <c r="Y25" s="119"/>
      <c r="Z25" s="119"/>
      <c r="AB25" s="120" t="s">
        <v>300</v>
      </c>
      <c r="AC25" s="121"/>
      <c r="AD25" s="122">
        <v>6000</v>
      </c>
      <c r="AE25" s="123">
        <v>0.02</v>
      </c>
      <c r="AF25" s="122">
        <f>+AD25*AE25</f>
        <v>120</v>
      </c>
      <c r="AG25" s="122">
        <f t="shared" si="0"/>
        <v>8.3333333333333339</v>
      </c>
      <c r="AH25" s="122">
        <v>40</v>
      </c>
      <c r="AI25" s="115">
        <v>1</v>
      </c>
      <c r="AJ25" s="123">
        <f t="shared" si="1"/>
        <v>0.8</v>
      </c>
      <c r="AK25" s="115">
        <v>1</v>
      </c>
      <c r="AL25" s="124">
        <f t="shared" si="2"/>
        <v>1</v>
      </c>
      <c r="AM25" s="122">
        <f t="shared" si="4"/>
        <v>416.66666666666669</v>
      </c>
      <c r="AN25" s="126">
        <v>2.5</v>
      </c>
      <c r="AO25" s="126">
        <f t="shared" si="3"/>
        <v>0.6</v>
      </c>
      <c r="AS25" s="102" t="s">
        <v>29</v>
      </c>
    </row>
    <row r="26" spans="1:45" s="102" customFormat="1" ht="18" thickTop="1" thickBot="1">
      <c r="A26" s="100"/>
      <c r="B26" s="94" t="str">
        <f>C832</f>
        <v>Duchas</v>
      </c>
      <c r="C26" s="94">
        <f>+E854</f>
        <v>66.964285714285708</v>
      </c>
      <c r="D26" s="94" t="str">
        <f>+I832</f>
        <v>Playa Piscina</v>
      </c>
      <c r="E26" s="94"/>
      <c r="F26" s="94">
        <f>+K854</f>
        <v>72.39382239382239</v>
      </c>
      <c r="G26" s="95"/>
      <c r="H26" s="94" t="str">
        <f>+O216</f>
        <v>Vestuarios Completos</v>
      </c>
      <c r="I26" s="94">
        <f>+Q238</f>
        <v>114.3771463934039</v>
      </c>
      <c r="J26" s="96"/>
      <c r="K26" s="96"/>
      <c r="L26" s="96"/>
      <c r="M26" s="97"/>
      <c r="N26" s="96" t="s">
        <v>301</v>
      </c>
      <c r="O26" s="96"/>
      <c r="P26" s="96"/>
      <c r="Q26" s="96"/>
      <c r="R26" s="96"/>
      <c r="S26" s="101"/>
      <c r="U26" s="109">
        <v>21</v>
      </c>
      <c r="V26" s="117" t="s">
        <v>188</v>
      </c>
      <c r="W26" s="118">
        <v>35</v>
      </c>
      <c r="X26" s="119"/>
      <c r="Y26" s="119"/>
      <c r="Z26" s="119"/>
      <c r="AB26" s="120" t="s">
        <v>302</v>
      </c>
      <c r="AC26" s="131"/>
      <c r="AD26" s="129"/>
      <c r="AE26" s="123">
        <v>1</v>
      </c>
      <c r="AF26" s="122">
        <v>1000</v>
      </c>
      <c r="AG26" s="122">
        <f t="shared" si="0"/>
        <v>1</v>
      </c>
      <c r="AH26" s="122">
        <v>400</v>
      </c>
      <c r="AI26" s="115">
        <v>1</v>
      </c>
      <c r="AJ26" s="123">
        <f t="shared" si="1"/>
        <v>0.8</v>
      </c>
      <c r="AK26" s="115">
        <v>1</v>
      </c>
      <c r="AL26" s="124">
        <f t="shared" si="2"/>
        <v>1</v>
      </c>
      <c r="AM26" s="122">
        <f t="shared" si="4"/>
        <v>500</v>
      </c>
      <c r="AN26" s="125">
        <v>1</v>
      </c>
      <c r="AO26" s="126">
        <f t="shared" si="3"/>
        <v>0.2</v>
      </c>
      <c r="AS26" s="102" t="s">
        <v>91</v>
      </c>
    </row>
    <row r="27" spans="1:45" s="102" customFormat="1" ht="18" thickTop="1" thickBot="1">
      <c r="A27" s="100"/>
      <c r="B27" s="94" t="str">
        <f>+C84</f>
        <v>Entrada Exterior</v>
      </c>
      <c r="C27" s="94">
        <f>+E106</f>
        <v>292.20779220779218</v>
      </c>
      <c r="D27" s="94" t="str">
        <f>+C1316</f>
        <v>Porche</v>
      </c>
      <c r="E27" s="94"/>
      <c r="F27" s="94">
        <f>+E1338</f>
        <v>912.62451597647134</v>
      </c>
      <c r="G27" s="95"/>
      <c r="H27" s="94" t="str">
        <f>I1008</f>
        <v>Zona limpio</v>
      </c>
      <c r="I27" s="94">
        <f>+K1030</f>
        <v>190.55601256184707</v>
      </c>
      <c r="J27" s="96"/>
      <c r="K27" s="96"/>
      <c r="L27" s="96"/>
      <c r="M27" s="97"/>
      <c r="N27" s="96" t="s">
        <v>303</v>
      </c>
      <c r="O27" s="96"/>
      <c r="P27" s="96"/>
      <c r="Q27" s="96"/>
      <c r="R27" s="96"/>
      <c r="S27" s="101"/>
      <c r="U27" s="109">
        <v>22</v>
      </c>
      <c r="V27" s="117" t="s">
        <v>189</v>
      </c>
      <c r="W27" s="118">
        <v>2.40003840061441</v>
      </c>
      <c r="X27" s="119"/>
      <c r="Y27" s="119"/>
      <c r="Z27" s="119"/>
      <c r="AB27" s="132"/>
      <c r="AC27" s="131"/>
      <c r="AD27" s="129"/>
      <c r="AE27" s="133"/>
      <c r="AF27" s="129"/>
      <c r="AG27" s="134"/>
      <c r="AH27" s="129"/>
      <c r="AI27" s="129"/>
      <c r="AJ27" s="135"/>
      <c r="AK27" s="129"/>
      <c r="AL27" s="135"/>
      <c r="AM27" s="134"/>
      <c r="AN27" s="136"/>
      <c r="AO27" s="136"/>
      <c r="AS27" s="102" t="s">
        <v>92</v>
      </c>
    </row>
    <row r="28" spans="1:45" s="102" customFormat="1" ht="18" thickTop="1" thickBot="1">
      <c r="A28" s="100"/>
      <c r="B28" s="94" t="str">
        <f>+I480</f>
        <v>Escaleras</v>
      </c>
      <c r="C28" s="94">
        <f>+K502</f>
        <v>161.99180303590168</v>
      </c>
      <c r="D28" s="94" t="str">
        <f>+I1272</f>
        <v>Rack CPD</v>
      </c>
      <c r="E28" s="94"/>
      <c r="F28" s="94">
        <f>+K1294</f>
        <v>172.6485824163826</v>
      </c>
      <c r="G28" s="95"/>
      <c r="H28" s="94" t="str">
        <f>+O1140</f>
        <v>Zona Sucio</v>
      </c>
      <c r="I28" s="94">
        <f>+K1030</f>
        <v>190.55601256184707</v>
      </c>
      <c r="J28" s="96"/>
      <c r="K28" s="96"/>
      <c r="L28" s="96"/>
      <c r="M28" s="97"/>
      <c r="N28" s="96" t="s">
        <v>304</v>
      </c>
      <c r="O28" s="96"/>
      <c r="P28" s="96"/>
      <c r="Q28" s="96"/>
      <c r="R28" s="96"/>
      <c r="S28" s="101"/>
      <c r="U28" s="109">
        <v>23</v>
      </c>
      <c r="V28" s="117" t="s">
        <v>190</v>
      </c>
      <c r="W28" s="118">
        <v>960</v>
      </c>
      <c r="X28" s="119"/>
      <c r="Y28" s="119"/>
      <c r="Z28" s="119"/>
      <c r="AB28" s="132"/>
      <c r="AC28" s="131"/>
      <c r="AD28" s="129"/>
      <c r="AE28" s="133"/>
      <c r="AF28" s="129"/>
      <c r="AG28" s="134"/>
      <c r="AH28" s="129"/>
      <c r="AI28" s="129"/>
      <c r="AJ28" s="135"/>
      <c r="AK28" s="129"/>
      <c r="AL28" s="135"/>
      <c r="AM28" s="134"/>
      <c r="AN28" s="136"/>
      <c r="AO28" s="136"/>
      <c r="AS28" s="102" t="s">
        <v>93</v>
      </c>
    </row>
    <row r="29" spans="1:45" s="102" customFormat="1" ht="18" thickTop="1" thickBot="1">
      <c r="A29" s="100"/>
      <c r="B29" s="94" t="str">
        <f>+O1184</f>
        <v>Estudio de Grabación</v>
      </c>
      <c r="C29" s="94">
        <f>+Q1206</f>
        <v>213.95284375378961</v>
      </c>
      <c r="D29" s="94" t="str">
        <f>+C348</f>
        <v>Rehabilitacion</v>
      </c>
      <c r="E29" s="94"/>
      <c r="F29" s="94">
        <f>+E370</f>
        <v>134.81267696665435</v>
      </c>
      <c r="G29" s="95"/>
      <c r="H29" s="94" t="str">
        <f>+I84</f>
        <v>Zonas Administrativas</v>
      </c>
      <c r="I29" s="94">
        <f>+K106</f>
        <v>217.52409321515051</v>
      </c>
      <c r="J29" s="96"/>
      <c r="K29" s="96"/>
      <c r="L29" s="96"/>
      <c r="M29" s="97"/>
      <c r="N29" s="96" t="s">
        <v>305</v>
      </c>
      <c r="O29" s="96"/>
      <c r="P29" s="96"/>
      <c r="Q29" s="96"/>
      <c r="R29" s="96"/>
      <c r="S29" s="101"/>
      <c r="U29" s="109">
        <v>24</v>
      </c>
      <c r="V29" s="117" t="s">
        <v>191</v>
      </c>
      <c r="W29" s="118">
        <v>800</v>
      </c>
      <c r="X29" s="119"/>
      <c r="Y29" s="119"/>
      <c r="Z29" s="119"/>
      <c r="AB29" s="132"/>
      <c r="AC29" s="131"/>
      <c r="AD29" s="129"/>
      <c r="AE29" s="133"/>
      <c r="AF29" s="129"/>
      <c r="AG29" s="134"/>
      <c r="AH29" s="129"/>
      <c r="AI29" s="129"/>
      <c r="AJ29" s="135"/>
      <c r="AK29" s="129"/>
      <c r="AL29" s="135"/>
      <c r="AM29" s="134"/>
      <c r="AN29" s="136"/>
      <c r="AO29" s="136"/>
      <c r="AS29" s="102" t="s">
        <v>94</v>
      </c>
    </row>
    <row r="30" spans="1:45" s="102" customFormat="1" ht="18" thickTop="1" thickBot="1">
      <c r="A30" s="100"/>
      <c r="B30" s="96"/>
      <c r="C30" s="96"/>
      <c r="D30" s="137"/>
      <c r="E30" s="96"/>
      <c r="F30" s="96"/>
      <c r="G30" s="97"/>
      <c r="H30" s="96"/>
      <c r="I30" s="96"/>
      <c r="J30" s="96"/>
      <c r="K30" s="96"/>
      <c r="L30" s="96"/>
      <c r="M30" s="97"/>
      <c r="N30" s="96" t="s">
        <v>306</v>
      </c>
      <c r="O30" s="96"/>
      <c r="P30" s="96"/>
      <c r="Q30" s="96"/>
      <c r="R30" s="96"/>
      <c r="S30" s="101"/>
      <c r="U30" s="109">
        <v>25</v>
      </c>
      <c r="V30" s="117" t="s">
        <v>192</v>
      </c>
      <c r="W30" s="118">
        <v>450</v>
      </c>
      <c r="X30" s="119"/>
      <c r="Y30" s="119"/>
      <c r="Z30" s="119"/>
      <c r="AB30" s="132"/>
      <c r="AC30" s="131"/>
      <c r="AD30" s="129"/>
      <c r="AE30" s="133"/>
      <c r="AF30" s="129"/>
      <c r="AG30" s="134"/>
      <c r="AH30" s="129"/>
      <c r="AI30" s="129"/>
      <c r="AJ30" s="135"/>
      <c r="AK30" s="129"/>
      <c r="AL30" s="135"/>
      <c r="AM30" s="134"/>
      <c r="AN30" s="136"/>
      <c r="AO30" s="136"/>
      <c r="AS30" s="102" t="s">
        <v>95</v>
      </c>
    </row>
    <row r="31" spans="1:45" s="102" customFormat="1" ht="18" thickTop="1" thickBot="1">
      <c r="A31" s="100"/>
      <c r="B31" s="96"/>
      <c r="C31" s="96"/>
      <c r="D31" s="137"/>
      <c r="E31" s="96"/>
      <c r="F31" s="96"/>
      <c r="G31" s="97"/>
      <c r="H31" s="96"/>
      <c r="I31" s="96"/>
      <c r="J31" s="96"/>
      <c r="K31" s="96"/>
      <c r="L31" s="96"/>
      <c r="M31" s="97"/>
      <c r="N31" s="96" t="s">
        <v>307</v>
      </c>
      <c r="O31" s="96"/>
      <c r="P31" s="96"/>
      <c r="Q31" s="96"/>
      <c r="R31" s="96"/>
      <c r="S31" s="101"/>
      <c r="U31" s="109">
        <v>26</v>
      </c>
      <c r="V31" s="117" t="s">
        <v>193</v>
      </c>
      <c r="W31" s="118">
        <v>400</v>
      </c>
      <c r="X31" s="119"/>
      <c r="Y31" s="119"/>
      <c r="Z31" s="119"/>
      <c r="AB31" s="132"/>
      <c r="AC31" s="131"/>
      <c r="AD31" s="129"/>
      <c r="AE31" s="133"/>
      <c r="AF31" s="129"/>
      <c r="AG31" s="134"/>
      <c r="AH31" s="129"/>
      <c r="AI31" s="129"/>
      <c r="AJ31" s="135"/>
      <c r="AK31" s="129"/>
      <c r="AL31" s="135"/>
      <c r="AM31" s="134"/>
      <c r="AN31" s="136"/>
      <c r="AO31" s="136"/>
      <c r="AS31" s="102" t="s">
        <v>28</v>
      </c>
    </row>
    <row r="32" spans="1:45" s="102" customFormat="1" ht="18" thickTop="1" thickBot="1">
      <c r="A32" s="100"/>
      <c r="B32" s="96"/>
      <c r="C32" s="96"/>
      <c r="D32" s="137"/>
      <c r="E32" s="96"/>
      <c r="F32" s="96"/>
      <c r="G32" s="97"/>
      <c r="H32" s="96"/>
      <c r="I32" s="96"/>
      <c r="J32" s="96"/>
      <c r="K32" s="96"/>
      <c r="L32" s="96"/>
      <c r="M32" s="97"/>
      <c r="N32" s="96" t="s">
        <v>308</v>
      </c>
      <c r="O32" s="96"/>
      <c r="P32" s="96"/>
      <c r="Q32" s="96"/>
      <c r="R32" s="96"/>
      <c r="S32" s="101"/>
      <c r="U32" s="109">
        <v>27</v>
      </c>
      <c r="V32" s="117" t="s">
        <v>194</v>
      </c>
      <c r="W32" s="118">
        <v>2000</v>
      </c>
      <c r="X32" s="119"/>
      <c r="Y32" s="119"/>
      <c r="Z32" s="119"/>
      <c r="AB32" s="132"/>
      <c r="AC32" s="131"/>
      <c r="AD32" s="129"/>
      <c r="AE32" s="133"/>
      <c r="AF32" s="129"/>
      <c r="AG32" s="134"/>
      <c r="AH32" s="129"/>
      <c r="AI32" s="129"/>
      <c r="AJ32" s="135"/>
      <c r="AK32" s="129"/>
      <c r="AL32" s="135"/>
      <c r="AM32" s="134"/>
      <c r="AN32" s="136"/>
      <c r="AO32" s="136"/>
      <c r="AS32" s="102" t="s">
        <v>97</v>
      </c>
    </row>
    <row r="33" spans="1:45" s="102" customFormat="1" ht="18" thickTop="1" thickBot="1">
      <c r="A33" s="100"/>
      <c r="B33" s="96"/>
      <c r="C33" s="96"/>
      <c r="D33" s="137"/>
      <c r="E33" s="96"/>
      <c r="F33" s="96"/>
      <c r="G33" s="97"/>
      <c r="H33" s="96"/>
      <c r="I33" s="96"/>
      <c r="J33" s="96"/>
      <c r="K33" s="96"/>
      <c r="L33" s="96"/>
      <c r="M33" s="97"/>
      <c r="N33" s="96" t="s">
        <v>309</v>
      </c>
      <c r="O33" s="96"/>
      <c r="P33" s="96"/>
      <c r="Q33" s="96"/>
      <c r="R33" s="96"/>
      <c r="S33" s="101"/>
      <c r="U33" s="109">
        <v>28</v>
      </c>
      <c r="V33" s="117" t="s">
        <v>195</v>
      </c>
      <c r="W33" s="118">
        <v>750</v>
      </c>
      <c r="X33" s="119"/>
      <c r="Y33" s="119"/>
      <c r="Z33" s="119"/>
      <c r="AB33" s="132"/>
      <c r="AC33" s="131"/>
      <c r="AD33" s="129"/>
      <c r="AE33" s="133"/>
      <c r="AF33" s="129"/>
      <c r="AG33" s="134"/>
      <c r="AH33" s="129"/>
      <c r="AI33" s="129"/>
      <c r="AJ33" s="135"/>
      <c r="AK33" s="129"/>
      <c r="AL33" s="135"/>
      <c r="AM33" s="134"/>
      <c r="AN33" s="136"/>
      <c r="AO33" s="136"/>
      <c r="AS33" s="102" t="s">
        <v>98</v>
      </c>
    </row>
    <row r="34" spans="1:45" s="102" customFormat="1" ht="18" thickTop="1" thickBot="1">
      <c r="A34" s="100"/>
      <c r="B34" s="96"/>
      <c r="C34" s="96"/>
      <c r="D34" s="137"/>
      <c r="E34" s="96"/>
      <c r="F34" s="96"/>
      <c r="G34" s="97"/>
      <c r="H34" s="96"/>
      <c r="I34" s="96"/>
      <c r="J34" s="96"/>
      <c r="K34" s="96"/>
      <c r="L34" s="96"/>
      <c r="M34" s="97"/>
      <c r="N34" s="96" t="s">
        <v>310</v>
      </c>
      <c r="O34" s="96"/>
      <c r="P34" s="96"/>
      <c r="Q34" s="96"/>
      <c r="R34" s="96"/>
      <c r="S34" s="101"/>
      <c r="U34" s="109">
        <v>29</v>
      </c>
      <c r="V34" s="117" t="s">
        <v>196</v>
      </c>
      <c r="W34" s="118">
        <v>550</v>
      </c>
      <c r="X34" s="119"/>
      <c r="Y34" s="119"/>
      <c r="Z34" s="119"/>
      <c r="AB34" s="132"/>
      <c r="AC34" s="131"/>
      <c r="AD34" s="129"/>
      <c r="AE34" s="133"/>
      <c r="AF34" s="129"/>
      <c r="AG34" s="134"/>
      <c r="AH34" s="129"/>
      <c r="AI34" s="129"/>
      <c r="AJ34" s="135"/>
      <c r="AK34" s="129"/>
      <c r="AL34" s="135"/>
      <c r="AM34" s="134"/>
      <c r="AN34" s="136"/>
      <c r="AO34" s="136"/>
      <c r="AS34" s="102" t="s">
        <v>99</v>
      </c>
    </row>
    <row r="35" spans="1:45" ht="25" thickTop="1" thickBot="1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2"/>
      <c r="O35" s="92"/>
      <c r="P35" s="92"/>
      <c r="Q35" s="92"/>
      <c r="R35" s="92"/>
      <c r="S35" s="87"/>
      <c r="U35" s="138">
        <v>30</v>
      </c>
      <c r="V35" s="117" t="s">
        <v>197</v>
      </c>
      <c r="W35" s="139">
        <v>600</v>
      </c>
      <c r="X35" s="140"/>
      <c r="Y35" s="140"/>
      <c r="Z35" s="140"/>
      <c r="AB35" s="141"/>
      <c r="AC35" s="142"/>
      <c r="AD35" s="143"/>
      <c r="AE35" s="144"/>
      <c r="AF35" s="143"/>
      <c r="AG35" s="145"/>
      <c r="AH35" s="143"/>
      <c r="AI35" s="143"/>
      <c r="AJ35" s="146"/>
      <c r="AK35" s="143"/>
      <c r="AL35" s="146"/>
      <c r="AM35" s="145"/>
      <c r="AN35" s="136"/>
      <c r="AO35" s="136"/>
      <c r="AS35" s="88" t="s">
        <v>100</v>
      </c>
    </row>
    <row r="36" spans="1:45" ht="24.75" customHeight="1" thickTop="1">
      <c r="A36" s="87"/>
      <c r="B36" s="87"/>
      <c r="C36" s="87"/>
      <c r="D36" s="87"/>
      <c r="E36" s="87"/>
      <c r="F36" s="87"/>
      <c r="G36" s="87"/>
      <c r="H36" s="87"/>
      <c r="I36" s="409" t="s">
        <v>261</v>
      </c>
      <c r="J36" s="410"/>
      <c r="K36" s="147"/>
      <c r="L36" s="87"/>
      <c r="M36" s="87"/>
      <c r="N36" s="87"/>
      <c r="O36" s="87"/>
      <c r="P36" s="87"/>
      <c r="Q36" s="87"/>
      <c r="R36" s="87"/>
      <c r="S36" s="87"/>
      <c r="U36" s="138">
        <v>31</v>
      </c>
      <c r="V36" s="117" t="s">
        <v>198</v>
      </c>
      <c r="W36" s="139">
        <v>30</v>
      </c>
      <c r="X36" s="140"/>
      <c r="Y36" s="140"/>
      <c r="Z36" s="140"/>
      <c r="AB36" s="141"/>
      <c r="AC36" s="142"/>
      <c r="AD36" s="143"/>
      <c r="AE36" s="144"/>
      <c r="AF36" s="143"/>
      <c r="AG36" s="145"/>
      <c r="AH36" s="143"/>
      <c r="AI36" s="143"/>
      <c r="AJ36" s="146"/>
      <c r="AK36" s="143"/>
      <c r="AL36" s="146"/>
      <c r="AM36" s="145"/>
      <c r="AN36" s="136"/>
      <c r="AO36" s="136"/>
      <c r="AS36" s="88" t="s">
        <v>101</v>
      </c>
    </row>
    <row r="37" spans="1:45" ht="24.75" customHeight="1" thickBot="1">
      <c r="A37" s="87"/>
      <c r="B37" s="148" t="s">
        <v>311</v>
      </c>
      <c r="C37" s="148">
        <v>100</v>
      </c>
      <c r="D37" s="149" t="s">
        <v>7</v>
      </c>
      <c r="E37" s="413">
        <v>247</v>
      </c>
      <c r="F37" s="414"/>
      <c r="I37" s="411"/>
      <c r="J37" s="412"/>
      <c r="K37" s="147"/>
      <c r="L37" s="87"/>
      <c r="M37" s="87"/>
      <c r="N37" s="87"/>
      <c r="O37" s="87"/>
      <c r="P37" s="87"/>
      <c r="Q37" s="87"/>
      <c r="R37" s="87"/>
      <c r="S37" s="87"/>
      <c r="U37" s="138">
        <v>32</v>
      </c>
      <c r="V37" s="117" t="s">
        <v>199</v>
      </c>
      <c r="W37" s="139">
        <v>300</v>
      </c>
      <c r="X37" s="140"/>
      <c r="Y37" s="140"/>
      <c r="Z37" s="140"/>
      <c r="AB37" s="141"/>
      <c r="AC37" s="142"/>
      <c r="AD37" s="143"/>
      <c r="AE37" s="144"/>
      <c r="AF37" s="143"/>
      <c r="AG37" s="145"/>
      <c r="AH37" s="143"/>
      <c r="AI37" s="143"/>
      <c r="AJ37" s="146"/>
      <c r="AK37" s="143"/>
      <c r="AL37" s="146"/>
      <c r="AM37" s="145"/>
      <c r="AN37" s="136"/>
      <c r="AO37" s="136"/>
      <c r="AS37" s="88" t="s">
        <v>102</v>
      </c>
    </row>
    <row r="38" spans="1:45" ht="18" thickTop="1" thickBot="1">
      <c r="A38" s="87"/>
      <c r="B38" s="147"/>
      <c r="C38" s="147"/>
      <c r="D38" s="87"/>
      <c r="E38" s="87"/>
      <c r="F38" s="87"/>
      <c r="I38" s="87"/>
      <c r="J38" s="87"/>
      <c r="K38" s="147"/>
      <c r="L38" s="87"/>
      <c r="N38" s="87"/>
      <c r="O38" s="87"/>
      <c r="P38" s="87"/>
      <c r="Q38" s="87"/>
      <c r="R38" s="87"/>
      <c r="S38" s="87"/>
      <c r="U38" s="138">
        <v>33</v>
      </c>
      <c r="V38" s="117" t="s">
        <v>200</v>
      </c>
      <c r="W38" s="139">
        <v>425</v>
      </c>
      <c r="X38" s="140"/>
      <c r="Y38" s="140"/>
      <c r="Z38" s="140"/>
      <c r="AI38" s="90"/>
      <c r="AS38" s="88" t="s">
        <v>103</v>
      </c>
    </row>
    <row r="39" spans="1:45" ht="24" customHeight="1" thickBot="1">
      <c r="B39" s="415" t="s">
        <v>312</v>
      </c>
      <c r="C39" s="416"/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7"/>
      <c r="U39" s="138">
        <v>34</v>
      </c>
      <c r="V39" s="117" t="s">
        <v>201</v>
      </c>
      <c r="W39" s="139">
        <v>500</v>
      </c>
      <c r="X39" s="140"/>
      <c r="Y39" s="140"/>
      <c r="Z39" s="140"/>
      <c r="AS39" s="88" t="s">
        <v>104</v>
      </c>
    </row>
    <row r="40" spans="1:45" ht="24">
      <c r="B40" s="150"/>
      <c r="C40" s="418" t="s">
        <v>128</v>
      </c>
      <c r="D40" s="419"/>
      <c r="E40" s="420"/>
      <c r="F40" s="151"/>
      <c r="H40" s="152"/>
      <c r="I40" s="421" t="s">
        <v>127</v>
      </c>
      <c r="J40" s="422"/>
      <c r="K40" s="423"/>
      <c r="L40" s="153"/>
      <c r="N40" s="152"/>
      <c r="O40" s="424" t="s">
        <v>8</v>
      </c>
      <c r="P40" s="425"/>
      <c r="Q40" s="426"/>
      <c r="R40" s="154"/>
      <c r="U40" s="138">
        <v>35</v>
      </c>
      <c r="V40" s="117" t="s">
        <v>202</v>
      </c>
      <c r="W40" s="139">
        <v>550</v>
      </c>
      <c r="X40" s="140"/>
      <c r="Y40" s="140"/>
      <c r="Z40" s="140"/>
      <c r="AS40" s="88" t="s">
        <v>105</v>
      </c>
    </row>
    <row r="41" spans="1:45" ht="33" thickBot="1">
      <c r="B41" s="155" t="s">
        <v>313</v>
      </c>
      <c r="C41" s="156" t="s">
        <v>6</v>
      </c>
      <c r="D41" s="156" t="s">
        <v>25</v>
      </c>
      <c r="E41" s="156" t="s">
        <v>314</v>
      </c>
      <c r="F41" s="156" t="s">
        <v>315</v>
      </c>
      <c r="H41" s="156" t="s">
        <v>313</v>
      </c>
      <c r="I41" s="156" t="s">
        <v>6</v>
      </c>
      <c r="J41" s="156" t="s">
        <v>25</v>
      </c>
      <c r="K41" s="156" t="s">
        <v>314</v>
      </c>
      <c r="L41" s="156" t="s">
        <v>315</v>
      </c>
      <c r="N41" s="157" t="s">
        <v>313</v>
      </c>
      <c r="O41" s="157" t="s">
        <v>6</v>
      </c>
      <c r="P41" s="157" t="s">
        <v>25</v>
      </c>
      <c r="Q41" s="157" t="s">
        <v>314</v>
      </c>
      <c r="R41" s="158" t="s">
        <v>315</v>
      </c>
      <c r="U41" s="138">
        <v>36</v>
      </c>
      <c r="V41" s="117" t="s">
        <v>203</v>
      </c>
      <c r="W41" s="139">
        <v>600</v>
      </c>
      <c r="X41" s="140"/>
      <c r="Y41" s="140"/>
      <c r="Z41" s="140"/>
      <c r="AS41" s="88" t="s">
        <v>106</v>
      </c>
    </row>
    <row r="42" spans="1:45">
      <c r="B42" s="159" t="s">
        <v>182</v>
      </c>
      <c r="C42" s="160">
        <f>VLOOKUP(B42,'RESUMEN RENDIMIENTOS'!$V$6:$W$158,2,FALSE)</f>
        <v>1400</v>
      </c>
      <c r="D42" s="177" t="s">
        <v>20</v>
      </c>
      <c r="E42" s="162">
        <v>247</v>
      </c>
      <c r="F42" s="163">
        <f>IF(C42=0,0,(100/C42)*E42/$E$37)</f>
        <v>7.1428571428571425E-2</v>
      </c>
      <c r="G42" s="164">
        <f>+F42/F58</f>
        <v>0.15450067174205104</v>
      </c>
      <c r="H42" s="165" t="s">
        <v>182</v>
      </c>
      <c r="I42" s="166">
        <f>VLOOKUP(H42,'RESUMEN RENDIMIENTOS'!$V$6:$W$158,2,FALSE)</f>
        <v>1400</v>
      </c>
      <c r="J42" s="177" t="s">
        <v>20</v>
      </c>
      <c r="K42" s="162">
        <v>247</v>
      </c>
      <c r="L42" s="163">
        <f>IF(I42=0,0,(100/I42)*K42/$E$37)</f>
        <v>7.1428571428571425E-2</v>
      </c>
      <c r="M42" s="164">
        <f>+L42/L58</f>
        <v>0.17365544556682957</v>
      </c>
      <c r="N42" s="165" t="s">
        <v>181</v>
      </c>
      <c r="O42" s="166">
        <f>VLOOKUP(N42,'RESUMEN RENDIMIENTOS'!$V$6:$W$158,2,FALSE)</f>
        <v>900</v>
      </c>
      <c r="P42" s="177" t="s">
        <v>20</v>
      </c>
      <c r="Q42" s="167">
        <v>247</v>
      </c>
      <c r="R42" s="168">
        <f t="shared" ref="R42:R57" si="6">IF(O42=0,0,(100/O42)*Q42/$E$37)</f>
        <v>0.1111111111111111</v>
      </c>
      <c r="S42" s="169">
        <f>+R42/R58</f>
        <v>0.22653695647143246</v>
      </c>
      <c r="U42" s="138">
        <v>37</v>
      </c>
      <c r="V42" s="117" t="s">
        <v>204</v>
      </c>
      <c r="W42" s="139">
        <v>1800</v>
      </c>
      <c r="X42" s="140"/>
      <c r="Y42" s="140"/>
      <c r="Z42" s="140"/>
      <c r="AS42" s="88" t="s">
        <v>107</v>
      </c>
    </row>
    <row r="43" spans="1:45">
      <c r="B43" s="170" t="s">
        <v>203</v>
      </c>
      <c r="C43" s="171">
        <f>VLOOKUP(B43,'RESUMEN RENDIMIENTOS'!$V$6:$W$158,2,FALSE)</f>
        <v>600</v>
      </c>
      <c r="D43" s="177" t="s">
        <v>20</v>
      </c>
      <c r="E43" s="172">
        <v>247</v>
      </c>
      <c r="F43" s="173">
        <f t="shared" ref="F43:F57" si="7">IF(C43=0,0,(100/C43)*E43/$E$37)</f>
        <v>0.16666666666666666</v>
      </c>
      <c r="G43" s="174">
        <f>+F43/F58</f>
        <v>0.36050156739811906</v>
      </c>
      <c r="H43" s="170" t="s">
        <v>203</v>
      </c>
      <c r="I43" s="171">
        <f>VLOOKUP(H43,'RESUMEN RENDIMIENTOS'!$V$6:$W$158,2,FALSE)</f>
        <v>600</v>
      </c>
      <c r="J43" s="177" t="s">
        <v>52</v>
      </c>
      <c r="K43" s="172">
        <v>156.42000000000002</v>
      </c>
      <c r="L43" s="173">
        <f t="shared" ref="L43:L57" si="8">IF(I43=0,0,(100/I43)*K43/$E$37)</f>
        <v>0.10554655870445344</v>
      </c>
      <c r="M43" s="174">
        <f>+L43/L58</f>
        <v>0.25660228551814357</v>
      </c>
      <c r="N43" s="170" t="s">
        <v>199</v>
      </c>
      <c r="O43" s="171">
        <f>VLOOKUP(N43,'RESUMEN RENDIMIENTOS'!$V$6:$W$158,2,FALSE)</f>
        <v>300</v>
      </c>
      <c r="P43" s="177" t="s">
        <v>31</v>
      </c>
      <c r="Q43" s="172">
        <v>104.28</v>
      </c>
      <c r="R43" s="175">
        <f t="shared" si="6"/>
        <v>0.14072874493927126</v>
      </c>
      <c r="S43" s="176">
        <f>+R43/R58</f>
        <v>0.28692235409928318</v>
      </c>
      <c r="U43" s="138">
        <v>38</v>
      </c>
      <c r="V43" s="117" t="s">
        <v>205</v>
      </c>
      <c r="W43" s="139">
        <v>1200</v>
      </c>
      <c r="X43" s="140"/>
      <c r="Y43" s="140"/>
      <c r="Z43" s="140"/>
      <c r="AS43" s="88" t="s">
        <v>108</v>
      </c>
    </row>
    <row r="44" spans="1:45">
      <c r="B44" s="170" t="s">
        <v>240</v>
      </c>
      <c r="C44" s="171">
        <f>VLOOKUP(B44,'RESUMEN RENDIMIENTOS'!$V$6:$W$158,2,FALSE)</f>
        <v>1000</v>
      </c>
      <c r="D44" s="177" t="s">
        <v>20</v>
      </c>
      <c r="E44" s="172">
        <v>247</v>
      </c>
      <c r="F44" s="173">
        <f t="shared" si="7"/>
        <v>0.1</v>
      </c>
      <c r="G44" s="174">
        <f>+F44/F58</f>
        <v>0.21630094043887146</v>
      </c>
      <c r="H44" s="170" t="s">
        <v>190</v>
      </c>
      <c r="I44" s="171">
        <f>VLOOKUP(H44,'RESUMEN RENDIMIENTOS'!$V$6:$W$158,2,FALSE)</f>
        <v>960</v>
      </c>
      <c r="J44" s="177" t="s">
        <v>31</v>
      </c>
      <c r="K44" s="172">
        <v>104.28</v>
      </c>
      <c r="L44" s="173">
        <f t="shared" si="8"/>
        <v>4.3977732793522267E-2</v>
      </c>
      <c r="M44" s="174">
        <f>+L44/L58</f>
        <v>0.10691761896589315</v>
      </c>
      <c r="N44" s="170" t="s">
        <v>190</v>
      </c>
      <c r="O44" s="171">
        <f>VLOOKUP(N44,'RESUMEN RENDIMIENTOS'!$V$6:$W$158,2,FALSE)</f>
        <v>960</v>
      </c>
      <c r="P44" s="177" t="s">
        <v>52</v>
      </c>
      <c r="Q44" s="172">
        <v>156.42000000000002</v>
      </c>
      <c r="R44" s="175">
        <f t="shared" si="6"/>
        <v>6.5966599190283415E-2</v>
      </c>
      <c r="S44" s="176">
        <f>+R44/R58</f>
        <v>0.134494853484039</v>
      </c>
      <c r="U44" s="138">
        <v>39</v>
      </c>
      <c r="V44" s="117" t="s">
        <v>206</v>
      </c>
      <c r="W44" s="139">
        <v>600</v>
      </c>
      <c r="X44" s="140"/>
      <c r="Y44" s="140"/>
      <c r="Z44" s="140"/>
      <c r="AS44" s="88" t="s">
        <v>109</v>
      </c>
    </row>
    <row r="45" spans="1:45">
      <c r="B45" s="170" t="s">
        <v>234</v>
      </c>
      <c r="C45" s="171">
        <f>VLOOKUP(B45,'RESUMEN RENDIMIENTOS'!$V$6:$W$158,2,FALSE)</f>
        <v>805</v>
      </c>
      <c r="D45" s="177" t="s">
        <v>20</v>
      </c>
      <c r="E45" s="172">
        <v>247</v>
      </c>
      <c r="F45" s="173">
        <f t="shared" si="7"/>
        <v>0.12422360248447205</v>
      </c>
      <c r="G45" s="174">
        <f>+F45/F58</f>
        <v>0.26869682042095833</v>
      </c>
      <c r="H45" s="170" t="s">
        <v>259</v>
      </c>
      <c r="I45" s="171">
        <f>VLOOKUP(H45,'RESUMEN RENDIMIENTOS'!$V$6:$W$158,2,FALSE)</f>
        <v>1800</v>
      </c>
      <c r="J45" s="177" t="s">
        <v>20</v>
      </c>
      <c r="K45" s="172">
        <v>247</v>
      </c>
      <c r="L45" s="173">
        <f t="shared" si="8"/>
        <v>5.5555555555555552E-2</v>
      </c>
      <c r="M45" s="174">
        <f>+L45/L58</f>
        <v>0.13506534655197855</v>
      </c>
      <c r="N45" s="170" t="s">
        <v>259</v>
      </c>
      <c r="O45" s="171">
        <f>VLOOKUP(N45,'RESUMEN RENDIMIENTOS'!$V$6:$W$158,2,FALSE)</f>
        <v>1800</v>
      </c>
      <c r="P45" s="177" t="s">
        <v>20</v>
      </c>
      <c r="Q45" s="172">
        <v>247</v>
      </c>
      <c r="R45" s="175">
        <f t="shared" si="6"/>
        <v>5.5555555555555552E-2</v>
      </c>
      <c r="S45" s="176">
        <f>+R45/R58</f>
        <v>0.11326847823571623</v>
      </c>
      <c r="U45" s="138">
        <v>40</v>
      </c>
      <c r="V45" s="117" t="s">
        <v>207</v>
      </c>
      <c r="W45" s="139">
        <v>3500</v>
      </c>
      <c r="X45" s="140"/>
      <c r="Y45" s="140"/>
      <c r="Z45" s="140"/>
      <c r="AS45" s="88" t="s">
        <v>110</v>
      </c>
    </row>
    <row r="46" spans="1:45">
      <c r="B46" s="170">
        <v>0</v>
      </c>
      <c r="C46" s="171">
        <f>VLOOKUP(B46,'RESUMEN RENDIMIENTOS'!$V$6:$W$158,2,FALSE)</f>
        <v>0</v>
      </c>
      <c r="D46" s="177"/>
      <c r="E46" s="172" t="s">
        <v>337</v>
      </c>
      <c r="F46" s="173">
        <f t="shared" si="7"/>
        <v>0</v>
      </c>
      <c r="G46" s="174">
        <f>+F46/F58</f>
        <v>0</v>
      </c>
      <c r="H46" s="170" t="s">
        <v>253</v>
      </c>
      <c r="I46" s="171">
        <f>VLOOKUP(H46,'RESUMEN RENDIMIENTOS'!$V$6:$W$158,2,FALSE)</f>
        <v>1500</v>
      </c>
      <c r="J46" s="177" t="s">
        <v>31</v>
      </c>
      <c r="K46" s="172">
        <v>104.28</v>
      </c>
      <c r="L46" s="173">
        <f t="shared" si="8"/>
        <v>2.8145748987854251E-2</v>
      </c>
      <c r="M46" s="174">
        <f>+L46/L58</f>
        <v>6.8427276138171622E-2</v>
      </c>
      <c r="N46" s="170" t="s">
        <v>253</v>
      </c>
      <c r="O46" s="171">
        <f>VLOOKUP(N46,'RESUMEN RENDIMIENTOS'!$V$6:$W$158,2,FALSE)</f>
        <v>1500</v>
      </c>
      <c r="P46" s="177" t="s">
        <v>53</v>
      </c>
      <c r="Q46" s="172">
        <v>123.5</v>
      </c>
      <c r="R46" s="175">
        <f t="shared" si="6"/>
        <v>3.3333333333333333E-2</v>
      </c>
      <c r="S46" s="176">
        <f>+R46/R58</f>
        <v>6.7961086941429744E-2</v>
      </c>
      <c r="U46" s="138">
        <v>41</v>
      </c>
      <c r="V46" s="117" t="s">
        <v>208</v>
      </c>
      <c r="W46" s="139">
        <v>110</v>
      </c>
      <c r="X46" s="140"/>
      <c r="Y46" s="140"/>
      <c r="Z46" s="140"/>
      <c r="AS46" s="88" t="s">
        <v>112</v>
      </c>
    </row>
    <row r="47" spans="1:45">
      <c r="B47" s="170">
        <v>0</v>
      </c>
      <c r="C47" s="171">
        <f>VLOOKUP(B47,'RESUMEN RENDIMIENTOS'!$V$6:$W$158,2,FALSE)</f>
        <v>0</v>
      </c>
      <c r="D47" s="177"/>
      <c r="E47" s="172" t="s">
        <v>337</v>
      </c>
      <c r="F47" s="173">
        <f t="shared" si="7"/>
        <v>0</v>
      </c>
      <c r="G47" s="174">
        <f>+F47/F58</f>
        <v>0</v>
      </c>
      <c r="H47" s="170" t="s">
        <v>240</v>
      </c>
      <c r="I47" s="171">
        <f>VLOOKUP(H47,'RESUMEN RENDIMIENTOS'!$V$6:$W$158,2,FALSE)</f>
        <v>1000</v>
      </c>
      <c r="J47" s="177" t="s">
        <v>56</v>
      </c>
      <c r="K47" s="172">
        <v>52.14</v>
      </c>
      <c r="L47" s="173">
        <f>IF(I47=0,0,(100/I47)*K47/$E$37)</f>
        <v>2.1109311740890691E-2</v>
      </c>
      <c r="M47" s="174">
        <f>+L47/L58</f>
        <v>5.1320457103628717E-2</v>
      </c>
      <c r="N47" s="170" t="s">
        <v>254</v>
      </c>
      <c r="O47" s="171">
        <f>VLOOKUP(N47,'RESUMEN RENDIMIENTOS'!$V$6:$W$158,2,FALSE)</f>
        <v>2000</v>
      </c>
      <c r="P47" s="177" t="s">
        <v>53</v>
      </c>
      <c r="Q47" s="172">
        <v>123.5</v>
      </c>
      <c r="R47" s="175">
        <f t="shared" si="6"/>
        <v>2.5000000000000001E-2</v>
      </c>
      <c r="S47" s="176">
        <f>+R47/R58</f>
        <v>5.0970815206072315E-2</v>
      </c>
      <c r="U47" s="138">
        <v>42</v>
      </c>
      <c r="V47" s="117" t="s">
        <v>209</v>
      </c>
      <c r="W47" s="139">
        <v>100</v>
      </c>
      <c r="X47" s="140"/>
      <c r="Y47" s="140"/>
      <c r="Z47" s="140"/>
      <c r="AS47" s="88" t="s">
        <v>113</v>
      </c>
    </row>
    <row r="48" spans="1:45">
      <c r="B48" s="170">
        <v>0</v>
      </c>
      <c r="C48" s="171">
        <f>VLOOKUP(B48,'RESUMEN RENDIMIENTOS'!$V$6:$W$158,2,FALSE)</f>
        <v>0</v>
      </c>
      <c r="D48" s="177"/>
      <c r="E48" s="172" t="s">
        <v>337</v>
      </c>
      <c r="F48" s="173">
        <f t="shared" si="7"/>
        <v>0</v>
      </c>
      <c r="G48" s="174">
        <f>+F48/F58</f>
        <v>0</v>
      </c>
      <c r="H48" s="170" t="s">
        <v>210</v>
      </c>
      <c r="I48" s="171">
        <f>VLOOKUP(H48,'RESUMEN RENDIMIENTOS'!$V$6:$W$158,2,FALSE)</f>
        <v>80</v>
      </c>
      <c r="J48" s="177" t="s">
        <v>58</v>
      </c>
      <c r="K48" s="172">
        <v>12</v>
      </c>
      <c r="L48" s="173">
        <f t="shared" ref="L48:L53" si="9">IF(I48=0,0,(100/I48)*K48/$E$37)</f>
        <v>6.0728744939271252E-2</v>
      </c>
      <c r="M48" s="174">
        <f>+L48/L58</f>
        <v>0.14764228165600896</v>
      </c>
      <c r="N48" s="170" t="s">
        <v>194</v>
      </c>
      <c r="O48" s="171">
        <f>VLOOKUP(N48,'RESUMEN RENDIMIENTOS'!$V$6:$W$158,2,FALSE)</f>
        <v>2000</v>
      </c>
      <c r="P48" s="177" t="s">
        <v>56</v>
      </c>
      <c r="Q48" s="172">
        <v>52.14</v>
      </c>
      <c r="R48" s="175">
        <f t="shared" si="6"/>
        <v>1.0554655870445346E-2</v>
      </c>
      <c r="S48" s="176">
        <f>+R48/R58</f>
        <v>2.1519176557446239E-2</v>
      </c>
      <c r="U48" s="138">
        <v>43</v>
      </c>
      <c r="V48" s="117" t="s">
        <v>210</v>
      </c>
      <c r="W48" s="139">
        <v>80</v>
      </c>
      <c r="X48" s="140"/>
      <c r="Y48" s="140"/>
      <c r="Z48" s="140"/>
      <c r="AS48" s="88" t="s">
        <v>116</v>
      </c>
    </row>
    <row r="49" spans="2:45">
      <c r="B49" s="170">
        <v>0</v>
      </c>
      <c r="C49" s="171">
        <f>VLOOKUP(B49,'RESUMEN RENDIMIENTOS'!$V$6:$W$158,2,FALSE)</f>
        <v>0</v>
      </c>
      <c r="D49" s="177"/>
      <c r="E49" s="172" t="s">
        <v>337</v>
      </c>
      <c r="F49" s="173">
        <f t="shared" si="7"/>
        <v>0</v>
      </c>
      <c r="G49" s="174">
        <f>+F49/F58</f>
        <v>0</v>
      </c>
      <c r="H49" s="170" t="s">
        <v>230</v>
      </c>
      <c r="I49" s="171">
        <f>VLOOKUP(H49,'RESUMEN RENDIMIENTOS'!$V$6:$W$158,2,FALSE)</f>
        <v>900</v>
      </c>
      <c r="J49" s="177" t="s">
        <v>58</v>
      </c>
      <c r="K49" s="172">
        <v>12</v>
      </c>
      <c r="L49" s="173">
        <f t="shared" si="9"/>
        <v>5.3981106612685558E-3</v>
      </c>
      <c r="M49" s="174">
        <f>+L49/L58</f>
        <v>1.3123758369423017E-2</v>
      </c>
      <c r="N49" s="170" t="s">
        <v>210</v>
      </c>
      <c r="O49" s="171">
        <f>VLOOKUP(N49,'RESUMEN RENDIMIENTOS'!$V$6:$W$158,2,FALSE)</f>
        <v>80</v>
      </c>
      <c r="P49" s="177" t="s">
        <v>60</v>
      </c>
      <c r="Q49" s="172">
        <v>6</v>
      </c>
      <c r="R49" s="175">
        <f t="shared" si="6"/>
        <v>3.0364372469635626E-2</v>
      </c>
      <c r="S49" s="176">
        <f>+R49/R58</f>
        <v>6.1907872719925879E-2</v>
      </c>
      <c r="U49" s="138">
        <v>44</v>
      </c>
      <c r="V49" s="117" t="s">
        <v>211</v>
      </c>
      <c r="W49" s="139">
        <v>40</v>
      </c>
      <c r="X49" s="140"/>
      <c r="Y49" s="140"/>
      <c r="Z49" s="140"/>
      <c r="AS49" s="88" t="s">
        <v>316</v>
      </c>
    </row>
    <row r="50" spans="2:45">
      <c r="B50" s="170">
        <v>0</v>
      </c>
      <c r="C50" s="171">
        <f>VLOOKUP(B50,'RESUMEN RENDIMIENTOS'!$V$6:$W$158,2,FALSE)</f>
        <v>0</v>
      </c>
      <c r="D50" s="177"/>
      <c r="E50" s="172" t="s">
        <v>337</v>
      </c>
      <c r="F50" s="173">
        <f t="shared" si="7"/>
        <v>0</v>
      </c>
      <c r="G50" s="174">
        <f>+F50/F58</f>
        <v>0</v>
      </c>
      <c r="H50" s="170" t="s">
        <v>237</v>
      </c>
      <c r="I50" s="171">
        <f>VLOOKUP(H50,'RESUMEN RENDIMIENTOS'!$V$6:$W$158,2,FALSE)</f>
        <v>250</v>
      </c>
      <c r="J50" s="177" t="s">
        <v>58</v>
      </c>
      <c r="K50" s="172">
        <v>12</v>
      </c>
      <c r="L50" s="173">
        <f t="shared" si="9"/>
        <v>1.9433198380566806E-2</v>
      </c>
      <c r="M50" s="174">
        <f>+L50/L58</f>
        <v>4.7245530129922872E-2</v>
      </c>
      <c r="N50" s="170" t="s">
        <v>230</v>
      </c>
      <c r="O50" s="171">
        <f>VLOOKUP(N50,'RESUMEN RENDIMIENTOS'!$V$6:$W$158,2,FALSE)</f>
        <v>900</v>
      </c>
      <c r="P50" s="177" t="s">
        <v>60</v>
      </c>
      <c r="Q50" s="172">
        <v>6</v>
      </c>
      <c r="R50" s="175">
        <f t="shared" si="6"/>
        <v>2.6990553306342779E-3</v>
      </c>
      <c r="S50" s="176">
        <f>+R50/R58</f>
        <v>5.502922019548967E-3</v>
      </c>
      <c r="U50" s="138">
        <v>45</v>
      </c>
      <c r="V50" s="117" t="s">
        <v>212</v>
      </c>
      <c r="W50" s="139">
        <v>240</v>
      </c>
      <c r="X50" s="140"/>
      <c r="Y50" s="140"/>
      <c r="Z50" s="140"/>
      <c r="AS50" s="88" t="s">
        <v>118</v>
      </c>
    </row>
    <row r="51" spans="2:45">
      <c r="B51" s="170">
        <v>0</v>
      </c>
      <c r="C51" s="171">
        <f>VLOOKUP(B51,'RESUMEN RENDIMIENTOS'!$V$6:$W$158,2,FALSE)</f>
        <v>0</v>
      </c>
      <c r="D51" s="177"/>
      <c r="E51" s="172" t="s">
        <v>337</v>
      </c>
      <c r="F51" s="173">
        <f t="shared" si="7"/>
        <v>0</v>
      </c>
      <c r="G51" s="174">
        <f>+F51/F58</f>
        <v>0</v>
      </c>
      <c r="H51" s="170">
        <v>0</v>
      </c>
      <c r="I51" s="171">
        <f>VLOOKUP(H51,'RESUMEN RENDIMIENTOS'!$V$6:$W$158,2,FALSE)</f>
        <v>0</v>
      </c>
      <c r="J51" s="177"/>
      <c r="K51" s="172" t="s">
        <v>337</v>
      </c>
      <c r="L51" s="173">
        <f t="shared" si="9"/>
        <v>0</v>
      </c>
      <c r="M51" s="174">
        <f>+L51/L58</f>
        <v>0</v>
      </c>
      <c r="N51" s="170" t="s">
        <v>234</v>
      </c>
      <c r="O51" s="171">
        <f>VLOOKUP(N51,'RESUMEN RENDIMIENTOS'!$V$6:$W$158,2,FALSE)</f>
        <v>805</v>
      </c>
      <c r="P51" s="177" t="s">
        <v>60</v>
      </c>
      <c r="Q51" s="172">
        <v>6</v>
      </c>
      <c r="R51" s="175">
        <f t="shared" si="6"/>
        <v>3.0175773882867704E-3</v>
      </c>
      <c r="S51" s="176">
        <f>+R51/R58</f>
        <v>6.1523351771354913E-3</v>
      </c>
      <c r="U51" s="138">
        <v>46</v>
      </c>
      <c r="V51" s="117" t="s">
        <v>213</v>
      </c>
      <c r="W51" s="139">
        <v>550</v>
      </c>
      <c r="X51" s="140"/>
      <c r="Y51" s="140"/>
      <c r="Z51" s="140"/>
      <c r="AS51" s="88" t="s">
        <v>9</v>
      </c>
    </row>
    <row r="52" spans="2:45">
      <c r="B52" s="170">
        <v>0</v>
      </c>
      <c r="C52" s="171">
        <f>VLOOKUP(B52,'RESUMEN RENDIMIENTOS'!$V$6:$W$158,2,FALSE)</f>
        <v>0</v>
      </c>
      <c r="D52" s="177"/>
      <c r="E52" s="172" t="s">
        <v>337</v>
      </c>
      <c r="F52" s="173">
        <f t="shared" si="7"/>
        <v>0</v>
      </c>
      <c r="G52" s="174">
        <f>+F52/F58</f>
        <v>0</v>
      </c>
      <c r="H52" s="170">
        <v>0</v>
      </c>
      <c r="I52" s="171">
        <f>VLOOKUP(H52,'RESUMEN RENDIMIENTOS'!$V$6:$W$158,2,FALSE)</f>
        <v>0</v>
      </c>
      <c r="J52" s="177"/>
      <c r="K52" s="172" t="s">
        <v>337</v>
      </c>
      <c r="L52" s="173">
        <f t="shared" si="9"/>
        <v>0</v>
      </c>
      <c r="M52" s="174">
        <f>+L52/L58</f>
        <v>0</v>
      </c>
      <c r="N52" s="170" t="s">
        <v>237</v>
      </c>
      <c r="O52" s="171">
        <f>VLOOKUP(N52,'RESUMEN RENDIMIENTOS'!$V$6:$W$158,2,FALSE)</f>
        <v>250</v>
      </c>
      <c r="P52" s="177" t="s">
        <v>60</v>
      </c>
      <c r="Q52" s="172">
        <v>6</v>
      </c>
      <c r="R52" s="175">
        <f t="shared" si="6"/>
        <v>9.716599190283403E-3</v>
      </c>
      <c r="S52" s="176">
        <f>+R52/R58</f>
        <v>1.9810519270376286E-2</v>
      </c>
      <c r="U52" s="138">
        <v>47</v>
      </c>
      <c r="V52" s="117" t="s">
        <v>214</v>
      </c>
      <c r="W52" s="139">
        <v>60</v>
      </c>
      <c r="X52" s="140"/>
      <c r="Y52" s="140"/>
      <c r="Z52" s="140"/>
      <c r="AS52" s="88" t="s">
        <v>120</v>
      </c>
    </row>
    <row r="53" spans="2:45">
      <c r="B53" s="170">
        <v>0</v>
      </c>
      <c r="C53" s="171">
        <f>VLOOKUP(B53,'RESUMEN RENDIMIENTOS'!$V$6:$W$158,2,FALSE)</f>
        <v>0</v>
      </c>
      <c r="D53" s="177"/>
      <c r="E53" s="172" t="s">
        <v>337</v>
      </c>
      <c r="F53" s="173">
        <f t="shared" si="7"/>
        <v>0</v>
      </c>
      <c r="G53" s="174">
        <f>+F53/F58</f>
        <v>0</v>
      </c>
      <c r="H53" s="170">
        <v>0</v>
      </c>
      <c r="I53" s="171">
        <f>VLOOKUP(H53,'RESUMEN RENDIMIENTOS'!$V$6:$W$158,2,FALSE)</f>
        <v>0</v>
      </c>
      <c r="J53" s="177"/>
      <c r="K53" s="172" t="s">
        <v>337</v>
      </c>
      <c r="L53" s="173">
        <f t="shared" si="9"/>
        <v>0</v>
      </c>
      <c r="M53" s="174">
        <f>+L53/L58</f>
        <v>0</v>
      </c>
      <c r="N53" s="170" t="s">
        <v>240</v>
      </c>
      <c r="O53" s="171">
        <f>VLOOKUP(N53,'RESUMEN RENDIMIENTOS'!$V$6:$W$158,2,FALSE)</f>
        <v>1000</v>
      </c>
      <c r="P53" s="177" t="s">
        <v>60</v>
      </c>
      <c r="Q53" s="172">
        <v>6</v>
      </c>
      <c r="R53" s="175">
        <f>IF(O53=0,0,(100/O53)*Q53/$E$37)</f>
        <v>2.4291497975708507E-3</v>
      </c>
      <c r="S53" s="176">
        <f>+R53/R58</f>
        <v>4.9526298175940715E-3</v>
      </c>
      <c r="U53" s="138">
        <v>48</v>
      </c>
      <c r="V53" s="117" t="s">
        <v>215</v>
      </c>
      <c r="W53" s="139">
        <v>250</v>
      </c>
      <c r="X53" s="140"/>
      <c r="Y53" s="140"/>
      <c r="Z53" s="140"/>
      <c r="AS53" s="88" t="s">
        <v>121</v>
      </c>
    </row>
    <row r="54" spans="2:45">
      <c r="B54" s="170">
        <v>0</v>
      </c>
      <c r="C54" s="171">
        <f>VLOOKUP(B54,'RESUMEN RENDIMIENTOS'!$V$6:$W$158,2,FALSE)</f>
        <v>0</v>
      </c>
      <c r="D54" s="177"/>
      <c r="E54" s="172" t="s">
        <v>337</v>
      </c>
      <c r="F54" s="173">
        <f t="shared" si="7"/>
        <v>0</v>
      </c>
      <c r="G54" s="174">
        <f>+F54/F58</f>
        <v>0</v>
      </c>
      <c r="H54" s="170">
        <v>0</v>
      </c>
      <c r="I54" s="171">
        <f>VLOOKUP(H54,'RESUMEN RENDIMIENTOS'!$V$6:$W$158,2,FALSE)</f>
        <v>0</v>
      </c>
      <c r="J54" s="177"/>
      <c r="K54" s="172" t="s">
        <v>337</v>
      </c>
      <c r="L54" s="173">
        <f t="shared" si="8"/>
        <v>0</v>
      </c>
      <c r="M54" s="174">
        <f>+L54/L58</f>
        <v>0</v>
      </c>
      <c r="N54" s="170">
        <v>0</v>
      </c>
      <c r="O54" s="171">
        <f>VLOOKUP(N54,'RESUMEN RENDIMIENTOS'!$V$6:$W$158,2,FALSE)</f>
        <v>0</v>
      </c>
      <c r="P54" s="177"/>
      <c r="Q54" s="172" t="s">
        <v>337</v>
      </c>
      <c r="R54" s="175">
        <f t="shared" si="6"/>
        <v>0</v>
      </c>
      <c r="S54" s="176">
        <f>+R54/R58</f>
        <v>0</v>
      </c>
      <c r="U54" s="138">
        <v>49</v>
      </c>
      <c r="V54" s="117" t="s">
        <v>216</v>
      </c>
      <c r="W54" s="139">
        <v>50</v>
      </c>
      <c r="X54" s="140"/>
      <c r="Y54" s="140"/>
      <c r="Z54" s="140"/>
      <c r="AS54" s="88" t="s">
        <v>122</v>
      </c>
    </row>
    <row r="55" spans="2:45">
      <c r="B55" s="170">
        <v>0</v>
      </c>
      <c r="C55" s="171">
        <f>VLOOKUP(B55,'RESUMEN RENDIMIENTOS'!$V$6:$W$158,2,FALSE)</f>
        <v>0</v>
      </c>
      <c r="D55" s="177"/>
      <c r="E55" s="172" t="s">
        <v>337</v>
      </c>
      <c r="F55" s="173">
        <f t="shared" si="7"/>
        <v>0</v>
      </c>
      <c r="G55" s="174">
        <f>+F55/F58</f>
        <v>0</v>
      </c>
      <c r="H55" s="170">
        <v>0</v>
      </c>
      <c r="I55" s="171">
        <f>VLOOKUP(H55,'RESUMEN RENDIMIENTOS'!$V$6:$W$158,2,FALSE)</f>
        <v>0</v>
      </c>
      <c r="J55" s="177"/>
      <c r="K55" s="172" t="s">
        <v>337</v>
      </c>
      <c r="L55" s="173">
        <f t="shared" si="8"/>
        <v>0</v>
      </c>
      <c r="M55" s="174">
        <f>+L55/L58</f>
        <v>0</v>
      </c>
      <c r="N55" s="170">
        <v>0</v>
      </c>
      <c r="O55" s="171">
        <f>VLOOKUP(N55,'RESUMEN RENDIMIENTOS'!$V$6:$W$158,2,FALSE)</f>
        <v>0</v>
      </c>
      <c r="P55" s="177"/>
      <c r="Q55" s="172" t="s">
        <v>337</v>
      </c>
      <c r="R55" s="175">
        <f t="shared" si="6"/>
        <v>0</v>
      </c>
      <c r="S55" s="176">
        <f>+R55/R58</f>
        <v>0</v>
      </c>
      <c r="U55" s="138">
        <v>50</v>
      </c>
      <c r="V55" s="117" t="s">
        <v>217</v>
      </c>
      <c r="W55" s="139">
        <v>6</v>
      </c>
      <c r="X55" s="140"/>
      <c r="Y55" s="140"/>
      <c r="Z55" s="140"/>
      <c r="AS55" s="88" t="s">
        <v>123</v>
      </c>
    </row>
    <row r="56" spans="2:45">
      <c r="B56" s="170">
        <v>0</v>
      </c>
      <c r="C56" s="171">
        <f>VLOOKUP(B56,'RESUMEN RENDIMIENTOS'!$V$6:$W$158,2,FALSE)</f>
        <v>0</v>
      </c>
      <c r="D56" s="177"/>
      <c r="E56" s="172" t="s">
        <v>337</v>
      </c>
      <c r="F56" s="173">
        <f t="shared" si="7"/>
        <v>0</v>
      </c>
      <c r="G56" s="174">
        <f>+F56/F58</f>
        <v>0</v>
      </c>
      <c r="H56" s="170">
        <v>0</v>
      </c>
      <c r="I56" s="171">
        <f>VLOOKUP(H56,'RESUMEN RENDIMIENTOS'!$V$6:$W$158,2,FALSE)</f>
        <v>0</v>
      </c>
      <c r="J56" s="177"/>
      <c r="K56" s="172" t="s">
        <v>337</v>
      </c>
      <c r="L56" s="173">
        <f t="shared" si="8"/>
        <v>0</v>
      </c>
      <c r="M56" s="174">
        <f>+L56/L58</f>
        <v>0</v>
      </c>
      <c r="N56" s="170">
        <v>0</v>
      </c>
      <c r="O56" s="171">
        <f>VLOOKUP(N56,'RESUMEN RENDIMIENTOS'!$V$6:$W$158,2,FALSE)</f>
        <v>0</v>
      </c>
      <c r="P56" s="177"/>
      <c r="Q56" s="172" t="s">
        <v>337</v>
      </c>
      <c r="R56" s="175">
        <f t="shared" si="6"/>
        <v>0</v>
      </c>
      <c r="S56" s="176">
        <f>+R56/R58</f>
        <v>0</v>
      </c>
      <c r="U56" s="138">
        <v>51</v>
      </c>
      <c r="V56" s="117" t="s">
        <v>218</v>
      </c>
      <c r="W56" s="139">
        <v>30</v>
      </c>
      <c r="X56" s="140"/>
      <c r="Y56" s="140"/>
      <c r="Z56" s="140"/>
      <c r="AS56" s="88" t="s">
        <v>124</v>
      </c>
    </row>
    <row r="57" spans="2:45">
      <c r="B57" s="170">
        <v>0</v>
      </c>
      <c r="C57" s="171">
        <f>VLOOKUP(B57,'RESUMEN RENDIMIENTOS'!$V$6:$W$158,2,FALSE)</f>
        <v>0</v>
      </c>
      <c r="D57" s="177"/>
      <c r="E57" s="172" t="s">
        <v>337</v>
      </c>
      <c r="F57" s="173">
        <f t="shared" si="7"/>
        <v>0</v>
      </c>
      <c r="G57" s="174">
        <f>+F57/F58</f>
        <v>0</v>
      </c>
      <c r="H57" s="170">
        <v>0</v>
      </c>
      <c r="I57" s="171">
        <f>VLOOKUP(H57,'RESUMEN RENDIMIENTOS'!$V$6:$W$158,2,FALSE)</f>
        <v>0</v>
      </c>
      <c r="J57" s="177"/>
      <c r="K57" s="172" t="s">
        <v>337</v>
      </c>
      <c r="L57" s="173">
        <f t="shared" si="8"/>
        <v>0</v>
      </c>
      <c r="M57" s="174">
        <f>+L57/L58</f>
        <v>0</v>
      </c>
      <c r="N57" s="170">
        <v>0</v>
      </c>
      <c r="O57" s="171">
        <f>VLOOKUP(N57,'RESUMEN RENDIMIENTOS'!$V$6:$W$158,2,FALSE)</f>
        <v>0</v>
      </c>
      <c r="P57" s="177"/>
      <c r="Q57" s="172" t="s">
        <v>337</v>
      </c>
      <c r="R57" s="175">
        <f t="shared" si="6"/>
        <v>0</v>
      </c>
      <c r="S57" s="176">
        <f>+R57/R58</f>
        <v>0</v>
      </c>
      <c r="U57" s="138">
        <v>52</v>
      </c>
      <c r="V57" s="117" t="s">
        <v>219</v>
      </c>
      <c r="W57" s="139">
        <v>35</v>
      </c>
      <c r="X57" s="140"/>
      <c r="Y57" s="140"/>
      <c r="Z57" s="140"/>
      <c r="AS57" s="88" t="s">
        <v>125</v>
      </c>
    </row>
    <row r="58" spans="2:45" ht="25" thickBot="1">
      <c r="B58" s="178"/>
      <c r="E58" s="180"/>
      <c r="F58" s="173">
        <f>SUM(F42:F57)</f>
        <v>0.46231884057971018</v>
      </c>
      <c r="G58" s="181">
        <f>+F58/F58</f>
        <v>1</v>
      </c>
      <c r="I58" s="179"/>
      <c r="J58" s="182" t="s">
        <v>24</v>
      </c>
      <c r="K58" s="90"/>
      <c r="L58" s="173">
        <f>SUM(L42:L57)</f>
        <v>0.41132353319195425</v>
      </c>
      <c r="M58" s="181">
        <f>+L58/L58</f>
        <v>1</v>
      </c>
      <c r="N58" s="178"/>
      <c r="O58" s="179"/>
      <c r="P58" s="183"/>
      <c r="Q58" s="90"/>
      <c r="R58" s="175">
        <f>SUM(R42:R57)</f>
        <v>0.49047675417641101</v>
      </c>
      <c r="S58" s="184">
        <f>+R58/R58</f>
        <v>1</v>
      </c>
      <c r="U58" s="138">
        <v>53</v>
      </c>
      <c r="V58" s="117" t="s">
        <v>220</v>
      </c>
      <c r="W58" s="139">
        <v>900</v>
      </c>
      <c r="X58" s="140"/>
      <c r="Y58" s="140"/>
      <c r="Z58" s="140"/>
      <c r="AS58" s="88" t="s">
        <v>126</v>
      </c>
    </row>
    <row r="59" spans="2:45" ht="30.75" customHeight="1">
      <c r="B59" s="427" t="s">
        <v>317</v>
      </c>
      <c r="C59" s="428"/>
      <c r="D59" s="429"/>
      <c r="E59" s="185">
        <v>0.12</v>
      </c>
      <c r="F59" s="173">
        <f>+F58*E59</f>
        <v>5.547826086956522E-2</v>
      </c>
      <c r="H59" s="427" t="s">
        <v>317</v>
      </c>
      <c r="I59" s="428"/>
      <c r="J59" s="429"/>
      <c r="K59" s="185">
        <v>0.12</v>
      </c>
      <c r="L59" s="173">
        <f>+L58*K59</f>
        <v>4.9358823983034511E-2</v>
      </c>
      <c r="N59" s="427" t="s">
        <v>317</v>
      </c>
      <c r="O59" s="428"/>
      <c r="P59" s="429"/>
      <c r="Q59" s="185">
        <v>0.12</v>
      </c>
      <c r="R59" s="175">
        <f>+R58*Q59</f>
        <v>5.8857210501169321E-2</v>
      </c>
      <c r="U59" s="138">
        <v>54</v>
      </c>
      <c r="V59" s="117" t="s">
        <v>221</v>
      </c>
      <c r="W59" s="139">
        <v>500</v>
      </c>
      <c r="X59" s="140"/>
      <c r="Y59" s="140"/>
      <c r="Z59" s="140"/>
      <c r="AS59" s="88" t="s">
        <v>127</v>
      </c>
    </row>
    <row r="60" spans="2:45">
      <c r="B60" s="178"/>
      <c r="E60" s="186"/>
      <c r="F60" s="173">
        <f>+F59+F58</f>
        <v>0.51779710144927538</v>
      </c>
      <c r="G60" s="187">
        <f>+F60/24</f>
        <v>2.1574879227053142E-2</v>
      </c>
      <c r="H60" s="178"/>
      <c r="I60" s="179"/>
      <c r="K60" s="88"/>
      <c r="L60" s="173">
        <f>+L59+L58</f>
        <v>0.46068235717498873</v>
      </c>
      <c r="M60" s="187">
        <f>+L60/24</f>
        <v>1.9195098215624529E-2</v>
      </c>
      <c r="N60" s="178"/>
      <c r="O60" s="179"/>
      <c r="P60" s="183"/>
      <c r="R60" s="175">
        <f>+R59+R58</f>
        <v>0.54933396467758033</v>
      </c>
      <c r="S60" s="187">
        <f>+R60/24</f>
        <v>2.2888915194899179E-2</v>
      </c>
      <c r="U60" s="138">
        <v>55</v>
      </c>
      <c r="V60" s="117" t="s">
        <v>222</v>
      </c>
      <c r="W60" s="139">
        <v>100</v>
      </c>
      <c r="X60" s="140"/>
      <c r="Y60" s="140"/>
      <c r="Z60" s="140"/>
      <c r="AS60" s="88" t="s">
        <v>128</v>
      </c>
    </row>
    <row r="61" spans="2:45">
      <c r="B61" s="178"/>
      <c r="D61" s="188"/>
      <c r="F61" s="189"/>
      <c r="H61" s="178"/>
      <c r="I61" s="179"/>
      <c r="J61" s="188"/>
      <c r="K61" s="88"/>
      <c r="L61" s="189"/>
      <c r="N61" s="178"/>
      <c r="O61" s="179"/>
      <c r="R61" s="189"/>
      <c r="U61" s="138">
        <v>56</v>
      </c>
      <c r="V61" s="117" t="s">
        <v>223</v>
      </c>
      <c r="W61" s="190">
        <v>10</v>
      </c>
      <c r="X61" s="140"/>
      <c r="Y61" s="140"/>
      <c r="Z61" s="140"/>
      <c r="AS61" s="88" t="s">
        <v>129</v>
      </c>
    </row>
    <row r="62" spans="2:45" ht="21">
      <c r="B62" s="191" t="s">
        <v>318</v>
      </c>
      <c r="C62" s="192"/>
      <c r="D62" s="192"/>
      <c r="E62" s="444">
        <f>IF(F60=0,0,(100/F60))</f>
        <v>193.12583967756382</v>
      </c>
      <c r="F62" s="445"/>
      <c r="H62" s="191" t="s">
        <v>318</v>
      </c>
      <c r="I62" s="192"/>
      <c r="J62" s="192"/>
      <c r="K62" s="444">
        <f>IF(L60=0,0,(100/L60))</f>
        <v>217.06930695853697</v>
      </c>
      <c r="L62" s="445"/>
      <c r="N62" s="191" t="s">
        <v>318</v>
      </c>
      <c r="O62" s="192"/>
      <c r="P62" s="192"/>
      <c r="Q62" s="444">
        <f>IF(R60=0,0,(100/R60))</f>
        <v>182.03862573597252</v>
      </c>
      <c r="R62" s="445"/>
      <c r="U62" s="138">
        <v>57</v>
      </c>
      <c r="V62" s="117" t="s">
        <v>224</v>
      </c>
      <c r="W62" s="139">
        <v>40</v>
      </c>
      <c r="X62" s="140"/>
      <c r="Y62" s="140"/>
      <c r="Z62" s="140"/>
      <c r="AS62" s="88" t="s">
        <v>130</v>
      </c>
    </row>
    <row r="63" spans="2:45">
      <c r="B63" s="178"/>
      <c r="H63" s="178"/>
      <c r="I63" s="179"/>
      <c r="K63" s="88"/>
      <c r="L63" s="189"/>
      <c r="N63" s="178"/>
      <c r="O63" s="179"/>
      <c r="R63" s="189"/>
      <c r="U63" s="138">
        <v>58</v>
      </c>
      <c r="V63" s="193" t="s">
        <v>225</v>
      </c>
      <c r="W63" s="139">
        <v>500</v>
      </c>
      <c r="X63" s="140"/>
      <c r="Y63" s="140"/>
      <c r="Z63" s="140"/>
      <c r="AS63" s="88" t="s">
        <v>131</v>
      </c>
    </row>
    <row r="64" spans="2:45" ht="21">
      <c r="B64" s="446" t="s">
        <v>319</v>
      </c>
      <c r="C64" s="447"/>
      <c r="D64" s="447"/>
      <c r="E64" s="447"/>
      <c r="F64" s="448"/>
      <c r="H64" s="446" t="s">
        <v>319</v>
      </c>
      <c r="I64" s="447"/>
      <c r="J64" s="447"/>
      <c r="K64" s="447"/>
      <c r="L64" s="448"/>
      <c r="N64" s="446" t="s">
        <v>319</v>
      </c>
      <c r="O64" s="447"/>
      <c r="P64" s="447"/>
      <c r="Q64" s="447"/>
      <c r="R64" s="448"/>
      <c r="U64" s="138">
        <v>59</v>
      </c>
      <c r="V64" s="117" t="s">
        <v>226</v>
      </c>
      <c r="W64" s="139">
        <v>400</v>
      </c>
      <c r="X64" s="140"/>
      <c r="Y64" s="140"/>
      <c r="Z64" s="140"/>
      <c r="AS64" s="88" t="s">
        <v>132</v>
      </c>
    </row>
    <row r="65" spans="2:45" ht="21" customHeight="1">
      <c r="B65" s="194" t="s">
        <v>320</v>
      </c>
      <c r="C65" s="195"/>
      <c r="D65" s="435" t="s">
        <v>321</v>
      </c>
      <c r="E65" s="435"/>
      <c r="F65" s="196" t="s">
        <v>322</v>
      </c>
      <c r="H65" s="194" t="s">
        <v>320</v>
      </c>
      <c r="I65" s="195"/>
      <c r="J65" s="435" t="s">
        <v>321</v>
      </c>
      <c r="K65" s="435"/>
      <c r="L65" s="196" t="s">
        <v>322</v>
      </c>
      <c r="N65" s="194" t="s">
        <v>320</v>
      </c>
      <c r="O65" s="195"/>
      <c r="P65" s="435" t="s">
        <v>321</v>
      </c>
      <c r="Q65" s="435"/>
      <c r="R65" s="196" t="s">
        <v>322</v>
      </c>
      <c r="U65" s="138">
        <v>60</v>
      </c>
      <c r="V65" s="117" t="s">
        <v>227</v>
      </c>
      <c r="W65" s="139">
        <v>25</v>
      </c>
      <c r="X65" s="140"/>
      <c r="Y65" s="140"/>
      <c r="Z65" s="140"/>
      <c r="AS65" s="88" t="s">
        <v>133</v>
      </c>
    </row>
    <row r="66" spans="2:45">
      <c r="B66" s="197" t="s">
        <v>278</v>
      </c>
      <c r="C66" s="198">
        <v>0.2</v>
      </c>
      <c r="E66" s="199">
        <f>IF(C66=0,0,(VLOOKUP(B66,'RESUMEN RENDIMIENTOS'!$AB$6:$AO$64,13,FALSE)))*C66</f>
        <v>0.15000000000000002</v>
      </c>
      <c r="F66" s="200">
        <f>IF(C66=0,0,(VLOOKUP(B66,'RESUMEN RENDIMIENTOS'!$AB$6:$AO$64,14,FALSE)))*C66</f>
        <v>2.0571428571428576E-3</v>
      </c>
      <c r="H66" s="197" t="s">
        <v>278</v>
      </c>
      <c r="I66" s="201">
        <v>0.2</v>
      </c>
      <c r="K66" s="199">
        <f>IF(I66=0,0,(VLOOKUP(H66,'RESUMEN RENDIMIENTOS'!$AB$6:$AO$64,13,FALSE)))*I66</f>
        <v>0.15000000000000002</v>
      </c>
      <c r="L66" s="200">
        <f>IF(I66=0,0,(VLOOKUP(H66,'RESUMEN RENDIMIENTOS'!$AB$6:$AO$64,14,FALSE)))*I66</f>
        <v>2.0571428571428576E-3</v>
      </c>
      <c r="N66" s="197" t="s">
        <v>278</v>
      </c>
      <c r="O66" s="201">
        <v>0.2</v>
      </c>
      <c r="Q66" s="199">
        <f>IF(O66=0,0,(VLOOKUP(N66,'RESUMEN RENDIMIENTOS'!$AB$6:$AO$64,13,FALSE)))*O66</f>
        <v>0.15000000000000002</v>
      </c>
      <c r="R66" s="200">
        <f>IF(O66=0,0,(VLOOKUP(N66,'RESUMEN RENDIMIENTOS'!$AB$6:$AO$64,14,FALSE)))*O66</f>
        <v>2.0571428571428576E-3</v>
      </c>
      <c r="U66" s="138">
        <v>61</v>
      </c>
      <c r="V66" s="117" t="s">
        <v>228</v>
      </c>
      <c r="W66" s="139">
        <v>80</v>
      </c>
      <c r="X66" s="140"/>
      <c r="Y66" s="140"/>
      <c r="Z66" s="140"/>
      <c r="AS66" s="88" t="s">
        <v>134</v>
      </c>
    </row>
    <row r="67" spans="2:45">
      <c r="B67" s="197" t="s">
        <v>279</v>
      </c>
      <c r="C67" s="198">
        <v>0</v>
      </c>
      <c r="E67" s="199">
        <f>IF(C67=0,0,(VLOOKUP(B67,'RESUMEN RENDIMIENTOS'!$AB$6:$AO$64,13,FALSE)))*C67</f>
        <v>0</v>
      </c>
      <c r="F67" s="200">
        <f>IF(C67=0,0,(VLOOKUP(B67,'RESUMEN RENDIMIENTOS'!$AB$6:$AO$64,14,FALSE)))*C67</f>
        <v>0</v>
      </c>
      <c r="H67" s="197" t="s">
        <v>279</v>
      </c>
      <c r="I67" s="201">
        <v>0.2</v>
      </c>
      <c r="K67" s="199">
        <f>IF(I67=0,0,(VLOOKUP(H67,'RESUMEN RENDIMIENTOS'!$AB$6:$AO$64,13,FALSE)))*I67</f>
        <v>0.4</v>
      </c>
      <c r="L67" s="200">
        <f>IF(I67=0,0,(VLOOKUP(H67,'RESUMEN RENDIMIENTOS'!$AB$6:$AO$64,14,FALSE)))*I67</f>
        <v>1.9199999999999998E-2</v>
      </c>
      <c r="N67" s="197" t="s">
        <v>279</v>
      </c>
      <c r="O67" s="201">
        <v>0.2</v>
      </c>
      <c r="Q67" s="199">
        <f>IF(O67=0,0,(VLOOKUP(N67,'RESUMEN RENDIMIENTOS'!$AB$6:$AO$64,13,FALSE)))*O67</f>
        <v>0.4</v>
      </c>
      <c r="R67" s="200">
        <f>IF(O67=0,0,(VLOOKUP(N67,'RESUMEN RENDIMIENTOS'!$AB$6:$AO$64,14,FALSE)))*O67</f>
        <v>1.9199999999999998E-2</v>
      </c>
      <c r="U67" s="138">
        <v>62</v>
      </c>
      <c r="V67" s="117" t="s">
        <v>164</v>
      </c>
      <c r="W67" s="139">
        <v>30</v>
      </c>
      <c r="X67" s="140"/>
      <c r="Y67" s="140"/>
      <c r="Z67" s="140"/>
      <c r="AS67" s="88" t="s">
        <v>135</v>
      </c>
    </row>
    <row r="68" spans="2:45">
      <c r="B68" s="197" t="s">
        <v>284</v>
      </c>
      <c r="C68" s="198">
        <v>0.2</v>
      </c>
      <c r="E68" s="199">
        <f>IF(C68=0,0,(VLOOKUP(B68,'RESUMEN RENDIMIENTOS'!$AB$6:$AO$64,13,FALSE)))*C68</f>
        <v>0.42000000000000004</v>
      </c>
      <c r="F68" s="200">
        <f>IF(C68=0,0,(VLOOKUP(B68,'RESUMEN RENDIMIENTOS'!$AB$6:$AO$64,14,FALSE)))*C68</f>
        <v>3.3600000000000005E-2</v>
      </c>
      <c r="H68" s="197" t="s">
        <v>284</v>
      </c>
      <c r="I68" s="201">
        <v>7.4999999999999997E-2</v>
      </c>
      <c r="K68" s="199">
        <f>IF(I68=0,0,(VLOOKUP(H68,'RESUMEN RENDIMIENTOS'!$AB$6:$AO$64,13,FALSE)))*I68</f>
        <v>0.1575</v>
      </c>
      <c r="L68" s="200">
        <f>IF(I68=0,0,(VLOOKUP(H68,'RESUMEN RENDIMIENTOS'!$AB$6:$AO$64,14,FALSE)))*I68</f>
        <v>1.26E-2</v>
      </c>
      <c r="N68" s="197" t="s">
        <v>284</v>
      </c>
      <c r="O68" s="201">
        <v>7.4999999999999997E-2</v>
      </c>
      <c r="Q68" s="199">
        <f>IF(O68=0,0,(VLOOKUP(N68,'RESUMEN RENDIMIENTOS'!$AB$6:$AO$64,13,FALSE)))*O68</f>
        <v>0.1575</v>
      </c>
      <c r="R68" s="200">
        <f>IF(O68=0,0,(VLOOKUP(N68,'RESUMEN RENDIMIENTOS'!$AB$6:$AO$64,14,FALSE)))*O68</f>
        <v>1.26E-2</v>
      </c>
      <c r="U68" s="138">
        <v>63</v>
      </c>
      <c r="V68" s="117" t="s">
        <v>229</v>
      </c>
      <c r="W68" s="139">
        <v>500</v>
      </c>
      <c r="X68" s="140"/>
      <c r="Y68" s="140"/>
      <c r="Z68" s="140"/>
      <c r="AS68" s="88" t="s">
        <v>136</v>
      </c>
    </row>
    <row r="69" spans="2:45">
      <c r="B69" s="197" t="s">
        <v>283</v>
      </c>
      <c r="C69" s="198">
        <v>0</v>
      </c>
      <c r="E69" s="199">
        <f>IF(C69=0,0,(VLOOKUP(B69,'RESUMEN RENDIMIENTOS'!$AB$6:$AO$64,13,FALSE)))*C69</f>
        <v>0</v>
      </c>
      <c r="F69" s="200">
        <f>IF(C69=0,0,(VLOOKUP(B69,'RESUMEN RENDIMIENTOS'!$AB$6:$AO$64,14,FALSE)))*C69</f>
        <v>0</v>
      </c>
      <c r="H69" s="197" t="s">
        <v>283</v>
      </c>
      <c r="I69" s="201">
        <v>7.4999999999999997E-2</v>
      </c>
      <c r="K69" s="199">
        <f>IF(I69=0,0,(VLOOKUP(H69,'RESUMEN RENDIMIENTOS'!$AB$6:$AO$64,13,FALSE)))*I69</f>
        <v>0.11924999999999999</v>
      </c>
      <c r="L69" s="200">
        <f>IF(I69=0,0,(VLOOKUP(H69,'RESUMEN RENDIMIENTOS'!$AB$6:$AO$64,14,FALSE)))*I69</f>
        <v>9.5399999999999999E-3</v>
      </c>
      <c r="N69" s="197" t="s">
        <v>283</v>
      </c>
      <c r="O69" s="201">
        <v>7.4999999999999997E-2</v>
      </c>
      <c r="Q69" s="199">
        <f>IF(O69=0,0,(VLOOKUP(N69,'RESUMEN RENDIMIENTOS'!$AB$6:$AO$64,13,FALSE)))*O69</f>
        <v>0.11924999999999999</v>
      </c>
      <c r="R69" s="200">
        <f>IF(O69=0,0,(VLOOKUP(N69,'RESUMEN RENDIMIENTOS'!$AB$6:$AO$64,14,FALSE)))*O69</f>
        <v>9.5399999999999999E-3</v>
      </c>
      <c r="U69" s="138">
        <v>64</v>
      </c>
      <c r="V69" s="117" t="s">
        <v>230</v>
      </c>
      <c r="W69" s="139">
        <v>900</v>
      </c>
      <c r="X69" s="140"/>
      <c r="Y69" s="140"/>
      <c r="Z69" s="140"/>
      <c r="AS69" s="88" t="s">
        <v>137</v>
      </c>
    </row>
    <row r="70" spans="2:45">
      <c r="B70" s="197" t="s">
        <v>282</v>
      </c>
      <c r="C70" s="198">
        <v>0</v>
      </c>
      <c r="E70" s="199">
        <f>IF(C70=0,0,(VLOOKUP(B70,'RESUMEN RENDIMIENTOS'!$AB$6:$AO$64,13,FALSE)))*C70</f>
        <v>0</v>
      </c>
      <c r="F70" s="200">
        <f>IF(C70=0,0,(VLOOKUP(B70,'RESUMEN RENDIMIENTOS'!$AB$6:$AO$64,14,FALSE)))*C70</f>
        <v>0</v>
      </c>
      <c r="H70" s="197" t="s">
        <v>282</v>
      </c>
      <c r="I70" s="201">
        <v>0.05</v>
      </c>
      <c r="K70" s="199">
        <f>IF(I70=0,0,(VLOOKUP(H70,'RESUMEN RENDIMIENTOS'!$AB$6:$AO$64,13,FALSE)))*I70</f>
        <v>0.13100000000000001</v>
      </c>
      <c r="L70" s="200">
        <f>IF(I70=0,0,(VLOOKUP(H70,'RESUMEN RENDIMIENTOS'!$AB$6:$AO$64,14,FALSE)))*I70</f>
        <v>3.4933333333333331E-3</v>
      </c>
      <c r="N70" s="197" t="s">
        <v>282</v>
      </c>
      <c r="O70" s="201">
        <v>0.05</v>
      </c>
      <c r="Q70" s="199">
        <f>IF(O70=0,0,(VLOOKUP(N70,'RESUMEN RENDIMIENTOS'!$AB$6:$AO$64,13,FALSE)))*O70</f>
        <v>0.13100000000000001</v>
      </c>
      <c r="R70" s="200">
        <f>IF(O70=0,0,(VLOOKUP(N70,'RESUMEN RENDIMIENTOS'!$AB$6:$AO$64,14,FALSE)))*O70</f>
        <v>3.4933333333333331E-3</v>
      </c>
      <c r="U70" s="138">
        <v>65</v>
      </c>
      <c r="V70" s="117" t="s">
        <v>231</v>
      </c>
      <c r="W70" s="139">
        <v>70</v>
      </c>
      <c r="X70" s="140"/>
      <c r="Y70" s="140"/>
      <c r="Z70" s="140"/>
      <c r="AS70" s="88" t="s">
        <v>138</v>
      </c>
    </row>
    <row r="71" spans="2:45">
      <c r="B71" s="197" t="s">
        <v>302</v>
      </c>
      <c r="C71" s="198">
        <v>0.3</v>
      </c>
      <c r="E71" s="199">
        <f>IF(C71=0,0,(VLOOKUP(B71,'RESUMEN RENDIMIENTOS'!$AB$6:$AO$64,13,FALSE)))*C71</f>
        <v>0.3</v>
      </c>
      <c r="F71" s="200">
        <f>IF(C71=0,0,(VLOOKUP(B71,'RESUMEN RENDIMIENTOS'!$AB$6:$AO$64,14,FALSE)))*C71</f>
        <v>0.06</v>
      </c>
      <c r="H71" s="197" t="s">
        <v>302</v>
      </c>
      <c r="I71" s="201">
        <v>0.4</v>
      </c>
      <c r="K71" s="199">
        <f>IF(I71=0,0,(VLOOKUP(H71,'RESUMEN RENDIMIENTOS'!$AB$6:$AO$64,13,FALSE)))*I71</f>
        <v>0.4</v>
      </c>
      <c r="L71" s="200">
        <f>IF(I71=0,0,(VLOOKUP(H71,'RESUMEN RENDIMIENTOS'!$AB$6:$AO$64,14,FALSE)))*I71</f>
        <v>8.0000000000000016E-2</v>
      </c>
      <c r="N71" s="197" t="s">
        <v>302</v>
      </c>
      <c r="O71" s="201">
        <v>0.4</v>
      </c>
      <c r="Q71" s="199">
        <f>IF(O71=0,0,(VLOOKUP(N71,'RESUMEN RENDIMIENTOS'!$AB$6:$AO$64,13,FALSE)))*O71</f>
        <v>0.4</v>
      </c>
      <c r="R71" s="200">
        <f>IF(O71=0,0,(VLOOKUP(N71,'RESUMEN RENDIMIENTOS'!$AB$6:$AO$64,14,FALSE)))*O71</f>
        <v>8.0000000000000016E-2</v>
      </c>
      <c r="U71" s="138">
        <v>66</v>
      </c>
      <c r="V71" s="117" t="s">
        <v>232</v>
      </c>
      <c r="W71" s="139">
        <v>1200</v>
      </c>
      <c r="X71" s="140"/>
      <c r="Y71" s="140"/>
      <c r="Z71" s="140"/>
      <c r="AS71" s="88" t="s">
        <v>323</v>
      </c>
    </row>
    <row r="72" spans="2:45">
      <c r="B72" s="202"/>
      <c r="C72" s="203"/>
      <c r="F72" s="204">
        <f>SUM(F66:F71)</f>
        <v>9.5657142857142857E-2</v>
      </c>
      <c r="G72" s="205">
        <f>+F72</f>
        <v>9.5657142857142857E-2</v>
      </c>
      <c r="H72" s="202"/>
      <c r="I72" s="203">
        <f>SUM(I66:I71)</f>
        <v>1</v>
      </c>
      <c r="K72" s="88"/>
      <c r="L72" s="206">
        <f>SUM(L66:L71)</f>
        <v>0.12689047619047622</v>
      </c>
      <c r="M72" s="205">
        <f>+L72</f>
        <v>0.12689047619047622</v>
      </c>
      <c r="N72" s="202"/>
      <c r="O72" s="203">
        <f>SUM(O66:O71)</f>
        <v>1</v>
      </c>
      <c r="R72" s="206">
        <f>SUM(R66:R71)</f>
        <v>0.12689047619047622</v>
      </c>
      <c r="S72" s="205">
        <f>+R72</f>
        <v>0.12689047619047622</v>
      </c>
      <c r="U72" s="138">
        <v>67</v>
      </c>
      <c r="V72" s="117" t="s">
        <v>233</v>
      </c>
      <c r="W72" s="139">
        <v>400</v>
      </c>
      <c r="X72" s="140"/>
      <c r="Y72" s="140"/>
      <c r="Z72" s="140"/>
      <c r="AS72" s="88" t="s">
        <v>141</v>
      </c>
    </row>
    <row r="73" spans="2:45">
      <c r="B73" s="436" t="s">
        <v>324</v>
      </c>
      <c r="C73" s="437"/>
      <c r="D73" s="437"/>
      <c r="E73" s="437"/>
      <c r="F73" s="437"/>
      <c r="G73" s="205"/>
      <c r="H73" s="207" t="s">
        <v>324</v>
      </c>
      <c r="I73" s="208"/>
      <c r="J73" s="208"/>
      <c r="K73" s="208"/>
      <c r="L73" s="209"/>
      <c r="M73" s="205"/>
      <c r="N73" s="207" t="s">
        <v>324</v>
      </c>
      <c r="O73" s="208"/>
      <c r="P73" s="208"/>
      <c r="Q73" s="208"/>
      <c r="R73" s="209"/>
      <c r="S73" s="205"/>
      <c r="U73" s="138">
        <v>68</v>
      </c>
      <c r="V73" s="117" t="s">
        <v>234</v>
      </c>
      <c r="W73" s="139">
        <v>805</v>
      </c>
      <c r="X73" s="140"/>
      <c r="Y73" s="140"/>
      <c r="Z73" s="140"/>
      <c r="AS73" s="88" t="s">
        <v>142</v>
      </c>
    </row>
    <row r="74" spans="2:45">
      <c r="B74" s="210" t="s">
        <v>325</v>
      </c>
      <c r="C74" s="211">
        <v>1</v>
      </c>
      <c r="D74" s="212">
        <v>21.712335174960327</v>
      </c>
      <c r="E74" s="213">
        <f>F60</f>
        <v>0.51779710144927538</v>
      </c>
      <c r="F74" s="214">
        <f>+IF(C74&gt;="",0,(D74*E74))</f>
        <v>11.242584219289602</v>
      </c>
      <c r="G74" s="215"/>
      <c r="H74" s="210" t="s">
        <v>325</v>
      </c>
      <c r="I74" s="211">
        <v>1</v>
      </c>
      <c r="J74" s="212">
        <v>21.712335174960327</v>
      </c>
      <c r="K74" s="213">
        <f>L60</f>
        <v>0.46068235717498873</v>
      </c>
      <c r="L74" s="216">
        <f>+IF(I74&gt;="",0,(J74*K74))</f>
        <v>10.002489748174145</v>
      </c>
      <c r="M74" s="215"/>
      <c r="N74" s="210" t="s">
        <v>325</v>
      </c>
      <c r="O74" s="211">
        <v>1</v>
      </c>
      <c r="P74" s="212">
        <v>21.712335174960327</v>
      </c>
      <c r="Q74" s="213">
        <f>R60</f>
        <v>0.54933396467758033</v>
      </c>
      <c r="R74" s="214">
        <f>+IF(O74&gt;="",0,(P74*Q74))</f>
        <v>11.927323164069442</v>
      </c>
      <c r="S74" s="215"/>
      <c r="U74" s="138">
        <v>69</v>
      </c>
      <c r="V74" s="117" t="s">
        <v>235</v>
      </c>
      <c r="W74" s="139">
        <v>25</v>
      </c>
      <c r="X74" s="140"/>
      <c r="Y74" s="140"/>
      <c r="Z74" s="140"/>
      <c r="AS74" s="88" t="s">
        <v>78</v>
      </c>
    </row>
    <row r="75" spans="2:45">
      <c r="B75" s="210" t="s">
        <v>326</v>
      </c>
      <c r="C75" s="211"/>
      <c r="D75" s="212">
        <f>+D74*25%</f>
        <v>5.4280837937400817</v>
      </c>
      <c r="E75" s="213">
        <f>F60</f>
        <v>0.51779710144927538</v>
      </c>
      <c r="F75" s="214">
        <f>+IF(C75= "",0,(D75*E75))</f>
        <v>0</v>
      </c>
      <c r="G75" s="215"/>
      <c r="H75" s="210" t="s">
        <v>326</v>
      </c>
      <c r="I75" s="211"/>
      <c r="J75" s="212">
        <f>+J74*25%</f>
        <v>5.4280837937400817</v>
      </c>
      <c r="K75" s="213">
        <f>L60</f>
        <v>0.46068235717498873</v>
      </c>
      <c r="L75" s="216">
        <f>+IF(I75= "",0,(J75*K75))</f>
        <v>0</v>
      </c>
      <c r="M75" s="215"/>
      <c r="N75" s="210" t="s">
        <v>326</v>
      </c>
      <c r="O75" s="211"/>
      <c r="P75" s="212">
        <f>+P74*25%</f>
        <v>5.4280837937400817</v>
      </c>
      <c r="Q75" s="213">
        <f>R60</f>
        <v>0.54933396467758033</v>
      </c>
      <c r="R75" s="214">
        <f>+IF(O75= "",0,(P75*Q75))</f>
        <v>0</v>
      </c>
      <c r="S75" s="215"/>
      <c r="U75" s="138">
        <v>70</v>
      </c>
      <c r="V75" s="117" t="s">
        <v>236</v>
      </c>
      <c r="W75" s="139">
        <v>600</v>
      </c>
      <c r="X75" s="140"/>
      <c r="Y75" s="140"/>
      <c r="Z75" s="140"/>
      <c r="AS75" s="88" t="s">
        <v>27</v>
      </c>
    </row>
    <row r="76" spans="2:45" ht="28.5" customHeight="1">
      <c r="B76" s="210" t="s">
        <v>327</v>
      </c>
      <c r="C76" s="211"/>
      <c r="D76" s="212">
        <f>+D74*50%</f>
        <v>10.856167587480163</v>
      </c>
      <c r="E76" s="213">
        <f>F60</f>
        <v>0.51779710144927538</v>
      </c>
      <c r="F76" s="214">
        <f>+IF(C76= "",0,(D76*E76))</f>
        <v>0</v>
      </c>
      <c r="G76" s="215"/>
      <c r="H76" s="210" t="s">
        <v>327</v>
      </c>
      <c r="I76" s="211"/>
      <c r="J76" s="212">
        <f>+J74*50%</f>
        <v>10.856167587480163</v>
      </c>
      <c r="K76" s="213">
        <f>L60</f>
        <v>0.46068235717498873</v>
      </c>
      <c r="L76" s="216">
        <f>+IF(I76= "",0,(J76*K76))</f>
        <v>0</v>
      </c>
      <c r="M76" s="215"/>
      <c r="N76" s="210" t="s">
        <v>327</v>
      </c>
      <c r="O76" s="211"/>
      <c r="P76" s="212">
        <f>+P74*50%</f>
        <v>10.856167587480163</v>
      </c>
      <c r="Q76" s="213">
        <f>R60</f>
        <v>0.54933396467758033</v>
      </c>
      <c r="R76" s="214">
        <f>+IF(O76= "",0,(P76*Q76))</f>
        <v>0</v>
      </c>
      <c r="S76" s="215"/>
      <c r="U76" s="138">
        <v>71</v>
      </c>
      <c r="V76" s="117" t="s">
        <v>237</v>
      </c>
      <c r="W76" s="139">
        <v>250</v>
      </c>
      <c r="X76" s="140"/>
      <c r="Y76" s="140"/>
      <c r="Z76" s="140"/>
      <c r="AS76" s="88" t="s">
        <v>160</v>
      </c>
    </row>
    <row r="77" spans="2:45">
      <c r="B77" s="202"/>
      <c r="F77" s="217">
        <f>SUM(F74:F76)</f>
        <v>11.242584219289602</v>
      </c>
      <c r="G77" s="218"/>
      <c r="H77" s="202"/>
      <c r="I77" s="179"/>
      <c r="K77" s="88"/>
      <c r="L77" s="219">
        <f>SUM(L74:L76)</f>
        <v>10.002489748174145</v>
      </c>
      <c r="M77" s="218"/>
      <c r="N77" s="202"/>
      <c r="O77" s="179"/>
      <c r="R77" s="217">
        <f>SUM(R74:R76)</f>
        <v>11.927323164069442</v>
      </c>
      <c r="S77" s="218"/>
      <c r="U77" s="138">
        <v>72</v>
      </c>
      <c r="V77" s="117" t="s">
        <v>238</v>
      </c>
      <c r="W77" s="139">
        <v>270</v>
      </c>
      <c r="X77" s="140"/>
      <c r="Y77" s="140"/>
      <c r="Z77" s="140"/>
      <c r="AS77" s="88" t="s">
        <v>161</v>
      </c>
    </row>
    <row r="78" spans="2:45">
      <c r="B78" s="202"/>
      <c r="F78" s="189"/>
      <c r="G78" s="220"/>
      <c r="H78" s="202"/>
      <c r="I78" s="179"/>
      <c r="K78" s="88"/>
      <c r="M78" s="220"/>
      <c r="N78" s="202"/>
      <c r="O78" s="179"/>
      <c r="R78" s="189"/>
      <c r="S78" s="220"/>
      <c r="U78" s="138">
        <v>73</v>
      </c>
      <c r="V78" s="117" t="s">
        <v>239</v>
      </c>
      <c r="W78" s="139">
        <v>325</v>
      </c>
      <c r="X78" s="140"/>
      <c r="Y78" s="140"/>
      <c r="Z78" s="140"/>
      <c r="AS78" s="88" t="s">
        <v>162</v>
      </c>
    </row>
    <row r="79" spans="2:45" ht="23.25" customHeight="1">
      <c r="B79" s="438" t="s">
        <v>328</v>
      </c>
      <c r="C79" s="439"/>
      <c r="D79" s="439"/>
      <c r="E79" s="440"/>
      <c r="F79" s="221">
        <f>+F72+F77</f>
        <v>11.338241362146745</v>
      </c>
      <c r="G79" s="205">
        <f>+F79</f>
        <v>11.338241362146745</v>
      </c>
      <c r="H79" s="222" t="s">
        <v>328</v>
      </c>
      <c r="I79" s="223"/>
      <c r="J79" s="223"/>
      <c r="K79" s="224"/>
      <c r="L79" s="225">
        <f>+L72+L77</f>
        <v>10.129380224364622</v>
      </c>
      <c r="M79" s="205">
        <f>+L79</f>
        <v>10.129380224364622</v>
      </c>
      <c r="N79" s="222" t="s">
        <v>328</v>
      </c>
      <c r="O79" s="223"/>
      <c r="R79" s="225">
        <f>+R72+R77</f>
        <v>12.054213640259919</v>
      </c>
      <c r="S79" s="205">
        <f>+R79</f>
        <v>12.054213640259919</v>
      </c>
      <c r="U79" s="138">
        <v>74</v>
      </c>
      <c r="V79" s="117" t="s">
        <v>240</v>
      </c>
      <c r="W79" s="139">
        <v>1000</v>
      </c>
      <c r="X79" s="140"/>
      <c r="Y79" s="140"/>
      <c r="Z79" s="140"/>
      <c r="AS79" s="88" t="s">
        <v>163</v>
      </c>
    </row>
    <row r="80" spans="2:45">
      <c r="B80" s="202"/>
      <c r="G80" s="205"/>
      <c r="H80" s="202"/>
      <c r="I80" s="179"/>
      <c r="K80" s="88"/>
      <c r="L80" s="189"/>
      <c r="M80" s="205"/>
      <c r="N80" s="202"/>
      <c r="O80" s="179"/>
      <c r="R80" s="189"/>
      <c r="S80" s="205"/>
      <c r="U80" s="138">
        <v>75</v>
      </c>
      <c r="V80" s="117" t="s">
        <v>241</v>
      </c>
      <c r="W80" s="139">
        <v>450</v>
      </c>
      <c r="X80" s="140"/>
      <c r="Y80" s="140"/>
      <c r="Z80" s="140"/>
      <c r="AS80" s="88" t="s">
        <v>164</v>
      </c>
    </row>
    <row r="81" spans="2:45" ht="19">
      <c r="B81" s="441" t="s">
        <v>329</v>
      </c>
      <c r="C81" s="442"/>
      <c r="D81" s="442"/>
      <c r="E81" s="443"/>
      <c r="F81" s="226">
        <f>+F79/$C$37</f>
        <v>0.11338241362146745</v>
      </c>
      <c r="G81" s="205"/>
      <c r="H81" s="227" t="s">
        <v>329</v>
      </c>
      <c r="I81" s="228"/>
      <c r="J81" s="228"/>
      <c r="K81" s="229"/>
      <c r="L81" s="230">
        <f>+L79/$C$37</f>
        <v>0.10129380224364622</v>
      </c>
      <c r="M81" s="205"/>
      <c r="N81" s="227" t="s">
        <v>329</v>
      </c>
      <c r="O81" s="228"/>
      <c r="R81" s="230">
        <f>+R79/$C$37</f>
        <v>0.12054213640259918</v>
      </c>
      <c r="S81" s="205"/>
      <c r="U81" s="138">
        <v>76</v>
      </c>
      <c r="V81" s="117" t="s">
        <v>242</v>
      </c>
      <c r="W81" s="139">
        <v>125</v>
      </c>
      <c r="X81" s="140"/>
      <c r="Y81" s="140"/>
      <c r="Z81" s="140"/>
      <c r="AS81" s="88" t="s">
        <v>330</v>
      </c>
    </row>
    <row r="82" spans="2:45" ht="17" thickBot="1">
      <c r="B82" s="231"/>
      <c r="C82" s="232"/>
      <c r="D82" s="233"/>
      <c r="E82" s="233"/>
      <c r="F82" s="233"/>
      <c r="G82" s="205"/>
      <c r="H82" s="231"/>
      <c r="I82" s="232"/>
      <c r="J82" s="233"/>
      <c r="K82" s="233"/>
      <c r="L82" s="234"/>
      <c r="M82" s="205"/>
      <c r="N82" s="231"/>
      <c r="O82" s="232"/>
      <c r="P82" s="233"/>
      <c r="Q82" s="233"/>
      <c r="R82" s="234"/>
      <c r="S82" s="205"/>
      <c r="U82" s="138">
        <v>77</v>
      </c>
      <c r="V82" s="117" t="s">
        <v>243</v>
      </c>
      <c r="W82" s="139">
        <v>60</v>
      </c>
      <c r="X82" s="140"/>
      <c r="Y82" s="140"/>
      <c r="Z82" s="140"/>
      <c r="AS82" s="88" t="s">
        <v>331</v>
      </c>
    </row>
    <row r="83" spans="2:45" ht="24" customHeight="1" thickBot="1">
      <c r="B83" s="415" t="s">
        <v>312</v>
      </c>
      <c r="C83" s="416"/>
      <c r="D83" s="416"/>
      <c r="E83" s="416"/>
      <c r="F83" s="416"/>
      <c r="G83" s="416"/>
      <c r="H83" s="416"/>
      <c r="I83" s="416"/>
      <c r="J83" s="416"/>
      <c r="K83" s="416"/>
      <c r="L83" s="416"/>
      <c r="M83" s="416"/>
      <c r="N83" s="416"/>
      <c r="O83" s="416"/>
      <c r="P83" s="416"/>
      <c r="Q83" s="416"/>
      <c r="R83" s="417"/>
      <c r="U83" s="138">
        <v>78</v>
      </c>
      <c r="V83" s="117" t="s">
        <v>244</v>
      </c>
      <c r="W83" s="139">
        <v>400</v>
      </c>
      <c r="X83" s="140"/>
      <c r="Y83" s="140"/>
      <c r="Z83" s="140"/>
      <c r="AS83" s="88" t="s">
        <v>165</v>
      </c>
    </row>
    <row r="84" spans="2:45" ht="26.25" customHeight="1">
      <c r="B84" s="235"/>
      <c r="C84" s="449" t="s">
        <v>89</v>
      </c>
      <c r="D84" s="450"/>
      <c r="E84" s="451"/>
      <c r="F84" s="236"/>
      <c r="H84" s="237"/>
      <c r="I84" s="452" t="s">
        <v>141</v>
      </c>
      <c r="J84" s="453"/>
      <c r="K84" s="454"/>
      <c r="L84" s="238"/>
      <c r="N84" s="239"/>
      <c r="O84" s="452" t="s">
        <v>87</v>
      </c>
      <c r="P84" s="453"/>
      <c r="Q84" s="454"/>
      <c r="R84" s="240"/>
      <c r="U84" s="138">
        <v>79</v>
      </c>
      <c r="V84" s="117" t="s">
        <v>245</v>
      </c>
      <c r="W84" s="139">
        <v>150</v>
      </c>
      <c r="X84" s="140"/>
      <c r="Y84" s="140"/>
      <c r="Z84" s="140"/>
      <c r="AS84" s="88" t="s">
        <v>166</v>
      </c>
    </row>
    <row r="85" spans="2:45" ht="33" thickBot="1">
      <c r="B85" s="241" t="s">
        <v>313</v>
      </c>
      <c r="C85" s="242" t="s">
        <v>6</v>
      </c>
      <c r="D85" s="243" t="s">
        <v>25</v>
      </c>
      <c r="E85" s="244" t="s">
        <v>314</v>
      </c>
      <c r="F85" s="245" t="s">
        <v>315</v>
      </c>
      <c r="H85" s="241" t="s">
        <v>313</v>
      </c>
      <c r="I85" s="242" t="s">
        <v>6</v>
      </c>
      <c r="J85" s="243" t="s">
        <v>25</v>
      </c>
      <c r="K85" s="244" t="s">
        <v>314</v>
      </c>
      <c r="L85" s="246" t="s">
        <v>315</v>
      </c>
      <c r="N85" s="241" t="s">
        <v>313</v>
      </c>
      <c r="O85" s="242" t="s">
        <v>6</v>
      </c>
      <c r="P85" s="243" t="s">
        <v>25</v>
      </c>
      <c r="Q85" s="244" t="s">
        <v>314</v>
      </c>
      <c r="R85" s="245" t="s">
        <v>315</v>
      </c>
      <c r="U85" s="138">
        <v>80</v>
      </c>
      <c r="V85" s="117" t="s">
        <v>246</v>
      </c>
      <c r="W85" s="139">
        <v>300</v>
      </c>
      <c r="X85" s="140"/>
      <c r="Y85" s="140"/>
      <c r="Z85" s="140"/>
      <c r="AS85" s="88" t="s">
        <v>167</v>
      </c>
    </row>
    <row r="86" spans="2:45">
      <c r="B86" s="170" t="s">
        <v>179</v>
      </c>
      <c r="C86" s="171">
        <f>VLOOKUP(B86,'RESUMEN RENDIMIENTOS'!$V$6:$W$158,2,FALSE)</f>
        <v>400</v>
      </c>
      <c r="D86" s="177" t="s">
        <v>20</v>
      </c>
      <c r="E86" s="172">
        <v>247</v>
      </c>
      <c r="F86" s="173">
        <f t="shared" ref="F86:F101" si="10">IF(C86=0,0,(100/C86)*E86/$E$37)</f>
        <v>0.25</v>
      </c>
      <c r="G86" s="164">
        <f>+F86/F102</f>
        <v>0.81818181818181812</v>
      </c>
      <c r="H86" s="159" t="s">
        <v>181</v>
      </c>
      <c r="I86" s="160">
        <f>VLOOKUP(H86,'RESUMEN RENDIMIENTOS'!$V$6:$W$158,2,FALSE)</f>
        <v>900</v>
      </c>
      <c r="J86" s="177" t="s">
        <v>20</v>
      </c>
      <c r="K86" s="162">
        <v>247</v>
      </c>
      <c r="L86" s="163">
        <f t="shared" ref="L86:L101" si="11">IF(I86=0,0,(100/I86)*K86/$E$37)</f>
        <v>0.1111111111111111</v>
      </c>
      <c r="M86" s="164">
        <f>+L86/L102</f>
        <v>0.27069664933440951</v>
      </c>
      <c r="N86" s="159" t="s">
        <v>175</v>
      </c>
      <c r="O86" s="160">
        <f>VLOOKUP(N86,'RESUMEN RENDIMIENTOS'!$V$6:$W$158,2,FALSE)</f>
        <v>600</v>
      </c>
      <c r="P86" s="177" t="s">
        <v>56</v>
      </c>
      <c r="Q86" s="162">
        <v>52.14</v>
      </c>
      <c r="R86" s="163">
        <f t="shared" ref="R86:R101" si="12">IF(O86=0,0,(100/O86)*Q86/$E$37)</f>
        <v>3.5182186234817815E-2</v>
      </c>
      <c r="S86" s="164">
        <f>+R86/R102</f>
        <v>0.11048486695656995</v>
      </c>
      <c r="U86" s="138">
        <v>81</v>
      </c>
      <c r="V86" s="117" t="s">
        <v>247</v>
      </c>
      <c r="W86" s="139">
        <v>250</v>
      </c>
      <c r="X86" s="140"/>
      <c r="Y86" s="140"/>
      <c r="Z86" s="140"/>
      <c r="AS86" s="88" t="s">
        <v>332</v>
      </c>
    </row>
    <row r="87" spans="2:45">
      <c r="B87" s="170" t="s">
        <v>259</v>
      </c>
      <c r="C87" s="171">
        <f>VLOOKUP(B87,'RESUMEN RENDIMIENTOS'!$V$6:$W$158,2,FALSE)</f>
        <v>1800</v>
      </c>
      <c r="D87" s="177" t="s">
        <v>20</v>
      </c>
      <c r="E87" s="172">
        <v>247</v>
      </c>
      <c r="F87" s="173">
        <f t="shared" si="10"/>
        <v>5.5555555555555552E-2</v>
      </c>
      <c r="G87" s="174">
        <f>+F87/F102</f>
        <v>0.1818181818181818</v>
      </c>
      <c r="H87" s="170" t="s">
        <v>203</v>
      </c>
      <c r="I87" s="171">
        <f>VLOOKUP(H87,'RESUMEN RENDIMIENTOS'!$V$6:$W$158,2,FALSE)</f>
        <v>600</v>
      </c>
      <c r="J87" s="177" t="s">
        <v>31</v>
      </c>
      <c r="K87" s="172">
        <v>104.28</v>
      </c>
      <c r="L87" s="173">
        <f t="shared" si="11"/>
        <v>7.036437246963563E-2</v>
      </c>
      <c r="M87" s="174">
        <f>+L87/L102</f>
        <v>0.17142659874043861</v>
      </c>
      <c r="N87" s="170" t="s">
        <v>190</v>
      </c>
      <c r="O87" s="171">
        <f>VLOOKUP(N87,'RESUMEN RENDIMIENTOS'!$V$6:$W$158,2,FALSE)</f>
        <v>960</v>
      </c>
      <c r="P87" s="177" t="s">
        <v>52</v>
      </c>
      <c r="Q87" s="172">
        <v>156.42000000000002</v>
      </c>
      <c r="R87" s="173">
        <f t="shared" si="12"/>
        <v>6.5966599190283415E-2</v>
      </c>
      <c r="S87" s="174">
        <f>+R87/R102</f>
        <v>0.20715912554356869</v>
      </c>
      <c r="U87" s="138">
        <v>82</v>
      </c>
      <c r="V87" s="117" t="s">
        <v>248</v>
      </c>
      <c r="W87" s="139">
        <v>500</v>
      </c>
      <c r="X87" s="140"/>
      <c r="Y87" s="140"/>
      <c r="Z87" s="140"/>
      <c r="AS87" s="88" t="s">
        <v>333</v>
      </c>
    </row>
    <row r="88" spans="2:45">
      <c r="B88" s="170">
        <v>0</v>
      </c>
      <c r="C88" s="171">
        <f>VLOOKUP(B88,'RESUMEN RENDIMIENTOS'!$V$6:$W$158,2,FALSE)</f>
        <v>0</v>
      </c>
      <c r="D88" s="177"/>
      <c r="E88" s="172" t="s">
        <v>337</v>
      </c>
      <c r="F88" s="173">
        <f t="shared" si="10"/>
        <v>0</v>
      </c>
      <c r="G88" s="174">
        <f>+F88/F102</f>
        <v>0</v>
      </c>
      <c r="H88" s="170" t="s">
        <v>190</v>
      </c>
      <c r="I88" s="171">
        <f>VLOOKUP(H88,'RESUMEN RENDIMIENTOS'!$V$6:$W$158,2,FALSE)</f>
        <v>960</v>
      </c>
      <c r="J88" s="177" t="s">
        <v>31</v>
      </c>
      <c r="K88" s="172">
        <v>104.28</v>
      </c>
      <c r="L88" s="173">
        <f t="shared" si="11"/>
        <v>4.3977732793522267E-2</v>
      </c>
      <c r="M88" s="174">
        <f>+L88/L102</f>
        <v>0.10714162421277414</v>
      </c>
      <c r="N88" s="170" t="s">
        <v>259</v>
      </c>
      <c r="O88" s="171">
        <f>VLOOKUP(N88,'RESUMEN RENDIMIENTOS'!$V$6:$W$158,2,FALSE)</f>
        <v>1800</v>
      </c>
      <c r="P88" s="177" t="s">
        <v>20</v>
      </c>
      <c r="Q88" s="172">
        <v>247</v>
      </c>
      <c r="R88" s="173">
        <f t="shared" si="12"/>
        <v>5.5555555555555552E-2</v>
      </c>
      <c r="S88" s="174">
        <f>+R88/R102</f>
        <v>0.17446466013471917</v>
      </c>
      <c r="U88" s="138">
        <v>83</v>
      </c>
      <c r="V88" s="117" t="s">
        <v>249</v>
      </c>
      <c r="W88" s="139">
        <v>250</v>
      </c>
      <c r="X88" s="140"/>
      <c r="Y88" s="140"/>
      <c r="Z88" s="140"/>
      <c r="AS88" s="88" t="s">
        <v>3</v>
      </c>
    </row>
    <row r="89" spans="2:45">
      <c r="B89" s="170">
        <v>0</v>
      </c>
      <c r="C89" s="171">
        <f>VLOOKUP(B89,'RESUMEN RENDIMIENTOS'!$V$6:$W$158,2,FALSE)</f>
        <v>0</v>
      </c>
      <c r="D89" s="177"/>
      <c r="E89" s="172" t="s">
        <v>337</v>
      </c>
      <c r="F89" s="173">
        <f t="shared" si="10"/>
        <v>0</v>
      </c>
      <c r="G89" s="174">
        <f>+F89/F102</f>
        <v>0</v>
      </c>
      <c r="H89" s="170" t="s">
        <v>259</v>
      </c>
      <c r="I89" s="171">
        <f>VLOOKUP(H89,'RESUMEN RENDIMIENTOS'!$V$6:$W$158,2,FALSE)</f>
        <v>1800</v>
      </c>
      <c r="J89" s="177" t="s">
        <v>20</v>
      </c>
      <c r="K89" s="172">
        <v>247</v>
      </c>
      <c r="L89" s="173">
        <f t="shared" si="11"/>
        <v>5.5555555555555552E-2</v>
      </c>
      <c r="M89" s="174">
        <f>+L89/L102</f>
        <v>0.13534832466720476</v>
      </c>
      <c r="N89" s="170" t="s">
        <v>253</v>
      </c>
      <c r="O89" s="171">
        <f>VLOOKUP(N89,'RESUMEN RENDIMIENTOS'!$V$6:$W$158,2,FALSE)</f>
        <v>1500</v>
      </c>
      <c r="P89" s="177" t="s">
        <v>20</v>
      </c>
      <c r="Q89" s="172">
        <v>247</v>
      </c>
      <c r="R89" s="173">
        <f t="shared" si="12"/>
        <v>6.6666666666666666E-2</v>
      </c>
      <c r="S89" s="174">
        <f>+R89/R102</f>
        <v>0.20935759216166303</v>
      </c>
      <c r="U89" s="138">
        <v>84</v>
      </c>
      <c r="V89" s="117" t="s">
        <v>250</v>
      </c>
      <c r="W89" s="139">
        <v>80</v>
      </c>
      <c r="X89" s="140"/>
      <c r="Y89" s="140"/>
      <c r="Z89" s="140"/>
      <c r="AS89" s="88" t="s">
        <v>169</v>
      </c>
    </row>
    <row r="90" spans="2:45">
      <c r="B90" s="170">
        <v>0</v>
      </c>
      <c r="C90" s="171">
        <f>VLOOKUP(B90,'RESUMEN RENDIMIENTOS'!$V$6:$W$158,2,FALSE)</f>
        <v>0</v>
      </c>
      <c r="D90" s="177"/>
      <c r="E90" s="172" t="s">
        <v>337</v>
      </c>
      <c r="F90" s="173">
        <f t="shared" si="10"/>
        <v>0</v>
      </c>
      <c r="G90" s="174">
        <f>+F90/F102</f>
        <v>0</v>
      </c>
      <c r="H90" s="170" t="s">
        <v>253</v>
      </c>
      <c r="I90" s="171">
        <f>VLOOKUP(H90,'RESUMEN RENDIMIENTOS'!$V$6:$W$158,2,FALSE)</f>
        <v>1500</v>
      </c>
      <c r="J90" s="177" t="s">
        <v>52</v>
      </c>
      <c r="K90" s="172">
        <v>156.42000000000002</v>
      </c>
      <c r="L90" s="173">
        <f t="shared" si="11"/>
        <v>4.2218623481781382E-2</v>
      </c>
      <c r="M90" s="174">
        <f>+L90/L102</f>
        <v>0.10285595924426318</v>
      </c>
      <c r="N90" s="170" t="s">
        <v>194</v>
      </c>
      <c r="O90" s="171">
        <f>VLOOKUP(N90,'RESUMEN RENDIMIENTOS'!$V$6:$W$158,2,FALSE)</f>
        <v>2000</v>
      </c>
      <c r="P90" s="177" t="s">
        <v>58</v>
      </c>
      <c r="Q90" s="172">
        <v>12</v>
      </c>
      <c r="R90" s="173">
        <f t="shared" si="12"/>
        <v>2.4291497975708507E-3</v>
      </c>
      <c r="S90" s="174">
        <f>+R90/R102</f>
        <v>7.6284142892913669E-3</v>
      </c>
      <c r="U90" s="138">
        <v>85</v>
      </c>
      <c r="V90" s="117" t="s">
        <v>251</v>
      </c>
      <c r="W90" s="139">
        <v>300</v>
      </c>
      <c r="X90" s="140"/>
      <c r="Y90" s="140"/>
      <c r="Z90" s="140"/>
      <c r="AS90" s="88" t="s">
        <v>153</v>
      </c>
    </row>
    <row r="91" spans="2:45">
      <c r="B91" s="170">
        <v>0</v>
      </c>
      <c r="C91" s="171">
        <f>VLOOKUP(B91,'RESUMEN RENDIMIENTOS'!$V$6:$W$158,2,FALSE)</f>
        <v>0</v>
      </c>
      <c r="D91" s="177"/>
      <c r="E91" s="172" t="s">
        <v>337</v>
      </c>
      <c r="F91" s="173">
        <f t="shared" si="10"/>
        <v>0</v>
      </c>
      <c r="G91" s="174">
        <f>+F91/F102</f>
        <v>0</v>
      </c>
      <c r="H91" s="170" t="s">
        <v>210</v>
      </c>
      <c r="I91" s="171">
        <f>VLOOKUP(H91,'RESUMEN RENDIMIENTOS'!$V$6:$W$158,2,FALSE)</f>
        <v>80</v>
      </c>
      <c r="J91" s="177" t="s">
        <v>58</v>
      </c>
      <c r="K91" s="172">
        <v>12</v>
      </c>
      <c r="L91" s="173">
        <f t="shared" si="11"/>
        <v>6.0728744939271252E-2</v>
      </c>
      <c r="M91" s="174">
        <f>+L91/L102</f>
        <v>0.14795160996010237</v>
      </c>
      <c r="N91" s="170" t="s">
        <v>210</v>
      </c>
      <c r="O91" s="171">
        <f>VLOOKUP(N91,'RESUMEN RENDIMIENTOS'!$V$6:$W$158,2,FALSE)</f>
        <v>80</v>
      </c>
      <c r="P91" s="177" t="s">
        <v>58</v>
      </c>
      <c r="Q91" s="172">
        <v>12</v>
      </c>
      <c r="R91" s="173">
        <f t="shared" si="12"/>
        <v>6.0728744939271252E-2</v>
      </c>
      <c r="S91" s="174">
        <f>+R91/R102</f>
        <v>0.19071035723228413</v>
      </c>
      <c r="U91" s="138">
        <v>86</v>
      </c>
      <c r="V91" s="117" t="s">
        <v>252</v>
      </c>
      <c r="W91" s="190">
        <v>3000</v>
      </c>
      <c r="X91" s="140"/>
      <c r="Y91" s="140"/>
      <c r="Z91" s="140"/>
      <c r="AS91" s="88" t="s">
        <v>154</v>
      </c>
    </row>
    <row r="92" spans="2:45">
      <c r="B92" s="170">
        <v>0</v>
      </c>
      <c r="C92" s="171">
        <f>VLOOKUP(B92,'RESUMEN RENDIMIENTOS'!$V$6:$W$158,2,FALSE)</f>
        <v>0</v>
      </c>
      <c r="D92" s="177"/>
      <c r="E92" s="172" t="s">
        <v>337</v>
      </c>
      <c r="F92" s="173">
        <f t="shared" si="10"/>
        <v>0</v>
      </c>
      <c r="G92" s="174">
        <f>+F92/F102</f>
        <v>0</v>
      </c>
      <c r="H92" s="170" t="s">
        <v>230</v>
      </c>
      <c r="I92" s="171">
        <f>VLOOKUP(H92,'RESUMEN RENDIMIENTOS'!$V$6:$W$158,2,FALSE)</f>
        <v>900</v>
      </c>
      <c r="J92" s="177" t="s">
        <v>58</v>
      </c>
      <c r="K92" s="172">
        <v>12</v>
      </c>
      <c r="L92" s="173">
        <f t="shared" si="11"/>
        <v>5.3981106612685558E-3</v>
      </c>
      <c r="M92" s="174">
        <f>+L92/L102</f>
        <v>1.3151254218675766E-2</v>
      </c>
      <c r="N92" s="170" t="s">
        <v>230</v>
      </c>
      <c r="O92" s="171">
        <f>VLOOKUP(N92,'RESUMEN RENDIMIENTOS'!$V$6:$W$158,2,FALSE)</f>
        <v>900</v>
      </c>
      <c r="P92" s="177" t="s">
        <v>30</v>
      </c>
      <c r="Q92" s="172">
        <v>24</v>
      </c>
      <c r="R92" s="173">
        <f t="shared" si="12"/>
        <v>1.0796221322537112E-2</v>
      </c>
      <c r="S92" s="174">
        <f>+R92/R102</f>
        <v>3.3904063507961622E-2</v>
      </c>
      <c r="U92" s="138">
        <v>87</v>
      </c>
      <c r="V92" s="117" t="s">
        <v>253</v>
      </c>
      <c r="W92" s="139">
        <v>1500</v>
      </c>
      <c r="X92" s="140"/>
      <c r="Y92" s="140"/>
      <c r="Z92" s="140"/>
      <c r="AS92" s="88" t="s">
        <v>155</v>
      </c>
    </row>
    <row r="93" spans="2:45">
      <c r="B93" s="170">
        <v>0</v>
      </c>
      <c r="C93" s="171">
        <f>VLOOKUP(B93,'RESUMEN RENDIMIENTOS'!$V$6:$W$158,2,FALSE)</f>
        <v>0</v>
      </c>
      <c r="D93" s="177"/>
      <c r="E93" s="172" t="s">
        <v>337</v>
      </c>
      <c r="F93" s="173">
        <f t="shared" si="10"/>
        <v>0</v>
      </c>
      <c r="G93" s="174">
        <f>+F93/F102</f>
        <v>0</v>
      </c>
      <c r="H93" s="170" t="s">
        <v>240</v>
      </c>
      <c r="I93" s="171">
        <f>VLOOKUP(H93,'RESUMEN RENDIMIENTOS'!$V$6:$W$158,2,FALSE)</f>
        <v>1000</v>
      </c>
      <c r="J93" s="177" t="s">
        <v>56</v>
      </c>
      <c r="K93" s="172">
        <v>52.14</v>
      </c>
      <c r="L93" s="173">
        <f t="shared" si="11"/>
        <v>2.1109311740890691E-2</v>
      </c>
      <c r="M93" s="174">
        <f>+L93/L102</f>
        <v>5.1427979622131588E-2</v>
      </c>
      <c r="N93" s="170" t="s">
        <v>240</v>
      </c>
      <c r="O93" s="171">
        <f>VLOOKUP(N93,'RESUMEN RENDIMIENTOS'!$V$6:$W$158,2,FALSE)</f>
        <v>1000</v>
      </c>
      <c r="P93" s="177" t="s">
        <v>56</v>
      </c>
      <c r="Q93" s="172">
        <v>52.14</v>
      </c>
      <c r="R93" s="173">
        <f t="shared" si="12"/>
        <v>2.1109311740890691E-2</v>
      </c>
      <c r="S93" s="174">
        <f>+R93/R102</f>
        <v>6.6290920173941975E-2</v>
      </c>
      <c r="U93" s="138">
        <v>88</v>
      </c>
      <c r="V93" s="117" t="s">
        <v>254</v>
      </c>
      <c r="W93" s="139">
        <v>2000</v>
      </c>
      <c r="X93" s="140"/>
      <c r="Y93" s="140"/>
      <c r="Z93" s="140"/>
      <c r="AS93" s="88" t="s">
        <v>156</v>
      </c>
    </row>
    <row r="94" spans="2:45">
      <c r="B94" s="170">
        <v>0</v>
      </c>
      <c r="C94" s="171">
        <f>VLOOKUP(B94,'RESUMEN RENDIMIENTOS'!$V$6:$W$158,2,FALSE)</f>
        <v>0</v>
      </c>
      <c r="D94" s="177"/>
      <c r="E94" s="172" t="s">
        <v>337</v>
      </c>
      <c r="F94" s="173">
        <f t="shared" si="10"/>
        <v>0</v>
      </c>
      <c r="G94" s="174">
        <f>+F94/F102</f>
        <v>0</v>
      </c>
      <c r="H94" s="170">
        <v>0</v>
      </c>
      <c r="I94" s="171">
        <f>VLOOKUP(H94,'RESUMEN RENDIMIENTOS'!$V$6:$W$158,2,FALSE)</f>
        <v>0</v>
      </c>
      <c r="J94" s="177"/>
      <c r="K94" s="172" t="s">
        <v>337</v>
      </c>
      <c r="L94" s="173">
        <f t="shared" si="11"/>
        <v>0</v>
      </c>
      <c r="M94" s="174">
        <f>+L94/L102</f>
        <v>0</v>
      </c>
      <c r="N94" s="170">
        <v>0</v>
      </c>
      <c r="O94" s="171">
        <f>VLOOKUP(N94,'RESUMEN RENDIMIENTOS'!$V$6:$W$158,2,FALSE)</f>
        <v>0</v>
      </c>
      <c r="P94" s="177"/>
      <c r="Q94" s="172" t="s">
        <v>337</v>
      </c>
      <c r="R94" s="173">
        <f t="shared" si="12"/>
        <v>0</v>
      </c>
      <c r="S94" s="174">
        <f>+R94/R102</f>
        <v>0</v>
      </c>
      <c r="U94" s="138">
        <v>89</v>
      </c>
      <c r="V94" s="117" t="s">
        <v>255</v>
      </c>
      <c r="W94" s="139">
        <v>2500</v>
      </c>
      <c r="X94" s="140"/>
      <c r="Y94" s="140"/>
      <c r="Z94" s="140"/>
      <c r="AS94" s="88" t="s">
        <v>157</v>
      </c>
    </row>
    <row r="95" spans="2:45">
      <c r="B95" s="170">
        <v>0</v>
      </c>
      <c r="C95" s="171">
        <f>VLOOKUP(B95,'RESUMEN RENDIMIENTOS'!$V$6:$W$158,2,FALSE)</f>
        <v>0</v>
      </c>
      <c r="D95" s="177"/>
      <c r="E95" s="172" t="s">
        <v>337</v>
      </c>
      <c r="F95" s="173">
        <f t="shared" si="10"/>
        <v>0</v>
      </c>
      <c r="G95" s="174">
        <f>+F95/F102</f>
        <v>0</v>
      </c>
      <c r="H95" s="170">
        <v>0</v>
      </c>
      <c r="I95" s="171">
        <f>VLOOKUP(H95,'RESUMEN RENDIMIENTOS'!$V$6:$W$158,2,FALSE)</f>
        <v>0</v>
      </c>
      <c r="J95" s="177"/>
      <c r="K95" s="172" t="s">
        <v>337</v>
      </c>
      <c r="L95" s="173">
        <f t="shared" si="11"/>
        <v>0</v>
      </c>
      <c r="M95" s="174">
        <f>+L95/L102</f>
        <v>0</v>
      </c>
      <c r="N95" s="170">
        <v>0</v>
      </c>
      <c r="O95" s="171">
        <f>VLOOKUP(N95,'RESUMEN RENDIMIENTOS'!$V$6:$W$158,2,FALSE)</f>
        <v>0</v>
      </c>
      <c r="P95" s="177"/>
      <c r="Q95" s="172" t="s">
        <v>337</v>
      </c>
      <c r="R95" s="173">
        <f t="shared" si="12"/>
        <v>0</v>
      </c>
      <c r="S95" s="174">
        <f>+R95/R102</f>
        <v>0</v>
      </c>
      <c r="U95" s="138">
        <v>90</v>
      </c>
      <c r="V95" s="117" t="s">
        <v>256</v>
      </c>
      <c r="W95" s="139">
        <v>3000</v>
      </c>
      <c r="X95" s="140"/>
      <c r="Y95" s="140"/>
      <c r="Z95" s="140"/>
      <c r="AS95" s="88" t="s">
        <v>158</v>
      </c>
    </row>
    <row r="96" spans="2:45">
      <c r="B96" s="170">
        <v>0</v>
      </c>
      <c r="C96" s="171">
        <f>VLOOKUP(B96,'RESUMEN RENDIMIENTOS'!$V$6:$W$158,2,FALSE)</f>
        <v>0</v>
      </c>
      <c r="D96" s="177"/>
      <c r="E96" s="172" t="s">
        <v>337</v>
      </c>
      <c r="F96" s="173">
        <f t="shared" si="10"/>
        <v>0</v>
      </c>
      <c r="G96" s="174">
        <f>+F96/F102</f>
        <v>0</v>
      </c>
      <c r="H96" s="170">
        <v>0</v>
      </c>
      <c r="I96" s="171">
        <f>VLOOKUP(H96,'RESUMEN RENDIMIENTOS'!$V$6:$W$158,2,FALSE)</f>
        <v>0</v>
      </c>
      <c r="J96" s="177"/>
      <c r="K96" s="172" t="s">
        <v>337</v>
      </c>
      <c r="L96" s="173">
        <f t="shared" si="11"/>
        <v>0</v>
      </c>
      <c r="M96" s="174">
        <f>+L96/L102</f>
        <v>0</v>
      </c>
      <c r="N96" s="170">
        <v>0</v>
      </c>
      <c r="O96" s="171">
        <f>VLOOKUP(N96,'RESUMEN RENDIMIENTOS'!$V$6:$W$158,2,FALSE)</f>
        <v>0</v>
      </c>
      <c r="P96" s="177"/>
      <c r="Q96" s="172" t="s">
        <v>337</v>
      </c>
      <c r="R96" s="173">
        <f t="shared" si="12"/>
        <v>0</v>
      </c>
      <c r="S96" s="174">
        <f>+R96/R102</f>
        <v>0</v>
      </c>
      <c r="U96" s="138">
        <v>91</v>
      </c>
      <c r="V96" s="117" t="s">
        <v>257</v>
      </c>
      <c r="W96" s="139">
        <v>70</v>
      </c>
      <c r="X96" s="140"/>
      <c r="Y96" s="140"/>
      <c r="Z96" s="140"/>
    </row>
    <row r="97" spans="2:28">
      <c r="B97" s="170">
        <v>0</v>
      </c>
      <c r="C97" s="171">
        <f>VLOOKUP(B97,'RESUMEN RENDIMIENTOS'!$V$6:$W$158,2,FALSE)</f>
        <v>0</v>
      </c>
      <c r="D97" s="177"/>
      <c r="E97" s="172" t="s">
        <v>337</v>
      </c>
      <c r="F97" s="173">
        <f t="shared" si="10"/>
        <v>0</v>
      </c>
      <c r="G97" s="174">
        <f>+F97/F102</f>
        <v>0</v>
      </c>
      <c r="H97" s="170">
        <v>0</v>
      </c>
      <c r="I97" s="171">
        <f>VLOOKUP(H97,'RESUMEN RENDIMIENTOS'!$V$6:$W$158,2,FALSE)</f>
        <v>0</v>
      </c>
      <c r="J97" s="177"/>
      <c r="K97" s="172" t="s">
        <v>337</v>
      </c>
      <c r="L97" s="173">
        <f t="shared" si="11"/>
        <v>0</v>
      </c>
      <c r="M97" s="174">
        <f>+L97/L102</f>
        <v>0</v>
      </c>
      <c r="N97" s="170">
        <v>0</v>
      </c>
      <c r="O97" s="171">
        <f>VLOOKUP(N97,'RESUMEN RENDIMIENTOS'!$V$6:$W$158,2,FALSE)</f>
        <v>0</v>
      </c>
      <c r="P97" s="177"/>
      <c r="Q97" s="172" t="s">
        <v>337</v>
      </c>
      <c r="R97" s="173">
        <f t="shared" si="12"/>
        <v>0</v>
      </c>
      <c r="S97" s="174">
        <f>+R97/R102</f>
        <v>0</v>
      </c>
      <c r="U97" s="138">
        <v>92</v>
      </c>
      <c r="V97" s="117" t="s">
        <v>258</v>
      </c>
      <c r="W97" s="139">
        <v>2000</v>
      </c>
      <c r="X97" s="140"/>
      <c r="Y97" s="140"/>
      <c r="Z97" s="140"/>
    </row>
    <row r="98" spans="2:28">
      <c r="B98" s="170">
        <v>0</v>
      </c>
      <c r="C98" s="171">
        <f>VLOOKUP(B98,'RESUMEN RENDIMIENTOS'!$V$6:$W$158,2,FALSE)</f>
        <v>0</v>
      </c>
      <c r="D98" s="177"/>
      <c r="E98" s="172" t="s">
        <v>337</v>
      </c>
      <c r="F98" s="173">
        <f t="shared" si="10"/>
        <v>0</v>
      </c>
      <c r="G98" s="174">
        <f>+F98/F102</f>
        <v>0</v>
      </c>
      <c r="H98" s="170">
        <v>0</v>
      </c>
      <c r="I98" s="171">
        <f>VLOOKUP(H98,'RESUMEN RENDIMIENTOS'!$V$6:$W$158,2,FALSE)</f>
        <v>0</v>
      </c>
      <c r="J98" s="177"/>
      <c r="K98" s="172" t="s">
        <v>337</v>
      </c>
      <c r="L98" s="173">
        <f t="shared" si="11"/>
        <v>0</v>
      </c>
      <c r="M98" s="174">
        <f>+L98/L102</f>
        <v>0</v>
      </c>
      <c r="N98" s="170">
        <v>0</v>
      </c>
      <c r="O98" s="171">
        <f>VLOOKUP(N98,'RESUMEN RENDIMIENTOS'!$V$6:$W$158,2,FALSE)</f>
        <v>0</v>
      </c>
      <c r="P98" s="177"/>
      <c r="Q98" s="172" t="s">
        <v>337</v>
      </c>
      <c r="R98" s="173">
        <f t="shared" si="12"/>
        <v>0</v>
      </c>
      <c r="S98" s="174">
        <f>+R98/R102</f>
        <v>0</v>
      </c>
      <c r="U98" s="138">
        <v>93</v>
      </c>
      <c r="V98" s="117" t="s">
        <v>259</v>
      </c>
      <c r="W98" s="139">
        <v>1800</v>
      </c>
      <c r="X98" s="140"/>
      <c r="Y98" s="140"/>
      <c r="Z98" s="140"/>
    </row>
    <row r="99" spans="2:28">
      <c r="B99" s="170">
        <v>0</v>
      </c>
      <c r="C99" s="171">
        <f>VLOOKUP(B99,'RESUMEN RENDIMIENTOS'!$V$6:$W$158,2,FALSE)</f>
        <v>0</v>
      </c>
      <c r="D99" s="177"/>
      <c r="E99" s="172" t="s">
        <v>337</v>
      </c>
      <c r="F99" s="173">
        <f t="shared" si="10"/>
        <v>0</v>
      </c>
      <c r="G99" s="174">
        <f>+F99/F102</f>
        <v>0</v>
      </c>
      <c r="H99" s="170">
        <v>0</v>
      </c>
      <c r="I99" s="171">
        <f>VLOOKUP(H99,'RESUMEN RENDIMIENTOS'!$V$6:$W$158,2,FALSE)</f>
        <v>0</v>
      </c>
      <c r="J99" s="177"/>
      <c r="K99" s="172" t="s">
        <v>337</v>
      </c>
      <c r="L99" s="173">
        <f t="shared" si="11"/>
        <v>0</v>
      </c>
      <c r="M99" s="174">
        <f>+L99/L102</f>
        <v>0</v>
      </c>
      <c r="N99" s="170">
        <v>0</v>
      </c>
      <c r="O99" s="171">
        <f>VLOOKUP(N99,'RESUMEN RENDIMIENTOS'!$V$6:$W$158,2,FALSE)</f>
        <v>0</v>
      </c>
      <c r="P99" s="177"/>
      <c r="Q99" s="172" t="s">
        <v>337</v>
      </c>
      <c r="R99" s="173">
        <f t="shared" si="12"/>
        <v>0</v>
      </c>
      <c r="S99" s="174">
        <f>+R99/R102</f>
        <v>0</v>
      </c>
      <c r="U99" s="138">
        <v>94</v>
      </c>
      <c r="V99" s="117" t="s">
        <v>260</v>
      </c>
      <c r="W99" s="139">
        <v>3000</v>
      </c>
      <c r="X99" s="140"/>
      <c r="Y99" s="140"/>
      <c r="Z99" s="140"/>
    </row>
    <row r="100" spans="2:28">
      <c r="B100" s="170">
        <v>0</v>
      </c>
      <c r="C100" s="171">
        <f>VLOOKUP(B100,'RESUMEN RENDIMIENTOS'!$V$6:$W$158,2,FALSE)</f>
        <v>0</v>
      </c>
      <c r="D100" s="177"/>
      <c r="E100" s="172" t="s">
        <v>337</v>
      </c>
      <c r="F100" s="173">
        <f t="shared" si="10"/>
        <v>0</v>
      </c>
      <c r="G100" s="174">
        <f>+F100/F102</f>
        <v>0</v>
      </c>
      <c r="H100" s="170">
        <v>0</v>
      </c>
      <c r="I100" s="171">
        <f>VLOOKUP(H100,'RESUMEN RENDIMIENTOS'!$V$6:$W$158,2,FALSE)</f>
        <v>0</v>
      </c>
      <c r="J100" s="177"/>
      <c r="K100" s="172" t="s">
        <v>337</v>
      </c>
      <c r="L100" s="173">
        <f t="shared" si="11"/>
        <v>0</v>
      </c>
      <c r="M100" s="174">
        <f>+L100/L102</f>
        <v>0</v>
      </c>
      <c r="N100" s="170">
        <v>0</v>
      </c>
      <c r="O100" s="171">
        <f>VLOOKUP(N100,'RESUMEN RENDIMIENTOS'!$V$6:$W$158,2,FALSE)</f>
        <v>0</v>
      </c>
      <c r="P100" s="177"/>
      <c r="Q100" s="172" t="s">
        <v>337</v>
      </c>
      <c r="R100" s="173">
        <f t="shared" si="12"/>
        <v>0</v>
      </c>
      <c r="S100" s="174">
        <f>+R100/R102</f>
        <v>0</v>
      </c>
      <c r="U100" s="138">
        <v>95</v>
      </c>
      <c r="V100" s="117" t="s">
        <v>159</v>
      </c>
      <c r="W100" s="190">
        <v>0.1</v>
      </c>
      <c r="X100" s="140"/>
      <c r="Y100" s="140"/>
      <c r="Z100" s="140"/>
    </row>
    <row r="101" spans="2:28">
      <c r="B101" s="170">
        <v>0</v>
      </c>
      <c r="C101" s="171">
        <f>VLOOKUP(B101,'RESUMEN RENDIMIENTOS'!$V$6:$W$158,2,FALSE)</f>
        <v>0</v>
      </c>
      <c r="D101" s="177"/>
      <c r="E101" s="172" t="s">
        <v>337</v>
      </c>
      <c r="F101" s="173">
        <f t="shared" si="10"/>
        <v>0</v>
      </c>
      <c r="G101" s="174">
        <f>+F101/F102</f>
        <v>0</v>
      </c>
      <c r="H101" s="170">
        <v>0</v>
      </c>
      <c r="I101" s="171">
        <f>VLOOKUP(H101,'RESUMEN RENDIMIENTOS'!$V$6:$W$158,2,FALSE)</f>
        <v>0</v>
      </c>
      <c r="J101" s="177"/>
      <c r="K101" s="172" t="s">
        <v>337</v>
      </c>
      <c r="L101" s="173">
        <f t="shared" si="11"/>
        <v>0</v>
      </c>
      <c r="M101" s="174">
        <f>+L101/L102</f>
        <v>0</v>
      </c>
      <c r="N101" s="170">
        <v>0</v>
      </c>
      <c r="O101" s="171">
        <f>VLOOKUP(N101,'RESUMEN RENDIMIENTOS'!$V$6:$W$158,2,FALSE)</f>
        <v>0</v>
      </c>
      <c r="P101" s="177"/>
      <c r="Q101" s="172" t="s">
        <v>337</v>
      </c>
      <c r="R101" s="173">
        <f t="shared" si="12"/>
        <v>0</v>
      </c>
      <c r="S101" s="174">
        <f>+R101/R102</f>
        <v>0</v>
      </c>
      <c r="U101" s="138">
        <v>96</v>
      </c>
      <c r="V101" s="117" t="s">
        <v>159</v>
      </c>
      <c r="W101" s="190">
        <v>0.1</v>
      </c>
      <c r="X101" s="140"/>
      <c r="Y101" s="140"/>
      <c r="Z101" s="140"/>
    </row>
    <row r="102" spans="2:28" ht="25" thickBot="1">
      <c r="B102" s="178"/>
      <c r="E102" s="180"/>
      <c r="F102" s="163">
        <f>SUM(F86:F101)</f>
        <v>0.30555555555555558</v>
      </c>
      <c r="G102" s="181">
        <f>+F102/F102</f>
        <v>1</v>
      </c>
      <c r="H102" s="178"/>
      <c r="I102" s="179"/>
      <c r="J102" s="182" t="s">
        <v>24</v>
      </c>
      <c r="K102" s="90"/>
      <c r="L102" s="163">
        <f>SUM(L86:L101)</f>
        <v>0.41046356275303647</v>
      </c>
      <c r="M102" s="181">
        <f>+L102/L102</f>
        <v>1</v>
      </c>
      <c r="N102" s="178"/>
      <c r="O102" s="179"/>
      <c r="Q102" s="90"/>
      <c r="R102" s="247">
        <f>SUM(R86:R101)</f>
        <v>0.31843443544759337</v>
      </c>
      <c r="S102" s="181">
        <f>+R102/R102</f>
        <v>1</v>
      </c>
      <c r="U102" s="138">
        <v>97</v>
      </c>
      <c r="V102" s="117" t="s">
        <v>159</v>
      </c>
      <c r="W102" s="190">
        <v>0.1</v>
      </c>
      <c r="X102" s="140"/>
      <c r="Y102" s="140"/>
      <c r="Z102" s="140"/>
    </row>
    <row r="103" spans="2:28" ht="21" customHeight="1">
      <c r="B103" s="427" t="s">
        <v>317</v>
      </c>
      <c r="C103" s="428"/>
      <c r="D103" s="429"/>
      <c r="E103" s="185">
        <v>0.12</v>
      </c>
      <c r="F103" s="163">
        <f>+F102*E103</f>
        <v>3.6666666666666667E-2</v>
      </c>
      <c r="H103" s="427" t="s">
        <v>317</v>
      </c>
      <c r="I103" s="428"/>
      <c r="J103" s="429"/>
      <c r="K103" s="185">
        <v>0.12</v>
      </c>
      <c r="L103" s="163">
        <f>+L102*K103</f>
        <v>4.9255627530364374E-2</v>
      </c>
      <c r="N103" s="427" t="s">
        <v>317</v>
      </c>
      <c r="O103" s="428"/>
      <c r="P103" s="429"/>
      <c r="Q103" s="185">
        <v>0.12</v>
      </c>
      <c r="R103" s="247">
        <f>+R102*Q103</f>
        <v>3.8212132253711201E-2</v>
      </c>
      <c r="U103" s="138">
        <v>98</v>
      </c>
      <c r="V103" s="117" t="s">
        <v>159</v>
      </c>
      <c r="W103" s="190">
        <v>0.1</v>
      </c>
      <c r="X103" s="140"/>
      <c r="Y103" s="140"/>
      <c r="Z103" s="140"/>
    </row>
    <row r="104" spans="2:28">
      <c r="B104" s="178"/>
      <c r="E104" s="186"/>
      <c r="F104" s="163">
        <f>+F103+F102</f>
        <v>0.34222222222222226</v>
      </c>
      <c r="G104" s="187">
        <f>+F104/24</f>
        <v>1.4259259259259261E-2</v>
      </c>
      <c r="H104" s="178"/>
      <c r="I104" s="179"/>
      <c r="K104" s="88"/>
      <c r="L104" s="163">
        <f>+L103+L102</f>
        <v>0.45971919028340086</v>
      </c>
      <c r="M104" s="187">
        <f>+L104/24</f>
        <v>1.9154966261808369E-2</v>
      </c>
      <c r="N104" s="178"/>
      <c r="O104" s="179"/>
      <c r="R104" s="247">
        <f>+R103+R102</f>
        <v>0.35664656770130454</v>
      </c>
      <c r="S104" s="187">
        <f>+R104/24</f>
        <v>1.4860273654221023E-2</v>
      </c>
      <c r="U104" s="138">
        <v>99</v>
      </c>
      <c r="V104" s="117" t="s">
        <v>159</v>
      </c>
      <c r="W104" s="190">
        <v>0.1</v>
      </c>
      <c r="X104" s="140"/>
      <c r="Y104" s="140"/>
      <c r="Z104" s="140"/>
    </row>
    <row r="105" spans="2:28" ht="19">
      <c r="B105" s="178"/>
      <c r="D105" s="188"/>
      <c r="F105" s="189"/>
      <c r="H105" s="178"/>
      <c r="I105" s="179"/>
      <c r="J105" s="188"/>
      <c r="K105" s="88"/>
      <c r="N105" s="178"/>
      <c r="O105" s="179"/>
      <c r="P105" s="188"/>
      <c r="R105" s="189"/>
      <c r="U105" s="138">
        <v>100</v>
      </c>
      <c r="V105" s="248" t="str">
        <f>+B3</f>
        <v>Almacen</v>
      </c>
      <c r="W105" s="139">
        <f>+C3</f>
        <v>180.13784461152881</v>
      </c>
      <c r="X105" s="249">
        <f t="shared" ref="X105:X124" si="13">(100/W105)/24</f>
        <v>2.3130434782608695E-2</v>
      </c>
      <c r="Y105" s="250"/>
      <c r="Z105" s="251">
        <f t="shared" ref="Z105:Z168" si="14">+(AA105/W105)*100</f>
        <v>12.053178065821456</v>
      </c>
      <c r="AA105" s="212">
        <v>21.712335174960327</v>
      </c>
      <c r="AB105" s="88" t="s">
        <v>334</v>
      </c>
    </row>
    <row r="106" spans="2:28" ht="21">
      <c r="B106" s="191" t="s">
        <v>318</v>
      </c>
      <c r="C106" s="192"/>
      <c r="D106" s="192"/>
      <c r="E106" s="444">
        <f>IF(F104=0,0,(100/F104))</f>
        <v>292.20779220779218</v>
      </c>
      <c r="F106" s="445"/>
      <c r="H106" s="191" t="s">
        <v>318</v>
      </c>
      <c r="I106" s="192"/>
      <c r="J106" s="192"/>
      <c r="K106" s="444">
        <f>IF(L104=0,0,(100/L104))</f>
        <v>217.52409321515051</v>
      </c>
      <c r="L106" s="445"/>
      <c r="N106" s="191" t="s">
        <v>318</v>
      </c>
      <c r="O106" s="192"/>
      <c r="P106" s="192"/>
      <c r="Q106" s="444">
        <f>IF(R104=0,0,(100/R104))</f>
        <v>280.38963235937018</v>
      </c>
      <c r="R106" s="445"/>
      <c r="U106" s="138">
        <v>101</v>
      </c>
      <c r="V106" s="248" t="str">
        <f t="shared" ref="V106:W131" si="15">+B4</f>
        <v>Archivos</v>
      </c>
      <c r="W106" s="139">
        <f t="shared" si="15"/>
        <v>208.1877588705392</v>
      </c>
      <c r="X106" s="249">
        <f t="shared" si="13"/>
        <v>2.001398492049522E-2</v>
      </c>
      <c r="Y106" s="250"/>
      <c r="Z106" s="251">
        <f t="shared" si="14"/>
        <v>10.429208370729455</v>
      </c>
      <c r="AA106" s="212">
        <v>21.712335174960327</v>
      </c>
    </row>
    <row r="107" spans="2:28" ht="19">
      <c r="B107" s="178"/>
      <c r="F107" s="189"/>
      <c r="H107" s="178"/>
      <c r="I107" s="179"/>
      <c r="K107" s="88"/>
      <c r="N107" s="178"/>
      <c r="O107" s="179"/>
      <c r="R107" s="189"/>
      <c r="U107" s="138">
        <v>102</v>
      </c>
      <c r="V107" s="248" t="str">
        <f t="shared" si="15"/>
        <v>Archivo Pasivo</v>
      </c>
      <c r="W107" s="139">
        <f t="shared" si="15"/>
        <v>148.85446779134486</v>
      </c>
      <c r="X107" s="249">
        <f t="shared" si="13"/>
        <v>2.799154589371981E-2</v>
      </c>
      <c r="Y107" s="250">
        <f>+G512</f>
        <v>0.54535238095238103</v>
      </c>
      <c r="Z107" s="251">
        <f t="shared" si="14"/>
        <v>14.586283836233493</v>
      </c>
      <c r="AA107" s="212">
        <v>21.712335174960327</v>
      </c>
    </row>
    <row r="108" spans="2:28" ht="21">
      <c r="B108" s="446" t="s">
        <v>319</v>
      </c>
      <c r="C108" s="447"/>
      <c r="D108" s="447"/>
      <c r="E108" s="447"/>
      <c r="F108" s="448"/>
      <c r="H108" s="446" t="s">
        <v>319</v>
      </c>
      <c r="I108" s="447"/>
      <c r="J108" s="447"/>
      <c r="K108" s="447"/>
      <c r="L108" s="448"/>
      <c r="N108" s="446" t="s">
        <v>319</v>
      </c>
      <c r="O108" s="447"/>
      <c r="P108" s="447"/>
      <c r="Q108" s="447"/>
      <c r="R108" s="448"/>
      <c r="U108" s="138">
        <v>103</v>
      </c>
      <c r="V108" s="248" t="str">
        <f t="shared" si="15"/>
        <v>Ascensores</v>
      </c>
      <c r="W108" s="139">
        <f t="shared" si="15"/>
        <v>125.86904304949198</v>
      </c>
      <c r="X108" s="249">
        <f t="shared" si="13"/>
        <v>3.3103188565820146E-2</v>
      </c>
      <c r="Y108" s="250"/>
      <c r="Z108" s="251">
        <f t="shared" si="14"/>
        <v>17.24994061202403</v>
      </c>
      <c r="AA108" s="212">
        <v>21.712335174960327</v>
      </c>
    </row>
    <row r="109" spans="2:28" ht="21" customHeight="1">
      <c r="B109" s="194" t="s">
        <v>320</v>
      </c>
      <c r="C109" s="195"/>
      <c r="D109" s="435" t="s">
        <v>321</v>
      </c>
      <c r="E109" s="435"/>
      <c r="F109" s="196" t="s">
        <v>322</v>
      </c>
      <c r="H109" s="194" t="s">
        <v>320</v>
      </c>
      <c r="I109" s="195"/>
      <c r="J109" s="435" t="s">
        <v>321</v>
      </c>
      <c r="K109" s="435"/>
      <c r="L109" s="196" t="s">
        <v>322</v>
      </c>
      <c r="N109" s="194" t="s">
        <v>320</v>
      </c>
      <c r="O109" s="195"/>
      <c r="P109" s="435" t="s">
        <v>321</v>
      </c>
      <c r="Q109" s="435"/>
      <c r="R109" s="196" t="s">
        <v>322</v>
      </c>
      <c r="U109" s="138">
        <v>104</v>
      </c>
      <c r="V109" s="248" t="str">
        <f t="shared" si="15"/>
        <v>Auditorio</v>
      </c>
      <c r="W109" s="139">
        <f t="shared" si="15"/>
        <v>215.22734918689818</v>
      </c>
      <c r="X109" s="249">
        <f t="shared" si="13"/>
        <v>1.9359373622394219E-2</v>
      </c>
      <c r="Y109" s="250"/>
      <c r="Z109" s="251">
        <f t="shared" si="14"/>
        <v>10.08809301280102</v>
      </c>
      <c r="AA109" s="212">
        <v>21.712335174960327</v>
      </c>
    </row>
    <row r="110" spans="2:28" ht="19">
      <c r="B110" s="197" t="s">
        <v>278</v>
      </c>
      <c r="C110" s="201">
        <v>1</v>
      </c>
      <c r="E110" s="199">
        <f>IF(C110=0,0,(VLOOKUP(B110,'RESUMEN RENDIMIENTOS'!$AB$6:$AO$64,13,FALSE)))*C110</f>
        <v>0.75</v>
      </c>
      <c r="F110" s="200">
        <f>IF(C110=0,0,(VLOOKUP(B110,'RESUMEN RENDIMIENTOS'!$AB$6:$AO$64,14,FALSE)))*C110</f>
        <v>1.0285714285714287E-2</v>
      </c>
      <c r="H110" s="197" t="s">
        <v>278</v>
      </c>
      <c r="I110" s="201">
        <v>1</v>
      </c>
      <c r="K110" s="199">
        <f>IF(I110=0,0,(VLOOKUP(H110,'RESUMEN RENDIMIENTOS'!$AB$6:$AO$64,13,FALSE)))*I110</f>
        <v>0.75</v>
      </c>
      <c r="L110" s="200">
        <f>IF(I110=0,0,(VLOOKUP(H110,'RESUMEN RENDIMIENTOS'!$AB$6:$AO$64,14,FALSE)))*I110</f>
        <v>1.0285714285714287E-2</v>
      </c>
      <c r="N110" s="197" t="s">
        <v>278</v>
      </c>
      <c r="O110" s="201">
        <v>1</v>
      </c>
      <c r="Q110" s="199">
        <f>IF(O110=0,0,(VLOOKUP(N110,'RESUMEN RENDIMIENTOS'!$AB$6:$AO$64,13,FALSE)))*O110</f>
        <v>0.75</v>
      </c>
      <c r="R110" s="200">
        <f>IF(O110=0,0,(VLOOKUP(N110,'RESUMEN RENDIMIENTOS'!$AB$6:$AO$64,14,FALSE)))*O110</f>
        <v>1.0285714285714287E-2</v>
      </c>
      <c r="U110" s="138">
        <v>105</v>
      </c>
      <c r="V110" s="248" t="str">
        <f t="shared" si="15"/>
        <v>Aula Infantil</v>
      </c>
      <c r="W110" s="139">
        <f t="shared" si="15"/>
        <v>50.468301255629044</v>
      </c>
      <c r="X110" s="249">
        <f t="shared" si="13"/>
        <v>8.2560073610599929E-2</v>
      </c>
      <c r="Y110" s="250"/>
      <c r="Z110" s="251">
        <f t="shared" si="14"/>
        <v>43.021727767265823</v>
      </c>
      <c r="AA110" s="212">
        <v>21.712335174960327</v>
      </c>
    </row>
    <row r="111" spans="2:28" ht="19">
      <c r="B111" s="197" t="s">
        <v>279</v>
      </c>
      <c r="C111" s="201">
        <v>1</v>
      </c>
      <c r="E111" s="199">
        <f>IF(C111=0,0,(VLOOKUP(B111,'RESUMEN RENDIMIENTOS'!$AB$6:$AO$64,13,FALSE)))*C111</f>
        <v>2</v>
      </c>
      <c r="F111" s="200">
        <f>IF(C111=0,0,(VLOOKUP(B111,'RESUMEN RENDIMIENTOS'!$AB$6:$AO$64,14,FALSE)))*C111</f>
        <v>9.5999999999999988E-2</v>
      </c>
      <c r="H111" s="197" t="s">
        <v>279</v>
      </c>
      <c r="I111" s="201">
        <v>1</v>
      </c>
      <c r="K111" s="199">
        <f>IF(I111=0,0,(VLOOKUP(H111,'RESUMEN RENDIMIENTOS'!$AB$6:$AO$64,13,FALSE)))*I111</f>
        <v>2</v>
      </c>
      <c r="L111" s="200">
        <f>IF(I111=0,0,(VLOOKUP(H111,'RESUMEN RENDIMIENTOS'!$AB$6:$AO$64,14,FALSE)))*I111</f>
        <v>9.5999999999999988E-2</v>
      </c>
      <c r="N111" s="197" t="s">
        <v>279</v>
      </c>
      <c r="O111" s="201">
        <v>1</v>
      </c>
      <c r="Q111" s="199">
        <f>IF(O111=0,0,(VLOOKUP(N111,'RESUMEN RENDIMIENTOS'!$AB$6:$AO$64,13,FALSE)))*O111</f>
        <v>2</v>
      </c>
      <c r="R111" s="200">
        <f>IF(O111=0,0,(VLOOKUP(N111,'RESUMEN RENDIMIENTOS'!$AB$6:$AO$64,14,FALSE)))*O111</f>
        <v>9.5999999999999988E-2</v>
      </c>
      <c r="U111" s="138">
        <v>106</v>
      </c>
      <c r="V111" s="248" t="str">
        <f t="shared" si="15"/>
        <v>Aula Taller</v>
      </c>
      <c r="W111" s="139">
        <f t="shared" si="15"/>
        <v>284.68938596240116</v>
      </c>
      <c r="X111" s="249">
        <f t="shared" si="13"/>
        <v>1.4635834253465834E-2</v>
      </c>
      <c r="Y111" s="250"/>
      <c r="Z111" s="251">
        <f t="shared" si="14"/>
        <v>7.6266753330339707</v>
      </c>
      <c r="AA111" s="212">
        <v>21.712335174960327</v>
      </c>
    </row>
    <row r="112" spans="2:28" ht="19">
      <c r="B112" s="197" t="s">
        <v>284</v>
      </c>
      <c r="C112" s="201">
        <v>0.25</v>
      </c>
      <c r="E112" s="199">
        <f>IF(C112=0,0,(VLOOKUP(B112,'RESUMEN RENDIMIENTOS'!$AB$6:$AO$64,13,FALSE)))*C112</f>
        <v>0.52500000000000002</v>
      </c>
      <c r="F112" s="200">
        <f>IF(C112=0,0,(VLOOKUP(B112,'RESUMEN RENDIMIENTOS'!$AB$6:$AO$64,14,FALSE)))*C112</f>
        <v>4.2000000000000003E-2</v>
      </c>
      <c r="H112" s="197" t="s">
        <v>284</v>
      </c>
      <c r="I112" s="201">
        <v>0.25</v>
      </c>
      <c r="K112" s="199">
        <f>IF(I112=0,0,(VLOOKUP(H112,'RESUMEN RENDIMIENTOS'!$AB$6:$AO$64,13,FALSE)))*I112</f>
        <v>0.52500000000000002</v>
      </c>
      <c r="L112" s="200">
        <f>IF(I112=0,0,(VLOOKUP(H112,'RESUMEN RENDIMIENTOS'!$AB$6:$AO$64,14,FALSE)))*I112</f>
        <v>4.2000000000000003E-2</v>
      </c>
      <c r="N112" s="197" t="s">
        <v>284</v>
      </c>
      <c r="O112" s="201">
        <v>0.25</v>
      </c>
      <c r="Q112" s="199">
        <f>IF(O112=0,0,(VLOOKUP(N112,'RESUMEN RENDIMIENTOS'!$AB$6:$AO$64,13,FALSE)))*O112</f>
        <v>0.52500000000000002</v>
      </c>
      <c r="R112" s="200">
        <f>IF(O112=0,0,(VLOOKUP(N112,'RESUMEN RENDIMIENTOS'!$AB$6:$AO$64,14,FALSE)))*O112</f>
        <v>4.2000000000000003E-2</v>
      </c>
      <c r="U112" s="138">
        <v>107</v>
      </c>
      <c r="V112" s="248" t="str">
        <f t="shared" si="15"/>
        <v>Aulas</v>
      </c>
      <c r="W112" s="139">
        <f t="shared" si="15"/>
        <v>220.3812113150673</v>
      </c>
      <c r="X112" s="249">
        <f t="shared" si="13"/>
        <v>1.8906632928475036E-2</v>
      </c>
      <c r="Y112" s="250"/>
      <c r="Z112" s="251">
        <f t="shared" si="14"/>
        <v>9.852171628151801</v>
      </c>
      <c r="AA112" s="212">
        <v>21.712335174960327</v>
      </c>
    </row>
    <row r="113" spans="2:27" ht="19">
      <c r="B113" s="197" t="s">
        <v>283</v>
      </c>
      <c r="C113" s="201">
        <v>1</v>
      </c>
      <c r="E113" s="199">
        <f>IF(C113=0,0,(VLOOKUP(B113,'RESUMEN RENDIMIENTOS'!$AB$6:$AO$64,13,FALSE)))*C113</f>
        <v>1.59</v>
      </c>
      <c r="F113" s="200">
        <f>IF(C113=0,0,(VLOOKUP(B113,'RESUMEN RENDIMIENTOS'!$AB$6:$AO$64,14,FALSE)))*C113</f>
        <v>0.12720000000000001</v>
      </c>
      <c r="H113" s="197" t="s">
        <v>283</v>
      </c>
      <c r="I113" s="201">
        <v>1</v>
      </c>
      <c r="K113" s="199">
        <f>IF(I113=0,0,(VLOOKUP(H113,'RESUMEN RENDIMIENTOS'!$AB$6:$AO$64,13,FALSE)))*I113</f>
        <v>1.59</v>
      </c>
      <c r="L113" s="200">
        <f>IF(I113=0,0,(VLOOKUP(H113,'RESUMEN RENDIMIENTOS'!$AB$6:$AO$64,14,FALSE)))*I113</f>
        <v>0.12720000000000001</v>
      </c>
      <c r="N113" s="197" t="s">
        <v>283</v>
      </c>
      <c r="O113" s="201">
        <v>1</v>
      </c>
      <c r="Q113" s="199">
        <f>IF(O113=0,0,(VLOOKUP(N113,'RESUMEN RENDIMIENTOS'!$AB$6:$AO$64,13,FALSE)))*O113</f>
        <v>1.59</v>
      </c>
      <c r="R113" s="200">
        <f>IF(O113=0,0,(VLOOKUP(N113,'RESUMEN RENDIMIENTOS'!$AB$6:$AO$64,14,FALSE)))*O113</f>
        <v>0.12720000000000001</v>
      </c>
      <c r="U113" s="138">
        <v>108</v>
      </c>
      <c r="V113" s="248" t="str">
        <f t="shared" si="15"/>
        <v>Baños</v>
      </c>
      <c r="W113" s="139">
        <f t="shared" si="15"/>
        <v>64.091757583241659</v>
      </c>
      <c r="X113" s="249">
        <f t="shared" si="13"/>
        <v>6.5010959658190787E-2</v>
      </c>
      <c r="Y113" s="250"/>
      <c r="Z113" s="251">
        <f t="shared" si="14"/>
        <v>33.876953907467097</v>
      </c>
      <c r="AA113" s="212">
        <v>21.712335174960327</v>
      </c>
    </row>
    <row r="114" spans="2:27" ht="19">
      <c r="B114" s="197" t="s">
        <v>282</v>
      </c>
      <c r="C114" s="201">
        <v>1</v>
      </c>
      <c r="E114" s="199">
        <f>IF(C114=0,0,(VLOOKUP(B114,'RESUMEN RENDIMIENTOS'!$AB$6:$AO$64,13,FALSE)))*C114</f>
        <v>2.62</v>
      </c>
      <c r="F114" s="200">
        <f>IF(C114=0,0,(VLOOKUP(B114,'RESUMEN RENDIMIENTOS'!$AB$6:$AO$64,14,FALSE)))*C114</f>
        <v>6.986666666666666E-2</v>
      </c>
      <c r="H114" s="197" t="s">
        <v>282</v>
      </c>
      <c r="I114" s="201">
        <v>1</v>
      </c>
      <c r="K114" s="199">
        <f>IF(I114=0,0,(VLOOKUP(H114,'RESUMEN RENDIMIENTOS'!$AB$6:$AO$64,13,FALSE)))*I114</f>
        <v>2.62</v>
      </c>
      <c r="L114" s="200">
        <f>IF(I114=0,0,(VLOOKUP(H114,'RESUMEN RENDIMIENTOS'!$AB$6:$AO$64,14,FALSE)))*I114</f>
        <v>6.986666666666666E-2</v>
      </c>
      <c r="N114" s="197" t="s">
        <v>282</v>
      </c>
      <c r="O114" s="201">
        <v>1</v>
      </c>
      <c r="Q114" s="199">
        <f>IF(O114=0,0,(VLOOKUP(N114,'RESUMEN RENDIMIENTOS'!$AB$6:$AO$64,13,FALSE)))*O114</f>
        <v>2.62</v>
      </c>
      <c r="R114" s="200">
        <f>IF(O114=0,0,(VLOOKUP(N114,'RESUMEN RENDIMIENTOS'!$AB$6:$AO$64,14,FALSE)))*O114</f>
        <v>6.986666666666666E-2</v>
      </c>
      <c r="U114" s="138">
        <v>109</v>
      </c>
      <c r="V114" s="248" t="str">
        <f t="shared" si="15"/>
        <v>Biblioteca</v>
      </c>
      <c r="W114" s="139">
        <f t="shared" si="15"/>
        <v>192.7504498251792</v>
      </c>
      <c r="X114" s="249">
        <f t="shared" si="13"/>
        <v>2.1616897239128366E-2</v>
      </c>
      <c r="Y114" s="250"/>
      <c r="Z114" s="251">
        <f t="shared" si="14"/>
        <v>11.264479639167108</v>
      </c>
      <c r="AA114" s="212">
        <v>21.712335174960327</v>
      </c>
    </row>
    <row r="115" spans="2:27" ht="19">
      <c r="B115" s="197" t="s">
        <v>302</v>
      </c>
      <c r="C115" s="201">
        <v>1</v>
      </c>
      <c r="E115" s="199">
        <f>IF(C115=0,0,(VLOOKUP(B115,'RESUMEN RENDIMIENTOS'!$AB$6:$AO$64,13,FALSE)))*C115</f>
        <v>1</v>
      </c>
      <c r="F115" s="200">
        <f>IF(C115=0,0,(VLOOKUP(B115,'RESUMEN RENDIMIENTOS'!$AB$6:$AO$64,14,FALSE)))*C115</f>
        <v>0.2</v>
      </c>
      <c r="H115" s="197" t="s">
        <v>302</v>
      </c>
      <c r="I115" s="201">
        <v>1</v>
      </c>
      <c r="K115" s="199">
        <f>IF(I115=0,0,(VLOOKUP(H115,'RESUMEN RENDIMIENTOS'!$AB$6:$AO$64,13,FALSE)))*I115</f>
        <v>1</v>
      </c>
      <c r="L115" s="200">
        <f>IF(I115=0,0,(VLOOKUP(H115,'RESUMEN RENDIMIENTOS'!$AB$6:$AO$64,14,FALSE)))*I115</f>
        <v>0.2</v>
      </c>
      <c r="N115" s="197" t="s">
        <v>302</v>
      </c>
      <c r="O115" s="201">
        <v>1</v>
      </c>
      <c r="Q115" s="199">
        <f>IF(O115=0,0,(VLOOKUP(N115,'RESUMEN RENDIMIENTOS'!$AB$6:$AO$64,13,FALSE)))*O115</f>
        <v>1</v>
      </c>
      <c r="R115" s="200">
        <f>IF(O115=0,0,(VLOOKUP(N115,'RESUMEN RENDIMIENTOS'!$AB$6:$AO$64,14,FALSE)))*O115</f>
        <v>0.2</v>
      </c>
      <c r="U115" s="138">
        <v>110</v>
      </c>
      <c r="V115" s="248" t="str">
        <f t="shared" si="15"/>
        <v>Biblioteca con libros</v>
      </c>
      <c r="W115" s="139">
        <f t="shared" si="15"/>
        <v>177.25792729567377</v>
      </c>
      <c r="X115" s="249">
        <f t="shared" si="13"/>
        <v>2.3506235970572359E-2</v>
      </c>
      <c r="Y115" s="250"/>
      <c r="Z115" s="251">
        <f t="shared" si="14"/>
        <v>12.249006578274622</v>
      </c>
      <c r="AA115" s="212">
        <v>21.712335174960327</v>
      </c>
    </row>
    <row r="116" spans="2:27" ht="19">
      <c r="B116" s="202"/>
      <c r="F116" s="206">
        <f>SUM(F110:F115)</f>
        <v>0.54535238095238103</v>
      </c>
      <c r="G116" s="205">
        <f>+F116</f>
        <v>0.54535238095238103</v>
      </c>
      <c r="H116" s="202"/>
      <c r="I116" s="179"/>
      <c r="K116" s="88"/>
      <c r="L116" s="252">
        <f>SUM(L110:L115)</f>
        <v>0.54535238095238103</v>
      </c>
      <c r="M116" s="205">
        <f>+L116</f>
        <v>0.54535238095238103</v>
      </c>
      <c r="N116" s="202"/>
      <c r="O116" s="179"/>
      <c r="R116" s="206">
        <f>SUM(R110:R115)</f>
        <v>0.54535238095238103</v>
      </c>
      <c r="S116" s="205">
        <f>+R116</f>
        <v>0.54535238095238103</v>
      </c>
      <c r="U116" s="138">
        <v>111</v>
      </c>
      <c r="V116" s="248" t="str">
        <f t="shared" si="15"/>
        <v>Cabinas de Control</v>
      </c>
      <c r="W116" s="139">
        <f t="shared" si="15"/>
        <v>230.27058233262628</v>
      </c>
      <c r="X116" s="249">
        <f t="shared" si="13"/>
        <v>1.8094654664345743E-2</v>
      </c>
      <c r="Y116" s="250"/>
      <c r="Z116" s="251">
        <f t="shared" si="14"/>
        <v>9.4290529667384178</v>
      </c>
      <c r="AA116" s="212">
        <v>21.712335174960327</v>
      </c>
    </row>
    <row r="117" spans="2:27" ht="19">
      <c r="B117" s="436" t="s">
        <v>324</v>
      </c>
      <c r="C117" s="437"/>
      <c r="D117" s="437"/>
      <c r="E117" s="437"/>
      <c r="F117" s="455"/>
      <c r="G117" s="205"/>
      <c r="H117" s="436" t="s">
        <v>324</v>
      </c>
      <c r="I117" s="437"/>
      <c r="J117" s="437"/>
      <c r="K117" s="437"/>
      <c r="L117" s="437"/>
      <c r="M117" s="205"/>
      <c r="N117" s="436" t="s">
        <v>324</v>
      </c>
      <c r="O117" s="437"/>
      <c r="P117" s="437"/>
      <c r="Q117" s="437"/>
      <c r="R117" s="455"/>
      <c r="S117" s="205"/>
      <c r="U117" s="138">
        <v>112</v>
      </c>
      <c r="V117" s="248" t="str">
        <f t="shared" si="15"/>
        <v>Call Center</v>
      </c>
      <c r="W117" s="139">
        <f t="shared" si="15"/>
        <v>203.0926592321089</v>
      </c>
      <c r="X117" s="249">
        <f t="shared" si="13"/>
        <v>2.0516087003935975E-2</v>
      </c>
      <c r="Y117" s="250"/>
      <c r="Z117" s="251">
        <f t="shared" si="14"/>
        <v>10.690851780194532</v>
      </c>
      <c r="AA117" s="212">
        <v>21.712335174960327</v>
      </c>
    </row>
    <row r="118" spans="2:27" ht="19">
      <c r="B118" s="210" t="s">
        <v>325</v>
      </c>
      <c r="C118" s="211">
        <v>1</v>
      </c>
      <c r="D118" s="212">
        <v>21.712335174960327</v>
      </c>
      <c r="E118" s="213">
        <f>F104</f>
        <v>0.34222222222222226</v>
      </c>
      <c r="F118" s="214">
        <f>+IF(C118&gt;="",0,(D118*E118))</f>
        <v>7.4304435932086461</v>
      </c>
      <c r="G118" s="215"/>
      <c r="H118" s="210" t="s">
        <v>325</v>
      </c>
      <c r="I118" s="211">
        <v>1</v>
      </c>
      <c r="J118" s="212">
        <v>21.712335174960327</v>
      </c>
      <c r="K118" s="213">
        <f>L104</f>
        <v>0.45971919028340086</v>
      </c>
      <c r="L118" s="216">
        <f>+IF(I118&gt;="",0,(J118*K118))</f>
        <v>9.9815771457945637</v>
      </c>
      <c r="M118" s="215"/>
      <c r="N118" s="210" t="s">
        <v>325</v>
      </c>
      <c r="O118" s="211">
        <v>1</v>
      </c>
      <c r="P118" s="212">
        <v>21.712335174960327</v>
      </c>
      <c r="Q118" s="213">
        <f>R104</f>
        <v>0.35664656770130454</v>
      </c>
      <c r="R118" s="214">
        <f>+IF(O118&gt;="",0,(P118*Q118))</f>
        <v>7.7436298169299045</v>
      </c>
      <c r="S118" s="215"/>
      <c r="U118" s="138">
        <v>113</v>
      </c>
      <c r="V118" s="248" t="str">
        <f t="shared" si="15"/>
        <v>Camerino</v>
      </c>
      <c r="W118" s="139">
        <f t="shared" si="15"/>
        <v>122.19269564935958</v>
      </c>
      <c r="X118" s="249">
        <f t="shared" si="13"/>
        <v>3.4099146798620479E-2</v>
      </c>
      <c r="Y118" s="250"/>
      <c r="Z118" s="251">
        <f t="shared" si="14"/>
        <v>17.768930507323759</v>
      </c>
      <c r="AA118" s="212">
        <v>21.712335174960327</v>
      </c>
    </row>
    <row r="119" spans="2:27" ht="19">
      <c r="B119" s="210" t="s">
        <v>326</v>
      </c>
      <c r="C119" s="211"/>
      <c r="D119" s="212">
        <f>+D118*25%</f>
        <v>5.4280837937400817</v>
      </c>
      <c r="E119" s="213">
        <f>F104</f>
        <v>0.34222222222222226</v>
      </c>
      <c r="F119" s="214">
        <f>+IF(C119= "",0,(D119*E119))</f>
        <v>0</v>
      </c>
      <c r="G119" s="215"/>
      <c r="H119" s="210" t="s">
        <v>326</v>
      </c>
      <c r="I119" s="211"/>
      <c r="J119" s="212">
        <f>+J118*25%</f>
        <v>5.4280837937400817</v>
      </c>
      <c r="K119" s="213">
        <f>L104</f>
        <v>0.45971919028340086</v>
      </c>
      <c r="L119" s="216">
        <f>+IF(I119= "",0,(J119*K119))</f>
        <v>0</v>
      </c>
      <c r="M119" s="215"/>
      <c r="N119" s="210" t="s">
        <v>326</v>
      </c>
      <c r="O119" s="211"/>
      <c r="P119" s="212">
        <f>+P118*25%</f>
        <v>5.4280837937400817</v>
      </c>
      <c r="Q119" s="213">
        <f>R104</f>
        <v>0.35664656770130454</v>
      </c>
      <c r="R119" s="214">
        <f>+IF(O119= "",0,(P119*Q119))</f>
        <v>0</v>
      </c>
      <c r="S119" s="215"/>
      <c r="U119" s="138">
        <v>114</v>
      </c>
      <c r="V119" s="248" t="str">
        <f t="shared" si="15"/>
        <v>Capilla</v>
      </c>
      <c r="W119" s="139">
        <f t="shared" si="15"/>
        <v>281.84308285567931</v>
      </c>
      <c r="X119" s="249">
        <f t="shared" si="13"/>
        <v>1.4783639976008393E-2</v>
      </c>
      <c r="Y119" s="250"/>
      <c r="Z119" s="251">
        <f t="shared" si="14"/>
        <v>7.70369631036088</v>
      </c>
      <c r="AA119" s="212">
        <v>21.712335174960327</v>
      </c>
    </row>
    <row r="120" spans="2:27" ht="19">
      <c r="B120" s="210" t="s">
        <v>327</v>
      </c>
      <c r="C120" s="211"/>
      <c r="D120" s="212">
        <f>+D118*50%</f>
        <v>10.856167587480163</v>
      </c>
      <c r="E120" s="213">
        <f>F104</f>
        <v>0.34222222222222226</v>
      </c>
      <c r="F120" s="214">
        <f>+IF(C120= "",0,(D120*E120))</f>
        <v>0</v>
      </c>
      <c r="G120" s="215"/>
      <c r="H120" s="210" t="s">
        <v>327</v>
      </c>
      <c r="I120" s="211"/>
      <c r="J120" s="212">
        <f>+J118*50%</f>
        <v>10.856167587480163</v>
      </c>
      <c r="K120" s="213">
        <f>L104</f>
        <v>0.45971919028340086</v>
      </c>
      <c r="L120" s="216">
        <f>+IF(I120= "",0,(J120*K120))</f>
        <v>0</v>
      </c>
      <c r="M120" s="215"/>
      <c r="N120" s="210" t="s">
        <v>327</v>
      </c>
      <c r="O120" s="211"/>
      <c r="P120" s="212">
        <f>+P118*50%</f>
        <v>10.856167587480163</v>
      </c>
      <c r="Q120" s="213">
        <f>R104</f>
        <v>0.35664656770130454</v>
      </c>
      <c r="R120" s="214">
        <f>+IF(O120= "",0,(P120*Q120))</f>
        <v>0</v>
      </c>
      <c r="S120" s="215"/>
      <c r="U120" s="138">
        <v>115</v>
      </c>
      <c r="V120" s="248" t="str">
        <f t="shared" si="15"/>
        <v>Cocinas completo</v>
      </c>
      <c r="W120" s="139">
        <f t="shared" si="15"/>
        <v>51.653084593021092</v>
      </c>
      <c r="X120" s="249">
        <f t="shared" si="13"/>
        <v>8.066636677162993E-2</v>
      </c>
      <c r="Y120" s="250"/>
      <c r="Z120" s="251">
        <f t="shared" si="14"/>
        <v>42.034924624605871</v>
      </c>
      <c r="AA120" s="212">
        <v>21.712335174960327</v>
      </c>
    </row>
    <row r="121" spans="2:27" ht="19">
      <c r="B121" s="202"/>
      <c r="F121" s="217">
        <f>SUM(F118:F120)</f>
        <v>7.4304435932086461</v>
      </c>
      <c r="G121" s="218"/>
      <c r="H121" s="202"/>
      <c r="I121" s="179"/>
      <c r="K121" s="88"/>
      <c r="L121" s="219">
        <f>SUM(L118:L120)</f>
        <v>9.9815771457945637</v>
      </c>
      <c r="M121" s="218"/>
      <c r="N121" s="202"/>
      <c r="O121" s="179"/>
      <c r="R121" s="217">
        <f>SUM(R118:R120)</f>
        <v>7.7436298169299045</v>
      </c>
      <c r="S121" s="218"/>
      <c r="U121" s="138">
        <v>116</v>
      </c>
      <c r="V121" s="248" t="str">
        <f t="shared" si="15"/>
        <v>Cocinas superficies</v>
      </c>
      <c r="W121" s="139">
        <f t="shared" si="15"/>
        <v>78.647156266005396</v>
      </c>
      <c r="X121" s="249">
        <f t="shared" si="13"/>
        <v>5.2979241265557052E-2</v>
      </c>
      <c r="Y121" s="250">
        <f>+S72</f>
        <v>0.12689047619047622</v>
      </c>
      <c r="Z121" s="251">
        <f t="shared" si="14"/>
        <v>27.607273048148734</v>
      </c>
      <c r="AA121" s="212">
        <v>21.712335174960327</v>
      </c>
    </row>
    <row r="122" spans="2:27" ht="19">
      <c r="B122" s="202"/>
      <c r="F122" s="189"/>
      <c r="G122" s="220"/>
      <c r="H122" s="202"/>
      <c r="I122" s="179"/>
      <c r="K122" s="88"/>
      <c r="M122" s="220"/>
      <c r="N122" s="202"/>
      <c r="O122" s="179"/>
      <c r="R122" s="189"/>
      <c r="S122" s="220"/>
      <c r="U122" s="138">
        <v>117</v>
      </c>
      <c r="V122" s="248" t="str">
        <f t="shared" si="15"/>
        <v>Comedor completo</v>
      </c>
      <c r="W122" s="139">
        <f t="shared" si="15"/>
        <v>137.10312510841163</v>
      </c>
      <c r="X122" s="249">
        <f t="shared" si="13"/>
        <v>3.0390749031956463E-2</v>
      </c>
      <c r="Y122" s="250">
        <f>+S116</f>
        <v>0.54535238095238103</v>
      </c>
      <c r="Z122" s="251">
        <f t="shared" si="14"/>
        <v>15.836499100798557</v>
      </c>
      <c r="AA122" s="212">
        <v>21.712335174960327</v>
      </c>
    </row>
    <row r="123" spans="2:27" ht="21">
      <c r="B123" s="438" t="s">
        <v>328</v>
      </c>
      <c r="C123" s="439"/>
      <c r="D123" s="439"/>
      <c r="E123" s="440"/>
      <c r="F123" s="225">
        <f>+F116+F121</f>
        <v>7.9757959741610271</v>
      </c>
      <c r="G123" s="205">
        <f>+F123</f>
        <v>7.9757959741610271</v>
      </c>
      <c r="H123" s="438" t="s">
        <v>328</v>
      </c>
      <c r="I123" s="439"/>
      <c r="J123" s="439"/>
      <c r="K123" s="440"/>
      <c r="L123" s="221">
        <f>+L116+L121</f>
        <v>10.526929526746944</v>
      </c>
      <c r="M123" s="205">
        <f>+L123</f>
        <v>10.526929526746944</v>
      </c>
      <c r="N123" s="438" t="s">
        <v>328</v>
      </c>
      <c r="O123" s="439"/>
      <c r="P123" s="439"/>
      <c r="Q123" s="440"/>
      <c r="R123" s="225">
        <f>+R116+R121</f>
        <v>8.2889821978822855</v>
      </c>
      <c r="S123" s="205">
        <f>+R123</f>
        <v>8.2889821978822855</v>
      </c>
      <c r="U123" s="138">
        <v>118</v>
      </c>
      <c r="V123" s="248" t="str">
        <f t="shared" si="15"/>
        <v>Comedor de suelos</v>
      </c>
      <c r="W123" s="139">
        <f t="shared" si="15"/>
        <v>222.12543554006967</v>
      </c>
      <c r="X123" s="249">
        <f t="shared" si="13"/>
        <v>1.8758169934640523E-2</v>
      </c>
      <c r="Y123" s="250"/>
      <c r="Z123" s="251">
        <f t="shared" si="14"/>
        <v>9.7748081493546888</v>
      </c>
      <c r="AA123" s="212">
        <v>21.712335174960327</v>
      </c>
    </row>
    <row r="124" spans="2:27" ht="19">
      <c r="B124" s="202"/>
      <c r="F124" s="189"/>
      <c r="G124" s="205"/>
      <c r="H124" s="202"/>
      <c r="I124" s="179"/>
      <c r="K124" s="88"/>
      <c r="M124" s="205"/>
      <c r="N124" s="202"/>
      <c r="O124" s="179"/>
      <c r="R124" s="189"/>
      <c r="S124" s="205"/>
      <c r="U124" s="138">
        <v>119</v>
      </c>
      <c r="V124" s="248" t="str">
        <f t="shared" si="15"/>
        <v>Consultorio</v>
      </c>
      <c r="W124" s="139">
        <f t="shared" si="15"/>
        <v>106.05675158861227</v>
      </c>
      <c r="X124" s="249">
        <f t="shared" si="13"/>
        <v>3.9287142065494468E-2</v>
      </c>
      <c r="Y124" s="250">
        <f>+G116</f>
        <v>0.54535238095238103</v>
      </c>
      <c r="Z124" s="251">
        <f t="shared" si="14"/>
        <v>20.472374318215177</v>
      </c>
      <c r="AA124" s="212">
        <v>21.712335174960327</v>
      </c>
    </row>
    <row r="125" spans="2:27" ht="23.25" customHeight="1">
      <c r="B125" s="441" t="s">
        <v>329</v>
      </c>
      <c r="C125" s="442"/>
      <c r="D125" s="442"/>
      <c r="E125" s="443"/>
      <c r="F125" s="230">
        <f>+F123/$C$37</f>
        <v>7.9757959741610276E-2</v>
      </c>
      <c r="G125" s="205"/>
      <c r="H125" s="441" t="s">
        <v>329</v>
      </c>
      <c r="I125" s="442"/>
      <c r="J125" s="442"/>
      <c r="K125" s="443"/>
      <c r="L125" s="253">
        <f>+L123/$C$37</f>
        <v>0.10526929526746943</v>
      </c>
      <c r="M125" s="205"/>
      <c r="N125" s="441" t="s">
        <v>329</v>
      </c>
      <c r="O125" s="442"/>
      <c r="P125" s="442"/>
      <c r="Q125" s="443"/>
      <c r="R125" s="230">
        <f>+R123/$C$37</f>
        <v>8.2889821978822859E-2</v>
      </c>
      <c r="S125" s="205"/>
      <c r="U125" s="138">
        <v>120</v>
      </c>
      <c r="V125" s="248" t="str">
        <f t="shared" si="15"/>
        <v>Control enfermeria</v>
      </c>
      <c r="W125" s="139">
        <f t="shared" si="15"/>
        <v>116.64441869836791</v>
      </c>
      <c r="X125" s="249">
        <f>(100/W125)/24</f>
        <v>3.572109761583446E-2</v>
      </c>
      <c r="Y125" s="250"/>
      <c r="Z125" s="251">
        <f t="shared" si="14"/>
        <v>18.614122662059376</v>
      </c>
      <c r="AA125" s="212">
        <v>21.712335174960327</v>
      </c>
    </row>
    <row r="126" spans="2:27" ht="20" thickBot="1">
      <c r="B126" s="231"/>
      <c r="C126" s="232"/>
      <c r="D126" s="233"/>
      <c r="E126" s="233"/>
      <c r="F126" s="234"/>
      <c r="G126" s="205"/>
      <c r="H126" s="231"/>
      <c r="I126" s="232"/>
      <c r="J126" s="233"/>
      <c r="K126" s="233"/>
      <c r="L126" s="233"/>
      <c r="M126" s="205"/>
      <c r="N126" s="231"/>
      <c r="O126" s="232"/>
      <c r="P126" s="233"/>
      <c r="Q126" s="233"/>
      <c r="R126" s="234"/>
      <c r="S126" s="205"/>
      <c r="U126" s="138">
        <v>121</v>
      </c>
      <c r="V126" s="248" t="str">
        <f t="shared" si="15"/>
        <v>Despachos</v>
      </c>
      <c r="W126" s="139">
        <f t="shared" si="15"/>
        <v>182.03862573597252</v>
      </c>
      <c r="X126" s="249">
        <f t="shared" ref="X126:X189" si="16">(100/W126)/24</f>
        <v>2.2888915194899179E-2</v>
      </c>
      <c r="Y126" s="250"/>
      <c r="Z126" s="251">
        <f t="shared" si="14"/>
        <v>11.927323164069442</v>
      </c>
      <c r="AA126" s="212">
        <v>21.712335174960327</v>
      </c>
    </row>
    <row r="127" spans="2:27" ht="24" customHeight="1" thickBot="1">
      <c r="B127" s="415" t="s">
        <v>312</v>
      </c>
      <c r="C127" s="416"/>
      <c r="D127" s="416"/>
      <c r="E127" s="416"/>
      <c r="F127" s="416"/>
      <c r="G127" s="416"/>
      <c r="H127" s="416"/>
      <c r="I127" s="416"/>
      <c r="J127" s="416"/>
      <c r="K127" s="416"/>
      <c r="L127" s="416"/>
      <c r="M127" s="416"/>
      <c r="N127" s="416"/>
      <c r="O127" s="416"/>
      <c r="P127" s="416"/>
      <c r="Q127" s="416"/>
      <c r="R127" s="417"/>
      <c r="U127" s="138">
        <v>122</v>
      </c>
      <c r="V127" s="248" t="str">
        <f t="shared" si="15"/>
        <v>Despachos Moqueta</v>
      </c>
      <c r="W127" s="139">
        <f t="shared" si="15"/>
        <v>280.38963235937018</v>
      </c>
      <c r="X127" s="249">
        <f t="shared" si="16"/>
        <v>1.486027365422102E-2</v>
      </c>
      <c r="Y127" s="250"/>
      <c r="Z127" s="251">
        <f t="shared" si="14"/>
        <v>7.7436298169299036</v>
      </c>
      <c r="AA127" s="212">
        <v>21.712335174960327</v>
      </c>
    </row>
    <row r="128" spans="2:27" ht="23.25" customHeight="1">
      <c r="B128" s="237" t="s">
        <v>16</v>
      </c>
      <c r="C128" s="452" t="s">
        <v>105</v>
      </c>
      <c r="D128" s="453"/>
      <c r="E128" s="454"/>
      <c r="F128" s="240"/>
      <c r="G128" s="254"/>
      <c r="H128" s="239" t="s">
        <v>16</v>
      </c>
      <c r="I128" s="456" t="s">
        <v>106</v>
      </c>
      <c r="J128" s="457"/>
      <c r="K128" s="458"/>
      <c r="L128" s="255"/>
      <c r="N128" s="256" t="s">
        <v>16</v>
      </c>
      <c r="O128" s="456" t="s">
        <v>107</v>
      </c>
      <c r="P128" s="457"/>
      <c r="Q128" s="458"/>
      <c r="R128" s="257"/>
      <c r="U128" s="138">
        <v>123</v>
      </c>
      <c r="V128" s="248" t="str">
        <f t="shared" si="15"/>
        <v>Duchas</v>
      </c>
      <c r="W128" s="139">
        <f t="shared" si="15"/>
        <v>66.964285714285708</v>
      </c>
      <c r="X128" s="249">
        <f t="shared" si="16"/>
        <v>6.2222222222222227E-2</v>
      </c>
      <c r="Y128" s="250"/>
      <c r="Z128" s="251">
        <f t="shared" si="14"/>
        <v>32.423753861274093</v>
      </c>
      <c r="AA128" s="212">
        <v>21.712335174960327</v>
      </c>
    </row>
    <row r="129" spans="2:27" ht="33" thickBot="1">
      <c r="B129" s="241" t="s">
        <v>313</v>
      </c>
      <c r="C129" s="242" t="s">
        <v>6</v>
      </c>
      <c r="D129" s="243" t="s">
        <v>25</v>
      </c>
      <c r="E129" s="244" t="s">
        <v>314</v>
      </c>
      <c r="F129" s="245" t="s">
        <v>315</v>
      </c>
      <c r="H129" s="241" t="s">
        <v>313</v>
      </c>
      <c r="I129" s="242" t="s">
        <v>6</v>
      </c>
      <c r="J129" s="243" t="s">
        <v>25</v>
      </c>
      <c r="K129" s="244" t="s">
        <v>314</v>
      </c>
      <c r="L129" s="245" t="s">
        <v>315</v>
      </c>
      <c r="N129" s="241" t="s">
        <v>313</v>
      </c>
      <c r="O129" s="242" t="s">
        <v>6</v>
      </c>
      <c r="P129" s="243" t="s">
        <v>25</v>
      </c>
      <c r="Q129" s="244" t="s">
        <v>314</v>
      </c>
      <c r="R129" s="245" t="s">
        <v>315</v>
      </c>
      <c r="U129" s="138">
        <v>124</v>
      </c>
      <c r="V129" s="248" t="str">
        <f t="shared" si="15"/>
        <v>Entrada Exterior</v>
      </c>
      <c r="W129" s="139">
        <f t="shared" si="15"/>
        <v>292.20779220779218</v>
      </c>
      <c r="X129" s="249">
        <f t="shared" si="16"/>
        <v>1.4259259259259261E-2</v>
      </c>
      <c r="Y129" s="250">
        <f>+G424</f>
        <v>0.54535238095238103</v>
      </c>
      <c r="Z129" s="251">
        <f t="shared" si="14"/>
        <v>7.4304435932086452</v>
      </c>
      <c r="AA129" s="212">
        <v>21.712335174960327</v>
      </c>
    </row>
    <row r="130" spans="2:27" ht="19">
      <c r="B130" s="170" t="s">
        <v>182</v>
      </c>
      <c r="C130" s="171">
        <f>VLOOKUP(B130,'RESUMEN RENDIMIENTOS'!$V$6:$W$158,2,FALSE)</f>
        <v>1400</v>
      </c>
      <c r="D130" s="177" t="s">
        <v>20</v>
      </c>
      <c r="E130" s="172">
        <v>247</v>
      </c>
      <c r="F130" s="173">
        <f t="shared" ref="F130:F145" si="17">IF(C130=0,0,(100/C130)*E130/$E$37)</f>
        <v>7.1428571428571425E-2</v>
      </c>
      <c r="G130" s="164">
        <f>+F130/F146</f>
        <v>0.23609765423033635</v>
      </c>
      <c r="H130" s="170" t="s">
        <v>182</v>
      </c>
      <c r="I130" s="171">
        <f>VLOOKUP(H130,'RESUMEN RENDIMIENTOS'!$V$6:$W$158,2,FALSE)</f>
        <v>1400</v>
      </c>
      <c r="J130" s="177" t="s">
        <v>20</v>
      </c>
      <c r="K130" s="172">
        <v>247</v>
      </c>
      <c r="L130" s="173">
        <f t="shared" ref="L130:L145" si="18">IF(I130=0,0,(100/I130)*K130/$E$37)</f>
        <v>7.1428571428571425E-2</v>
      </c>
      <c r="M130" s="164">
        <f>+L130/L146</f>
        <v>0.27820599558324516</v>
      </c>
      <c r="N130" s="170" t="s">
        <v>182</v>
      </c>
      <c r="O130" s="171">
        <f>VLOOKUP(N130,'RESUMEN RENDIMIENTOS'!$V$6:$W$158,2,FALSE)</f>
        <v>1400</v>
      </c>
      <c r="P130" s="177" t="s">
        <v>20</v>
      </c>
      <c r="Q130" s="172">
        <v>247</v>
      </c>
      <c r="R130" s="173">
        <f t="shared" ref="R130:R145" si="19">IF(O130=0,0,(100/O130)*Q130/$E$37)</f>
        <v>7.1428571428571425E-2</v>
      </c>
      <c r="S130" s="164">
        <f>+R130/R146</f>
        <v>0.41189687125137714</v>
      </c>
      <c r="U130" s="138">
        <v>125</v>
      </c>
      <c r="V130" s="248" t="str">
        <f t="shared" si="15"/>
        <v>Escaleras</v>
      </c>
      <c r="W130" s="139">
        <f t="shared" si="15"/>
        <v>161.99180303590168</v>
      </c>
      <c r="X130" s="249">
        <f t="shared" si="16"/>
        <v>2.5721466077781866E-2</v>
      </c>
      <c r="Y130" s="250"/>
      <c r="Z130" s="251">
        <f t="shared" si="14"/>
        <v>13.40335422413213</v>
      </c>
      <c r="AA130" s="212">
        <v>21.712335174960327</v>
      </c>
    </row>
    <row r="131" spans="2:27" ht="19">
      <c r="B131" s="170" t="s">
        <v>202</v>
      </c>
      <c r="C131" s="171">
        <f>VLOOKUP(B131,'RESUMEN RENDIMIENTOS'!$V$6:$W$158,2,FALSE)</f>
        <v>550</v>
      </c>
      <c r="D131" s="177" t="s">
        <v>20</v>
      </c>
      <c r="E131" s="172">
        <v>247</v>
      </c>
      <c r="F131" s="173">
        <f t="shared" si="17"/>
        <v>0.18181818181818182</v>
      </c>
      <c r="G131" s="174">
        <f>+F131/F146</f>
        <v>0.60097584713176533</v>
      </c>
      <c r="H131" s="170" t="s">
        <v>206</v>
      </c>
      <c r="I131" s="171">
        <f>VLOOKUP(H131,'RESUMEN RENDIMIENTOS'!$V$6:$W$158,2,FALSE)</f>
        <v>600</v>
      </c>
      <c r="J131" s="177" t="s">
        <v>20</v>
      </c>
      <c r="K131" s="172">
        <v>247</v>
      </c>
      <c r="L131" s="173">
        <f t="shared" si="18"/>
        <v>0.16666666666666666</v>
      </c>
      <c r="M131" s="174">
        <f>+L131/L146</f>
        <v>0.64914732302757194</v>
      </c>
      <c r="N131" s="170" t="s">
        <v>205</v>
      </c>
      <c r="O131" s="171">
        <f>VLOOKUP(N131,'RESUMEN RENDIMIENTOS'!$V$6:$W$158,2,FALSE)</f>
        <v>1200</v>
      </c>
      <c r="P131" s="177" t="s">
        <v>20</v>
      </c>
      <c r="Q131" s="172">
        <v>247</v>
      </c>
      <c r="R131" s="173">
        <f t="shared" si="19"/>
        <v>8.3333333333333329E-2</v>
      </c>
      <c r="S131" s="174">
        <f>+R131/R146</f>
        <v>0.48054634979327332</v>
      </c>
      <c r="U131" s="138">
        <v>126</v>
      </c>
      <c r="V131" s="248" t="str">
        <f t="shared" si="15"/>
        <v>Estudio de Grabación</v>
      </c>
      <c r="W131" s="139">
        <f t="shared" si="15"/>
        <v>213.95284375378961</v>
      </c>
      <c r="X131" s="249">
        <f t="shared" si="16"/>
        <v>1.9474696356275308E-2</v>
      </c>
      <c r="Y131" s="250"/>
      <c r="Z131" s="251">
        <f t="shared" si="14"/>
        <v>10.148187233232674</v>
      </c>
      <c r="AA131" s="212">
        <v>21.712335174960327</v>
      </c>
    </row>
    <row r="132" spans="2:27" ht="19">
      <c r="B132" s="170" t="s">
        <v>254</v>
      </c>
      <c r="C132" s="171">
        <f>VLOOKUP(B132,'RESUMEN RENDIMIENTOS'!$V$6:$W$158,2,FALSE)</f>
        <v>2000</v>
      </c>
      <c r="D132" s="177" t="s">
        <v>53</v>
      </c>
      <c r="E132" s="172">
        <v>123.5</v>
      </c>
      <c r="F132" s="173">
        <f t="shared" si="17"/>
        <v>2.5000000000000001E-2</v>
      </c>
      <c r="G132" s="174">
        <f>+F132/F146</f>
        <v>8.2634178980617742E-2</v>
      </c>
      <c r="H132" s="170" t="s">
        <v>254</v>
      </c>
      <c r="I132" s="171">
        <f>VLOOKUP(H132,'RESUMEN RENDIMIENTOS'!$V$6:$W$158,2,FALSE)</f>
        <v>2000</v>
      </c>
      <c r="J132" s="177" t="s">
        <v>56</v>
      </c>
      <c r="K132" s="172">
        <v>52.14</v>
      </c>
      <c r="L132" s="173">
        <f t="shared" si="18"/>
        <v>1.0554655870445346E-2</v>
      </c>
      <c r="M132" s="174">
        <f>+L132/L146</f>
        <v>4.1109159622661068E-2</v>
      </c>
      <c r="N132" s="170" t="s">
        <v>254</v>
      </c>
      <c r="O132" s="171">
        <f>VLOOKUP(N132,'RESUMEN RENDIMIENTOS'!$V$6:$W$158,2,FALSE)</f>
        <v>2000</v>
      </c>
      <c r="P132" s="177" t="s">
        <v>56</v>
      </c>
      <c r="Q132" s="172">
        <v>52.14</v>
      </c>
      <c r="R132" s="173">
        <f t="shared" si="19"/>
        <v>1.0554655870445346E-2</v>
      </c>
      <c r="S132" s="174">
        <f>+R132/R146</f>
        <v>6.0864016222399862E-2</v>
      </c>
      <c r="U132" s="138">
        <v>127</v>
      </c>
      <c r="V132" s="248" t="str">
        <f>+D3</f>
        <v>Gimnasio</v>
      </c>
      <c r="W132" s="139">
        <f>+F3</f>
        <v>166.39367026801546</v>
      </c>
      <c r="X132" s="249">
        <f t="shared" si="16"/>
        <v>2.5041016644174546E-2</v>
      </c>
      <c r="Y132" s="250"/>
      <c r="Z132" s="251">
        <f t="shared" si="14"/>
        <v>13.048774716001873</v>
      </c>
      <c r="AA132" s="212">
        <v>21.712335174960327</v>
      </c>
    </row>
    <row r="133" spans="2:27" ht="19">
      <c r="B133" s="170" t="s">
        <v>240</v>
      </c>
      <c r="C133" s="171">
        <f>VLOOKUP(B133,'RESUMEN RENDIMIENTOS'!$V$6:$W$158,2,FALSE)</f>
        <v>1000</v>
      </c>
      <c r="D133" s="177" t="s">
        <v>58</v>
      </c>
      <c r="E133" s="172">
        <v>12</v>
      </c>
      <c r="F133" s="173">
        <f t="shared" si="17"/>
        <v>4.8582995951417015E-3</v>
      </c>
      <c r="G133" s="174">
        <f>+F133/F146</f>
        <v>1.6058463931456081E-2</v>
      </c>
      <c r="H133" s="170" t="s">
        <v>240</v>
      </c>
      <c r="I133" s="171">
        <f>VLOOKUP(H133,'RESUMEN RENDIMIENTOS'!$V$6:$W$158,2,FALSE)</f>
        <v>1000</v>
      </c>
      <c r="J133" s="177" t="s">
        <v>62</v>
      </c>
      <c r="K133" s="172">
        <v>4</v>
      </c>
      <c r="L133" s="173">
        <f t="shared" si="18"/>
        <v>1.6194331983805669E-3</v>
      </c>
      <c r="M133" s="174">
        <f>+L133/L146</f>
        <v>6.3075043533043443E-3</v>
      </c>
      <c r="N133" s="170" t="s">
        <v>240</v>
      </c>
      <c r="O133" s="171">
        <f>VLOOKUP(N133,'RESUMEN RENDIMIENTOS'!$V$6:$W$158,2,FALSE)</f>
        <v>1000</v>
      </c>
      <c r="P133" s="177" t="s">
        <v>62</v>
      </c>
      <c r="Q133" s="172">
        <v>4</v>
      </c>
      <c r="R133" s="173">
        <f t="shared" si="19"/>
        <v>1.6194331983805669E-3</v>
      </c>
      <c r="S133" s="174">
        <f>+R133/R146</f>
        <v>9.3385525465899278E-3</v>
      </c>
      <c r="U133" s="138">
        <v>128</v>
      </c>
      <c r="V133" s="248" t="str">
        <f t="shared" ref="V133:V158" si="20">+D4</f>
        <v>Habitaciones con baño</v>
      </c>
      <c r="W133" s="139">
        <f t="shared" ref="W133:W158" si="21">+F4</f>
        <v>103.34225269538601</v>
      </c>
      <c r="X133" s="249">
        <f t="shared" si="16"/>
        <v>4.0319100445278942E-2</v>
      </c>
      <c r="Y133" s="250"/>
      <c r="Z133" s="251">
        <f t="shared" si="14"/>
        <v>21.010123747698923</v>
      </c>
      <c r="AA133" s="212">
        <v>21.712335174960327</v>
      </c>
    </row>
    <row r="134" spans="2:27" ht="19">
      <c r="B134" s="170" t="s">
        <v>237</v>
      </c>
      <c r="C134" s="171">
        <f>VLOOKUP(B134,'RESUMEN RENDIMIENTOS'!$V$6:$W$158,2,FALSE)</f>
        <v>250</v>
      </c>
      <c r="D134" s="177" t="s">
        <v>58</v>
      </c>
      <c r="E134" s="172">
        <v>12</v>
      </c>
      <c r="F134" s="173">
        <f t="shared" si="17"/>
        <v>1.9433198380566806E-2</v>
      </c>
      <c r="G134" s="174">
        <f>+F134/F146</f>
        <v>6.4233855725824324E-2</v>
      </c>
      <c r="H134" s="170" t="s">
        <v>237</v>
      </c>
      <c r="I134" s="171">
        <f>VLOOKUP(H134,'RESUMEN RENDIMIENTOS'!$V$6:$W$158,2,FALSE)</f>
        <v>250</v>
      </c>
      <c r="J134" s="177" t="s">
        <v>62</v>
      </c>
      <c r="K134" s="172">
        <v>4</v>
      </c>
      <c r="L134" s="173">
        <f t="shared" si="18"/>
        <v>6.4777327935222678E-3</v>
      </c>
      <c r="M134" s="174">
        <f>+L134/L146</f>
        <v>2.5230017413217377E-2</v>
      </c>
      <c r="N134" s="170" t="s">
        <v>237</v>
      </c>
      <c r="O134" s="171">
        <f>VLOOKUP(N134,'RESUMEN RENDIMIENTOS'!$V$6:$W$158,2,FALSE)</f>
        <v>250</v>
      </c>
      <c r="P134" s="177" t="s">
        <v>62</v>
      </c>
      <c r="Q134" s="172">
        <v>4</v>
      </c>
      <c r="R134" s="173">
        <f t="shared" si="19"/>
        <v>6.4777327935222678E-3</v>
      </c>
      <c r="S134" s="174">
        <f>+R134/R146</f>
        <v>3.7354210186359711E-2</v>
      </c>
      <c r="U134" s="138">
        <v>129</v>
      </c>
      <c r="V134" s="248" t="str">
        <f t="shared" si="20"/>
        <v>Habitaciones sin baño</v>
      </c>
      <c r="W134" s="139">
        <f t="shared" si="21"/>
        <v>108.42291184872587</v>
      </c>
      <c r="X134" s="249">
        <f t="shared" si="16"/>
        <v>3.8429761713834942E-2</v>
      </c>
      <c r="Y134" s="250"/>
      <c r="Z134" s="251">
        <f t="shared" si="14"/>
        <v>20.025596808591409</v>
      </c>
      <c r="AA134" s="212">
        <v>21.712335174960327</v>
      </c>
    </row>
    <row r="135" spans="2:27" ht="19">
      <c r="B135" s="170">
        <v>0</v>
      </c>
      <c r="C135" s="171">
        <f>VLOOKUP(B135,'RESUMEN RENDIMIENTOS'!$V$6:$W$158,2,FALSE)</f>
        <v>0</v>
      </c>
      <c r="D135" s="177"/>
      <c r="E135" s="172" t="s">
        <v>337</v>
      </c>
      <c r="F135" s="173">
        <f t="shared" si="17"/>
        <v>0</v>
      </c>
      <c r="G135" s="174">
        <f>+F135/F146</f>
        <v>0</v>
      </c>
      <c r="H135" s="170">
        <v>0</v>
      </c>
      <c r="I135" s="171">
        <f>VLOOKUP(H135,'RESUMEN RENDIMIENTOS'!$V$6:$W$158,2,FALSE)</f>
        <v>0</v>
      </c>
      <c r="J135" s="177"/>
      <c r="K135" s="172" t="s">
        <v>337</v>
      </c>
      <c r="L135" s="173">
        <f t="shared" si="18"/>
        <v>0</v>
      </c>
      <c r="M135" s="174">
        <f>+L135/L146</f>
        <v>0</v>
      </c>
      <c r="N135" s="170">
        <v>0</v>
      </c>
      <c r="O135" s="171">
        <f>VLOOKUP(N135,'RESUMEN RENDIMIENTOS'!$V$6:$W$158,2,FALSE)</f>
        <v>0</v>
      </c>
      <c r="P135" s="177"/>
      <c r="Q135" s="172" t="s">
        <v>337</v>
      </c>
      <c r="R135" s="173">
        <f t="shared" si="19"/>
        <v>0</v>
      </c>
      <c r="S135" s="174">
        <f>+R135/R146</f>
        <v>0</v>
      </c>
      <c r="U135" s="138">
        <v>130</v>
      </c>
      <c r="V135" s="248" t="str">
        <f t="shared" si="20"/>
        <v>Habitaciones de guardia</v>
      </c>
      <c r="W135" s="139">
        <f t="shared" si="21"/>
        <v>119.69550663432021</v>
      </c>
      <c r="X135" s="249">
        <f t="shared" si="16"/>
        <v>3.481055207357267E-2</v>
      </c>
      <c r="Y135" s="250"/>
      <c r="Z135" s="251">
        <f t="shared" si="14"/>
        <v>18.13964098192368</v>
      </c>
      <c r="AA135" s="212">
        <v>21.712335174960327</v>
      </c>
    </row>
    <row r="136" spans="2:27" ht="19">
      <c r="B136" s="170">
        <v>0</v>
      </c>
      <c r="C136" s="171">
        <f>VLOOKUP(B136,'RESUMEN RENDIMIENTOS'!$V$6:$W$158,2,FALSE)</f>
        <v>0</v>
      </c>
      <c r="D136" s="177"/>
      <c r="E136" s="172" t="s">
        <v>337</v>
      </c>
      <c r="F136" s="173">
        <f t="shared" si="17"/>
        <v>0</v>
      </c>
      <c r="G136" s="174">
        <f>+F136/F146</f>
        <v>0</v>
      </c>
      <c r="H136" s="170">
        <v>0</v>
      </c>
      <c r="I136" s="171">
        <f>VLOOKUP(H136,'RESUMEN RENDIMIENTOS'!$V$6:$W$158,2,FALSE)</f>
        <v>0</v>
      </c>
      <c r="J136" s="177"/>
      <c r="K136" s="172" t="s">
        <v>337</v>
      </c>
      <c r="L136" s="173">
        <f t="shared" si="18"/>
        <v>0</v>
      </c>
      <c r="M136" s="174">
        <f>+L136/L146</f>
        <v>0</v>
      </c>
      <c r="N136" s="170">
        <v>0</v>
      </c>
      <c r="O136" s="171">
        <f>VLOOKUP(N136,'RESUMEN RENDIMIENTOS'!$V$6:$W$158,2,FALSE)</f>
        <v>0</v>
      </c>
      <c r="P136" s="177"/>
      <c r="Q136" s="172" t="s">
        <v>337</v>
      </c>
      <c r="R136" s="173">
        <f t="shared" si="19"/>
        <v>0</v>
      </c>
      <c r="S136" s="174">
        <f>+R136/R146</f>
        <v>0</v>
      </c>
      <c r="U136" s="138">
        <v>131</v>
      </c>
      <c r="V136" s="248" t="str">
        <f t="shared" si="20"/>
        <v>Laboratorios</v>
      </c>
      <c r="W136" s="139">
        <f t="shared" si="21"/>
        <v>207.57344864600515</v>
      </c>
      <c r="X136" s="249">
        <f t="shared" si="16"/>
        <v>2.0073215981358396E-2</v>
      </c>
      <c r="Y136" s="250"/>
      <c r="Z136" s="251">
        <f t="shared" si="14"/>
        <v>10.460073442238969</v>
      </c>
      <c r="AA136" s="212">
        <v>21.712335174960327</v>
      </c>
    </row>
    <row r="137" spans="2:27" ht="19">
      <c r="B137" s="170">
        <v>0</v>
      </c>
      <c r="C137" s="171">
        <f>VLOOKUP(B137,'RESUMEN RENDIMIENTOS'!$V$6:$W$158,2,FALSE)</f>
        <v>0</v>
      </c>
      <c r="D137" s="177"/>
      <c r="E137" s="172" t="s">
        <v>337</v>
      </c>
      <c r="F137" s="173">
        <f t="shared" si="17"/>
        <v>0</v>
      </c>
      <c r="G137" s="174">
        <f>+F137/F146</f>
        <v>0</v>
      </c>
      <c r="H137" s="170">
        <v>0</v>
      </c>
      <c r="I137" s="171">
        <f>VLOOKUP(H137,'RESUMEN RENDIMIENTOS'!$V$6:$W$158,2,FALSE)</f>
        <v>0</v>
      </c>
      <c r="J137" s="177"/>
      <c r="K137" s="172" t="s">
        <v>337</v>
      </c>
      <c r="L137" s="173">
        <f t="shared" si="18"/>
        <v>0</v>
      </c>
      <c r="M137" s="174">
        <f>+L137/L146</f>
        <v>0</v>
      </c>
      <c r="N137" s="170">
        <v>0</v>
      </c>
      <c r="O137" s="171">
        <f>VLOOKUP(N137,'RESUMEN RENDIMIENTOS'!$V$6:$W$158,2,FALSE)</f>
        <v>0</v>
      </c>
      <c r="P137" s="177"/>
      <c r="Q137" s="172" t="s">
        <v>337</v>
      </c>
      <c r="R137" s="173">
        <f t="shared" si="19"/>
        <v>0</v>
      </c>
      <c r="S137" s="174">
        <f>+R137/R146</f>
        <v>0</v>
      </c>
      <c r="U137" s="138">
        <v>132</v>
      </c>
      <c r="V137" s="248" t="str">
        <f t="shared" si="20"/>
        <v>Locutorio</v>
      </c>
      <c r="W137" s="139">
        <f t="shared" si="21"/>
        <v>230.27058233262628</v>
      </c>
      <c r="X137" s="249">
        <f t="shared" si="16"/>
        <v>1.8094654664345743E-2</v>
      </c>
      <c r="Y137" s="250"/>
      <c r="Z137" s="251">
        <f t="shared" si="14"/>
        <v>9.4290529667384178</v>
      </c>
      <c r="AA137" s="212">
        <v>21.712335174960327</v>
      </c>
    </row>
    <row r="138" spans="2:27" ht="19">
      <c r="B138" s="170">
        <v>0</v>
      </c>
      <c r="C138" s="171">
        <f>VLOOKUP(B138,'RESUMEN RENDIMIENTOS'!$V$6:$W$158,2,FALSE)</f>
        <v>0</v>
      </c>
      <c r="D138" s="177"/>
      <c r="E138" s="172" t="s">
        <v>337</v>
      </c>
      <c r="F138" s="173">
        <f t="shared" si="17"/>
        <v>0</v>
      </c>
      <c r="G138" s="174">
        <f>+F138/F146</f>
        <v>0</v>
      </c>
      <c r="H138" s="170">
        <v>0</v>
      </c>
      <c r="I138" s="171">
        <f>VLOOKUP(H138,'RESUMEN RENDIMIENTOS'!$V$6:$W$158,2,FALSE)</f>
        <v>0</v>
      </c>
      <c r="J138" s="177"/>
      <c r="K138" s="172" t="s">
        <v>337</v>
      </c>
      <c r="L138" s="173">
        <f t="shared" si="18"/>
        <v>0</v>
      </c>
      <c r="M138" s="174">
        <f>+L138/L146</f>
        <v>0</v>
      </c>
      <c r="N138" s="170">
        <v>0</v>
      </c>
      <c r="O138" s="171">
        <f>VLOOKUP(N138,'RESUMEN RENDIMIENTOS'!$V$6:$W$158,2,FALSE)</f>
        <v>0</v>
      </c>
      <c r="P138" s="177"/>
      <c r="Q138" s="172" t="s">
        <v>337</v>
      </c>
      <c r="R138" s="173">
        <f t="shared" si="19"/>
        <v>0</v>
      </c>
      <c r="S138" s="174">
        <f>+R138/R146</f>
        <v>0</v>
      </c>
      <c r="U138" s="138">
        <v>133</v>
      </c>
      <c r="V138" s="248" t="str">
        <f t="shared" si="20"/>
        <v>Office</v>
      </c>
      <c r="W138" s="139">
        <f t="shared" si="21"/>
        <v>159.26675726826647</v>
      </c>
      <c r="X138" s="249">
        <f t="shared" si="16"/>
        <v>2.6161558997829015E-2</v>
      </c>
      <c r="Y138" s="250"/>
      <c r="Z138" s="251">
        <f t="shared" si="14"/>
        <v>13.632684903848707</v>
      </c>
      <c r="AA138" s="212">
        <v>21.712335174960327</v>
      </c>
    </row>
    <row r="139" spans="2:27" ht="19">
      <c r="B139" s="170">
        <v>0</v>
      </c>
      <c r="C139" s="171">
        <f>VLOOKUP(B139,'RESUMEN RENDIMIENTOS'!$V$6:$W$158,2,FALSE)</f>
        <v>0</v>
      </c>
      <c r="D139" s="177"/>
      <c r="E139" s="172" t="s">
        <v>337</v>
      </c>
      <c r="F139" s="173">
        <f t="shared" si="17"/>
        <v>0</v>
      </c>
      <c r="G139" s="174">
        <f>+F139/F146</f>
        <v>0</v>
      </c>
      <c r="H139" s="170">
        <v>0</v>
      </c>
      <c r="I139" s="171">
        <f>VLOOKUP(H139,'RESUMEN RENDIMIENTOS'!$V$6:$W$158,2,FALSE)</f>
        <v>0</v>
      </c>
      <c r="J139" s="177"/>
      <c r="K139" s="172" t="s">
        <v>337</v>
      </c>
      <c r="L139" s="173">
        <f t="shared" si="18"/>
        <v>0</v>
      </c>
      <c r="M139" s="174">
        <f>+L139/L146</f>
        <v>0</v>
      </c>
      <c r="N139" s="170">
        <v>0</v>
      </c>
      <c r="O139" s="171">
        <f>VLOOKUP(N139,'RESUMEN RENDIMIENTOS'!$V$6:$W$158,2,FALSE)</f>
        <v>0</v>
      </c>
      <c r="P139" s="177"/>
      <c r="Q139" s="172" t="s">
        <v>337</v>
      </c>
      <c r="R139" s="173">
        <f t="shared" si="19"/>
        <v>0</v>
      </c>
      <c r="S139" s="174">
        <f>+R139/R146</f>
        <v>0</v>
      </c>
      <c r="U139" s="138">
        <v>134</v>
      </c>
      <c r="V139" s="248" t="str">
        <f t="shared" si="20"/>
        <v>Parking exterior P</v>
      </c>
      <c r="W139" s="139">
        <f t="shared" si="21"/>
        <v>718.64111498257842</v>
      </c>
      <c r="X139" s="249">
        <f t="shared" si="16"/>
        <v>5.7979797979797977E-3</v>
      </c>
      <c r="Y139" s="250"/>
      <c r="Z139" s="251">
        <f t="shared" si="14"/>
        <v>3.0213043370732673</v>
      </c>
      <c r="AA139" s="212">
        <v>21.712335174960327</v>
      </c>
    </row>
    <row r="140" spans="2:27" ht="19">
      <c r="B140" s="170">
        <v>0</v>
      </c>
      <c r="C140" s="171">
        <f>VLOOKUP(B140,'RESUMEN RENDIMIENTOS'!$V$6:$W$158,2,FALSE)</f>
        <v>0</v>
      </c>
      <c r="D140" s="177"/>
      <c r="E140" s="172" t="s">
        <v>337</v>
      </c>
      <c r="F140" s="173">
        <f t="shared" si="17"/>
        <v>0</v>
      </c>
      <c r="G140" s="174">
        <f>+F140/F146</f>
        <v>0</v>
      </c>
      <c r="H140" s="170">
        <v>0</v>
      </c>
      <c r="I140" s="171">
        <f>VLOOKUP(H140,'RESUMEN RENDIMIENTOS'!$V$6:$W$158,2,FALSE)</f>
        <v>0</v>
      </c>
      <c r="J140" s="177"/>
      <c r="K140" s="172" t="s">
        <v>337</v>
      </c>
      <c r="L140" s="173">
        <f t="shared" si="18"/>
        <v>0</v>
      </c>
      <c r="M140" s="174">
        <f>+L140/L146</f>
        <v>0</v>
      </c>
      <c r="N140" s="170">
        <v>0</v>
      </c>
      <c r="O140" s="171">
        <f>VLOOKUP(N140,'RESUMEN RENDIMIENTOS'!$V$6:$W$158,2,FALSE)</f>
        <v>0</v>
      </c>
      <c r="P140" s="177"/>
      <c r="Q140" s="172" t="s">
        <v>337</v>
      </c>
      <c r="R140" s="175">
        <f t="shared" si="19"/>
        <v>0</v>
      </c>
      <c r="S140" s="174">
        <f>+R140/R146</f>
        <v>0</v>
      </c>
      <c r="U140" s="138">
        <v>135</v>
      </c>
      <c r="V140" s="248" t="str">
        <f t="shared" si="20"/>
        <v>Parking exterior M</v>
      </c>
      <c r="W140" s="139">
        <f t="shared" si="21"/>
        <v>1461.0389610389609</v>
      </c>
      <c r="X140" s="249">
        <f t="shared" si="16"/>
        <v>2.8518518518518519E-3</v>
      </c>
      <c r="Y140" s="250">
        <f>+G160</f>
        <v>0.54535238095238103</v>
      </c>
      <c r="Z140" s="251">
        <f t="shared" si="14"/>
        <v>1.4860887186417291</v>
      </c>
      <c r="AA140" s="212">
        <v>21.712335174960327</v>
      </c>
    </row>
    <row r="141" spans="2:27" ht="19">
      <c r="B141" s="170">
        <v>0</v>
      </c>
      <c r="C141" s="171">
        <f>VLOOKUP(B141,'RESUMEN RENDIMIENTOS'!$V$6:$W$158,2,FALSE)</f>
        <v>0</v>
      </c>
      <c r="D141" s="177"/>
      <c r="E141" s="172" t="s">
        <v>337</v>
      </c>
      <c r="F141" s="173">
        <f t="shared" si="17"/>
        <v>0</v>
      </c>
      <c r="G141" s="174">
        <f>+F141/F146</f>
        <v>0</v>
      </c>
      <c r="H141" s="170">
        <v>0</v>
      </c>
      <c r="I141" s="171">
        <f>VLOOKUP(H141,'RESUMEN RENDIMIENTOS'!$V$6:$W$158,2,FALSE)</f>
        <v>0</v>
      </c>
      <c r="J141" s="177"/>
      <c r="K141" s="172" t="s">
        <v>337</v>
      </c>
      <c r="L141" s="173">
        <f t="shared" si="18"/>
        <v>0</v>
      </c>
      <c r="M141" s="174">
        <f>+L141/L146</f>
        <v>0</v>
      </c>
      <c r="N141" s="170">
        <v>0</v>
      </c>
      <c r="O141" s="171">
        <f>VLOOKUP(N141,'RESUMEN RENDIMIENTOS'!$V$6:$W$158,2,FALSE)</f>
        <v>0</v>
      </c>
      <c r="P141" s="177"/>
      <c r="Q141" s="172" t="s">
        <v>337</v>
      </c>
      <c r="R141" s="175">
        <f t="shared" si="19"/>
        <v>0</v>
      </c>
      <c r="S141" s="174">
        <f>+R141/R146</f>
        <v>0</v>
      </c>
      <c r="U141" s="138">
        <v>136</v>
      </c>
      <c r="V141" s="248" t="str">
        <f t="shared" si="20"/>
        <v>Parking exterior G</v>
      </c>
      <c r="W141" s="139">
        <f t="shared" si="21"/>
        <v>1780.5081216159933</v>
      </c>
      <c r="X141" s="249">
        <f t="shared" si="16"/>
        <v>2.3401559454191033E-3</v>
      </c>
      <c r="Y141" s="250"/>
      <c r="Z141" s="251">
        <f t="shared" si="14"/>
        <v>1.2194460059667778</v>
      </c>
      <c r="AA141" s="212">
        <v>21.712335174960327</v>
      </c>
    </row>
    <row r="142" spans="2:27" ht="19">
      <c r="B142" s="170">
        <v>0</v>
      </c>
      <c r="C142" s="171">
        <f>VLOOKUP(B142,'RESUMEN RENDIMIENTOS'!$V$6:$W$158,2,FALSE)</f>
        <v>0</v>
      </c>
      <c r="D142" s="177"/>
      <c r="E142" s="172" t="s">
        <v>337</v>
      </c>
      <c r="F142" s="173">
        <f t="shared" si="17"/>
        <v>0</v>
      </c>
      <c r="G142" s="174">
        <f>+F142/F146</f>
        <v>0</v>
      </c>
      <c r="H142" s="170">
        <v>0</v>
      </c>
      <c r="I142" s="171">
        <f>VLOOKUP(H142,'RESUMEN RENDIMIENTOS'!$V$6:$W$158,2,FALSE)</f>
        <v>0</v>
      </c>
      <c r="J142" s="177"/>
      <c r="K142" s="172" t="s">
        <v>337</v>
      </c>
      <c r="L142" s="173">
        <f t="shared" si="18"/>
        <v>0</v>
      </c>
      <c r="M142" s="174">
        <f>+L142/L146</f>
        <v>0</v>
      </c>
      <c r="N142" s="170">
        <v>0</v>
      </c>
      <c r="O142" s="171">
        <f>VLOOKUP(N142,'RESUMEN RENDIMIENTOS'!$V$6:$W$158,2,FALSE)</f>
        <v>0</v>
      </c>
      <c r="P142" s="177"/>
      <c r="Q142" s="172" t="s">
        <v>337</v>
      </c>
      <c r="R142" s="175">
        <f t="shared" si="19"/>
        <v>0</v>
      </c>
      <c r="S142" s="174">
        <f>+R142/R146</f>
        <v>0</v>
      </c>
      <c r="U142" s="138">
        <v>137</v>
      </c>
      <c r="V142" s="248" t="str">
        <f t="shared" si="20"/>
        <v>Parking exterior SG</v>
      </c>
      <c r="W142" s="139">
        <f t="shared" si="21"/>
        <v>1674.1071428571429</v>
      </c>
      <c r="X142" s="249">
        <f t="shared" si="16"/>
        <v>2.488888888888889E-3</v>
      </c>
      <c r="Y142" s="250"/>
      <c r="Z142" s="251">
        <f t="shared" si="14"/>
        <v>1.2969501544509634</v>
      </c>
      <c r="AA142" s="212">
        <v>21.712335174960327</v>
      </c>
    </row>
    <row r="143" spans="2:27" ht="19">
      <c r="B143" s="170">
        <v>0</v>
      </c>
      <c r="C143" s="171">
        <f>VLOOKUP(B143,'RESUMEN RENDIMIENTOS'!$V$6:$W$158,2,FALSE)</f>
        <v>0</v>
      </c>
      <c r="D143" s="177"/>
      <c r="E143" s="172" t="s">
        <v>337</v>
      </c>
      <c r="F143" s="173">
        <f t="shared" si="17"/>
        <v>0</v>
      </c>
      <c r="G143" s="174">
        <f>+F143/F146</f>
        <v>0</v>
      </c>
      <c r="H143" s="170">
        <v>0</v>
      </c>
      <c r="I143" s="171">
        <f>VLOOKUP(H143,'RESUMEN RENDIMIENTOS'!$V$6:$W$158,2,FALSE)</f>
        <v>0</v>
      </c>
      <c r="J143" s="177"/>
      <c r="K143" s="172" t="s">
        <v>337</v>
      </c>
      <c r="L143" s="173">
        <f t="shared" si="18"/>
        <v>0</v>
      </c>
      <c r="M143" s="174">
        <f>+L143/L146</f>
        <v>0</v>
      </c>
      <c r="N143" s="170">
        <v>0</v>
      </c>
      <c r="O143" s="171">
        <f>VLOOKUP(N143,'RESUMEN RENDIMIENTOS'!$V$6:$W$158,2,FALSE)</f>
        <v>0</v>
      </c>
      <c r="P143" s="177"/>
      <c r="Q143" s="172" t="s">
        <v>337</v>
      </c>
      <c r="R143" s="175">
        <f t="shared" si="19"/>
        <v>0</v>
      </c>
      <c r="S143" s="174">
        <f>+R143/R146</f>
        <v>0</v>
      </c>
      <c r="U143" s="138">
        <v>138</v>
      </c>
      <c r="V143" s="248" t="str">
        <f t="shared" si="20"/>
        <v>Parking interior P</v>
      </c>
      <c r="W143" s="139">
        <f t="shared" si="21"/>
        <v>329.58470725664409</v>
      </c>
      <c r="X143" s="249">
        <f t="shared" si="16"/>
        <v>1.2642172330593384E-2</v>
      </c>
      <c r="Y143" s="250">
        <f>+G204</f>
        <v>0.54535238095238103</v>
      </c>
      <c r="Z143" s="251">
        <f t="shared" si="14"/>
        <v>6.5877859915548704</v>
      </c>
      <c r="AA143" s="212">
        <v>21.712335174960327</v>
      </c>
    </row>
    <row r="144" spans="2:27" ht="19">
      <c r="B144" s="170">
        <v>0</v>
      </c>
      <c r="C144" s="171">
        <f>VLOOKUP(B144,'RESUMEN RENDIMIENTOS'!$V$6:$W$158,2,FALSE)</f>
        <v>0</v>
      </c>
      <c r="D144" s="177"/>
      <c r="E144" s="172" t="s">
        <v>337</v>
      </c>
      <c r="F144" s="173">
        <f t="shared" si="17"/>
        <v>0</v>
      </c>
      <c r="G144" s="174">
        <f>+F144/F146</f>
        <v>0</v>
      </c>
      <c r="H144" s="170">
        <v>0</v>
      </c>
      <c r="I144" s="171">
        <f>VLOOKUP(H144,'RESUMEN RENDIMIENTOS'!$V$6:$W$158,2,FALSE)</f>
        <v>0</v>
      </c>
      <c r="J144" s="177"/>
      <c r="K144" s="172" t="s">
        <v>337</v>
      </c>
      <c r="L144" s="173">
        <f t="shared" si="18"/>
        <v>0</v>
      </c>
      <c r="M144" s="174">
        <f>+L144/L146</f>
        <v>0</v>
      </c>
      <c r="N144" s="170">
        <v>0</v>
      </c>
      <c r="O144" s="171">
        <f>VLOOKUP(N144,'RESUMEN RENDIMIENTOS'!$V$6:$W$158,2,FALSE)</f>
        <v>0</v>
      </c>
      <c r="P144" s="177"/>
      <c r="Q144" s="172" t="s">
        <v>337</v>
      </c>
      <c r="R144" s="175">
        <f t="shared" si="19"/>
        <v>0</v>
      </c>
      <c r="S144" s="174">
        <f>+R144/R146</f>
        <v>0</v>
      </c>
      <c r="U144" s="138">
        <v>139</v>
      </c>
      <c r="V144" s="248" t="str">
        <f t="shared" si="20"/>
        <v>Parking interior M</v>
      </c>
      <c r="W144" s="139">
        <f t="shared" si="21"/>
        <v>461.82695836236286</v>
      </c>
      <c r="X144" s="249">
        <f t="shared" si="16"/>
        <v>9.0221382516119351E-3</v>
      </c>
      <c r="Y144" s="250"/>
      <c r="Z144" s="251">
        <f t="shared" si="14"/>
        <v>4.7014005531318928</v>
      </c>
      <c r="AA144" s="212">
        <v>21.712335174960327</v>
      </c>
    </row>
    <row r="145" spans="2:27" ht="19">
      <c r="B145" s="170">
        <v>0</v>
      </c>
      <c r="C145" s="171">
        <f>VLOOKUP(B145,'RESUMEN RENDIMIENTOS'!$V$6:$W$158,2,FALSE)</f>
        <v>0</v>
      </c>
      <c r="D145" s="177"/>
      <c r="E145" s="172" t="s">
        <v>337</v>
      </c>
      <c r="F145" s="173">
        <f t="shared" si="17"/>
        <v>0</v>
      </c>
      <c r="G145" s="174">
        <f>+F145/F146</f>
        <v>0</v>
      </c>
      <c r="H145" s="170">
        <v>0</v>
      </c>
      <c r="I145" s="171">
        <f>VLOOKUP(H145,'RESUMEN RENDIMIENTOS'!$V$6:$W$158,2,FALSE)</f>
        <v>0</v>
      </c>
      <c r="J145" s="177"/>
      <c r="K145" s="172" t="s">
        <v>337</v>
      </c>
      <c r="L145" s="173">
        <f t="shared" si="18"/>
        <v>0</v>
      </c>
      <c r="M145" s="174">
        <f>+L145/L146</f>
        <v>0</v>
      </c>
      <c r="N145" s="170">
        <v>0</v>
      </c>
      <c r="O145" s="171">
        <f>VLOOKUP(N145,'RESUMEN RENDIMIENTOS'!$V$6:$W$158,2,FALSE)</f>
        <v>0</v>
      </c>
      <c r="P145" s="177"/>
      <c r="Q145" s="172" t="s">
        <v>337</v>
      </c>
      <c r="R145" s="175">
        <f t="shared" si="19"/>
        <v>0</v>
      </c>
      <c r="S145" s="174">
        <f>+R145/R146</f>
        <v>0</v>
      </c>
      <c r="U145" s="138">
        <v>140</v>
      </c>
      <c r="V145" s="248" t="str">
        <f t="shared" si="20"/>
        <v>Parquing Interior G</v>
      </c>
      <c r="W145" s="139">
        <f t="shared" si="21"/>
        <v>649.91304087499861</v>
      </c>
      <c r="X145" s="249">
        <f t="shared" si="16"/>
        <v>6.4111141100614798E-3</v>
      </c>
      <c r="Y145" s="250"/>
      <c r="Z145" s="251">
        <f t="shared" si="14"/>
        <v>3.3408062016617364</v>
      </c>
      <c r="AA145" s="212">
        <v>21.712335174960327</v>
      </c>
    </row>
    <row r="146" spans="2:27" ht="18" customHeight="1" thickBot="1">
      <c r="B146" s="178"/>
      <c r="E146" s="90"/>
      <c r="F146" s="173">
        <f>SUM(F130:F145)</f>
        <v>0.30253825122246181</v>
      </c>
      <c r="G146" s="181">
        <f>+F146/F146</f>
        <v>1</v>
      </c>
      <c r="H146" s="178"/>
      <c r="I146" s="179"/>
      <c r="J146" s="182" t="s">
        <v>24</v>
      </c>
      <c r="K146" s="90"/>
      <c r="L146" s="173">
        <f>SUM(L130:L145)</f>
        <v>0.25674705995758629</v>
      </c>
      <c r="M146" s="181">
        <f>+L146/L146</f>
        <v>1</v>
      </c>
      <c r="N146" s="178"/>
      <c r="O146" s="179"/>
      <c r="Q146" s="90"/>
      <c r="R146" s="175">
        <f>SUM(R130:R145)</f>
        <v>0.17341372662425295</v>
      </c>
      <c r="S146" s="181">
        <f>+R146/R146</f>
        <v>1</v>
      </c>
      <c r="U146" s="138">
        <v>141</v>
      </c>
      <c r="V146" s="248" t="str">
        <f t="shared" si="20"/>
        <v>Parquing Interior SG</v>
      </c>
      <c r="W146" s="139">
        <f t="shared" si="21"/>
        <v>720.58608446163555</v>
      </c>
      <c r="X146" s="249">
        <f t="shared" si="16"/>
        <v>5.7823301844354483E-3</v>
      </c>
      <c r="Y146" s="250">
        <f>+G336</f>
        <v>0.54535238095238103</v>
      </c>
      <c r="Z146" s="251">
        <f t="shared" si="14"/>
        <v>3.0131493853620626</v>
      </c>
      <c r="AA146" s="212">
        <v>21.712335174960327</v>
      </c>
    </row>
    <row r="147" spans="2:27" ht="21" customHeight="1">
      <c r="B147" s="427" t="s">
        <v>317</v>
      </c>
      <c r="C147" s="428"/>
      <c r="D147" s="429"/>
      <c r="E147" s="185">
        <v>0.12</v>
      </c>
      <c r="F147" s="173">
        <f>+F146*E147</f>
        <v>3.6304590146695417E-2</v>
      </c>
      <c r="H147" s="427" t="s">
        <v>317</v>
      </c>
      <c r="I147" s="428"/>
      <c r="J147" s="429"/>
      <c r="K147" s="185">
        <v>0.12</v>
      </c>
      <c r="L147" s="173">
        <f>+L146*K147</f>
        <v>3.0809647194910354E-2</v>
      </c>
      <c r="N147" s="427" t="s">
        <v>317</v>
      </c>
      <c r="O147" s="428"/>
      <c r="P147" s="429"/>
      <c r="Q147" s="185">
        <v>0.12</v>
      </c>
      <c r="R147" s="175">
        <f>+R146*Q147</f>
        <v>2.0809647194910352E-2</v>
      </c>
      <c r="U147" s="138">
        <v>142</v>
      </c>
      <c r="V147" s="248" t="str">
        <f t="shared" si="20"/>
        <v>Pasillos</v>
      </c>
      <c r="W147" s="139">
        <f t="shared" si="21"/>
        <v>295.12206778792046</v>
      </c>
      <c r="X147" s="249">
        <f t="shared" si="16"/>
        <v>1.4118451723714884E-2</v>
      </c>
      <c r="Y147" s="250"/>
      <c r="Z147" s="251">
        <f t="shared" si="14"/>
        <v>7.3570693434430554</v>
      </c>
      <c r="AA147" s="212">
        <v>21.712335174960327</v>
      </c>
    </row>
    <row r="148" spans="2:27" ht="19">
      <c r="B148" s="178"/>
      <c r="F148" s="173">
        <f>+F147+F146</f>
        <v>0.33884284136915721</v>
      </c>
      <c r="G148" s="187">
        <f>+F148/24</f>
        <v>1.4118451723714884E-2</v>
      </c>
      <c r="H148" s="178"/>
      <c r="I148" s="179"/>
      <c r="K148" s="88"/>
      <c r="L148" s="173">
        <f>+L147+L146</f>
        <v>0.28755670715249665</v>
      </c>
      <c r="M148" s="187">
        <f>+L148/24</f>
        <v>1.1981529464687361E-2</v>
      </c>
      <c r="N148" s="178"/>
      <c r="O148" s="179"/>
      <c r="R148" s="175">
        <f>+R147+R146</f>
        <v>0.1942233738191633</v>
      </c>
      <c r="S148" s="187">
        <f>+R148/24</f>
        <v>8.0926405757984713E-3</v>
      </c>
      <c r="U148" s="138">
        <v>143</v>
      </c>
      <c r="V148" s="248" t="str">
        <f t="shared" si="20"/>
        <v>Pasillos M P</v>
      </c>
      <c r="W148" s="139">
        <f t="shared" si="21"/>
        <v>347.75749447905645</v>
      </c>
      <c r="X148" s="249">
        <f t="shared" si="16"/>
        <v>1.1981529464687361E-2</v>
      </c>
      <c r="Y148" s="250">
        <f>+G380</f>
        <v>0.54535238095238103</v>
      </c>
      <c r="Z148" s="251">
        <f t="shared" si="14"/>
        <v>6.2435276075029185</v>
      </c>
      <c r="AA148" s="212">
        <v>21.712335174960327</v>
      </c>
    </row>
    <row r="149" spans="2:27" ht="19">
      <c r="B149" s="178"/>
      <c r="D149" s="188"/>
      <c r="F149" s="189"/>
      <c r="G149" s="205">
        <f>(E150/100)*60</f>
        <v>177.07324067275226</v>
      </c>
      <c r="H149" s="178"/>
      <c r="I149" s="179"/>
      <c r="J149" s="188"/>
      <c r="K149" s="88"/>
      <c r="L149" s="189"/>
      <c r="N149" s="178"/>
      <c r="O149" s="179"/>
      <c r="P149" s="188"/>
      <c r="R149" s="189"/>
      <c r="U149" s="138">
        <v>144</v>
      </c>
      <c r="V149" s="248" t="str">
        <f t="shared" si="20"/>
        <v>Pasillos M M</v>
      </c>
      <c r="W149" s="139">
        <f t="shared" si="21"/>
        <v>514.87108906422145</v>
      </c>
      <c r="X149" s="249">
        <f t="shared" si="16"/>
        <v>8.0926405757984713E-3</v>
      </c>
      <c r="Y149" s="250"/>
      <c r="Z149" s="251">
        <f t="shared" si="14"/>
        <v>4.2170429911732876</v>
      </c>
      <c r="AA149" s="212">
        <v>21.712335174960327</v>
      </c>
    </row>
    <row r="150" spans="2:27" ht="21">
      <c r="B150" s="191" t="s">
        <v>318</v>
      </c>
      <c r="C150" s="192"/>
      <c r="D150" s="192"/>
      <c r="E150" s="444">
        <f>IF(F148=0,0,(100/F148))</f>
        <v>295.12206778792046</v>
      </c>
      <c r="F150" s="445"/>
      <c r="G150" s="205">
        <f>60/E150</f>
        <v>0.20330570482149435</v>
      </c>
      <c r="H150" s="191" t="s">
        <v>318</v>
      </c>
      <c r="I150" s="192"/>
      <c r="J150" s="192"/>
      <c r="K150" s="444">
        <f>IF(L148=0,0,(100/L148))</f>
        <v>347.75749447905645</v>
      </c>
      <c r="L150" s="445"/>
      <c r="N150" s="191" t="s">
        <v>318</v>
      </c>
      <c r="O150" s="192"/>
      <c r="P150" s="192"/>
      <c r="Q150" s="444">
        <f>IF(R148=0,0,(100/R148))</f>
        <v>514.87108906422145</v>
      </c>
      <c r="R150" s="445"/>
      <c r="U150" s="138">
        <v>145</v>
      </c>
      <c r="V150" s="248" t="str">
        <f t="shared" si="20"/>
        <v>Pasillos M G</v>
      </c>
      <c r="W150" s="139">
        <f t="shared" si="21"/>
        <v>613.07469064411066</v>
      </c>
      <c r="X150" s="249">
        <f t="shared" si="16"/>
        <v>6.7963442795021742E-3</v>
      </c>
      <c r="Y150" s="250"/>
      <c r="Z150" s="251">
        <f t="shared" si="14"/>
        <v>3.5415481190634113</v>
      </c>
      <c r="AA150" s="212">
        <v>21.712335174960327</v>
      </c>
    </row>
    <row r="151" spans="2:27" ht="19">
      <c r="B151" s="178"/>
      <c r="F151" s="189"/>
      <c r="G151" s="249">
        <f>+F148/E150</f>
        <v>1.1481447114712385E-3</v>
      </c>
      <c r="H151" s="178"/>
      <c r="I151" s="179"/>
      <c r="K151" s="88"/>
      <c r="L151" s="189"/>
      <c r="N151" s="178"/>
      <c r="O151" s="179"/>
      <c r="R151" s="189"/>
      <c r="U151" s="138">
        <v>146</v>
      </c>
      <c r="V151" s="248" t="str">
        <f t="shared" si="20"/>
        <v>Pasillos M SG</v>
      </c>
      <c r="W151" s="139">
        <f t="shared" si="21"/>
        <v>752.5018401259573</v>
      </c>
      <c r="X151" s="249">
        <f t="shared" si="16"/>
        <v>5.5370850202429147E-3</v>
      </c>
      <c r="Y151" s="250"/>
      <c r="Z151" s="251">
        <f t="shared" si="14"/>
        <v>2.8853531004423876</v>
      </c>
      <c r="AA151" s="212">
        <v>21.712335174960327</v>
      </c>
    </row>
    <row r="152" spans="2:27" ht="21">
      <c r="B152" s="446" t="s">
        <v>319</v>
      </c>
      <c r="C152" s="447"/>
      <c r="D152" s="447"/>
      <c r="E152" s="447"/>
      <c r="F152" s="448"/>
      <c r="G152" s="249">
        <f>(100/E150)/24</f>
        <v>1.4118451723714884E-2</v>
      </c>
      <c r="H152" s="446" t="s">
        <v>319</v>
      </c>
      <c r="I152" s="447"/>
      <c r="J152" s="447"/>
      <c r="K152" s="447"/>
      <c r="L152" s="448"/>
      <c r="N152" s="446" t="s">
        <v>319</v>
      </c>
      <c r="O152" s="447"/>
      <c r="P152" s="447"/>
      <c r="Q152" s="447"/>
      <c r="R152" s="448"/>
      <c r="U152" s="138">
        <v>147</v>
      </c>
      <c r="V152" s="248" t="str">
        <f t="shared" si="20"/>
        <v>Patio exterior</v>
      </c>
      <c r="W152" s="139">
        <f t="shared" si="21"/>
        <v>876.64918889246428</v>
      </c>
      <c r="X152" s="249">
        <f t="shared" si="16"/>
        <v>4.7529464687359425E-3</v>
      </c>
      <c r="Y152" s="250"/>
      <c r="Z152" s="251">
        <f t="shared" si="14"/>
        <v>2.4767416031481333</v>
      </c>
      <c r="AA152" s="212">
        <v>21.712335174960327</v>
      </c>
    </row>
    <row r="153" spans="2:27" ht="21" customHeight="1">
      <c r="B153" s="194" t="s">
        <v>320</v>
      </c>
      <c r="C153" s="195"/>
      <c r="D153" s="435" t="s">
        <v>321</v>
      </c>
      <c r="E153" s="435"/>
      <c r="F153" s="196" t="s">
        <v>322</v>
      </c>
      <c r="H153" s="194" t="s">
        <v>320</v>
      </c>
      <c r="I153" s="195"/>
      <c r="J153" s="435" t="s">
        <v>321</v>
      </c>
      <c r="K153" s="435"/>
      <c r="L153" s="196" t="s">
        <v>322</v>
      </c>
      <c r="N153" s="194" t="s">
        <v>320</v>
      </c>
      <c r="O153" s="195"/>
      <c r="P153" s="435" t="s">
        <v>321</v>
      </c>
      <c r="Q153" s="435"/>
      <c r="R153" s="196" t="s">
        <v>322</v>
      </c>
      <c r="U153" s="138">
        <v>148</v>
      </c>
      <c r="V153" s="248" t="str">
        <f t="shared" si="20"/>
        <v>Patio Gravilla</v>
      </c>
      <c r="W153" s="139">
        <f t="shared" si="21"/>
        <v>1981.4529585419073</v>
      </c>
      <c r="X153" s="249">
        <f t="shared" si="16"/>
        <v>2.1028340080971662E-3</v>
      </c>
      <c r="Y153" s="250">
        <f>+G468</f>
        <v>0.54535238095238103</v>
      </c>
      <c r="Z153" s="251">
        <f t="shared" si="14"/>
        <v>1.0957784832266619</v>
      </c>
      <c r="AA153" s="212">
        <v>21.712335174960327</v>
      </c>
    </row>
    <row r="154" spans="2:27" ht="19">
      <c r="B154" s="197" t="s">
        <v>278</v>
      </c>
      <c r="C154" s="201">
        <v>1</v>
      </c>
      <c r="E154" s="199">
        <f>IF(C154=0,0,(VLOOKUP(B154,'RESUMEN RENDIMIENTOS'!$AB$6:$AO$64,13,FALSE)))*C154</f>
        <v>0.75</v>
      </c>
      <c r="F154" s="200">
        <f>IF(C154=0,0,(VLOOKUP(B154,'RESUMEN RENDIMIENTOS'!$AB$6:$AO$64,14,FALSE)))*C154</f>
        <v>1.0285714285714287E-2</v>
      </c>
      <c r="H154" s="197" t="s">
        <v>278</v>
      </c>
      <c r="I154" s="201">
        <v>1</v>
      </c>
      <c r="K154" s="199">
        <f>IF(I154=0,0,(VLOOKUP(H154,'RESUMEN RENDIMIENTOS'!$AB$6:$AO$64,13,FALSE)))*I154</f>
        <v>0.75</v>
      </c>
      <c r="L154" s="200">
        <f>IF(I154=0,0,(VLOOKUP(H154,'RESUMEN RENDIMIENTOS'!$AB$6:$AO$64,14,FALSE)))*I154</f>
        <v>1.0285714285714287E-2</v>
      </c>
      <c r="N154" s="197" t="s">
        <v>278</v>
      </c>
      <c r="O154" s="201">
        <v>1</v>
      </c>
      <c r="Q154" s="199">
        <f>IF(O154=0,0,(VLOOKUP(N154,'RESUMEN RENDIMIENTOS'!$AB$6:$AO$64,13,FALSE)))*O154</f>
        <v>0.75</v>
      </c>
      <c r="R154" s="200">
        <f>IF(O154=0,0,(VLOOKUP(N154,'RESUMEN RENDIMIENTOS'!$AB$6:$AO$64,14,FALSE)))*O154</f>
        <v>1.0285714285714287E-2</v>
      </c>
      <c r="U154" s="138">
        <v>149</v>
      </c>
      <c r="V154" s="248" t="str">
        <f t="shared" si="20"/>
        <v>Pista Deportiva</v>
      </c>
      <c r="W154" s="139">
        <f t="shared" si="21"/>
        <v>803.57142857142856</v>
      </c>
      <c r="X154" s="249">
        <f t="shared" si="16"/>
        <v>5.185185185185185E-3</v>
      </c>
      <c r="Y154" s="250"/>
      <c r="Z154" s="251">
        <f t="shared" si="14"/>
        <v>2.7019794884395076</v>
      </c>
      <c r="AA154" s="212">
        <v>21.712335174960327</v>
      </c>
    </row>
    <row r="155" spans="2:27" ht="19">
      <c r="B155" s="197" t="s">
        <v>279</v>
      </c>
      <c r="C155" s="201">
        <v>1</v>
      </c>
      <c r="E155" s="199">
        <f>IF(C155=0,0,(VLOOKUP(B155,'RESUMEN RENDIMIENTOS'!$AB$6:$AO$64,13,FALSE)))*C155</f>
        <v>2</v>
      </c>
      <c r="F155" s="200">
        <f>IF(C155=0,0,(VLOOKUP(B155,'RESUMEN RENDIMIENTOS'!$AB$6:$AO$64,14,FALSE)))*C155</f>
        <v>9.5999999999999988E-2</v>
      </c>
      <c r="H155" s="197" t="s">
        <v>279</v>
      </c>
      <c r="I155" s="201">
        <v>1</v>
      </c>
      <c r="K155" s="199">
        <f>IF(I155=0,0,(VLOOKUP(H155,'RESUMEN RENDIMIENTOS'!$AB$6:$AO$64,13,FALSE)))*I155</f>
        <v>2</v>
      </c>
      <c r="L155" s="200">
        <f>IF(I155=0,0,(VLOOKUP(H155,'RESUMEN RENDIMIENTOS'!$AB$6:$AO$64,14,FALSE)))*I155</f>
        <v>9.5999999999999988E-2</v>
      </c>
      <c r="N155" s="197" t="s">
        <v>279</v>
      </c>
      <c r="O155" s="201">
        <v>1</v>
      </c>
      <c r="Q155" s="199">
        <f>IF(O155=0,0,(VLOOKUP(N155,'RESUMEN RENDIMIENTOS'!$AB$6:$AO$64,13,FALSE)))*O155</f>
        <v>2</v>
      </c>
      <c r="R155" s="200">
        <f>IF(O155=0,0,(VLOOKUP(N155,'RESUMEN RENDIMIENTOS'!$AB$6:$AO$64,14,FALSE)))*O155</f>
        <v>9.5999999999999988E-2</v>
      </c>
      <c r="U155" s="138">
        <v>150</v>
      </c>
      <c r="V155" s="248" t="str">
        <f t="shared" si="20"/>
        <v>Playa Piscina</v>
      </c>
      <c r="W155" s="139">
        <f t="shared" si="21"/>
        <v>72.39382239382239</v>
      </c>
      <c r="X155" s="249">
        <f t="shared" si="16"/>
        <v>5.7555555555555554E-2</v>
      </c>
      <c r="Y155" s="250"/>
      <c r="Z155" s="251">
        <f t="shared" si="14"/>
        <v>29.991972321678535</v>
      </c>
      <c r="AA155" s="212">
        <v>21.712335174960327</v>
      </c>
    </row>
    <row r="156" spans="2:27" ht="19">
      <c r="B156" s="197" t="s">
        <v>284</v>
      </c>
      <c r="C156" s="201">
        <v>0.25</v>
      </c>
      <c r="E156" s="199">
        <f>IF(C156=0,0,(VLOOKUP(B156,'RESUMEN RENDIMIENTOS'!$AB$6:$AO$64,13,FALSE)))*C156</f>
        <v>0.52500000000000002</v>
      </c>
      <c r="F156" s="200">
        <f>IF(C156=0,0,(VLOOKUP(B156,'RESUMEN RENDIMIENTOS'!$AB$6:$AO$64,14,FALSE)))*C156</f>
        <v>4.2000000000000003E-2</v>
      </c>
      <c r="H156" s="197" t="s">
        <v>284</v>
      </c>
      <c r="I156" s="201">
        <v>0.25</v>
      </c>
      <c r="K156" s="199">
        <f>IF(I156=0,0,(VLOOKUP(H156,'RESUMEN RENDIMIENTOS'!$AB$6:$AO$64,13,FALSE)))*I156</f>
        <v>0.52500000000000002</v>
      </c>
      <c r="L156" s="200">
        <f>IF(I156=0,0,(VLOOKUP(H156,'RESUMEN RENDIMIENTOS'!$AB$6:$AO$64,14,FALSE)))*I156</f>
        <v>4.2000000000000003E-2</v>
      </c>
      <c r="N156" s="197" t="s">
        <v>284</v>
      </c>
      <c r="O156" s="201">
        <v>0.25</v>
      </c>
      <c r="Q156" s="199">
        <f>IF(O156=0,0,(VLOOKUP(N156,'RESUMEN RENDIMIENTOS'!$AB$6:$AO$64,13,FALSE)))*O156</f>
        <v>0.52500000000000002</v>
      </c>
      <c r="R156" s="200">
        <f>IF(O156=0,0,(VLOOKUP(N156,'RESUMEN RENDIMIENTOS'!$AB$6:$AO$64,14,FALSE)))*O156</f>
        <v>4.2000000000000003E-2</v>
      </c>
      <c r="U156" s="138">
        <v>151</v>
      </c>
      <c r="V156" s="248" t="str">
        <f t="shared" si="20"/>
        <v>Porche</v>
      </c>
      <c r="W156" s="139">
        <f t="shared" si="21"/>
        <v>912.62451597647134</v>
      </c>
      <c r="X156" s="249">
        <f t="shared" si="16"/>
        <v>4.5655870445344129E-3</v>
      </c>
      <c r="Y156" s="250"/>
      <c r="Z156" s="251">
        <f t="shared" si="14"/>
        <v>2.3791093483533046</v>
      </c>
      <c r="AA156" s="212">
        <v>21.712335174960327</v>
      </c>
    </row>
    <row r="157" spans="2:27" ht="19">
      <c r="B157" s="197" t="s">
        <v>283</v>
      </c>
      <c r="C157" s="201">
        <v>1</v>
      </c>
      <c r="E157" s="199">
        <f>IF(C157=0,0,(VLOOKUP(B157,'RESUMEN RENDIMIENTOS'!$AB$6:$AO$64,13,FALSE)))*C157</f>
        <v>1.59</v>
      </c>
      <c r="F157" s="200">
        <f>IF(C157=0,0,(VLOOKUP(B157,'RESUMEN RENDIMIENTOS'!$AB$6:$AO$64,14,FALSE)))*C157</f>
        <v>0.12720000000000001</v>
      </c>
      <c r="H157" s="197" t="s">
        <v>283</v>
      </c>
      <c r="I157" s="201">
        <v>1</v>
      </c>
      <c r="K157" s="199">
        <f>IF(I157=0,0,(VLOOKUP(H157,'RESUMEN RENDIMIENTOS'!$AB$6:$AO$64,13,FALSE)))*I157</f>
        <v>1.59</v>
      </c>
      <c r="L157" s="200">
        <f>IF(I157=0,0,(VLOOKUP(H157,'RESUMEN RENDIMIENTOS'!$AB$6:$AO$64,14,FALSE)))*I157</f>
        <v>0.12720000000000001</v>
      </c>
      <c r="N157" s="197" t="s">
        <v>283</v>
      </c>
      <c r="O157" s="201">
        <v>1</v>
      </c>
      <c r="Q157" s="199">
        <f>IF(O157=0,0,(VLOOKUP(N157,'RESUMEN RENDIMIENTOS'!$AB$6:$AO$64,13,FALSE)))*O157</f>
        <v>1.59</v>
      </c>
      <c r="R157" s="200">
        <f>IF(O157=0,0,(VLOOKUP(N157,'RESUMEN RENDIMIENTOS'!$AB$6:$AO$64,14,FALSE)))*O157</f>
        <v>0.12720000000000001</v>
      </c>
      <c r="U157" s="138">
        <v>152</v>
      </c>
      <c r="V157" s="248" t="str">
        <f t="shared" si="20"/>
        <v>Rack CPD</v>
      </c>
      <c r="W157" s="139">
        <f t="shared" si="21"/>
        <v>172.6485824163826</v>
      </c>
      <c r="X157" s="249">
        <f t="shared" si="16"/>
        <v>2.4133801785975698E-2</v>
      </c>
      <c r="Y157" s="250"/>
      <c r="Z157" s="251">
        <f t="shared" si="14"/>
        <v>12.576028642155851</v>
      </c>
      <c r="AA157" s="212">
        <v>21.712335174960327</v>
      </c>
    </row>
    <row r="158" spans="2:27" ht="19">
      <c r="B158" s="197" t="s">
        <v>282</v>
      </c>
      <c r="C158" s="201">
        <v>1</v>
      </c>
      <c r="E158" s="199">
        <f>IF(C158=0,0,(VLOOKUP(B158,'RESUMEN RENDIMIENTOS'!$AB$6:$AO$64,13,FALSE)))*C158</f>
        <v>2.62</v>
      </c>
      <c r="F158" s="200">
        <f>IF(C158=0,0,(VLOOKUP(B158,'RESUMEN RENDIMIENTOS'!$AB$6:$AO$64,14,FALSE)))*C158</f>
        <v>6.986666666666666E-2</v>
      </c>
      <c r="H158" s="197" t="s">
        <v>282</v>
      </c>
      <c r="I158" s="201">
        <v>1</v>
      </c>
      <c r="K158" s="199">
        <f>IF(I158=0,0,(VLOOKUP(H158,'RESUMEN RENDIMIENTOS'!$AB$6:$AO$64,13,FALSE)))*I158</f>
        <v>2.62</v>
      </c>
      <c r="L158" s="200">
        <f>IF(I158=0,0,(VLOOKUP(H158,'RESUMEN RENDIMIENTOS'!$AB$6:$AO$64,14,FALSE)))*I158</f>
        <v>6.986666666666666E-2</v>
      </c>
      <c r="N158" s="197" t="s">
        <v>282</v>
      </c>
      <c r="O158" s="201">
        <v>1</v>
      </c>
      <c r="Q158" s="199">
        <f>IF(O158=0,0,(VLOOKUP(N158,'RESUMEN RENDIMIENTOS'!$AB$6:$AO$64,13,FALSE)))*O158</f>
        <v>2.62</v>
      </c>
      <c r="R158" s="200">
        <f>IF(O158=0,0,(VLOOKUP(N158,'RESUMEN RENDIMIENTOS'!$AB$6:$AO$64,14,FALSE)))*O158</f>
        <v>6.986666666666666E-2</v>
      </c>
      <c r="U158" s="138">
        <v>153</v>
      </c>
      <c r="V158" s="248" t="str">
        <f t="shared" si="20"/>
        <v>Rehabilitacion</v>
      </c>
      <c r="W158" s="139">
        <f t="shared" si="21"/>
        <v>134.81267696665435</v>
      </c>
      <c r="X158" s="249">
        <f t="shared" si="16"/>
        <v>3.0907083520767736E-2</v>
      </c>
      <c r="Y158" s="250"/>
      <c r="Z158" s="251">
        <f t="shared" si="14"/>
        <v>16.105558960401648</v>
      </c>
      <c r="AA158" s="212">
        <v>21.712335174960327</v>
      </c>
    </row>
    <row r="159" spans="2:27" ht="19">
      <c r="B159" s="197" t="s">
        <v>302</v>
      </c>
      <c r="C159" s="201">
        <v>1</v>
      </c>
      <c r="E159" s="199">
        <f>IF(C159=0,0,(VLOOKUP(B159,'RESUMEN RENDIMIENTOS'!$AB$6:$AO$64,13,FALSE)))*C159</f>
        <v>1</v>
      </c>
      <c r="F159" s="200">
        <f>IF(C159=0,0,(VLOOKUP(B159,'RESUMEN RENDIMIENTOS'!$AB$6:$AO$64,14,FALSE)))*C159</f>
        <v>0.2</v>
      </c>
      <c r="H159" s="197" t="s">
        <v>302</v>
      </c>
      <c r="I159" s="201">
        <v>1</v>
      </c>
      <c r="K159" s="199">
        <f>IF(I159=0,0,(VLOOKUP(H159,'RESUMEN RENDIMIENTOS'!$AB$6:$AO$64,13,FALSE)))*I159</f>
        <v>1</v>
      </c>
      <c r="L159" s="200">
        <f>IF(I159=0,0,(VLOOKUP(H159,'RESUMEN RENDIMIENTOS'!$AB$6:$AO$64,14,FALSE)))*I159</f>
        <v>0.2</v>
      </c>
      <c r="N159" s="197" t="s">
        <v>302</v>
      </c>
      <c r="O159" s="201">
        <v>1</v>
      </c>
      <c r="Q159" s="199">
        <f>IF(O159=0,0,(VLOOKUP(N159,'RESUMEN RENDIMIENTOS'!$AB$6:$AO$64,13,FALSE)))*O159</f>
        <v>1</v>
      </c>
      <c r="R159" s="200">
        <f>IF(O159=0,0,(VLOOKUP(N159,'RESUMEN RENDIMIENTOS'!$AB$6:$AO$64,14,FALSE)))*O159</f>
        <v>0.2</v>
      </c>
      <c r="U159" s="138">
        <v>154</v>
      </c>
      <c r="V159" s="248" t="str">
        <f>H3</f>
        <v>Sala de Producción</v>
      </c>
      <c r="W159" s="139">
        <f>I3</f>
        <v>297.20627703935378</v>
      </c>
      <c r="X159" s="249">
        <f t="shared" si="16"/>
        <v>1.4019443694706854E-2</v>
      </c>
      <c r="Y159" s="250"/>
      <c r="Z159" s="251">
        <f t="shared" si="14"/>
        <v>7.3054766511830254</v>
      </c>
      <c r="AA159" s="212">
        <v>21.712335174960327</v>
      </c>
    </row>
    <row r="160" spans="2:27" ht="19">
      <c r="B160" s="202"/>
      <c r="F160" s="206">
        <f>SUM(F154:F159)</f>
        <v>0.54535238095238103</v>
      </c>
      <c r="G160" s="205">
        <f>+F160</f>
        <v>0.54535238095238103</v>
      </c>
      <c r="H160" s="202"/>
      <c r="I160" s="179"/>
      <c r="K160" s="88"/>
      <c r="L160" s="206">
        <f>SUM(L154:L159)</f>
        <v>0.54535238095238103</v>
      </c>
      <c r="M160" s="205">
        <f>+L160</f>
        <v>0.54535238095238103</v>
      </c>
      <c r="N160" s="202"/>
      <c r="O160" s="179"/>
      <c r="R160" s="206">
        <f>SUM(R154:R159)</f>
        <v>0.54535238095238103</v>
      </c>
      <c r="S160" s="205">
        <f>+R160</f>
        <v>0.54535238095238103</v>
      </c>
      <c r="U160" s="138">
        <v>155</v>
      </c>
      <c r="V160" s="248" t="str">
        <f t="shared" ref="V160:W175" si="22">H4</f>
        <v>Sala de produccion Mecanico</v>
      </c>
      <c r="W160" s="139">
        <f t="shared" si="22"/>
        <v>1458.7379914956166</v>
      </c>
      <c r="X160" s="249">
        <f t="shared" si="16"/>
        <v>2.8563502774029089E-3</v>
      </c>
      <c r="Y160" s="250">
        <f>+G72</f>
        <v>9.5657142857142857E-2</v>
      </c>
      <c r="Z160" s="251">
        <f t="shared" si="14"/>
        <v>1.4884328304015089</v>
      </c>
      <c r="AA160" s="212">
        <v>21.712335174960327</v>
      </c>
    </row>
    <row r="161" spans="2:27" ht="19">
      <c r="B161" s="436" t="s">
        <v>324</v>
      </c>
      <c r="C161" s="437"/>
      <c r="D161" s="437"/>
      <c r="E161" s="437"/>
      <c r="F161" s="455"/>
      <c r="G161" s="205"/>
      <c r="H161" s="436" t="s">
        <v>324</v>
      </c>
      <c r="I161" s="437"/>
      <c r="J161" s="437"/>
      <c r="K161" s="437"/>
      <c r="L161" s="455"/>
      <c r="M161" s="205"/>
      <c r="N161" s="436" t="s">
        <v>324</v>
      </c>
      <c r="O161" s="437"/>
      <c r="P161" s="437"/>
      <c r="Q161" s="437"/>
      <c r="R161" s="455"/>
      <c r="S161" s="205"/>
      <c r="U161" s="138">
        <v>156</v>
      </c>
      <c r="V161" s="248" t="str">
        <f t="shared" si="22"/>
        <v>Sala tecnica</v>
      </c>
      <c r="W161" s="139">
        <f t="shared" si="22"/>
        <v>136.09760296079526</v>
      </c>
      <c r="X161" s="249">
        <f t="shared" si="16"/>
        <v>3.0615283267457188E-2</v>
      </c>
      <c r="Y161" s="250"/>
      <c r="Z161" s="251">
        <f t="shared" si="14"/>
        <v>15.953503002705242</v>
      </c>
      <c r="AA161" s="212">
        <v>21.712335174960327</v>
      </c>
    </row>
    <row r="162" spans="2:27" ht="19">
      <c r="B162" s="210" t="s">
        <v>325</v>
      </c>
      <c r="C162" s="211">
        <v>1</v>
      </c>
      <c r="D162" s="212">
        <v>21.712335174960327</v>
      </c>
      <c r="E162" s="213">
        <f>F148</f>
        <v>0.33884284136915721</v>
      </c>
      <c r="F162" s="214">
        <f>+IF(C162&gt;="",0,(D162*E162))</f>
        <v>7.3570693434430545</v>
      </c>
      <c r="G162" s="215"/>
      <c r="H162" s="210" t="s">
        <v>325</v>
      </c>
      <c r="I162" s="211">
        <v>1</v>
      </c>
      <c r="J162" s="212">
        <v>21.712335174960327</v>
      </c>
      <c r="K162" s="213">
        <f>L148</f>
        <v>0.28755670715249665</v>
      </c>
      <c r="L162" s="216">
        <f>+IF(I162&gt;="",0,(J162*K162))</f>
        <v>6.2435276075029185</v>
      </c>
      <c r="M162" s="215"/>
      <c r="N162" s="210" t="s">
        <v>325</v>
      </c>
      <c r="O162" s="211">
        <v>1</v>
      </c>
      <c r="P162" s="212">
        <v>21.712335174960327</v>
      </c>
      <c r="Q162" s="213">
        <f>R148</f>
        <v>0.1942233738191633</v>
      </c>
      <c r="R162" s="214">
        <f>+IF(O162&gt;="",0,(P162*Q162))</f>
        <v>4.2170429911732876</v>
      </c>
      <c r="S162" s="215"/>
      <c r="U162" s="138">
        <v>157</v>
      </c>
      <c r="V162" s="248" t="str">
        <f t="shared" si="22"/>
        <v>Sala de reuniones</v>
      </c>
      <c r="W162" s="139">
        <f t="shared" si="22"/>
        <v>169.6825636914914</v>
      </c>
      <c r="X162" s="249">
        <f t="shared" si="16"/>
        <v>2.4555656020392867E-2</v>
      </c>
      <c r="Y162" s="250"/>
      <c r="Z162" s="251">
        <f t="shared" si="14"/>
        <v>12.795855214939255</v>
      </c>
      <c r="AA162" s="212">
        <v>21.712335174960327</v>
      </c>
    </row>
    <row r="163" spans="2:27" ht="19">
      <c r="B163" s="210" t="s">
        <v>326</v>
      </c>
      <c r="C163" s="211"/>
      <c r="D163" s="212">
        <f>+D162*25%</f>
        <v>5.4280837937400817</v>
      </c>
      <c r="E163" s="213">
        <f>F148</f>
        <v>0.33884284136915721</v>
      </c>
      <c r="F163" s="214">
        <f>+IF(C163= "",0,(D163*E163))</f>
        <v>0</v>
      </c>
      <c r="G163" s="215"/>
      <c r="H163" s="210" t="s">
        <v>326</v>
      </c>
      <c r="I163" s="211"/>
      <c r="J163" s="212">
        <f>+J162*25%</f>
        <v>5.4280837937400817</v>
      </c>
      <c r="K163" s="213">
        <f>L148</f>
        <v>0.28755670715249665</v>
      </c>
      <c r="L163" s="216">
        <f>+IF(I163= "",0,(J163*K163))</f>
        <v>0</v>
      </c>
      <c r="M163" s="215"/>
      <c r="N163" s="210" t="s">
        <v>326</v>
      </c>
      <c r="O163" s="211"/>
      <c r="P163" s="212">
        <f>+P162*25%</f>
        <v>5.4280837937400817</v>
      </c>
      <c r="Q163" s="213">
        <f>R148</f>
        <v>0.1942233738191633</v>
      </c>
      <c r="R163" s="214">
        <f>+IF(O163= "",0,(P163*Q163))</f>
        <v>0</v>
      </c>
      <c r="S163" s="215"/>
      <c r="U163" s="138">
        <v>158</v>
      </c>
      <c r="V163" s="248" t="str">
        <f t="shared" si="22"/>
        <v>Sala de ventas P</v>
      </c>
      <c r="W163" s="139">
        <f t="shared" si="22"/>
        <v>343.29554457051</v>
      </c>
      <c r="X163" s="249">
        <f t="shared" si="16"/>
        <v>1.2137258209626628E-2</v>
      </c>
      <c r="Y163" s="250"/>
      <c r="Z163" s="251">
        <f t="shared" si="14"/>
        <v>6.324677240458854</v>
      </c>
      <c r="AA163" s="212">
        <v>21.712335174960327</v>
      </c>
    </row>
    <row r="164" spans="2:27" ht="19">
      <c r="B164" s="210" t="s">
        <v>327</v>
      </c>
      <c r="C164" s="211"/>
      <c r="D164" s="212">
        <f>+D162*50%</f>
        <v>10.856167587480163</v>
      </c>
      <c r="E164" s="213">
        <f>F148</f>
        <v>0.33884284136915721</v>
      </c>
      <c r="F164" s="214">
        <f>+IF(C164= "",0,(D164*E164))</f>
        <v>0</v>
      </c>
      <c r="G164" s="215"/>
      <c r="H164" s="210" t="s">
        <v>327</v>
      </c>
      <c r="I164" s="211"/>
      <c r="J164" s="212">
        <f>+J162*50%</f>
        <v>10.856167587480163</v>
      </c>
      <c r="K164" s="213">
        <f>L148</f>
        <v>0.28755670715249665</v>
      </c>
      <c r="L164" s="216">
        <f>+IF(I164= "",0,(J164*K164))</f>
        <v>0</v>
      </c>
      <c r="M164" s="215"/>
      <c r="N164" s="210" t="s">
        <v>327</v>
      </c>
      <c r="O164" s="211"/>
      <c r="P164" s="212">
        <f>+P162*50%</f>
        <v>10.856167587480163</v>
      </c>
      <c r="Q164" s="213">
        <f>R148</f>
        <v>0.1942233738191633</v>
      </c>
      <c r="R164" s="214">
        <f>+IF(O164= "",0,(P164*Q164))</f>
        <v>0</v>
      </c>
      <c r="S164" s="215"/>
      <c r="U164" s="138">
        <v>159</v>
      </c>
      <c r="V164" s="248" t="str">
        <f t="shared" si="22"/>
        <v>Sala de ventas M</v>
      </c>
      <c r="W164" s="139">
        <f t="shared" si="22"/>
        <v>554.99104973948124</v>
      </c>
      <c r="X164" s="249">
        <f t="shared" si="16"/>
        <v>7.5076285799970015E-3</v>
      </c>
      <c r="Y164" s="250"/>
      <c r="Z164" s="251">
        <f t="shared" si="14"/>
        <v>3.9121955543521518</v>
      </c>
      <c r="AA164" s="212">
        <v>21.712335174960327</v>
      </c>
    </row>
    <row r="165" spans="2:27" ht="19">
      <c r="B165" s="202"/>
      <c r="F165" s="217">
        <f>SUM(F162:F164)</f>
        <v>7.3570693434430545</v>
      </c>
      <c r="G165" s="218"/>
      <c r="H165" s="202"/>
      <c r="I165" s="179"/>
      <c r="K165" s="88"/>
      <c r="L165" s="219">
        <f>SUM(L162:L164)</f>
        <v>6.2435276075029185</v>
      </c>
      <c r="M165" s="218"/>
      <c r="N165" s="202"/>
      <c r="O165" s="179"/>
      <c r="R165" s="217">
        <f>SUM(R162:R164)</f>
        <v>4.2170429911732876</v>
      </c>
      <c r="S165" s="218"/>
      <c r="U165" s="138">
        <v>160</v>
      </c>
      <c r="V165" s="248" t="str">
        <f t="shared" si="22"/>
        <v>Sala de ventas G</v>
      </c>
      <c r="W165" s="139">
        <f t="shared" si="22"/>
        <v>670.81689987839002</v>
      </c>
      <c r="X165" s="249">
        <f t="shared" si="16"/>
        <v>6.2113322837007044E-3</v>
      </c>
      <c r="Y165" s="250"/>
      <c r="Z165" s="251">
        <f t="shared" si="14"/>
        <v>3.2367006822422746</v>
      </c>
      <c r="AA165" s="212">
        <v>21.712335174960327</v>
      </c>
    </row>
    <row r="166" spans="2:27" ht="19">
      <c r="B166" s="202"/>
      <c r="F166" s="189"/>
      <c r="G166" s="220"/>
      <c r="H166" s="202"/>
      <c r="I166" s="179"/>
      <c r="K166" s="88"/>
      <c r="M166" s="220"/>
      <c r="N166" s="202"/>
      <c r="O166" s="179"/>
      <c r="R166" s="189"/>
      <c r="S166" s="220"/>
      <c r="U166" s="138">
        <v>161</v>
      </c>
      <c r="V166" s="248" t="str">
        <f t="shared" si="22"/>
        <v>Sala de ventas SG &gt; 2500</v>
      </c>
      <c r="W166" s="139">
        <f t="shared" si="22"/>
        <v>841.39847011578229</v>
      </c>
      <c r="X166" s="249">
        <f t="shared" si="16"/>
        <v>4.9520730244414449E-3</v>
      </c>
      <c r="Y166" s="250"/>
      <c r="Z166" s="251">
        <f t="shared" si="14"/>
        <v>2.5805056636212518</v>
      </c>
      <c r="AA166" s="212">
        <v>21.712335174960327</v>
      </c>
    </row>
    <row r="167" spans="2:27" ht="21">
      <c r="B167" s="438" t="s">
        <v>328</v>
      </c>
      <c r="C167" s="439"/>
      <c r="D167" s="439"/>
      <c r="E167" s="440"/>
      <c r="F167" s="225">
        <f>+F160+F165</f>
        <v>7.9024217243954356</v>
      </c>
      <c r="G167" s="205">
        <f>+F167</f>
        <v>7.9024217243954356</v>
      </c>
      <c r="H167" s="438" t="s">
        <v>328</v>
      </c>
      <c r="I167" s="439"/>
      <c r="J167" s="439"/>
      <c r="K167" s="440"/>
      <c r="L167" s="225">
        <f>+L160+L165</f>
        <v>6.7888799884552995</v>
      </c>
      <c r="M167" s="205">
        <f>+L167</f>
        <v>6.7888799884552995</v>
      </c>
      <c r="N167" s="438" t="s">
        <v>328</v>
      </c>
      <c r="O167" s="439"/>
      <c r="P167" s="439"/>
      <c r="Q167" s="440"/>
      <c r="R167" s="225">
        <f>+R160+R165</f>
        <v>4.7623953721256687</v>
      </c>
      <c r="S167" s="205">
        <f>+R167</f>
        <v>4.7623953721256687</v>
      </c>
      <c r="U167" s="138">
        <v>162</v>
      </c>
      <c r="V167" s="248" t="str">
        <f t="shared" si="22"/>
        <v>Sala Gimnasia Diafana</v>
      </c>
      <c r="W167" s="139">
        <f t="shared" si="22"/>
        <v>218.34061135371181</v>
      </c>
      <c r="X167" s="249">
        <f t="shared" si="16"/>
        <v>1.9083333333333331E-2</v>
      </c>
      <c r="Y167" s="250">
        <f>+G248</f>
        <v>0.44935238095238095</v>
      </c>
      <c r="Z167" s="251">
        <f t="shared" si="14"/>
        <v>9.9442495101318293</v>
      </c>
      <c r="AA167" s="212">
        <v>21.712335174960327</v>
      </c>
    </row>
    <row r="168" spans="2:27" ht="19">
      <c r="B168" s="202"/>
      <c r="F168" s="189"/>
      <c r="G168" s="205"/>
      <c r="H168" s="202"/>
      <c r="I168" s="179"/>
      <c r="K168" s="88"/>
      <c r="L168" s="189"/>
      <c r="M168" s="205"/>
      <c r="N168" s="202"/>
      <c r="O168" s="179"/>
      <c r="R168" s="189"/>
      <c r="S168" s="205"/>
      <c r="U168" s="138">
        <v>163</v>
      </c>
      <c r="V168" s="248" t="str">
        <f t="shared" si="22"/>
        <v>Salas Blancas</v>
      </c>
      <c r="W168" s="139">
        <f t="shared" si="22"/>
        <v>33.905967450271248</v>
      </c>
      <c r="X168" s="249">
        <f t="shared" si="16"/>
        <v>0.12288888888888888</v>
      </c>
      <c r="Y168" s="250"/>
      <c r="Z168" s="251">
        <f t="shared" si="14"/>
        <v>64.036913876016328</v>
      </c>
      <c r="AA168" s="212">
        <v>21.712335174960327</v>
      </c>
    </row>
    <row r="169" spans="2:27" ht="19">
      <c r="B169" s="441" t="s">
        <v>329</v>
      </c>
      <c r="C169" s="442"/>
      <c r="D169" s="442"/>
      <c r="E169" s="443"/>
      <c r="F169" s="230">
        <f>+F167/$C$37</f>
        <v>7.9024217243954351E-2</v>
      </c>
      <c r="G169" s="205"/>
      <c r="H169" s="441" t="s">
        <v>329</v>
      </c>
      <c r="I169" s="442"/>
      <c r="J169" s="442"/>
      <c r="K169" s="443"/>
      <c r="L169" s="230">
        <f>+L167/$C$37</f>
        <v>6.7888799884553E-2</v>
      </c>
      <c r="M169" s="205"/>
      <c r="N169" s="441" t="s">
        <v>329</v>
      </c>
      <c r="O169" s="442"/>
      <c r="P169" s="442"/>
      <c r="Q169" s="443"/>
      <c r="R169" s="230">
        <f>+R167/$C$37</f>
        <v>4.762395372125669E-2</v>
      </c>
      <c r="S169" s="205"/>
      <c r="U169" s="138">
        <v>164</v>
      </c>
      <c r="V169" s="248" t="str">
        <f t="shared" si="22"/>
        <v>Salas Blancas hospitalarias</v>
      </c>
      <c r="W169" s="139">
        <f t="shared" si="22"/>
        <v>34.880437286097759</v>
      </c>
      <c r="X169" s="249">
        <f t="shared" si="16"/>
        <v>0.11945568894365233</v>
      </c>
      <c r="Y169" s="250">
        <f>+G292</f>
        <v>0.54535238095238103</v>
      </c>
      <c r="Z169" s="251">
        <f t="shared" ref="Z169:Z232" si="23">+(AA169/W169)*100</f>
        <v>62.247886965609169</v>
      </c>
      <c r="AA169" s="212">
        <v>21.712335174960327</v>
      </c>
    </row>
    <row r="170" spans="2:27" ht="20" thickBot="1">
      <c r="B170" s="231"/>
      <c r="C170" s="232"/>
      <c r="D170" s="233"/>
      <c r="E170" s="233"/>
      <c r="F170" s="234"/>
      <c r="G170" s="205"/>
      <c r="H170" s="231"/>
      <c r="I170" s="232"/>
      <c r="J170" s="233"/>
      <c r="K170" s="233"/>
      <c r="L170" s="234"/>
      <c r="M170" s="205"/>
      <c r="N170" s="231"/>
      <c r="O170" s="232"/>
      <c r="P170" s="233"/>
      <c r="Q170" s="233"/>
      <c r="R170" s="234"/>
      <c r="S170" s="205"/>
      <c r="U170" s="138">
        <v>165</v>
      </c>
      <c r="V170" s="248" t="str">
        <f t="shared" si="22"/>
        <v>Salas de espera</v>
      </c>
      <c r="W170" s="139">
        <f t="shared" si="22"/>
        <v>217.06930695853697</v>
      </c>
      <c r="X170" s="249">
        <f t="shared" si="16"/>
        <v>1.9195098215624529E-2</v>
      </c>
      <c r="Y170" s="250"/>
      <c r="Z170" s="251">
        <f t="shared" si="23"/>
        <v>10.002489748174145</v>
      </c>
      <c r="AA170" s="212">
        <v>21.712335174960327</v>
      </c>
    </row>
    <row r="171" spans="2:27" ht="23.25" customHeight="1" thickBot="1">
      <c r="B171" s="415" t="s">
        <v>312</v>
      </c>
      <c r="C171" s="416"/>
      <c r="D171" s="416"/>
      <c r="E171" s="416"/>
      <c r="F171" s="416"/>
      <c r="G171" s="416"/>
      <c r="H171" s="416"/>
      <c r="I171" s="416"/>
      <c r="J171" s="416"/>
      <c r="K171" s="416"/>
      <c r="L171" s="416"/>
      <c r="M171" s="416"/>
      <c r="N171" s="416"/>
      <c r="O171" s="416"/>
      <c r="P171" s="416"/>
      <c r="Q171" s="416"/>
      <c r="R171" s="417"/>
      <c r="U171" s="138">
        <v>166</v>
      </c>
      <c r="V171" s="248" t="str">
        <f t="shared" si="22"/>
        <v>Salas de maquinas</v>
      </c>
      <c r="W171" s="139">
        <f t="shared" si="22"/>
        <v>193.12583967756382</v>
      </c>
      <c r="X171" s="249">
        <f t="shared" si="16"/>
        <v>2.1574879227053142E-2</v>
      </c>
      <c r="Y171" s="250"/>
      <c r="Z171" s="251">
        <f t="shared" si="23"/>
        <v>11.242584219289602</v>
      </c>
      <c r="AA171" s="212">
        <v>21.712335174960327</v>
      </c>
    </row>
    <row r="172" spans="2:27" ht="23.25" customHeight="1">
      <c r="B172" s="239" t="s">
        <v>16</v>
      </c>
      <c r="C172" s="459" t="s">
        <v>108</v>
      </c>
      <c r="D172" s="460"/>
      <c r="E172" s="461"/>
      <c r="F172" s="255"/>
      <c r="G172" s="258"/>
      <c r="H172" s="237" t="s">
        <v>16</v>
      </c>
      <c r="I172" s="459" t="s">
        <v>109</v>
      </c>
      <c r="J172" s="460"/>
      <c r="K172" s="461"/>
      <c r="L172" s="259"/>
      <c r="M172" s="258"/>
      <c r="N172" s="239" t="s">
        <v>16</v>
      </c>
      <c r="O172" s="452" t="s">
        <v>133</v>
      </c>
      <c r="P172" s="453"/>
      <c r="Q172" s="454"/>
      <c r="R172" s="240"/>
      <c r="U172" s="138">
        <v>167</v>
      </c>
      <c r="V172" s="248" t="str">
        <f t="shared" si="22"/>
        <v>Salas de riesgo hospitalarias</v>
      </c>
      <c r="W172" s="139">
        <f t="shared" si="22"/>
        <v>91.662546450531892</v>
      </c>
      <c r="X172" s="249">
        <f t="shared" si="16"/>
        <v>4.5456588628762541E-2</v>
      </c>
      <c r="Y172" s="250"/>
      <c r="Z172" s="251">
        <f t="shared" si="23"/>
        <v>23.687248517231581</v>
      </c>
      <c r="AA172" s="212">
        <v>21.712335174960327</v>
      </c>
    </row>
    <row r="173" spans="2:27" ht="33" thickBot="1">
      <c r="B173" s="241" t="s">
        <v>313</v>
      </c>
      <c r="C173" s="242" t="s">
        <v>6</v>
      </c>
      <c r="D173" s="243" t="s">
        <v>25</v>
      </c>
      <c r="E173" s="244" t="s">
        <v>314</v>
      </c>
      <c r="F173" s="245" t="s">
        <v>315</v>
      </c>
      <c r="H173" s="241" t="s">
        <v>313</v>
      </c>
      <c r="I173" s="242" t="s">
        <v>6</v>
      </c>
      <c r="J173" s="243" t="s">
        <v>25</v>
      </c>
      <c r="K173" s="244" t="s">
        <v>314</v>
      </c>
      <c r="L173" s="246" t="s">
        <v>315</v>
      </c>
      <c r="N173" s="241" t="s">
        <v>313</v>
      </c>
      <c r="O173" s="242" t="s">
        <v>6</v>
      </c>
      <c r="P173" s="243" t="s">
        <v>25</v>
      </c>
      <c r="Q173" s="244" t="s">
        <v>314</v>
      </c>
      <c r="R173" s="245" t="s">
        <v>315</v>
      </c>
      <c r="U173" s="138">
        <v>168</v>
      </c>
      <c r="V173" s="248" t="str">
        <f t="shared" si="22"/>
        <v>Salas exploración, Box</v>
      </c>
      <c r="W173" s="139">
        <f t="shared" si="22"/>
        <v>106.73016716315959</v>
      </c>
      <c r="X173" s="249">
        <f t="shared" si="16"/>
        <v>3.903925925925926E-2</v>
      </c>
      <c r="Y173" s="250"/>
      <c r="Z173" s="251">
        <f t="shared" si="23"/>
        <v>20.343203568461053</v>
      </c>
      <c r="AA173" s="212">
        <v>21.712335174960327</v>
      </c>
    </row>
    <row r="174" spans="2:27" ht="19">
      <c r="B174" s="170" t="s">
        <v>182</v>
      </c>
      <c r="C174" s="171">
        <f>VLOOKUP(B174,'RESUMEN RENDIMIENTOS'!$V$6:$W$158,2,FALSE)</f>
        <v>1400</v>
      </c>
      <c r="D174" s="177" t="s">
        <v>20</v>
      </c>
      <c r="E174" s="172">
        <v>247</v>
      </c>
      <c r="F174" s="173">
        <f t="shared" ref="F174:F189" si="24">IF(C174=0,0,(100/C174)*E174/$E$37)</f>
        <v>7.1428571428571425E-2</v>
      </c>
      <c r="G174" s="164">
        <f>+F174/F190</f>
        <v>0.49045975251528851</v>
      </c>
      <c r="H174" s="170" t="s">
        <v>182</v>
      </c>
      <c r="I174" s="171">
        <f>VLOOKUP(H174,'RESUMEN RENDIMIENTOS'!$V$6:$W$158,2,FALSE)</f>
        <v>1400</v>
      </c>
      <c r="J174" s="177" t="s">
        <v>20</v>
      </c>
      <c r="K174" s="172">
        <v>247</v>
      </c>
      <c r="L174" s="173">
        <f t="shared" ref="L174:L189" si="25">IF(I174=0,0,(100/I174)*K174/$E$37)</f>
        <v>7.1428571428571425E-2</v>
      </c>
      <c r="M174" s="164">
        <f>+L174/L190</f>
        <v>0.60200147210076582</v>
      </c>
      <c r="N174" s="170" t="s">
        <v>182</v>
      </c>
      <c r="O174" s="171">
        <f>VLOOKUP(N174,'RESUMEN RENDIMIENTOS'!$V$6:$W$158,2,FALSE)</f>
        <v>1400</v>
      </c>
      <c r="P174" s="177" t="s">
        <v>20</v>
      </c>
      <c r="Q174" s="172">
        <v>247</v>
      </c>
      <c r="R174" s="175">
        <f t="shared" ref="R174:R189" si="26">IF(O174=0,0,(100/O174)*Q174/$E$37)</f>
        <v>7.1428571428571425E-2</v>
      </c>
      <c r="S174" s="164">
        <f>+R174/R190</f>
        <v>0.18310705238912692</v>
      </c>
      <c r="U174" s="138">
        <v>169</v>
      </c>
      <c r="V174" s="248" t="str">
        <f t="shared" si="22"/>
        <v>Saunas Hielo</v>
      </c>
      <c r="W174" s="139">
        <f t="shared" si="22"/>
        <v>66.964285714285708</v>
      </c>
      <c r="X174" s="249">
        <f t="shared" si="16"/>
        <v>6.2222222222222227E-2</v>
      </c>
      <c r="Y174" s="250"/>
      <c r="Z174" s="251">
        <f t="shared" si="23"/>
        <v>32.423753861274093</v>
      </c>
      <c r="AA174" s="212">
        <v>21.712335174960327</v>
      </c>
    </row>
    <row r="175" spans="2:27" ht="19">
      <c r="B175" s="170" t="s">
        <v>204</v>
      </c>
      <c r="C175" s="171">
        <f>VLOOKUP(B175,'RESUMEN RENDIMIENTOS'!$V$6:$W$158,2,FALSE)</f>
        <v>1800</v>
      </c>
      <c r="D175" s="177" t="s">
        <v>20</v>
      </c>
      <c r="E175" s="172">
        <v>247</v>
      </c>
      <c r="F175" s="173">
        <f t="shared" si="24"/>
        <v>5.5555555555555552E-2</v>
      </c>
      <c r="G175" s="174">
        <f>+F175/F190</f>
        <v>0.38146869640077996</v>
      </c>
      <c r="H175" s="170" t="s">
        <v>207</v>
      </c>
      <c r="I175" s="171">
        <f>VLOOKUP(H175,'RESUMEN RENDIMIENTOS'!$V$6:$W$158,2,FALSE)</f>
        <v>3500</v>
      </c>
      <c r="J175" s="177" t="s">
        <v>20</v>
      </c>
      <c r="K175" s="172">
        <v>247</v>
      </c>
      <c r="L175" s="173">
        <f t="shared" si="25"/>
        <v>2.8571428571428571E-2</v>
      </c>
      <c r="M175" s="174">
        <f>+L175/L190</f>
        <v>0.24080058884030633</v>
      </c>
      <c r="N175" s="170" t="s">
        <v>203</v>
      </c>
      <c r="O175" s="171">
        <f>VLOOKUP(N175,'RESUMEN RENDIMIENTOS'!$V$6:$W$158,2,FALSE)</f>
        <v>600</v>
      </c>
      <c r="P175" s="177" t="s">
        <v>20</v>
      </c>
      <c r="Q175" s="172">
        <v>247</v>
      </c>
      <c r="R175" s="175">
        <f t="shared" si="26"/>
        <v>0.16666666666666666</v>
      </c>
      <c r="S175" s="174">
        <f>+R175/R190</f>
        <v>0.42724978890796284</v>
      </c>
      <c r="U175" s="138">
        <v>170</v>
      </c>
      <c r="V175" s="248" t="str">
        <f t="shared" si="22"/>
        <v>Solarium</v>
      </c>
      <c r="W175" s="139">
        <f t="shared" si="22"/>
        <v>72.39382239382239</v>
      </c>
      <c r="X175" s="249">
        <f t="shared" si="16"/>
        <v>5.7555555555555554E-2</v>
      </c>
      <c r="Y175" s="250"/>
      <c r="Z175" s="251">
        <f t="shared" si="23"/>
        <v>29.991972321678535</v>
      </c>
      <c r="AA175" s="212">
        <v>21.712335174960327</v>
      </c>
    </row>
    <row r="176" spans="2:27" ht="19">
      <c r="B176" s="170" t="s">
        <v>254</v>
      </c>
      <c r="C176" s="171">
        <f>VLOOKUP(B176,'RESUMEN RENDIMIENTOS'!$V$6:$W$158,2,FALSE)</f>
        <v>2000</v>
      </c>
      <c r="D176" s="177" t="s">
        <v>56</v>
      </c>
      <c r="E176" s="172">
        <v>52.14</v>
      </c>
      <c r="F176" s="173">
        <f t="shared" si="24"/>
        <v>1.0554655870445346E-2</v>
      </c>
      <c r="G176" s="174">
        <f>+F176/F190</f>
        <v>7.2472874685437269E-2</v>
      </c>
      <c r="H176" s="170" t="s">
        <v>254</v>
      </c>
      <c r="I176" s="171">
        <f>VLOOKUP(H176,'RESUMEN RENDIMIENTOS'!$V$6:$W$158,2,FALSE)</f>
        <v>2000</v>
      </c>
      <c r="J176" s="177" t="s">
        <v>56</v>
      </c>
      <c r="K176" s="172">
        <v>52.14</v>
      </c>
      <c r="L176" s="173">
        <f t="shared" si="25"/>
        <v>1.0554655870445346E-2</v>
      </c>
      <c r="M176" s="174">
        <f>+L176/L190</f>
        <v>8.8954857201351226E-2</v>
      </c>
      <c r="N176" s="170" t="s">
        <v>190</v>
      </c>
      <c r="O176" s="171">
        <f>VLOOKUP(N176,'RESUMEN RENDIMIENTOS'!$V$6:$W$158,2,FALSE)</f>
        <v>960</v>
      </c>
      <c r="P176" s="177" t="s">
        <v>20</v>
      </c>
      <c r="Q176" s="172">
        <v>247</v>
      </c>
      <c r="R176" s="175">
        <f t="shared" si="26"/>
        <v>0.10416666666666667</v>
      </c>
      <c r="S176" s="174">
        <f>+R176/R190</f>
        <v>0.26703111806747681</v>
      </c>
      <c r="U176" s="138">
        <v>171</v>
      </c>
      <c r="V176" s="248" t="str">
        <f t="shared" ref="V176:W185" si="27">H20</f>
        <v>Taller</v>
      </c>
      <c r="W176" s="139">
        <f t="shared" si="27"/>
        <v>354.01657768880602</v>
      </c>
      <c r="X176" s="249">
        <f t="shared" si="16"/>
        <v>1.1769693650700517E-2</v>
      </c>
      <c r="Y176" s="250"/>
      <c r="Z176" s="251">
        <f t="shared" si="23"/>
        <v>6.1331408028146894</v>
      </c>
      <c r="AA176" s="212">
        <v>21.712335174960327</v>
      </c>
    </row>
    <row r="177" spans="2:27" ht="19">
      <c r="B177" s="170" t="s">
        <v>240</v>
      </c>
      <c r="C177" s="171">
        <f>VLOOKUP(B177,'RESUMEN RENDIMIENTOS'!$V$6:$W$158,2,FALSE)</f>
        <v>1000</v>
      </c>
      <c r="D177" s="177" t="s">
        <v>62</v>
      </c>
      <c r="E177" s="172">
        <v>4</v>
      </c>
      <c r="F177" s="173">
        <f t="shared" si="24"/>
        <v>1.6194331983805669E-3</v>
      </c>
      <c r="G177" s="174">
        <f>+F177/F190</f>
        <v>1.1119735279698851E-2</v>
      </c>
      <c r="H177" s="170" t="s">
        <v>240</v>
      </c>
      <c r="I177" s="171">
        <f>VLOOKUP(H177,'RESUMEN RENDIMIENTOS'!$V$6:$W$158,2,FALSE)</f>
        <v>1000</v>
      </c>
      <c r="J177" s="177" t="s">
        <v>62</v>
      </c>
      <c r="K177" s="172">
        <v>4</v>
      </c>
      <c r="L177" s="173">
        <f t="shared" si="25"/>
        <v>1.6194331983805669E-3</v>
      </c>
      <c r="M177" s="174">
        <f>+L177/L190</f>
        <v>1.364861637151534E-2</v>
      </c>
      <c r="N177" s="170" t="s">
        <v>210</v>
      </c>
      <c r="O177" s="171">
        <f>VLOOKUP(N177,'RESUMEN RENDIMIENTOS'!$V$6:$W$158,2,FALSE)</f>
        <v>80</v>
      </c>
      <c r="P177" s="177" t="s">
        <v>62</v>
      </c>
      <c r="Q177" s="172">
        <v>4</v>
      </c>
      <c r="R177" s="175">
        <f t="shared" si="26"/>
        <v>2.0242914979757085E-2</v>
      </c>
      <c r="S177" s="174">
        <f>+R177/R190</f>
        <v>5.1892686911898321E-2</v>
      </c>
      <c r="U177" s="138">
        <v>172</v>
      </c>
      <c r="V177" s="248" t="str">
        <f t="shared" si="27"/>
        <v>Vestibulos</v>
      </c>
      <c r="W177" s="139">
        <f t="shared" si="27"/>
        <v>228.88381548640865</v>
      </c>
      <c r="X177" s="249">
        <f t="shared" si="16"/>
        <v>1.8204286999550161E-2</v>
      </c>
      <c r="Y177" s="250"/>
      <c r="Z177" s="251">
        <f t="shared" si="23"/>
        <v>9.4861819429297416</v>
      </c>
      <c r="AA177" s="212">
        <v>21.712335174960327</v>
      </c>
    </row>
    <row r="178" spans="2:27" ht="19">
      <c r="B178" s="170" t="s">
        <v>237</v>
      </c>
      <c r="C178" s="171">
        <f>VLOOKUP(B178,'RESUMEN RENDIMIENTOS'!$V$6:$W$158,2,FALSE)</f>
        <v>250</v>
      </c>
      <c r="D178" s="177" t="s">
        <v>62</v>
      </c>
      <c r="E178" s="172">
        <v>4</v>
      </c>
      <c r="F178" s="173">
        <f t="shared" si="24"/>
        <v>6.4777327935222678E-3</v>
      </c>
      <c r="G178" s="174">
        <f>+F178/F190</f>
        <v>4.4478941118795405E-2</v>
      </c>
      <c r="H178" s="170" t="s">
        <v>237</v>
      </c>
      <c r="I178" s="171">
        <f>VLOOKUP(H178,'RESUMEN RENDIMIENTOS'!$V$6:$W$158,2,FALSE)</f>
        <v>250</v>
      </c>
      <c r="J178" s="177" t="s">
        <v>62</v>
      </c>
      <c r="K178" s="172">
        <v>4</v>
      </c>
      <c r="L178" s="173">
        <f t="shared" si="25"/>
        <v>6.4777327935222678E-3</v>
      </c>
      <c r="M178" s="174">
        <f>+L178/L190</f>
        <v>5.459446548606136E-2</v>
      </c>
      <c r="N178" s="170" t="s">
        <v>240</v>
      </c>
      <c r="O178" s="171">
        <f>VLOOKUP(N178,'RESUMEN RENDIMIENTOS'!$V$6:$W$158,2,FALSE)</f>
        <v>1000</v>
      </c>
      <c r="P178" s="177" t="s">
        <v>56</v>
      </c>
      <c r="Q178" s="172">
        <v>52.14</v>
      </c>
      <c r="R178" s="175">
        <f t="shared" si="26"/>
        <v>2.1109311740890691E-2</v>
      </c>
      <c r="S178" s="174">
        <f>+R178/R190</f>
        <v>5.411369391172758E-2</v>
      </c>
      <c r="U178" s="138">
        <v>173</v>
      </c>
      <c r="V178" s="248" t="str">
        <f t="shared" si="27"/>
        <v>Vestibulo fre M P</v>
      </c>
      <c r="W178" s="139">
        <f t="shared" si="27"/>
        <v>228.88381548640865</v>
      </c>
      <c r="X178" s="249">
        <f t="shared" si="16"/>
        <v>1.8204286999550161E-2</v>
      </c>
      <c r="Y178" s="250"/>
      <c r="Z178" s="251">
        <f t="shared" si="23"/>
        <v>9.4861819429297416</v>
      </c>
      <c r="AA178" s="212">
        <v>21.712335174960327</v>
      </c>
    </row>
    <row r="179" spans="2:27" ht="19">
      <c r="B179" s="170">
        <v>0</v>
      </c>
      <c r="C179" s="171">
        <f>VLOOKUP(B179,'RESUMEN RENDIMIENTOS'!$V$6:$W$158,2,FALSE)</f>
        <v>0</v>
      </c>
      <c r="D179" s="177"/>
      <c r="E179" s="172" t="s">
        <v>337</v>
      </c>
      <c r="F179" s="173">
        <f t="shared" si="24"/>
        <v>0</v>
      </c>
      <c r="G179" s="174">
        <f>+F179/F190</f>
        <v>0</v>
      </c>
      <c r="H179" s="170">
        <v>0</v>
      </c>
      <c r="I179" s="171">
        <f>VLOOKUP(H179,'RESUMEN RENDIMIENTOS'!$V$6:$W$158,2,FALSE)</f>
        <v>0</v>
      </c>
      <c r="J179" s="177"/>
      <c r="K179" s="172" t="s">
        <v>337</v>
      </c>
      <c r="L179" s="173">
        <f t="shared" si="25"/>
        <v>0</v>
      </c>
      <c r="M179" s="174">
        <f>+L179/L190</f>
        <v>0</v>
      </c>
      <c r="N179" s="170" t="s">
        <v>237</v>
      </c>
      <c r="O179" s="171">
        <f>VLOOKUP(N179,'RESUMEN RENDIMIENTOS'!$V$6:$W$158,2,FALSE)</f>
        <v>250</v>
      </c>
      <c r="P179" s="177" t="s">
        <v>62</v>
      </c>
      <c r="Q179" s="172">
        <v>4</v>
      </c>
      <c r="R179" s="175">
        <f t="shared" si="26"/>
        <v>6.4777327935222678E-3</v>
      </c>
      <c r="S179" s="174">
        <f>+R179/R190</f>
        <v>1.6605659811807463E-2</v>
      </c>
      <c r="U179" s="138">
        <v>174</v>
      </c>
      <c r="V179" s="248" t="str">
        <f t="shared" si="27"/>
        <v>Vestibulos fre M M</v>
      </c>
      <c r="W179" s="139">
        <f t="shared" si="27"/>
        <v>291.06187857699723</v>
      </c>
      <c r="X179" s="249">
        <f t="shared" si="16"/>
        <v>1.4315398110661272E-2</v>
      </c>
      <c r="Y179" s="250"/>
      <c r="Z179" s="251">
        <f t="shared" si="23"/>
        <v>7.4596973266001125</v>
      </c>
      <c r="AA179" s="212">
        <v>21.712335174960327</v>
      </c>
    </row>
    <row r="180" spans="2:27" ht="19">
      <c r="B180" s="170">
        <v>0</v>
      </c>
      <c r="C180" s="171">
        <f>VLOOKUP(B180,'RESUMEN RENDIMIENTOS'!$V$6:$W$158,2,FALSE)</f>
        <v>0</v>
      </c>
      <c r="D180" s="177"/>
      <c r="E180" s="172" t="s">
        <v>337</v>
      </c>
      <c r="F180" s="173">
        <f t="shared" si="24"/>
        <v>0</v>
      </c>
      <c r="G180" s="174">
        <f>+F180/F190</f>
        <v>0</v>
      </c>
      <c r="H180" s="170">
        <v>0</v>
      </c>
      <c r="I180" s="171">
        <f>VLOOKUP(H180,'RESUMEN RENDIMIENTOS'!$V$6:$W$158,2,FALSE)</f>
        <v>0</v>
      </c>
      <c r="J180" s="177"/>
      <c r="K180" s="172" t="s">
        <v>337</v>
      </c>
      <c r="L180" s="173">
        <f t="shared" si="25"/>
        <v>0</v>
      </c>
      <c r="M180" s="174">
        <f>+L180/L190</f>
        <v>0</v>
      </c>
      <c r="N180" s="170">
        <v>0</v>
      </c>
      <c r="O180" s="171">
        <f>VLOOKUP(N180,'RESUMEN RENDIMIENTOS'!$V$6:$W$158,2,FALSE)</f>
        <v>0</v>
      </c>
      <c r="P180" s="177"/>
      <c r="Q180" s="172" t="s">
        <v>337</v>
      </c>
      <c r="R180" s="175">
        <f t="shared" si="26"/>
        <v>0</v>
      </c>
      <c r="S180" s="174">
        <f>+R180/R190</f>
        <v>0</v>
      </c>
      <c r="U180" s="138">
        <v>175</v>
      </c>
      <c r="V180" s="248" t="str">
        <f t="shared" si="27"/>
        <v>Vestibulo fre M G</v>
      </c>
      <c r="W180" s="139">
        <f t="shared" si="27"/>
        <v>320.04255946975263</v>
      </c>
      <c r="X180" s="249">
        <f t="shared" si="16"/>
        <v>1.3019101814364975E-2</v>
      </c>
      <c r="Y180" s="250"/>
      <c r="Z180" s="251">
        <f t="shared" si="23"/>
        <v>6.7842024544902344</v>
      </c>
      <c r="AA180" s="212">
        <v>21.712335174960327</v>
      </c>
    </row>
    <row r="181" spans="2:27" ht="19">
      <c r="B181" s="170">
        <v>0</v>
      </c>
      <c r="C181" s="171">
        <f>VLOOKUP(B181,'RESUMEN RENDIMIENTOS'!$V$6:$W$158,2,FALSE)</f>
        <v>0</v>
      </c>
      <c r="D181" s="177"/>
      <c r="E181" s="172" t="s">
        <v>337</v>
      </c>
      <c r="F181" s="173">
        <f t="shared" si="24"/>
        <v>0</v>
      </c>
      <c r="G181" s="174">
        <f>+F181/F190</f>
        <v>0</v>
      </c>
      <c r="H181" s="170">
        <v>0</v>
      </c>
      <c r="I181" s="171">
        <f>VLOOKUP(H181,'RESUMEN RENDIMIENTOS'!$V$6:$W$158,2,FALSE)</f>
        <v>0</v>
      </c>
      <c r="J181" s="177"/>
      <c r="K181" s="172" t="s">
        <v>337</v>
      </c>
      <c r="L181" s="173">
        <f t="shared" si="25"/>
        <v>0</v>
      </c>
      <c r="M181" s="174">
        <f>+L181/L190</f>
        <v>0</v>
      </c>
      <c r="N181" s="170">
        <v>0</v>
      </c>
      <c r="O181" s="171">
        <f>VLOOKUP(N181,'RESUMEN RENDIMIENTOS'!$V$6:$W$158,2,FALSE)</f>
        <v>0</v>
      </c>
      <c r="P181" s="177"/>
      <c r="Q181" s="172" t="s">
        <v>337</v>
      </c>
      <c r="R181" s="175">
        <f t="shared" si="26"/>
        <v>0</v>
      </c>
      <c r="S181" s="174">
        <f>+R181/R190</f>
        <v>0</v>
      </c>
      <c r="U181" s="138">
        <v>176</v>
      </c>
      <c r="V181" s="248" t="str">
        <f t="shared" si="27"/>
        <v>Vestuarios Taquillas</v>
      </c>
      <c r="W181" s="139">
        <f t="shared" si="27"/>
        <v>148.65487998429029</v>
      </c>
      <c r="X181" s="249">
        <f t="shared" si="16"/>
        <v>2.8029128052217297E-2</v>
      </c>
      <c r="Y181" s="250"/>
      <c r="Z181" s="251">
        <f t="shared" si="23"/>
        <v>14.605867750358998</v>
      </c>
      <c r="AA181" s="212">
        <v>21.712335174960327</v>
      </c>
    </row>
    <row r="182" spans="2:27" ht="19">
      <c r="B182" s="170">
        <v>0</v>
      </c>
      <c r="C182" s="171">
        <f>VLOOKUP(B182,'RESUMEN RENDIMIENTOS'!$V$6:$W$158,2,FALSE)</f>
        <v>0</v>
      </c>
      <c r="D182" s="177"/>
      <c r="E182" s="172" t="s">
        <v>337</v>
      </c>
      <c r="F182" s="173">
        <f t="shared" si="24"/>
        <v>0</v>
      </c>
      <c r="G182" s="174">
        <f>+F182/F190</f>
        <v>0</v>
      </c>
      <c r="H182" s="170">
        <v>0</v>
      </c>
      <c r="I182" s="171">
        <f>VLOOKUP(H182,'RESUMEN RENDIMIENTOS'!$V$6:$W$158,2,FALSE)</f>
        <v>0</v>
      </c>
      <c r="J182" s="177"/>
      <c r="K182" s="172" t="s">
        <v>337</v>
      </c>
      <c r="L182" s="173">
        <f t="shared" si="25"/>
        <v>0</v>
      </c>
      <c r="M182" s="174">
        <f>+L182/L190</f>
        <v>0</v>
      </c>
      <c r="N182" s="170">
        <v>0</v>
      </c>
      <c r="O182" s="171">
        <f>VLOOKUP(N182,'RESUMEN RENDIMIENTOS'!$V$6:$W$158,2,FALSE)</f>
        <v>0</v>
      </c>
      <c r="P182" s="177"/>
      <c r="Q182" s="172" t="s">
        <v>337</v>
      </c>
      <c r="R182" s="175">
        <f t="shared" si="26"/>
        <v>0</v>
      </c>
      <c r="S182" s="174">
        <f>+R182/R190</f>
        <v>0</v>
      </c>
      <c r="U182" s="138">
        <v>177</v>
      </c>
      <c r="V182" s="248" t="str">
        <f t="shared" si="27"/>
        <v>Vestuarios Completos</v>
      </c>
      <c r="W182" s="139">
        <f t="shared" si="27"/>
        <v>114.3771463934039</v>
      </c>
      <c r="X182" s="249">
        <f t="shared" si="16"/>
        <v>3.6429188855046986E-2</v>
      </c>
      <c r="Y182" s="250"/>
      <c r="Z182" s="251">
        <f t="shared" si="23"/>
        <v>18.983106205745024</v>
      </c>
      <c r="AA182" s="212">
        <v>21.712335174960327</v>
      </c>
    </row>
    <row r="183" spans="2:27" ht="19">
      <c r="B183" s="170">
        <v>0</v>
      </c>
      <c r="C183" s="171">
        <f>VLOOKUP(B183,'RESUMEN RENDIMIENTOS'!$V$6:$W$158,2,FALSE)</f>
        <v>0</v>
      </c>
      <c r="D183" s="177"/>
      <c r="E183" s="172" t="s">
        <v>337</v>
      </c>
      <c r="F183" s="173">
        <f t="shared" si="24"/>
        <v>0</v>
      </c>
      <c r="G183" s="174">
        <f>+F183/F190</f>
        <v>0</v>
      </c>
      <c r="H183" s="170">
        <v>0</v>
      </c>
      <c r="I183" s="171">
        <f>VLOOKUP(H183,'RESUMEN RENDIMIENTOS'!$V$6:$W$158,2,FALSE)</f>
        <v>0</v>
      </c>
      <c r="J183" s="177"/>
      <c r="K183" s="172" t="s">
        <v>337</v>
      </c>
      <c r="L183" s="173">
        <f t="shared" si="25"/>
        <v>0</v>
      </c>
      <c r="M183" s="174">
        <f>+L183/L190</f>
        <v>0</v>
      </c>
      <c r="N183" s="170">
        <v>0</v>
      </c>
      <c r="O183" s="171">
        <f>VLOOKUP(N183,'RESUMEN RENDIMIENTOS'!$V$6:$W$158,2,FALSE)</f>
        <v>0</v>
      </c>
      <c r="P183" s="177"/>
      <c r="Q183" s="172" t="s">
        <v>337</v>
      </c>
      <c r="R183" s="175">
        <f t="shared" si="26"/>
        <v>0</v>
      </c>
      <c r="S183" s="174">
        <f>+R183/R190</f>
        <v>0</v>
      </c>
      <c r="U183" s="138">
        <v>178</v>
      </c>
      <c r="V183" s="248" t="str">
        <f t="shared" si="27"/>
        <v>Zona limpio</v>
      </c>
      <c r="W183" s="139">
        <f t="shared" si="27"/>
        <v>190.55601256184707</v>
      </c>
      <c r="X183" s="249">
        <f t="shared" si="16"/>
        <v>2.1865836772347075E-2</v>
      </c>
      <c r="Y183" s="250"/>
      <c r="Z183" s="251">
        <f t="shared" si="23"/>
        <v>11.394201045172137</v>
      </c>
      <c r="AA183" s="212">
        <v>21.712335174960327</v>
      </c>
    </row>
    <row r="184" spans="2:27" ht="19">
      <c r="B184" s="170">
        <v>0</v>
      </c>
      <c r="C184" s="171">
        <f>VLOOKUP(B184,'RESUMEN RENDIMIENTOS'!$V$6:$W$158,2,FALSE)</f>
        <v>0</v>
      </c>
      <c r="D184" s="177"/>
      <c r="E184" s="172" t="s">
        <v>337</v>
      </c>
      <c r="F184" s="173">
        <f t="shared" si="24"/>
        <v>0</v>
      </c>
      <c r="G184" s="174">
        <f>+F184/F190</f>
        <v>0</v>
      </c>
      <c r="H184" s="170">
        <v>0</v>
      </c>
      <c r="I184" s="171">
        <f>VLOOKUP(H184,'RESUMEN RENDIMIENTOS'!$V$6:$W$158,2,FALSE)</f>
        <v>0</v>
      </c>
      <c r="J184" s="177"/>
      <c r="K184" s="172" t="s">
        <v>337</v>
      </c>
      <c r="L184" s="173">
        <f t="shared" si="25"/>
        <v>0</v>
      </c>
      <c r="M184" s="174">
        <f>+L184/L190</f>
        <v>0</v>
      </c>
      <c r="N184" s="170">
        <v>0</v>
      </c>
      <c r="O184" s="171">
        <f>VLOOKUP(N184,'RESUMEN RENDIMIENTOS'!$V$6:$W$158,2,FALSE)</f>
        <v>0</v>
      </c>
      <c r="P184" s="177"/>
      <c r="Q184" s="172" t="s">
        <v>337</v>
      </c>
      <c r="R184" s="175">
        <f t="shared" si="26"/>
        <v>0</v>
      </c>
      <c r="S184" s="174">
        <f>+R184/R190</f>
        <v>0</v>
      </c>
      <c r="U184" s="138">
        <v>179</v>
      </c>
      <c r="V184" s="248" t="str">
        <f t="shared" si="27"/>
        <v>Zona Sucio</v>
      </c>
      <c r="W184" s="139">
        <f t="shared" si="27"/>
        <v>190.55601256184707</v>
      </c>
      <c r="X184" s="249">
        <f t="shared" si="16"/>
        <v>2.1865836772347075E-2</v>
      </c>
      <c r="Y184" s="250"/>
      <c r="Z184" s="251">
        <f t="shared" si="23"/>
        <v>11.394201045172137</v>
      </c>
      <c r="AA184" s="212">
        <v>21.712335174960327</v>
      </c>
    </row>
    <row r="185" spans="2:27" ht="19">
      <c r="B185" s="170">
        <v>0</v>
      </c>
      <c r="C185" s="171">
        <f>VLOOKUP(B185,'RESUMEN RENDIMIENTOS'!$V$6:$W$158,2,FALSE)</f>
        <v>0</v>
      </c>
      <c r="D185" s="177"/>
      <c r="E185" s="172" t="s">
        <v>337</v>
      </c>
      <c r="F185" s="173">
        <f t="shared" si="24"/>
        <v>0</v>
      </c>
      <c r="G185" s="174">
        <f>+F185/F190</f>
        <v>0</v>
      </c>
      <c r="H185" s="170">
        <v>0</v>
      </c>
      <c r="I185" s="171">
        <f>VLOOKUP(H185,'RESUMEN RENDIMIENTOS'!$V$6:$W$158,2,FALSE)</f>
        <v>0</v>
      </c>
      <c r="J185" s="177"/>
      <c r="K185" s="172" t="s">
        <v>337</v>
      </c>
      <c r="L185" s="173">
        <f t="shared" si="25"/>
        <v>0</v>
      </c>
      <c r="M185" s="174">
        <f>+L185/L190</f>
        <v>0</v>
      </c>
      <c r="N185" s="170">
        <v>0</v>
      </c>
      <c r="O185" s="171">
        <f>VLOOKUP(N185,'RESUMEN RENDIMIENTOS'!$V$6:$W$158,2,FALSE)</f>
        <v>0</v>
      </c>
      <c r="P185" s="177"/>
      <c r="Q185" s="172" t="s">
        <v>337</v>
      </c>
      <c r="R185" s="175">
        <f t="shared" si="26"/>
        <v>0</v>
      </c>
      <c r="S185" s="174">
        <f>+R185/R190</f>
        <v>0</v>
      </c>
      <c r="U185" s="138">
        <v>180</v>
      </c>
      <c r="V185" s="248" t="str">
        <f t="shared" si="27"/>
        <v>Zonas Administrativas</v>
      </c>
      <c r="W185" s="139">
        <f t="shared" si="27"/>
        <v>217.52409321515051</v>
      </c>
      <c r="X185" s="249">
        <f t="shared" si="16"/>
        <v>1.9154966261808369E-2</v>
      </c>
      <c r="Y185" s="250"/>
      <c r="Z185" s="251">
        <f t="shared" si="23"/>
        <v>9.9815771457945637</v>
      </c>
      <c r="AA185" s="212">
        <v>21.712335174960327</v>
      </c>
    </row>
    <row r="186" spans="2:27" ht="19">
      <c r="B186" s="170">
        <v>0</v>
      </c>
      <c r="C186" s="171">
        <f>VLOOKUP(B186,'RESUMEN RENDIMIENTOS'!$V$6:$W$158,2,FALSE)</f>
        <v>0</v>
      </c>
      <c r="D186" s="177"/>
      <c r="E186" s="172" t="s">
        <v>337</v>
      </c>
      <c r="F186" s="173">
        <f t="shared" si="24"/>
        <v>0</v>
      </c>
      <c r="G186" s="174">
        <f>+F186/F190</f>
        <v>0</v>
      </c>
      <c r="H186" s="170">
        <v>0</v>
      </c>
      <c r="I186" s="171">
        <f>VLOOKUP(H186,'RESUMEN RENDIMIENTOS'!$V$6:$W$158,2,FALSE)</f>
        <v>0</v>
      </c>
      <c r="J186" s="177"/>
      <c r="K186" s="172" t="s">
        <v>337</v>
      </c>
      <c r="L186" s="173">
        <f t="shared" si="25"/>
        <v>0</v>
      </c>
      <c r="M186" s="174">
        <f>+L186/L190</f>
        <v>0</v>
      </c>
      <c r="N186" s="170">
        <v>0</v>
      </c>
      <c r="O186" s="171">
        <f>VLOOKUP(N186,'RESUMEN RENDIMIENTOS'!$V$6:$W$158,2,FALSE)</f>
        <v>0</v>
      </c>
      <c r="P186" s="177"/>
      <c r="Q186" s="172" t="s">
        <v>337</v>
      </c>
      <c r="R186" s="175">
        <f t="shared" si="26"/>
        <v>0</v>
      </c>
      <c r="S186" s="174">
        <f>+R186/R190</f>
        <v>0</v>
      </c>
      <c r="U186" s="138">
        <v>181</v>
      </c>
      <c r="V186" s="248" t="str">
        <f>J3</f>
        <v>Zonas administrativas Moqueta</v>
      </c>
      <c r="W186" s="139">
        <f>L3</f>
        <v>285.87765907374916</v>
      </c>
      <c r="X186" s="249">
        <f t="shared" si="16"/>
        <v>1.4574999250262408E-2</v>
      </c>
      <c r="Y186" s="250"/>
      <c r="Z186" s="251">
        <f t="shared" si="23"/>
        <v>7.594974453515829</v>
      </c>
      <c r="AA186" s="212">
        <v>21.712335174960327</v>
      </c>
    </row>
    <row r="187" spans="2:27" ht="19">
      <c r="B187" s="170">
        <v>0</v>
      </c>
      <c r="C187" s="171">
        <f>VLOOKUP(B187,'RESUMEN RENDIMIENTOS'!$V$6:$W$158,2,FALSE)</f>
        <v>0</v>
      </c>
      <c r="D187" s="177"/>
      <c r="E187" s="172" t="s">
        <v>337</v>
      </c>
      <c r="F187" s="173">
        <f t="shared" si="24"/>
        <v>0</v>
      </c>
      <c r="G187" s="174">
        <f>+F187/F190</f>
        <v>0</v>
      </c>
      <c r="H187" s="170">
        <v>0</v>
      </c>
      <c r="I187" s="171">
        <f>VLOOKUP(H187,'RESUMEN RENDIMIENTOS'!$V$6:$W$158,2,FALSE)</f>
        <v>0</v>
      </c>
      <c r="J187" s="177"/>
      <c r="K187" s="172" t="s">
        <v>337</v>
      </c>
      <c r="L187" s="173">
        <f t="shared" si="25"/>
        <v>0</v>
      </c>
      <c r="M187" s="174">
        <f>+L187/L190</f>
        <v>0</v>
      </c>
      <c r="N187" s="170">
        <v>0</v>
      </c>
      <c r="O187" s="171">
        <f>VLOOKUP(N187,'RESUMEN RENDIMIENTOS'!$V$6:$W$158,2,FALSE)</f>
        <v>0</v>
      </c>
      <c r="P187" s="177"/>
      <c r="Q187" s="172" t="s">
        <v>337</v>
      </c>
      <c r="R187" s="175">
        <f t="shared" si="26"/>
        <v>0</v>
      </c>
      <c r="S187" s="174">
        <f>+R187/R190</f>
        <v>0</v>
      </c>
      <c r="U187" s="138">
        <v>182</v>
      </c>
      <c r="V187" s="248" t="str">
        <f t="shared" ref="V187:V196" si="28">J4</f>
        <v>Vacio 1</v>
      </c>
      <c r="W187" s="139">
        <f t="shared" ref="W187:W196" si="29">L4</f>
        <v>1250.0000000000002</v>
      </c>
      <c r="X187" s="249">
        <f t="shared" si="16"/>
        <v>3.3333333333333327E-3</v>
      </c>
      <c r="Y187" s="250"/>
      <c r="Z187" s="251">
        <f t="shared" si="23"/>
        <v>1.7369868139968259</v>
      </c>
      <c r="AA187" s="212">
        <v>21.712335174960327</v>
      </c>
    </row>
    <row r="188" spans="2:27" ht="19">
      <c r="B188" s="170">
        <v>0</v>
      </c>
      <c r="C188" s="171">
        <f>VLOOKUP(B188,'RESUMEN RENDIMIENTOS'!$V$6:$W$158,2,FALSE)</f>
        <v>0</v>
      </c>
      <c r="D188" s="177"/>
      <c r="E188" s="172" t="s">
        <v>337</v>
      </c>
      <c r="F188" s="173">
        <f t="shared" si="24"/>
        <v>0</v>
      </c>
      <c r="G188" s="174">
        <f>+F188/F190</f>
        <v>0</v>
      </c>
      <c r="H188" s="170">
        <v>0</v>
      </c>
      <c r="I188" s="171">
        <f>VLOOKUP(H188,'RESUMEN RENDIMIENTOS'!$V$6:$W$158,2,FALSE)</f>
        <v>0</v>
      </c>
      <c r="J188" s="177"/>
      <c r="K188" s="172" t="s">
        <v>337</v>
      </c>
      <c r="L188" s="173">
        <f t="shared" si="25"/>
        <v>0</v>
      </c>
      <c r="M188" s="174">
        <f>+L188/L190</f>
        <v>0</v>
      </c>
      <c r="N188" s="170">
        <v>0</v>
      </c>
      <c r="O188" s="171">
        <f>VLOOKUP(N188,'RESUMEN RENDIMIENTOS'!$V$6:$W$158,2,FALSE)</f>
        <v>0</v>
      </c>
      <c r="P188" s="177"/>
      <c r="Q188" s="172" t="s">
        <v>337</v>
      </c>
      <c r="R188" s="175">
        <f t="shared" si="26"/>
        <v>0</v>
      </c>
      <c r="S188" s="174">
        <f>+R188/R190</f>
        <v>0</v>
      </c>
      <c r="U188" s="138">
        <v>183</v>
      </c>
      <c r="V188" s="248" t="str">
        <f t="shared" si="28"/>
        <v>Vacio 2</v>
      </c>
      <c r="W188" s="139">
        <f t="shared" si="29"/>
        <v>1250.0000000000002</v>
      </c>
      <c r="X188" s="249">
        <f t="shared" si="16"/>
        <v>3.3333333333333327E-3</v>
      </c>
      <c r="Y188" s="250"/>
      <c r="Z188" s="251">
        <f t="shared" si="23"/>
        <v>1.7369868139968259</v>
      </c>
      <c r="AA188" s="212">
        <v>21.712335174960327</v>
      </c>
    </row>
    <row r="189" spans="2:27" ht="19">
      <c r="B189" s="170">
        <v>0</v>
      </c>
      <c r="C189" s="171">
        <f>VLOOKUP(B189,'RESUMEN RENDIMIENTOS'!$V$6:$W$158,2,FALSE)</f>
        <v>0</v>
      </c>
      <c r="D189" s="177"/>
      <c r="E189" s="172" t="s">
        <v>337</v>
      </c>
      <c r="F189" s="173">
        <f t="shared" si="24"/>
        <v>0</v>
      </c>
      <c r="G189" s="174">
        <f>+F189/F190</f>
        <v>0</v>
      </c>
      <c r="H189" s="170">
        <v>0</v>
      </c>
      <c r="I189" s="171">
        <f>VLOOKUP(H189,'RESUMEN RENDIMIENTOS'!$V$6:$W$158,2,FALSE)</f>
        <v>0</v>
      </c>
      <c r="J189" s="177"/>
      <c r="K189" s="172" t="s">
        <v>337</v>
      </c>
      <c r="L189" s="173">
        <f t="shared" si="25"/>
        <v>0</v>
      </c>
      <c r="M189" s="174">
        <f>+L189/L190</f>
        <v>0</v>
      </c>
      <c r="N189" s="170">
        <v>0</v>
      </c>
      <c r="O189" s="171">
        <f>VLOOKUP(N189,'RESUMEN RENDIMIENTOS'!$V$6:$W$158,2,FALSE)</f>
        <v>0</v>
      </c>
      <c r="P189" s="177"/>
      <c r="Q189" s="172" t="s">
        <v>337</v>
      </c>
      <c r="R189" s="175">
        <f t="shared" si="26"/>
        <v>0</v>
      </c>
      <c r="S189" s="174">
        <f>+R189/R190</f>
        <v>0</v>
      </c>
      <c r="U189" s="138">
        <v>184</v>
      </c>
      <c r="V189" s="248" t="str">
        <f t="shared" si="28"/>
        <v>Vacio 3</v>
      </c>
      <c r="W189" s="139">
        <f t="shared" si="29"/>
        <v>1250.0000000000002</v>
      </c>
      <c r="X189" s="249">
        <f t="shared" si="16"/>
        <v>3.3333333333333327E-3</v>
      </c>
      <c r="Y189" s="250"/>
      <c r="Z189" s="251">
        <f t="shared" si="23"/>
        <v>1.7369868139968259</v>
      </c>
      <c r="AA189" s="212">
        <v>21.712335174960327</v>
      </c>
    </row>
    <row r="190" spans="2:27" ht="30.75" customHeight="1" thickBot="1">
      <c r="B190" s="178"/>
      <c r="E190" s="90"/>
      <c r="F190" s="173">
        <f>SUM(F174:F189)</f>
        <v>0.14563594884647516</v>
      </c>
      <c r="G190" s="181">
        <f>+F190/F190</f>
        <v>1</v>
      </c>
      <c r="H190" s="178"/>
      <c r="I190" s="179"/>
      <c r="J190" s="182" t="s">
        <v>24</v>
      </c>
      <c r="K190" s="90"/>
      <c r="L190" s="173">
        <f>SUM(L174:L189)</f>
        <v>0.11865182186234817</v>
      </c>
      <c r="M190" s="181">
        <f>+L190/L190</f>
        <v>1</v>
      </c>
      <c r="N190" s="178"/>
      <c r="O190" s="179"/>
      <c r="Q190" s="90"/>
      <c r="R190" s="175">
        <f>SUM(R174:R189)</f>
        <v>0.39009186427607484</v>
      </c>
      <c r="S190" s="181">
        <f>+R190/R190</f>
        <v>1</v>
      </c>
      <c r="U190" s="138">
        <v>185</v>
      </c>
      <c r="V190" s="248" t="str">
        <f t="shared" si="28"/>
        <v>Vacio 4</v>
      </c>
      <c r="W190" s="139">
        <f t="shared" si="29"/>
        <v>1250.0000000000002</v>
      </c>
      <c r="X190" s="249">
        <f t="shared" ref="X190:X248" si="30">(100/W190)/24</f>
        <v>3.3333333333333327E-3</v>
      </c>
      <c r="Y190" s="250"/>
      <c r="Z190" s="251">
        <f t="shared" si="23"/>
        <v>1.7369868139968259</v>
      </c>
      <c r="AA190" s="212">
        <v>21.712335174960327</v>
      </c>
    </row>
    <row r="191" spans="2:27" ht="28.5" customHeight="1">
      <c r="B191" s="427" t="s">
        <v>317</v>
      </c>
      <c r="C191" s="428"/>
      <c r="D191" s="429"/>
      <c r="E191" s="185">
        <v>0.12</v>
      </c>
      <c r="F191" s="173">
        <f>+F190*E191</f>
        <v>1.7476313861577018E-2</v>
      </c>
      <c r="H191" s="427" t="s">
        <v>317</v>
      </c>
      <c r="I191" s="428"/>
      <c r="J191" s="429"/>
      <c r="K191" s="185">
        <v>0.12</v>
      </c>
      <c r="L191" s="173">
        <f>+L190*K191</f>
        <v>1.423821862348178E-2</v>
      </c>
      <c r="N191" s="427" t="s">
        <v>317</v>
      </c>
      <c r="O191" s="428"/>
      <c r="P191" s="429"/>
      <c r="Q191" s="185">
        <v>0.12</v>
      </c>
      <c r="R191" s="175">
        <f>+R190*Q191</f>
        <v>4.681102371312898E-2</v>
      </c>
      <c r="U191" s="138">
        <v>186</v>
      </c>
      <c r="V191" s="248" t="str">
        <f t="shared" si="28"/>
        <v>Vacio 5</v>
      </c>
      <c r="W191" s="139">
        <f t="shared" si="29"/>
        <v>1250.0000000000002</v>
      </c>
      <c r="X191" s="249">
        <f t="shared" si="30"/>
        <v>3.3333333333333327E-3</v>
      </c>
      <c r="Y191" s="250"/>
      <c r="Z191" s="251">
        <f t="shared" si="23"/>
        <v>1.7369868139968259</v>
      </c>
      <c r="AA191" s="212">
        <v>21.712335174960327</v>
      </c>
    </row>
    <row r="192" spans="2:27" ht="18" customHeight="1">
      <c r="B192" s="178"/>
      <c r="F192" s="173">
        <f>+F191+F190</f>
        <v>0.16311226270805218</v>
      </c>
      <c r="G192" s="187">
        <f>+F192/24</f>
        <v>6.7963442795021742E-3</v>
      </c>
      <c r="H192" s="178"/>
      <c r="I192" s="179"/>
      <c r="K192" s="88"/>
      <c r="L192" s="173">
        <f>+L191+L190</f>
        <v>0.13289004048582995</v>
      </c>
      <c r="M192" s="187">
        <f>+L192/24</f>
        <v>5.5370850202429147E-3</v>
      </c>
      <c r="N192" s="178"/>
      <c r="O192" s="179"/>
      <c r="R192" s="175">
        <f>+R191+R190</f>
        <v>0.43690288798920385</v>
      </c>
      <c r="S192" s="187">
        <f>+R192/24</f>
        <v>1.8204286999550161E-2</v>
      </c>
      <c r="U192" s="138">
        <v>187</v>
      </c>
      <c r="V192" s="248" t="str">
        <f t="shared" si="28"/>
        <v>Vacio 6</v>
      </c>
      <c r="W192" s="139">
        <f t="shared" si="29"/>
        <v>1250.0000000000002</v>
      </c>
      <c r="X192" s="249">
        <f t="shared" si="30"/>
        <v>3.3333333333333327E-3</v>
      </c>
      <c r="Y192" s="250"/>
      <c r="Z192" s="251">
        <f t="shared" si="23"/>
        <v>1.7369868139968259</v>
      </c>
      <c r="AA192" s="212">
        <v>21.712335174960327</v>
      </c>
    </row>
    <row r="193" spans="2:27" ht="13.5" customHeight="1">
      <c r="B193" s="178"/>
      <c r="D193" s="188"/>
      <c r="F193" s="189"/>
      <c r="H193" s="178"/>
      <c r="I193" s="179"/>
      <c r="J193" s="188"/>
      <c r="K193" s="88"/>
      <c r="N193" s="178"/>
      <c r="O193" s="179"/>
      <c r="P193" s="188"/>
      <c r="R193" s="189"/>
      <c r="U193" s="138">
        <v>188</v>
      </c>
      <c r="V193" s="248" t="str">
        <f t="shared" si="28"/>
        <v>Vacio 7</v>
      </c>
      <c r="W193" s="139">
        <f t="shared" si="29"/>
        <v>1250.0000000000002</v>
      </c>
      <c r="X193" s="249">
        <f t="shared" si="30"/>
        <v>3.3333333333333327E-3</v>
      </c>
      <c r="Y193" s="250"/>
      <c r="Z193" s="251">
        <f t="shared" si="23"/>
        <v>1.7369868139968259</v>
      </c>
      <c r="AA193" s="212">
        <v>21.712335174960327</v>
      </c>
    </row>
    <row r="194" spans="2:27" ht="21">
      <c r="B194" s="191" t="s">
        <v>318</v>
      </c>
      <c r="C194" s="192"/>
      <c r="D194" s="192"/>
      <c r="E194" s="444">
        <f>IF(F192=0,0,(100/F192))</f>
        <v>613.07469064411066</v>
      </c>
      <c r="F194" s="445"/>
      <c r="H194" s="191" t="s">
        <v>318</v>
      </c>
      <c r="I194" s="192"/>
      <c r="J194" s="192"/>
      <c r="K194" s="444">
        <f>IF(L192=0,0,(100/L192))</f>
        <v>752.5018401259573</v>
      </c>
      <c r="L194" s="445"/>
      <c r="N194" s="191" t="s">
        <v>318</v>
      </c>
      <c r="O194" s="192"/>
      <c r="P194" s="192"/>
      <c r="Q194" s="444">
        <f>IF(R192=0,0,(100/R192))</f>
        <v>228.88381548640865</v>
      </c>
      <c r="R194" s="445"/>
      <c r="U194" s="138">
        <v>189</v>
      </c>
      <c r="V194" s="248" t="str">
        <f t="shared" si="28"/>
        <v>Vacio 8</v>
      </c>
      <c r="W194" s="139">
        <f t="shared" si="29"/>
        <v>1250.0000000000002</v>
      </c>
      <c r="X194" s="249">
        <f t="shared" si="30"/>
        <v>3.3333333333333327E-3</v>
      </c>
      <c r="Y194" s="250"/>
      <c r="Z194" s="251">
        <f t="shared" si="23"/>
        <v>1.7369868139968259</v>
      </c>
      <c r="AA194" s="212">
        <v>21.712335174960327</v>
      </c>
    </row>
    <row r="195" spans="2:27" ht="13.5" customHeight="1">
      <c r="B195" s="178"/>
      <c r="F195" s="189"/>
      <c r="H195" s="178"/>
      <c r="I195" s="179"/>
      <c r="K195" s="88"/>
      <c r="N195" s="178"/>
      <c r="O195" s="179"/>
      <c r="R195" s="189"/>
      <c r="U195" s="138">
        <v>190</v>
      </c>
      <c r="V195" s="248" t="str">
        <f t="shared" si="28"/>
        <v>Vacio 9</v>
      </c>
      <c r="W195" s="139">
        <f t="shared" si="29"/>
        <v>1250.0000000000002</v>
      </c>
      <c r="X195" s="249">
        <f t="shared" si="30"/>
        <v>3.3333333333333327E-3</v>
      </c>
      <c r="Y195" s="250"/>
      <c r="Z195" s="251">
        <f t="shared" si="23"/>
        <v>1.7369868139968259</v>
      </c>
      <c r="AA195" s="212">
        <v>21.712335174960327</v>
      </c>
    </row>
    <row r="196" spans="2:27" ht="21">
      <c r="B196" s="446" t="s">
        <v>319</v>
      </c>
      <c r="C196" s="447"/>
      <c r="D196" s="447"/>
      <c r="E196" s="447"/>
      <c r="F196" s="448"/>
      <c r="H196" s="446" t="s">
        <v>319</v>
      </c>
      <c r="I196" s="447"/>
      <c r="J196" s="447"/>
      <c r="K196" s="447"/>
      <c r="L196" s="448"/>
      <c r="N196" s="446" t="s">
        <v>319</v>
      </c>
      <c r="O196" s="447"/>
      <c r="P196" s="447"/>
      <c r="Q196" s="447"/>
      <c r="R196" s="448"/>
      <c r="U196" s="138">
        <v>191</v>
      </c>
      <c r="V196" s="248" t="str">
        <f t="shared" si="28"/>
        <v>Vacio 10</v>
      </c>
      <c r="W196" s="139">
        <f t="shared" si="29"/>
        <v>1250.0000000000002</v>
      </c>
      <c r="X196" s="249">
        <f t="shared" si="30"/>
        <v>3.3333333333333327E-3</v>
      </c>
      <c r="Y196" s="250"/>
      <c r="Z196" s="251">
        <f t="shared" si="23"/>
        <v>1.7369868139968259</v>
      </c>
      <c r="AA196" s="212">
        <v>21.712335174960327</v>
      </c>
    </row>
    <row r="197" spans="2:27" ht="18" customHeight="1">
      <c r="B197" s="194" t="s">
        <v>320</v>
      </c>
      <c r="C197" s="195"/>
      <c r="D197" s="435" t="s">
        <v>321</v>
      </c>
      <c r="E197" s="435"/>
      <c r="F197" s="196" t="s">
        <v>322</v>
      </c>
      <c r="H197" s="194" t="s">
        <v>320</v>
      </c>
      <c r="I197" s="195"/>
      <c r="J197" s="435" t="s">
        <v>321</v>
      </c>
      <c r="K197" s="435"/>
      <c r="L197" s="196" t="s">
        <v>322</v>
      </c>
      <c r="N197" s="194" t="s">
        <v>320</v>
      </c>
      <c r="O197" s="195"/>
      <c r="P197" s="435" t="s">
        <v>321</v>
      </c>
      <c r="Q197" s="435"/>
      <c r="R197" s="196" t="s">
        <v>322</v>
      </c>
      <c r="U197" s="138">
        <v>192</v>
      </c>
      <c r="V197" s="248" t="str">
        <f t="shared" ref="V197:V212" si="31">P5</f>
        <v>Cristales cocinas</v>
      </c>
      <c r="W197" s="139">
        <f t="shared" ref="W197:W202" si="32">R5</f>
        <v>3</v>
      </c>
      <c r="X197" s="249">
        <f t="shared" si="30"/>
        <v>1.3888888888888891</v>
      </c>
      <c r="Y197" s="250"/>
      <c r="Z197" s="251">
        <f t="shared" si="23"/>
        <v>723.74450583201087</v>
      </c>
      <c r="AA197" s="212">
        <v>21.712335174960327</v>
      </c>
    </row>
    <row r="198" spans="2:27" ht="19">
      <c r="B198" s="197" t="s">
        <v>278</v>
      </c>
      <c r="C198" s="201">
        <v>1</v>
      </c>
      <c r="E198" s="199">
        <f>IF(C198=0,0,(VLOOKUP(B198,'RESUMEN RENDIMIENTOS'!$AB$6:$AO$64,13,FALSE)))*C198</f>
        <v>0.75</v>
      </c>
      <c r="F198" s="200">
        <f>IF(C198=0,0,(VLOOKUP(B198,'RESUMEN RENDIMIENTOS'!$AB$6:$AO$64,14,FALSE)))*C198</f>
        <v>1.0285714285714287E-2</v>
      </c>
      <c r="H198" s="197" t="s">
        <v>278</v>
      </c>
      <c r="I198" s="201">
        <v>1</v>
      </c>
      <c r="K198" s="199">
        <f>IF(I198=0,0,(VLOOKUP(H198,'RESUMEN RENDIMIENTOS'!$AB$6:$AO$64,13,FALSE)))*I198</f>
        <v>0.75</v>
      </c>
      <c r="L198" s="200">
        <f>IF(I198=0,0,(VLOOKUP(H198,'RESUMEN RENDIMIENTOS'!$AB$6:$AO$64,14,FALSE)))*I198</f>
        <v>1.0285714285714287E-2</v>
      </c>
      <c r="N198" s="197" t="s">
        <v>278</v>
      </c>
      <c r="O198" s="201">
        <v>1</v>
      </c>
      <c r="Q198" s="199">
        <f>IF(O198=0,0,(VLOOKUP(N198,'RESUMEN RENDIMIENTOS'!$AB$6:$AO$64,13,FALSE)))*O198</f>
        <v>0.75</v>
      </c>
      <c r="R198" s="200">
        <f>IF(O198=0,0,(VLOOKUP(N198,'RESUMEN RENDIMIENTOS'!$AB$6:$AO$64,14,FALSE)))*O198</f>
        <v>1.0285714285714287E-2</v>
      </c>
      <c r="U198" s="138">
        <v>193</v>
      </c>
      <c r="V198" s="248" t="str">
        <f t="shared" si="31"/>
        <v>Cristales Obra</v>
      </c>
      <c r="W198" s="139">
        <f t="shared" si="32"/>
        <v>3</v>
      </c>
      <c r="X198" s="249">
        <f t="shared" si="30"/>
        <v>1.3888888888888891</v>
      </c>
      <c r="Y198" s="250"/>
      <c r="Z198" s="251">
        <f t="shared" si="23"/>
        <v>723.74450583201087</v>
      </c>
      <c r="AA198" s="212">
        <v>21.712335174960327</v>
      </c>
    </row>
    <row r="199" spans="2:27" ht="19">
      <c r="B199" s="197" t="s">
        <v>279</v>
      </c>
      <c r="C199" s="201">
        <v>1</v>
      </c>
      <c r="E199" s="199">
        <f>IF(C199=0,0,(VLOOKUP(B199,'RESUMEN RENDIMIENTOS'!$AB$6:$AO$64,13,FALSE)))*C199</f>
        <v>2</v>
      </c>
      <c r="F199" s="200">
        <f>IF(C199=0,0,(VLOOKUP(B199,'RESUMEN RENDIMIENTOS'!$AB$6:$AO$64,14,FALSE)))*C199</f>
        <v>9.5999999999999988E-2</v>
      </c>
      <c r="H199" s="197" t="s">
        <v>279</v>
      </c>
      <c r="I199" s="201">
        <v>1</v>
      </c>
      <c r="K199" s="199">
        <f>IF(I199=0,0,(VLOOKUP(H199,'RESUMEN RENDIMIENTOS'!$AB$6:$AO$64,13,FALSE)))*I199</f>
        <v>2</v>
      </c>
      <c r="L199" s="200">
        <f>IF(I199=0,0,(VLOOKUP(H199,'RESUMEN RENDIMIENTOS'!$AB$6:$AO$64,14,FALSE)))*I199</f>
        <v>9.5999999999999988E-2</v>
      </c>
      <c r="N199" s="197" t="s">
        <v>279</v>
      </c>
      <c r="O199" s="201">
        <v>1</v>
      </c>
      <c r="Q199" s="199">
        <f>IF(O199=0,0,(VLOOKUP(N199,'RESUMEN RENDIMIENTOS'!$AB$6:$AO$64,13,FALSE)))*O199</f>
        <v>2</v>
      </c>
      <c r="R199" s="200">
        <f>IF(O199=0,0,(VLOOKUP(N199,'RESUMEN RENDIMIENTOS'!$AB$6:$AO$64,14,FALSE)))*O199</f>
        <v>9.5999999999999988E-2</v>
      </c>
      <c r="U199" s="138">
        <v>194</v>
      </c>
      <c r="V199" s="248" t="str">
        <f t="shared" si="31"/>
        <v>Paredes Alicatadas</v>
      </c>
      <c r="W199" s="139">
        <f t="shared" si="32"/>
        <v>60</v>
      </c>
      <c r="X199" s="249">
        <f t="shared" si="30"/>
        <v>6.9444444444444448E-2</v>
      </c>
      <c r="Y199" s="250"/>
      <c r="Z199" s="251">
        <f t="shared" si="23"/>
        <v>36.187225291600541</v>
      </c>
      <c r="AA199" s="212">
        <v>21.712335174960327</v>
      </c>
    </row>
    <row r="200" spans="2:27" ht="19">
      <c r="B200" s="197" t="s">
        <v>284</v>
      </c>
      <c r="C200" s="201">
        <v>0.25</v>
      </c>
      <c r="E200" s="199">
        <f>IF(C200=0,0,(VLOOKUP(B200,'RESUMEN RENDIMIENTOS'!$AB$6:$AO$64,13,FALSE)))*C200</f>
        <v>0.52500000000000002</v>
      </c>
      <c r="F200" s="200">
        <f>IF(C200=0,0,(VLOOKUP(B200,'RESUMEN RENDIMIENTOS'!$AB$6:$AO$64,14,FALSE)))*C200</f>
        <v>4.2000000000000003E-2</v>
      </c>
      <c r="H200" s="197" t="s">
        <v>284</v>
      </c>
      <c r="I200" s="201">
        <v>0.25</v>
      </c>
      <c r="K200" s="199">
        <f>IF(I200=0,0,(VLOOKUP(H200,'RESUMEN RENDIMIENTOS'!$AB$6:$AO$64,13,FALSE)))*I200</f>
        <v>0.52500000000000002</v>
      </c>
      <c r="L200" s="200">
        <f>IF(I200=0,0,(VLOOKUP(H200,'RESUMEN RENDIMIENTOS'!$AB$6:$AO$64,14,FALSE)))*I200</f>
        <v>4.2000000000000003E-2</v>
      </c>
      <c r="N200" s="197" t="s">
        <v>284</v>
      </c>
      <c r="O200" s="201">
        <v>0.25</v>
      </c>
      <c r="Q200" s="199">
        <f>IF(O200=0,0,(VLOOKUP(N200,'RESUMEN RENDIMIENTOS'!$AB$6:$AO$64,13,FALSE)))*O200</f>
        <v>0.52500000000000002</v>
      </c>
      <c r="R200" s="200">
        <f>IF(O200=0,0,(VLOOKUP(N200,'RESUMEN RENDIMIENTOS'!$AB$6:$AO$64,14,FALSE)))*O200</f>
        <v>4.2000000000000003E-2</v>
      </c>
      <c r="U200" s="138">
        <v>195</v>
      </c>
      <c r="V200" s="248" t="str">
        <f t="shared" si="31"/>
        <v>Techos PVC</v>
      </c>
      <c r="W200" s="139">
        <f t="shared" si="32"/>
        <v>40</v>
      </c>
      <c r="X200" s="249">
        <f t="shared" si="30"/>
        <v>0.10416666666666667</v>
      </c>
      <c r="Y200" s="250"/>
      <c r="Z200" s="251">
        <f t="shared" si="23"/>
        <v>54.280837937400818</v>
      </c>
      <c r="AA200" s="212">
        <v>21.712335174960327</v>
      </c>
    </row>
    <row r="201" spans="2:27" ht="19">
      <c r="B201" s="197" t="s">
        <v>283</v>
      </c>
      <c r="C201" s="201">
        <v>1</v>
      </c>
      <c r="E201" s="199">
        <f>IF(C201=0,0,(VLOOKUP(B201,'RESUMEN RENDIMIENTOS'!$AB$6:$AO$64,13,FALSE)))*C201</f>
        <v>1.59</v>
      </c>
      <c r="F201" s="200">
        <f>IF(C201=0,0,(VLOOKUP(B201,'RESUMEN RENDIMIENTOS'!$AB$6:$AO$64,14,FALSE)))*C201</f>
        <v>0.12720000000000001</v>
      </c>
      <c r="H201" s="197" t="s">
        <v>283</v>
      </c>
      <c r="I201" s="201">
        <v>1</v>
      </c>
      <c r="K201" s="199">
        <f>IF(I201=0,0,(VLOOKUP(H201,'RESUMEN RENDIMIENTOS'!$AB$6:$AO$64,13,FALSE)))*I201</f>
        <v>1.59</v>
      </c>
      <c r="L201" s="200">
        <f>IF(I201=0,0,(VLOOKUP(H201,'RESUMEN RENDIMIENTOS'!$AB$6:$AO$64,14,FALSE)))*I201</f>
        <v>0.12720000000000001</v>
      </c>
      <c r="N201" s="197" t="s">
        <v>283</v>
      </c>
      <c r="O201" s="201">
        <v>1</v>
      </c>
      <c r="Q201" s="199">
        <f>IF(O201=0,0,(VLOOKUP(N201,'RESUMEN RENDIMIENTOS'!$AB$6:$AO$64,13,FALSE)))*O201</f>
        <v>1.59</v>
      </c>
      <c r="R201" s="200">
        <f>IF(O201=0,0,(VLOOKUP(N201,'RESUMEN RENDIMIENTOS'!$AB$6:$AO$64,14,FALSE)))*O201</f>
        <v>0.12720000000000001</v>
      </c>
      <c r="U201" s="138">
        <v>196</v>
      </c>
      <c r="V201" s="248" t="str">
        <f t="shared" si="31"/>
        <v>Limpieza de Graderias exteriores</v>
      </c>
      <c r="W201" s="139">
        <f t="shared" si="32"/>
        <v>500</v>
      </c>
      <c r="X201" s="249">
        <f t="shared" si="30"/>
        <v>8.3333333333333332E-3</v>
      </c>
      <c r="Y201" s="250"/>
      <c r="Z201" s="251">
        <f t="shared" si="23"/>
        <v>4.3424670349920653</v>
      </c>
      <c r="AA201" s="212">
        <v>21.712335174960327</v>
      </c>
    </row>
    <row r="202" spans="2:27" ht="19">
      <c r="B202" s="197" t="s">
        <v>282</v>
      </c>
      <c r="C202" s="201">
        <v>1</v>
      </c>
      <c r="E202" s="199">
        <f>IF(C202=0,0,(VLOOKUP(B202,'RESUMEN RENDIMIENTOS'!$AB$6:$AO$64,13,FALSE)))*C202</f>
        <v>2.62</v>
      </c>
      <c r="F202" s="200">
        <f>IF(C202=0,0,(VLOOKUP(B202,'RESUMEN RENDIMIENTOS'!$AB$6:$AO$64,14,FALSE)))*C202</f>
        <v>6.986666666666666E-2</v>
      </c>
      <c r="H202" s="197" t="s">
        <v>282</v>
      </c>
      <c r="I202" s="201">
        <v>1</v>
      </c>
      <c r="K202" s="199">
        <f>IF(I202=0,0,(VLOOKUP(H202,'RESUMEN RENDIMIENTOS'!$AB$6:$AO$64,13,FALSE)))*I202</f>
        <v>2.62</v>
      </c>
      <c r="L202" s="200">
        <f>IF(I202=0,0,(VLOOKUP(H202,'RESUMEN RENDIMIENTOS'!$AB$6:$AO$64,14,FALSE)))*I202</f>
        <v>6.986666666666666E-2</v>
      </c>
      <c r="N202" s="197" t="s">
        <v>282</v>
      </c>
      <c r="O202" s="201">
        <v>1</v>
      </c>
      <c r="Q202" s="199">
        <f>IF(O202=0,0,(VLOOKUP(N202,'RESUMEN RENDIMIENTOS'!$AB$6:$AO$64,13,FALSE)))*O202</f>
        <v>2.62</v>
      </c>
      <c r="R202" s="200">
        <f>IF(O202=0,0,(VLOOKUP(N202,'RESUMEN RENDIMIENTOS'!$AB$6:$AO$64,14,FALSE)))*O202</f>
        <v>6.986666666666666E-2</v>
      </c>
      <c r="U202" s="138">
        <v>197</v>
      </c>
      <c r="V202" s="248" t="str">
        <f t="shared" si="31"/>
        <v>Limpieza de Graderias interiores</v>
      </c>
      <c r="W202" s="139">
        <f t="shared" si="32"/>
        <v>300</v>
      </c>
      <c r="X202" s="249">
        <f t="shared" si="30"/>
        <v>1.3888888888888888E-2</v>
      </c>
      <c r="Y202" s="250"/>
      <c r="Z202" s="251">
        <f t="shared" si="23"/>
        <v>7.2374450583201089</v>
      </c>
      <c r="AA202" s="212">
        <v>21.712335174960327</v>
      </c>
    </row>
    <row r="203" spans="2:27" ht="19">
      <c r="B203" s="197" t="s">
        <v>302</v>
      </c>
      <c r="C203" s="201">
        <v>1</v>
      </c>
      <c r="E203" s="199">
        <f>IF(C203=0,0,(VLOOKUP(B203,'RESUMEN RENDIMIENTOS'!$AB$6:$AO$64,13,FALSE)))*C203</f>
        <v>1</v>
      </c>
      <c r="F203" s="200">
        <f>IF(C203=0,0,(VLOOKUP(B203,'RESUMEN RENDIMIENTOS'!$AB$6:$AO$64,14,FALSE)))*C203</f>
        <v>0.2</v>
      </c>
      <c r="H203" s="197" t="s">
        <v>302</v>
      </c>
      <c r="I203" s="201">
        <v>1</v>
      </c>
      <c r="K203" s="199">
        <f>IF(I203=0,0,(VLOOKUP(H203,'RESUMEN RENDIMIENTOS'!$AB$6:$AO$64,13,FALSE)))*I203</f>
        <v>1</v>
      </c>
      <c r="L203" s="200">
        <f>IF(I203=0,0,(VLOOKUP(H203,'RESUMEN RENDIMIENTOS'!$AB$6:$AO$64,14,FALSE)))*I203</f>
        <v>0.2</v>
      </c>
      <c r="N203" s="197" t="s">
        <v>302</v>
      </c>
      <c r="O203" s="201">
        <v>1</v>
      </c>
      <c r="Q203" s="199">
        <f>IF(O203=0,0,(VLOOKUP(N203,'RESUMEN RENDIMIENTOS'!$AB$6:$AO$64,13,FALSE)))*O203</f>
        <v>1</v>
      </c>
      <c r="R203" s="200">
        <f>IF(O203=0,0,(VLOOKUP(N203,'RESUMEN RENDIMIENTOS'!$AB$6:$AO$64,14,FALSE)))*O203</f>
        <v>0.2</v>
      </c>
      <c r="U203" s="138">
        <v>198</v>
      </c>
      <c r="V203" s="248" t="str">
        <f t="shared" si="31"/>
        <v>Vacio</v>
      </c>
      <c r="W203" s="190">
        <v>0.1</v>
      </c>
      <c r="X203" s="249">
        <f t="shared" si="30"/>
        <v>41.666666666666664</v>
      </c>
      <c r="Y203" s="250"/>
      <c r="Z203" s="251">
        <f t="shared" si="23"/>
        <v>21712.335174960324</v>
      </c>
      <c r="AA203" s="212">
        <v>21.712335174960327</v>
      </c>
    </row>
    <row r="204" spans="2:27" ht="19">
      <c r="B204" s="202"/>
      <c r="F204" s="206">
        <f>SUM(F198:F203)</f>
        <v>0.54535238095238103</v>
      </c>
      <c r="G204" s="205">
        <f>+F204</f>
        <v>0.54535238095238103</v>
      </c>
      <c r="H204" s="202"/>
      <c r="I204" s="179"/>
      <c r="K204" s="88"/>
      <c r="L204" s="252">
        <f>SUM(L198:L203)</f>
        <v>0.54535238095238103</v>
      </c>
      <c r="M204" s="205">
        <f>+L204</f>
        <v>0.54535238095238103</v>
      </c>
      <c r="N204" s="202"/>
      <c r="O204" s="179"/>
      <c r="R204" s="206">
        <f>SUM(R198:R203)</f>
        <v>0.54535238095238103</v>
      </c>
      <c r="S204" s="205">
        <f>+R204</f>
        <v>0.54535238095238103</v>
      </c>
      <c r="U204" s="138">
        <v>199</v>
      </c>
      <c r="V204" s="248" t="str">
        <f t="shared" si="31"/>
        <v>Vacio</v>
      </c>
      <c r="W204" s="190">
        <v>0.1</v>
      </c>
      <c r="X204" s="249">
        <f t="shared" si="30"/>
        <v>41.666666666666664</v>
      </c>
      <c r="Y204" s="250"/>
      <c r="Z204" s="251">
        <f t="shared" si="23"/>
        <v>21712.335174960324</v>
      </c>
      <c r="AA204" s="212">
        <v>21.712335174960327</v>
      </c>
    </row>
    <row r="205" spans="2:27" ht="19">
      <c r="B205" s="436" t="s">
        <v>324</v>
      </c>
      <c r="C205" s="437"/>
      <c r="D205" s="437"/>
      <c r="E205" s="437"/>
      <c r="F205" s="455"/>
      <c r="G205" s="205"/>
      <c r="H205" s="436" t="s">
        <v>324</v>
      </c>
      <c r="I205" s="437"/>
      <c r="J205" s="437"/>
      <c r="K205" s="437"/>
      <c r="L205" s="437"/>
      <c r="M205" s="205"/>
      <c r="N205" s="436" t="s">
        <v>324</v>
      </c>
      <c r="O205" s="437"/>
      <c r="P205" s="437"/>
      <c r="Q205" s="437"/>
      <c r="R205" s="455"/>
      <c r="S205" s="205"/>
      <c r="U205" s="138">
        <v>200</v>
      </c>
      <c r="V205" s="248" t="str">
        <f t="shared" si="31"/>
        <v>Vacio</v>
      </c>
      <c r="W205" s="190">
        <v>0.1</v>
      </c>
      <c r="X205" s="249">
        <f t="shared" si="30"/>
        <v>41.666666666666664</v>
      </c>
      <c r="Y205" s="250"/>
      <c r="Z205" s="251">
        <f t="shared" si="23"/>
        <v>21712.335174960324</v>
      </c>
      <c r="AA205" s="212">
        <v>21.712335174960327</v>
      </c>
    </row>
    <row r="206" spans="2:27" ht="19">
      <c r="B206" s="210" t="s">
        <v>325</v>
      </c>
      <c r="C206" s="211">
        <v>1</v>
      </c>
      <c r="D206" s="212">
        <v>21.712335174960327</v>
      </c>
      <c r="E206" s="213">
        <f>F192</f>
        <v>0.16311226270805218</v>
      </c>
      <c r="F206" s="214">
        <f>+IF(C206&gt;="",0,(D206*E206))</f>
        <v>3.5415481190634108</v>
      </c>
      <c r="G206" s="215"/>
      <c r="H206" s="210" t="s">
        <v>325</v>
      </c>
      <c r="I206" s="211">
        <v>1</v>
      </c>
      <c r="J206" s="212">
        <v>21.712335174960327</v>
      </c>
      <c r="K206" s="213">
        <f>L192</f>
        <v>0.13289004048582995</v>
      </c>
      <c r="L206" s="216">
        <f>+IF(I206&gt;="",0,(J206*K206))</f>
        <v>2.8853531004423876</v>
      </c>
      <c r="M206" s="215"/>
      <c r="N206" s="210" t="s">
        <v>325</v>
      </c>
      <c r="O206" s="211">
        <v>1</v>
      </c>
      <c r="P206" s="212">
        <v>21.712335174960327</v>
      </c>
      <c r="Q206" s="213">
        <f>R192</f>
        <v>0.43690288798920385</v>
      </c>
      <c r="R206" s="214">
        <f>+IF(O206&gt;="",0,(P206*Q206))</f>
        <v>9.4861819429297416</v>
      </c>
      <c r="S206" s="215"/>
      <c r="U206" s="138">
        <v>201</v>
      </c>
      <c r="V206" s="248" t="str">
        <f t="shared" si="31"/>
        <v>Vacio</v>
      </c>
      <c r="W206" s="190">
        <v>0.1</v>
      </c>
      <c r="X206" s="249">
        <f t="shared" si="30"/>
        <v>41.666666666666664</v>
      </c>
      <c r="Y206" s="250"/>
      <c r="Z206" s="251">
        <f t="shared" si="23"/>
        <v>21712.335174960324</v>
      </c>
      <c r="AA206" s="212">
        <v>21.712335174960327</v>
      </c>
    </row>
    <row r="207" spans="2:27" ht="19">
      <c r="B207" s="210" t="s">
        <v>326</v>
      </c>
      <c r="C207" s="211"/>
      <c r="D207" s="212">
        <f>+D206*25%</f>
        <v>5.4280837937400817</v>
      </c>
      <c r="E207" s="213">
        <f>F192</f>
        <v>0.16311226270805218</v>
      </c>
      <c r="F207" s="214">
        <f>+IF(C207= "",0,(D207*E207))</f>
        <v>0</v>
      </c>
      <c r="G207" s="215"/>
      <c r="H207" s="210" t="s">
        <v>326</v>
      </c>
      <c r="I207" s="211"/>
      <c r="J207" s="212">
        <f>+J206*25%</f>
        <v>5.4280837937400817</v>
      </c>
      <c r="K207" s="213">
        <f>L192</f>
        <v>0.13289004048582995</v>
      </c>
      <c r="L207" s="216">
        <f>+IF(I207= "",0,(J207*K207))</f>
        <v>0</v>
      </c>
      <c r="M207" s="215"/>
      <c r="N207" s="210" t="s">
        <v>326</v>
      </c>
      <c r="O207" s="211"/>
      <c r="P207" s="212">
        <f>+P206*25%</f>
        <v>5.4280837937400817</v>
      </c>
      <c r="Q207" s="213">
        <f>R192</f>
        <v>0.43690288798920385</v>
      </c>
      <c r="R207" s="214">
        <f>+IF(O207= "",0,(P207*Q207))</f>
        <v>0</v>
      </c>
      <c r="S207" s="215"/>
      <c r="U207" s="138">
        <v>202</v>
      </c>
      <c r="V207" s="248" t="str">
        <f t="shared" si="31"/>
        <v>Vacio</v>
      </c>
      <c r="W207" s="190">
        <v>0.1</v>
      </c>
      <c r="X207" s="249">
        <f t="shared" si="30"/>
        <v>41.666666666666664</v>
      </c>
      <c r="Y207" s="250"/>
      <c r="Z207" s="251">
        <f t="shared" si="23"/>
        <v>21712.335174960324</v>
      </c>
      <c r="AA207" s="212">
        <v>21.712335174960327</v>
      </c>
    </row>
    <row r="208" spans="2:27" ht="19">
      <c r="B208" s="210" t="s">
        <v>327</v>
      </c>
      <c r="C208" s="211"/>
      <c r="D208" s="212">
        <f>+D206*50%</f>
        <v>10.856167587480163</v>
      </c>
      <c r="E208" s="213">
        <f>F192</f>
        <v>0.16311226270805218</v>
      </c>
      <c r="F208" s="214">
        <f>+IF(C208= "",0,(D208*E208))</f>
        <v>0</v>
      </c>
      <c r="G208" s="215"/>
      <c r="H208" s="210" t="s">
        <v>327</v>
      </c>
      <c r="I208" s="211"/>
      <c r="J208" s="212">
        <f>+J206*50%</f>
        <v>10.856167587480163</v>
      </c>
      <c r="K208" s="213">
        <f>L192</f>
        <v>0.13289004048582995</v>
      </c>
      <c r="L208" s="216">
        <f>+IF(I208= "",0,(J208*K208))</f>
        <v>0</v>
      </c>
      <c r="M208" s="215"/>
      <c r="N208" s="210" t="s">
        <v>327</v>
      </c>
      <c r="O208" s="211"/>
      <c r="P208" s="212">
        <f>+P206*50%</f>
        <v>10.856167587480163</v>
      </c>
      <c r="Q208" s="213">
        <f>R192</f>
        <v>0.43690288798920385</v>
      </c>
      <c r="R208" s="214">
        <f>+IF(O208= "",0,(P208*Q208))</f>
        <v>0</v>
      </c>
      <c r="S208" s="215"/>
      <c r="U208" s="138">
        <v>203</v>
      </c>
      <c r="V208" s="248" t="str">
        <f t="shared" si="31"/>
        <v>Vacio</v>
      </c>
      <c r="W208" s="190">
        <v>0.1</v>
      </c>
      <c r="X208" s="249">
        <f t="shared" si="30"/>
        <v>41.666666666666664</v>
      </c>
      <c r="Y208" s="250"/>
      <c r="Z208" s="251">
        <f t="shared" si="23"/>
        <v>21712.335174960324</v>
      </c>
      <c r="AA208" s="212">
        <v>21.712335174960327</v>
      </c>
    </row>
    <row r="209" spans="2:27" ht="19">
      <c r="B209" s="202"/>
      <c r="F209" s="217">
        <f>SUM(F206:F208)</f>
        <v>3.5415481190634108</v>
      </c>
      <c r="G209" s="218"/>
      <c r="H209" s="202"/>
      <c r="I209" s="179"/>
      <c r="K209" s="88"/>
      <c r="L209" s="219">
        <f>SUM(L206:L208)</f>
        <v>2.8853531004423876</v>
      </c>
      <c r="M209" s="218"/>
      <c r="N209" s="202"/>
      <c r="O209" s="179"/>
      <c r="R209" s="217">
        <f>SUM(R206:R208)</f>
        <v>9.4861819429297416</v>
      </c>
      <c r="S209" s="218"/>
      <c r="U209" s="138">
        <v>204</v>
      </c>
      <c r="V209" s="248" t="str">
        <f t="shared" si="31"/>
        <v>Vacio</v>
      </c>
      <c r="W209" s="190">
        <v>0.1</v>
      </c>
      <c r="X209" s="249">
        <f t="shared" si="30"/>
        <v>41.666666666666664</v>
      </c>
      <c r="Y209" s="250"/>
      <c r="Z209" s="251">
        <f t="shared" si="23"/>
        <v>21712.335174960324</v>
      </c>
      <c r="AA209" s="212">
        <v>21.712335174960327</v>
      </c>
    </row>
    <row r="210" spans="2:27" ht="19">
      <c r="B210" s="202"/>
      <c r="F210" s="189"/>
      <c r="G210" s="220"/>
      <c r="H210" s="202"/>
      <c r="I210" s="179"/>
      <c r="K210" s="88"/>
      <c r="M210" s="220"/>
      <c r="N210" s="202"/>
      <c r="O210" s="179"/>
      <c r="R210" s="189"/>
      <c r="S210" s="220"/>
      <c r="U210" s="138">
        <v>205</v>
      </c>
      <c r="V210" s="248" t="str">
        <f t="shared" si="31"/>
        <v>Vacio</v>
      </c>
      <c r="W210" s="190">
        <v>0.1</v>
      </c>
      <c r="X210" s="249">
        <f t="shared" si="30"/>
        <v>41.666666666666664</v>
      </c>
      <c r="Y210" s="250"/>
      <c r="Z210" s="251">
        <f t="shared" si="23"/>
        <v>21712.335174960324</v>
      </c>
      <c r="AA210" s="212">
        <v>21.712335174960327</v>
      </c>
    </row>
    <row r="211" spans="2:27" ht="21">
      <c r="B211" s="438" t="s">
        <v>328</v>
      </c>
      <c r="C211" s="439"/>
      <c r="D211" s="439"/>
      <c r="E211" s="440"/>
      <c r="F211" s="225">
        <f>+F204+F209</f>
        <v>4.0869005000157923</v>
      </c>
      <c r="G211" s="205">
        <f>+F211</f>
        <v>4.0869005000157923</v>
      </c>
      <c r="H211" s="438" t="s">
        <v>328</v>
      </c>
      <c r="I211" s="439"/>
      <c r="J211" s="439"/>
      <c r="K211" s="440"/>
      <c r="L211" s="221">
        <f>+L204+L209</f>
        <v>3.4307054813947686</v>
      </c>
      <c r="M211" s="205">
        <f>+L211</f>
        <v>3.4307054813947686</v>
      </c>
      <c r="N211" s="438" t="s">
        <v>328</v>
      </c>
      <c r="O211" s="439"/>
      <c r="P211" s="439"/>
      <c r="Q211" s="440"/>
      <c r="R211" s="225">
        <f>+R204+R209</f>
        <v>10.031534323882124</v>
      </c>
      <c r="S211" s="205">
        <f>+R211</f>
        <v>10.031534323882124</v>
      </c>
      <c r="U211" s="138">
        <v>206</v>
      </c>
      <c r="V211" s="248" t="str">
        <f t="shared" si="31"/>
        <v>Vacio</v>
      </c>
      <c r="W211" s="190">
        <v>0.1</v>
      </c>
      <c r="X211" s="249">
        <f t="shared" si="30"/>
        <v>41.666666666666664</v>
      </c>
      <c r="Y211" s="250"/>
      <c r="Z211" s="251">
        <f t="shared" si="23"/>
        <v>21712.335174960324</v>
      </c>
      <c r="AA211" s="212">
        <v>21.712335174960327</v>
      </c>
    </row>
    <row r="212" spans="2:27" ht="19">
      <c r="B212" s="202"/>
      <c r="F212" s="189"/>
      <c r="G212" s="205"/>
      <c r="H212" s="202"/>
      <c r="I212" s="179"/>
      <c r="K212" s="88"/>
      <c r="M212" s="205"/>
      <c r="N212" s="202"/>
      <c r="O212" s="179"/>
      <c r="R212" s="189"/>
      <c r="S212" s="205"/>
      <c r="U212" s="138">
        <v>207</v>
      </c>
      <c r="V212" s="248" t="str">
        <f t="shared" si="31"/>
        <v>Vacio</v>
      </c>
      <c r="W212" s="190">
        <v>0.1</v>
      </c>
      <c r="X212" s="249">
        <f t="shared" si="30"/>
        <v>41.666666666666664</v>
      </c>
      <c r="Y212" s="250"/>
      <c r="Z212" s="251">
        <f t="shared" si="23"/>
        <v>21712.335174960324</v>
      </c>
      <c r="AA212" s="212">
        <v>21.712335174960327</v>
      </c>
    </row>
    <row r="213" spans="2:27" ht="19">
      <c r="B213" s="441" t="s">
        <v>329</v>
      </c>
      <c r="C213" s="442"/>
      <c r="D213" s="442"/>
      <c r="E213" s="443"/>
      <c r="F213" s="230">
        <f>+F211/$C$37</f>
        <v>4.0869005000157922E-2</v>
      </c>
      <c r="G213" s="205"/>
      <c r="H213" s="441" t="s">
        <v>329</v>
      </c>
      <c r="I213" s="442"/>
      <c r="J213" s="442"/>
      <c r="K213" s="443"/>
      <c r="L213" s="253">
        <f>+L211/$C$37</f>
        <v>3.4307054813947684E-2</v>
      </c>
      <c r="M213" s="205"/>
      <c r="N213" s="441" t="s">
        <v>329</v>
      </c>
      <c r="O213" s="442"/>
      <c r="P213" s="442"/>
      <c r="Q213" s="443"/>
      <c r="R213" s="230">
        <f>+R211/$C$37</f>
        <v>0.10031534323882124</v>
      </c>
      <c r="S213" s="205"/>
      <c r="U213" s="138">
        <v>208</v>
      </c>
      <c r="V213" s="248" t="str">
        <f>+N3</f>
        <v>Aplicación de emulsiones</v>
      </c>
      <c r="W213" s="190">
        <f>+O3</f>
        <v>32.21649484536082</v>
      </c>
      <c r="X213" s="249">
        <f t="shared" si="30"/>
        <v>0.12933333333333336</v>
      </c>
      <c r="Y213" s="250"/>
      <c r="Z213" s="251">
        <f t="shared" si="23"/>
        <v>67.395088383076867</v>
      </c>
      <c r="AA213" s="212">
        <v>21.712335174960327</v>
      </c>
    </row>
    <row r="214" spans="2:27" ht="20" thickBot="1">
      <c r="B214" s="231"/>
      <c r="C214" s="232"/>
      <c r="D214" s="233"/>
      <c r="E214" s="233"/>
      <c r="F214" s="234"/>
      <c r="G214" s="205"/>
      <c r="H214" s="260"/>
      <c r="I214" s="233"/>
      <c r="J214" s="233"/>
      <c r="K214" s="232"/>
      <c r="L214" s="233"/>
      <c r="M214" s="205"/>
      <c r="N214" s="231"/>
      <c r="O214" s="232"/>
      <c r="P214" s="233"/>
      <c r="Q214" s="233"/>
      <c r="R214" s="234"/>
      <c r="S214" s="205"/>
      <c r="U214" s="138">
        <v>209</v>
      </c>
      <c r="V214" s="248" t="str">
        <f t="shared" ref="V214:W230" si="33">+N4</f>
        <v>Aplicación de emulsiones, decapado</v>
      </c>
      <c r="W214" s="190">
        <f t="shared" si="33"/>
        <v>17.070142768466791</v>
      </c>
      <c r="X214" s="249">
        <f t="shared" si="30"/>
        <v>0.24409090909090911</v>
      </c>
      <c r="Y214" s="250"/>
      <c r="Z214" s="251">
        <f t="shared" si="23"/>
        <v>127.19480715222214</v>
      </c>
      <c r="AA214" s="212">
        <v>21.712335174960327</v>
      </c>
    </row>
    <row r="215" spans="2:27" ht="23.25" customHeight="1" thickBot="1">
      <c r="B215" s="415" t="s">
        <v>312</v>
      </c>
      <c r="C215" s="416"/>
      <c r="D215" s="416"/>
      <c r="E215" s="416"/>
      <c r="F215" s="416"/>
      <c r="G215" s="416"/>
      <c r="H215" s="416"/>
      <c r="I215" s="416"/>
      <c r="J215" s="416"/>
      <c r="K215" s="416"/>
      <c r="L215" s="416"/>
      <c r="M215" s="416"/>
      <c r="N215" s="416"/>
      <c r="O215" s="416"/>
      <c r="P215" s="416"/>
      <c r="Q215" s="416"/>
      <c r="R215" s="417"/>
      <c r="U215" s="138">
        <v>210</v>
      </c>
      <c r="V215" s="248" t="str">
        <f t="shared" si="33"/>
        <v>Cristalizado de Suelos</v>
      </c>
      <c r="W215" s="190">
        <f t="shared" si="33"/>
        <v>29.761904761904759</v>
      </c>
      <c r="X215" s="249">
        <f t="shared" si="30"/>
        <v>0.14000000000000001</v>
      </c>
      <c r="Y215" s="250"/>
      <c r="Z215" s="251">
        <f t="shared" si="23"/>
        <v>72.953446187866703</v>
      </c>
      <c r="AA215" s="212">
        <v>21.712335174960327</v>
      </c>
    </row>
    <row r="216" spans="2:27" ht="25">
      <c r="B216" s="237" t="s">
        <v>16</v>
      </c>
      <c r="C216" s="452" t="s">
        <v>135</v>
      </c>
      <c r="D216" s="453"/>
      <c r="E216" s="454"/>
      <c r="F216" s="240"/>
      <c r="G216" s="254"/>
      <c r="H216" s="239" t="s">
        <v>16</v>
      </c>
      <c r="I216" s="452" t="s">
        <v>4</v>
      </c>
      <c r="J216" s="453"/>
      <c r="K216" s="454"/>
      <c r="L216" s="240"/>
      <c r="M216" s="254"/>
      <c r="N216" s="237" t="s">
        <v>16</v>
      </c>
      <c r="O216" s="459" t="s">
        <v>138</v>
      </c>
      <c r="P216" s="460"/>
      <c r="Q216" s="461"/>
      <c r="R216" s="255"/>
      <c r="U216" s="138">
        <v>211</v>
      </c>
      <c r="V216" s="248" t="str">
        <f t="shared" si="33"/>
        <v>Decapado Cristalizado de Suelos</v>
      </c>
      <c r="W216" s="190">
        <f t="shared" si="33"/>
        <v>15.580736543909349</v>
      </c>
      <c r="X216" s="249">
        <f t="shared" si="30"/>
        <v>0.2674242424242424</v>
      </c>
      <c r="Y216" s="250"/>
      <c r="Z216" s="251">
        <f t="shared" si="23"/>
        <v>139.35371485019991</v>
      </c>
      <c r="AA216" s="212">
        <v>21.712335174960327</v>
      </c>
    </row>
    <row r="217" spans="2:27" ht="33" thickBot="1">
      <c r="B217" s="241" t="s">
        <v>313</v>
      </c>
      <c r="C217" s="242" t="s">
        <v>6</v>
      </c>
      <c r="D217" s="243" t="s">
        <v>25</v>
      </c>
      <c r="E217" s="244" t="s">
        <v>314</v>
      </c>
      <c r="F217" s="245" t="s">
        <v>315</v>
      </c>
      <c r="H217" s="241" t="s">
        <v>313</v>
      </c>
      <c r="I217" s="242" t="s">
        <v>6</v>
      </c>
      <c r="J217" s="243" t="s">
        <v>25</v>
      </c>
      <c r="K217" s="244" t="s">
        <v>314</v>
      </c>
      <c r="L217" s="245" t="s">
        <v>315</v>
      </c>
      <c r="N217" s="241" t="s">
        <v>313</v>
      </c>
      <c r="O217" s="242" t="s">
        <v>6</v>
      </c>
      <c r="P217" s="243" t="s">
        <v>25</v>
      </c>
      <c r="Q217" s="244" t="s">
        <v>314</v>
      </c>
      <c r="R217" s="245" t="s">
        <v>315</v>
      </c>
      <c r="U217" s="138">
        <v>212</v>
      </c>
      <c r="V217" s="248" t="str">
        <f t="shared" si="33"/>
        <v>Limpieza de Moquetas Champú</v>
      </c>
      <c r="W217" s="190">
        <f t="shared" si="33"/>
        <v>19.305019305019307</v>
      </c>
      <c r="X217" s="249">
        <f t="shared" si="30"/>
        <v>0.21583333333333332</v>
      </c>
      <c r="Y217" s="250"/>
      <c r="Z217" s="251">
        <f t="shared" si="23"/>
        <v>112.46989620629448</v>
      </c>
      <c r="AA217" s="212">
        <v>21.712335174960327</v>
      </c>
    </row>
    <row r="218" spans="2:27" ht="19">
      <c r="B218" s="170" t="s">
        <v>182</v>
      </c>
      <c r="C218" s="171">
        <f>VLOOKUP(B218,'RESUMEN RENDIMIENTOS'!$V$6:$W$158,2,FALSE)</f>
        <v>1400</v>
      </c>
      <c r="D218" s="177" t="s">
        <v>20</v>
      </c>
      <c r="E218" s="172">
        <v>247</v>
      </c>
      <c r="F218" s="173">
        <f t="shared" ref="F218:F233" si="34">IF(C218=0,0,(100/C218)*E218/$E$37)</f>
        <v>7.1428571428571425E-2</v>
      </c>
      <c r="G218" s="164">
        <f>+F218/F234</f>
        <v>0.23284950286159778</v>
      </c>
      <c r="H218" s="261" t="s">
        <v>182</v>
      </c>
      <c r="I218" s="171">
        <f>VLOOKUP(H218,'RESUMEN RENDIMIENTOS'!$V$6:$W$158,2,FALSE)</f>
        <v>1400</v>
      </c>
      <c r="J218" s="177" t="s">
        <v>20</v>
      </c>
      <c r="K218" s="172">
        <v>247</v>
      </c>
      <c r="L218" s="173">
        <f t="shared" ref="L218:L233" si="35">IF(I218=0,0,(100/I218)*K218/$E$37)</f>
        <v>7.1428571428571425E-2</v>
      </c>
      <c r="M218" s="164">
        <f>+L218/L234</f>
        <v>5.1273406066593322E-2</v>
      </c>
      <c r="N218" s="261" t="s">
        <v>181</v>
      </c>
      <c r="O218" s="171">
        <f>VLOOKUP(N218,'RESUMEN RENDIMIENTOS'!$V$6:$W$158,2,FALSE)</f>
        <v>900</v>
      </c>
      <c r="P218" s="177" t="s">
        <v>20</v>
      </c>
      <c r="Q218" s="172">
        <v>247</v>
      </c>
      <c r="R218" s="175">
        <f t="shared" ref="R218:R233" si="36">IF(O218=0,0,(100/O218)*Q218/$E$37)</f>
        <v>0.1111111111111111</v>
      </c>
      <c r="S218" s="164">
        <f>+R218/R234</f>
        <v>0.14233600440068039</v>
      </c>
      <c r="U218" s="138">
        <v>213</v>
      </c>
      <c r="V218" s="248" t="str">
        <f t="shared" si="33"/>
        <v>Limpieza de Moquetas IE</v>
      </c>
      <c r="W218" s="190">
        <f t="shared" si="33"/>
        <v>24.489795918367342</v>
      </c>
      <c r="X218" s="249">
        <f t="shared" si="30"/>
        <v>0.17013888888888892</v>
      </c>
      <c r="Y218" s="250"/>
      <c r="Z218" s="251">
        <f t="shared" si="23"/>
        <v>88.658701964421354</v>
      </c>
      <c r="AA218" s="212">
        <v>21.712335174960327</v>
      </c>
    </row>
    <row r="219" spans="2:27" ht="19">
      <c r="B219" s="170" t="s">
        <v>205</v>
      </c>
      <c r="C219" s="171">
        <f>VLOOKUP(B219,'RESUMEN RENDIMIENTOS'!$V$6:$W$158,2,FALSE)</f>
        <v>1200</v>
      </c>
      <c r="D219" s="177" t="s">
        <v>20</v>
      </c>
      <c r="E219" s="172">
        <v>247</v>
      </c>
      <c r="F219" s="173">
        <f t="shared" si="34"/>
        <v>8.3333333333333329E-2</v>
      </c>
      <c r="G219" s="174">
        <f>+F219/F234</f>
        <v>0.27165775333853076</v>
      </c>
      <c r="H219" s="261" t="s">
        <v>202</v>
      </c>
      <c r="I219" s="171">
        <f>VLOOKUP(H219,'RESUMEN RENDIMIENTOS'!$V$6:$W$158,2,FALSE)</f>
        <v>550</v>
      </c>
      <c r="J219" s="177" t="s">
        <v>20</v>
      </c>
      <c r="K219" s="172">
        <v>247</v>
      </c>
      <c r="L219" s="173">
        <f t="shared" si="35"/>
        <v>0.18181818181818182</v>
      </c>
      <c r="M219" s="174">
        <f>+L219/L234</f>
        <v>0.13051412453314665</v>
      </c>
      <c r="N219" s="261" t="s">
        <v>201</v>
      </c>
      <c r="O219" s="171">
        <f>VLOOKUP(N219,'RESUMEN RENDIMIENTOS'!$V$6:$W$158,2,FALSE)</f>
        <v>500</v>
      </c>
      <c r="P219" s="177" t="s">
        <v>20</v>
      </c>
      <c r="Q219" s="172">
        <v>247</v>
      </c>
      <c r="R219" s="175">
        <f t="shared" si="36"/>
        <v>0.2</v>
      </c>
      <c r="S219" s="174">
        <f>+R219/R234</f>
        <v>0.25620480792122474</v>
      </c>
      <c r="U219" s="138">
        <v>214</v>
      </c>
      <c r="V219" s="248" t="str">
        <f t="shared" si="33"/>
        <v>Vacio</v>
      </c>
      <c r="W219" s="190">
        <f t="shared" si="33"/>
        <v>0.1</v>
      </c>
      <c r="X219" s="249">
        <f t="shared" si="30"/>
        <v>41.666666666666664</v>
      </c>
      <c r="Y219" s="250"/>
      <c r="Z219" s="251">
        <f t="shared" si="23"/>
        <v>21712.335174960324</v>
      </c>
      <c r="AA219" s="212">
        <v>21.712335174960327</v>
      </c>
    </row>
    <row r="220" spans="2:27" ht="19">
      <c r="B220" s="170" t="s">
        <v>190</v>
      </c>
      <c r="C220" s="171">
        <f>VLOOKUP(B220,'RESUMEN RENDIMIENTOS'!$V$6:$W$158,2,FALSE)</f>
        <v>960</v>
      </c>
      <c r="D220" s="177" t="s">
        <v>20</v>
      </c>
      <c r="E220" s="172">
        <v>247</v>
      </c>
      <c r="F220" s="173">
        <f t="shared" si="34"/>
        <v>0.10416666666666667</v>
      </c>
      <c r="G220" s="174">
        <f>+F220/F234</f>
        <v>0.33957219167316349</v>
      </c>
      <c r="H220" s="261" t="s">
        <v>214</v>
      </c>
      <c r="I220" s="171">
        <f>VLOOKUP(H220,'RESUMEN RENDIMIENTOS'!$V$6:$W$158,2,FALSE)</f>
        <v>60</v>
      </c>
      <c r="J220" s="177" t="s">
        <v>58</v>
      </c>
      <c r="K220" s="172">
        <v>12</v>
      </c>
      <c r="L220" s="173">
        <f t="shared" si="35"/>
        <v>8.0971659919028341E-2</v>
      </c>
      <c r="M220" s="174">
        <f>+L220/L234</f>
        <v>5.8123699184802154E-2</v>
      </c>
      <c r="N220" s="261" t="s">
        <v>214</v>
      </c>
      <c r="O220" s="171">
        <f>VLOOKUP(N220,'RESUMEN RENDIMIENTOS'!$V$6:$W$158,2,FALSE)</f>
        <v>60</v>
      </c>
      <c r="P220" s="177" t="s">
        <v>30</v>
      </c>
      <c r="Q220" s="172">
        <v>24</v>
      </c>
      <c r="R220" s="175">
        <f t="shared" si="36"/>
        <v>0.16194331983805668</v>
      </c>
      <c r="S220" s="174">
        <f>+R220/R234</f>
        <v>0.20745328576617389</v>
      </c>
      <c r="U220" s="138">
        <v>215</v>
      </c>
      <c r="V220" s="248" t="str">
        <f t="shared" si="33"/>
        <v>Vacio</v>
      </c>
      <c r="W220" s="190">
        <f t="shared" si="33"/>
        <v>0.1</v>
      </c>
      <c r="X220" s="249">
        <f t="shared" si="30"/>
        <v>41.666666666666664</v>
      </c>
      <c r="Y220" s="250"/>
      <c r="Z220" s="251">
        <f t="shared" si="23"/>
        <v>21712.335174960324</v>
      </c>
      <c r="AA220" s="212">
        <v>21.712335174960327</v>
      </c>
    </row>
    <row r="221" spans="2:27" ht="19">
      <c r="B221" s="170" t="s">
        <v>210</v>
      </c>
      <c r="C221" s="171">
        <f>VLOOKUP(B221,'RESUMEN RENDIMIENTOS'!$V$6:$W$158,2,FALSE)</f>
        <v>80</v>
      </c>
      <c r="D221" s="177" t="s">
        <v>62</v>
      </c>
      <c r="E221" s="172">
        <v>4</v>
      </c>
      <c r="F221" s="173">
        <f t="shared" si="34"/>
        <v>2.0242914979757085E-2</v>
      </c>
      <c r="G221" s="174">
        <f>+F221/F234</f>
        <v>6.5989737653084399E-2</v>
      </c>
      <c r="H221" s="261" t="s">
        <v>194</v>
      </c>
      <c r="I221" s="171">
        <f>VLOOKUP(H221,'RESUMEN RENDIMIENTOS'!$V$6:$W$158,2,FALSE)</f>
        <v>2000</v>
      </c>
      <c r="J221" s="177" t="s">
        <v>20</v>
      </c>
      <c r="K221" s="172">
        <v>247</v>
      </c>
      <c r="L221" s="173">
        <f t="shared" si="35"/>
        <v>0.05</v>
      </c>
      <c r="M221" s="174">
        <f>+L221/L234</f>
        <v>3.5891384246615331E-2</v>
      </c>
      <c r="N221" s="261" t="s">
        <v>234</v>
      </c>
      <c r="O221" s="171">
        <f>VLOOKUP(N221,'RESUMEN RENDIMIENTOS'!$V$6:$W$158,2,FALSE)</f>
        <v>805</v>
      </c>
      <c r="P221" s="177" t="s">
        <v>20</v>
      </c>
      <c r="Q221" s="172">
        <v>247</v>
      </c>
      <c r="R221" s="175">
        <f t="shared" si="36"/>
        <v>0.12422360248447205</v>
      </c>
      <c r="S221" s="174">
        <f>+R221/R234</f>
        <v>0.15913342106908368</v>
      </c>
      <c r="U221" s="138">
        <v>216</v>
      </c>
      <c r="V221" s="248" t="str">
        <f t="shared" si="33"/>
        <v>Mantenimiento altas</v>
      </c>
      <c r="W221" s="190">
        <f t="shared" si="33"/>
        <v>1</v>
      </c>
      <c r="X221" s="249">
        <f t="shared" si="30"/>
        <v>4.166666666666667</v>
      </c>
      <c r="Y221" s="250"/>
      <c r="Z221" s="251">
        <f t="shared" si="23"/>
        <v>2171.2335174960326</v>
      </c>
      <c r="AA221" s="212">
        <v>21.712335174960327</v>
      </c>
    </row>
    <row r="222" spans="2:27" ht="19">
      <c r="B222" s="170" t="s">
        <v>240</v>
      </c>
      <c r="C222" s="171">
        <f>VLOOKUP(B222,'RESUMEN RENDIMIENTOS'!$V$6:$W$158,2,FALSE)</f>
        <v>1000</v>
      </c>
      <c r="D222" s="177" t="s">
        <v>56</v>
      </c>
      <c r="E222" s="172">
        <v>52.14</v>
      </c>
      <c r="F222" s="173">
        <f t="shared" si="34"/>
        <v>2.1109311740890691E-2</v>
      </c>
      <c r="G222" s="174">
        <f>+F222/F234</f>
        <v>6.8814098424636413E-2</v>
      </c>
      <c r="H222" s="261" t="s">
        <v>239</v>
      </c>
      <c r="I222" s="171">
        <f>VLOOKUP(H222,'RESUMEN RENDIMIENTOS'!$V$6:$W$158,2,FALSE)</f>
        <v>325</v>
      </c>
      <c r="J222" s="177" t="s">
        <v>20</v>
      </c>
      <c r="K222" s="172">
        <v>247</v>
      </c>
      <c r="L222" s="173">
        <f t="shared" si="35"/>
        <v>0.30769230769230771</v>
      </c>
      <c r="M222" s="174">
        <f>+L222/L234</f>
        <v>0.2208700569022482</v>
      </c>
      <c r="N222" s="261" t="s">
        <v>244</v>
      </c>
      <c r="O222" s="171">
        <f>VLOOKUP(N222,'RESUMEN RENDIMIENTOS'!$V$6:$W$158,2,FALSE)</f>
        <v>400</v>
      </c>
      <c r="P222" s="177" t="s">
        <v>56</v>
      </c>
      <c r="Q222" s="172">
        <v>52.14</v>
      </c>
      <c r="R222" s="175">
        <f t="shared" si="36"/>
        <v>5.2773279352226719E-2</v>
      </c>
      <c r="S222" s="174">
        <f>+R222/R234</f>
        <v>6.760383949905191E-2</v>
      </c>
      <c r="U222" s="138">
        <v>217</v>
      </c>
      <c r="V222" s="248" t="str">
        <f t="shared" si="33"/>
        <v>Responsable edificio</v>
      </c>
      <c r="W222" s="190">
        <f t="shared" si="33"/>
        <v>1</v>
      </c>
      <c r="X222" s="249">
        <f t="shared" si="30"/>
        <v>4.166666666666667</v>
      </c>
      <c r="Y222" s="250"/>
      <c r="Z222" s="251">
        <f t="shared" si="23"/>
        <v>2171.2335174960326</v>
      </c>
      <c r="AA222" s="212">
        <v>21.712335174960327</v>
      </c>
    </row>
    <row r="223" spans="2:27" ht="19">
      <c r="B223" s="170" t="s">
        <v>237</v>
      </c>
      <c r="C223" s="171">
        <f>VLOOKUP(B223,'RESUMEN RENDIMIENTOS'!$V$6:$W$158,2,FALSE)</f>
        <v>250</v>
      </c>
      <c r="D223" s="177" t="s">
        <v>62</v>
      </c>
      <c r="E223" s="172">
        <v>4</v>
      </c>
      <c r="F223" s="173">
        <f t="shared" si="34"/>
        <v>6.4777327935222678E-3</v>
      </c>
      <c r="G223" s="174">
        <f>+F223/F234</f>
        <v>2.111671604898701E-2</v>
      </c>
      <c r="H223" s="261" t="s">
        <v>244</v>
      </c>
      <c r="I223" s="171">
        <f>VLOOKUP(H223,'RESUMEN RENDIMIENTOS'!$V$6:$W$158,2,FALSE)</f>
        <v>400</v>
      </c>
      <c r="J223" s="177" t="s">
        <v>20</v>
      </c>
      <c r="K223" s="172">
        <v>247</v>
      </c>
      <c r="L223" s="173">
        <f t="shared" si="35"/>
        <v>0.25</v>
      </c>
      <c r="M223" s="174">
        <f>+L223/L234</f>
        <v>0.17945692123307666</v>
      </c>
      <c r="N223" s="261" t="s">
        <v>221</v>
      </c>
      <c r="O223" s="171">
        <f>VLOOKUP(N223,'RESUMEN RENDIMIENTOS'!$V$6:$W$158,2,FALSE)</f>
        <v>500</v>
      </c>
      <c r="P223" s="177" t="s">
        <v>56</v>
      </c>
      <c r="Q223" s="172">
        <v>52.14</v>
      </c>
      <c r="R223" s="175">
        <f t="shared" si="36"/>
        <v>4.2218623481781382E-2</v>
      </c>
      <c r="S223" s="174">
        <f>+R223/R234</f>
        <v>5.4083071599241542E-2</v>
      </c>
      <c r="U223" s="138">
        <v>218</v>
      </c>
      <c r="V223" s="248" t="str">
        <f t="shared" si="33"/>
        <v>Mantenimiento zona</v>
      </c>
      <c r="W223" s="190">
        <f t="shared" si="33"/>
        <v>1</v>
      </c>
      <c r="X223" s="249">
        <f t="shared" si="30"/>
        <v>4.166666666666667</v>
      </c>
      <c r="Y223" s="250"/>
      <c r="Z223" s="251">
        <f t="shared" si="23"/>
        <v>2171.2335174960326</v>
      </c>
      <c r="AA223" s="212">
        <v>21.712335174960327</v>
      </c>
    </row>
    <row r="224" spans="2:27" ht="19">
      <c r="B224" s="170">
        <v>0</v>
      </c>
      <c r="C224" s="171">
        <f>VLOOKUP(B224,'RESUMEN RENDIMIENTOS'!$V$6:$W$158,2,FALSE)</f>
        <v>0</v>
      </c>
      <c r="D224" s="177"/>
      <c r="E224" s="172" t="s">
        <v>337</v>
      </c>
      <c r="F224" s="173">
        <f t="shared" si="34"/>
        <v>0</v>
      </c>
      <c r="G224" s="174">
        <f>+F224/F234</f>
        <v>0</v>
      </c>
      <c r="H224" s="261" t="s">
        <v>213</v>
      </c>
      <c r="I224" s="171">
        <f>VLOOKUP(H224,'RESUMEN RENDIMIENTOS'!$V$6:$W$158,2,FALSE)</f>
        <v>550</v>
      </c>
      <c r="J224" s="177" t="s">
        <v>20</v>
      </c>
      <c r="K224" s="172">
        <v>247</v>
      </c>
      <c r="L224" s="173">
        <f t="shared" si="35"/>
        <v>0.18181818181818182</v>
      </c>
      <c r="M224" s="174">
        <f>+L224/L234</f>
        <v>0.13051412453314665</v>
      </c>
      <c r="N224" s="261" t="s">
        <v>196</v>
      </c>
      <c r="O224" s="171">
        <f>VLOOKUP(N224,'RESUMEN RENDIMIENTOS'!$V$6:$W$158,2,FALSE)</f>
        <v>550</v>
      </c>
      <c r="P224" s="177" t="s">
        <v>58</v>
      </c>
      <c r="Q224" s="172">
        <v>12</v>
      </c>
      <c r="R224" s="175">
        <f t="shared" si="36"/>
        <v>8.833271991166727E-3</v>
      </c>
      <c r="S224" s="174">
        <f>+R224/R234</f>
        <v>1.1315633769064028E-2</v>
      </c>
      <c r="U224" s="138">
        <v>219</v>
      </c>
      <c r="V224" s="248" t="str">
        <f t="shared" si="33"/>
        <v>Vacio</v>
      </c>
      <c r="W224" s="190">
        <f t="shared" si="33"/>
        <v>0.1</v>
      </c>
      <c r="X224" s="249">
        <f t="shared" si="30"/>
        <v>41.666666666666664</v>
      </c>
      <c r="Y224" s="250"/>
      <c r="Z224" s="251">
        <f t="shared" si="23"/>
        <v>21712.335174960324</v>
      </c>
      <c r="AA224" s="212">
        <v>21.712335174960327</v>
      </c>
    </row>
    <row r="225" spans="2:27" ht="19">
      <c r="B225" s="170">
        <v>0</v>
      </c>
      <c r="C225" s="171">
        <f>VLOOKUP(B225,'RESUMEN RENDIMIENTOS'!$V$6:$W$158,2,FALSE)</f>
        <v>0</v>
      </c>
      <c r="D225" s="177"/>
      <c r="E225" s="172" t="s">
        <v>337</v>
      </c>
      <c r="F225" s="173">
        <f t="shared" si="34"/>
        <v>0</v>
      </c>
      <c r="G225" s="174">
        <f>+F225/F234</f>
        <v>0</v>
      </c>
      <c r="H225" s="261" t="s">
        <v>221</v>
      </c>
      <c r="I225" s="171">
        <f>VLOOKUP(H225,'RESUMEN RENDIMIENTOS'!$V$6:$W$158,2,FALSE)</f>
        <v>500</v>
      </c>
      <c r="J225" s="177" t="s">
        <v>20</v>
      </c>
      <c r="K225" s="172">
        <v>247</v>
      </c>
      <c r="L225" s="173">
        <f t="shared" si="35"/>
        <v>0.2</v>
      </c>
      <c r="M225" s="174">
        <f>+L225/L234</f>
        <v>0.14356553698646132</v>
      </c>
      <c r="N225" s="261" t="s">
        <v>197</v>
      </c>
      <c r="O225" s="171">
        <f>VLOOKUP(N225,'RESUMEN RENDIMIENTOS'!$V$6:$W$158,2,FALSE)</f>
        <v>600</v>
      </c>
      <c r="P225" s="177" t="s">
        <v>30</v>
      </c>
      <c r="Q225" s="172">
        <v>24</v>
      </c>
      <c r="R225" s="175">
        <f t="shared" si="36"/>
        <v>1.6194331983805668E-2</v>
      </c>
      <c r="S225" s="174">
        <f>+R225/R234</f>
        <v>2.074532857661739E-2</v>
      </c>
      <c r="U225" s="138">
        <v>220</v>
      </c>
      <c r="V225" s="248" t="str">
        <f t="shared" si="33"/>
        <v>Vacio</v>
      </c>
      <c r="W225" s="190">
        <f t="shared" si="33"/>
        <v>0.1</v>
      </c>
      <c r="X225" s="249">
        <f t="shared" si="30"/>
        <v>41.666666666666664</v>
      </c>
      <c r="Y225" s="250"/>
      <c r="Z225" s="251">
        <f t="shared" si="23"/>
        <v>21712.335174960324</v>
      </c>
      <c r="AA225" s="212">
        <v>21.712335174960327</v>
      </c>
    </row>
    <row r="226" spans="2:27" ht="19">
      <c r="B226" s="170">
        <v>0</v>
      </c>
      <c r="C226" s="171">
        <f>VLOOKUP(B226,'RESUMEN RENDIMIENTOS'!$V$6:$W$158,2,FALSE)</f>
        <v>0</v>
      </c>
      <c r="D226" s="177"/>
      <c r="E226" s="172" t="s">
        <v>337</v>
      </c>
      <c r="F226" s="173">
        <f t="shared" si="34"/>
        <v>0</v>
      </c>
      <c r="G226" s="174">
        <f>+F226/F234</f>
        <v>0</v>
      </c>
      <c r="H226" s="170" t="s">
        <v>240</v>
      </c>
      <c r="I226" s="171">
        <f>VLOOKUP(H226,'RESUMEN RENDIMIENTOS'!$V$6:$W$158,2,FALSE)</f>
        <v>1000</v>
      </c>
      <c r="J226" s="177" t="s">
        <v>52</v>
      </c>
      <c r="K226" s="172">
        <v>156.42000000000002</v>
      </c>
      <c r="L226" s="173">
        <f t="shared" si="35"/>
        <v>6.3327935222672077E-2</v>
      </c>
      <c r="M226" s="174">
        <f>+L226/L234</f>
        <v>4.5458545132433775E-2</v>
      </c>
      <c r="N226" s="170" t="s">
        <v>240</v>
      </c>
      <c r="O226" s="171">
        <f>VLOOKUP(N226,'RESUMEN RENDIMIENTOS'!$V$6:$W$158,2,FALSE)</f>
        <v>1000</v>
      </c>
      <c r="P226" s="177" t="s">
        <v>52</v>
      </c>
      <c r="Q226" s="172">
        <v>156.42000000000002</v>
      </c>
      <c r="R226" s="175">
        <f t="shared" si="36"/>
        <v>6.3327935222672077E-2</v>
      </c>
      <c r="S226" s="174">
        <f>+R226/R234</f>
        <v>8.1124607398862306E-2</v>
      </c>
      <c r="U226" s="138">
        <v>221</v>
      </c>
      <c r="V226" s="248" t="str">
        <f t="shared" si="33"/>
        <v>Descanso Personal</v>
      </c>
      <c r="W226" s="190">
        <f t="shared" si="33"/>
        <v>1</v>
      </c>
      <c r="X226" s="249">
        <f t="shared" si="30"/>
        <v>4.166666666666667</v>
      </c>
      <c r="Y226" s="250"/>
      <c r="Z226" s="251">
        <f t="shared" si="23"/>
        <v>2171.2335174960326</v>
      </c>
      <c r="AA226" s="212">
        <v>21.712335174960327</v>
      </c>
    </row>
    <row r="227" spans="2:27" ht="19">
      <c r="B227" s="170">
        <v>0</v>
      </c>
      <c r="C227" s="171">
        <f>VLOOKUP(B227,'RESUMEN RENDIMIENTOS'!$V$6:$W$158,2,FALSE)</f>
        <v>0</v>
      </c>
      <c r="D227" s="177"/>
      <c r="E227" s="172" t="s">
        <v>337</v>
      </c>
      <c r="F227" s="173">
        <f t="shared" si="34"/>
        <v>0</v>
      </c>
      <c r="G227" s="174">
        <f>+F227/F234</f>
        <v>0</v>
      </c>
      <c r="H227" s="261" t="s">
        <v>234</v>
      </c>
      <c r="I227" s="171">
        <f>VLOOKUP(H227,'RESUMEN RENDIMIENTOS'!$V$6:$W$158,2,FALSE)</f>
        <v>805</v>
      </c>
      <c r="J227" s="177" t="s">
        <v>58</v>
      </c>
      <c r="K227" s="172">
        <v>12</v>
      </c>
      <c r="L227" s="173">
        <f t="shared" si="35"/>
        <v>6.0351547765735408E-3</v>
      </c>
      <c r="M227" s="174">
        <f>+L227/L234</f>
        <v>4.3322011814759366E-3</v>
      </c>
      <c r="N227" s="261">
        <v>0</v>
      </c>
      <c r="O227" s="171">
        <f>VLOOKUP(N227,'RESUMEN RENDIMIENTOS'!$V$6:$W$158,2,FALSE)</f>
        <v>0</v>
      </c>
      <c r="P227" s="177"/>
      <c r="Q227" s="172" t="s">
        <v>337</v>
      </c>
      <c r="R227" s="175">
        <f t="shared" si="36"/>
        <v>0</v>
      </c>
      <c r="S227" s="174">
        <f>+R227/R234</f>
        <v>0</v>
      </c>
      <c r="U227" s="138">
        <v>222</v>
      </c>
      <c r="V227" s="248" t="str">
        <f t="shared" si="33"/>
        <v>Vacio</v>
      </c>
      <c r="W227" s="190">
        <f t="shared" si="33"/>
        <v>0.1</v>
      </c>
      <c r="X227" s="249">
        <f t="shared" si="30"/>
        <v>41.666666666666664</v>
      </c>
      <c r="Y227" s="250"/>
      <c r="Z227" s="251">
        <f t="shared" si="23"/>
        <v>21712.335174960324</v>
      </c>
      <c r="AA227" s="212">
        <v>21.712335174960327</v>
      </c>
    </row>
    <row r="228" spans="2:27" ht="19">
      <c r="B228" s="170">
        <v>0</v>
      </c>
      <c r="C228" s="171">
        <f>VLOOKUP(B228,'RESUMEN RENDIMIENTOS'!$V$6:$W$158,2,FALSE)</f>
        <v>0</v>
      </c>
      <c r="D228" s="177"/>
      <c r="E228" s="172" t="s">
        <v>337</v>
      </c>
      <c r="F228" s="173">
        <f t="shared" si="34"/>
        <v>0</v>
      </c>
      <c r="G228" s="174">
        <f>+F228/F234</f>
        <v>0</v>
      </c>
      <c r="H228" s="261">
        <v>0</v>
      </c>
      <c r="I228" s="171">
        <f>VLOOKUP(H228,'RESUMEN RENDIMIENTOS'!$V$6:$W$158,2,FALSE)</f>
        <v>0</v>
      </c>
      <c r="J228" s="177"/>
      <c r="K228" s="172" t="s">
        <v>337</v>
      </c>
      <c r="L228" s="173">
        <f t="shared" si="35"/>
        <v>0</v>
      </c>
      <c r="M228" s="174">
        <f>+L228/L234</f>
        <v>0</v>
      </c>
      <c r="N228" s="261">
        <v>0</v>
      </c>
      <c r="O228" s="171">
        <f>VLOOKUP(N228,'RESUMEN RENDIMIENTOS'!$V$6:$W$158,2,FALSE)</f>
        <v>0</v>
      </c>
      <c r="P228" s="177"/>
      <c r="Q228" s="172" t="s">
        <v>337</v>
      </c>
      <c r="R228" s="175">
        <f t="shared" si="36"/>
        <v>0</v>
      </c>
      <c r="S228" s="174">
        <f>+R228/R234</f>
        <v>0</v>
      </c>
      <c r="U228" s="138">
        <v>223</v>
      </c>
      <c r="V228" s="248" t="str">
        <f t="shared" si="33"/>
        <v>Vacio</v>
      </c>
      <c r="W228" s="190">
        <f t="shared" si="33"/>
        <v>0.1</v>
      </c>
      <c r="X228" s="249">
        <f t="shared" si="30"/>
        <v>41.666666666666664</v>
      </c>
      <c r="Y228" s="250"/>
      <c r="Z228" s="251">
        <f t="shared" si="23"/>
        <v>21712.335174960324</v>
      </c>
      <c r="AA228" s="212">
        <v>21.712335174960327</v>
      </c>
    </row>
    <row r="229" spans="2:27" ht="19">
      <c r="B229" s="170">
        <v>0</v>
      </c>
      <c r="C229" s="171">
        <f>VLOOKUP(B229,'RESUMEN RENDIMIENTOS'!$V$6:$W$158,2,FALSE)</f>
        <v>0</v>
      </c>
      <c r="D229" s="177"/>
      <c r="E229" s="172" t="s">
        <v>337</v>
      </c>
      <c r="F229" s="173">
        <f t="shared" si="34"/>
        <v>0</v>
      </c>
      <c r="G229" s="174">
        <f>+F229/F234</f>
        <v>0</v>
      </c>
      <c r="H229" s="261">
        <v>0</v>
      </c>
      <c r="I229" s="171">
        <f>VLOOKUP(H229,'RESUMEN RENDIMIENTOS'!$V$6:$W$158,2,FALSE)</f>
        <v>0</v>
      </c>
      <c r="J229" s="177"/>
      <c r="K229" s="172" t="s">
        <v>337</v>
      </c>
      <c r="L229" s="173">
        <f t="shared" si="35"/>
        <v>0</v>
      </c>
      <c r="M229" s="174">
        <f>+L229/L234</f>
        <v>0</v>
      </c>
      <c r="N229" s="261">
        <v>0</v>
      </c>
      <c r="O229" s="171">
        <f>VLOOKUP(N229,'RESUMEN RENDIMIENTOS'!$V$6:$W$158,2,FALSE)</f>
        <v>0</v>
      </c>
      <c r="P229" s="177"/>
      <c r="Q229" s="172" t="s">
        <v>337</v>
      </c>
      <c r="R229" s="175">
        <f t="shared" si="36"/>
        <v>0</v>
      </c>
      <c r="S229" s="174">
        <f>+R229/R234</f>
        <v>0</v>
      </c>
      <c r="U229" s="138">
        <v>224</v>
      </c>
      <c r="V229" s="248" t="str">
        <f t="shared" si="33"/>
        <v>Vacio</v>
      </c>
      <c r="W229" s="190">
        <f t="shared" si="33"/>
        <v>0.1</v>
      </c>
      <c r="X229" s="249">
        <f t="shared" si="30"/>
        <v>41.666666666666664</v>
      </c>
      <c r="Y229" s="250"/>
      <c r="Z229" s="251">
        <f t="shared" si="23"/>
        <v>21712.335174960324</v>
      </c>
      <c r="AA229" s="212">
        <v>21.712335174960327</v>
      </c>
    </row>
    <row r="230" spans="2:27" ht="19">
      <c r="B230" s="170">
        <v>0</v>
      </c>
      <c r="C230" s="171">
        <f>VLOOKUP(B230,'RESUMEN RENDIMIENTOS'!$V$6:$W$158,2,FALSE)</f>
        <v>0</v>
      </c>
      <c r="D230" s="177"/>
      <c r="E230" s="172" t="s">
        <v>337</v>
      </c>
      <c r="F230" s="173">
        <f t="shared" si="34"/>
        <v>0</v>
      </c>
      <c r="G230" s="174">
        <f>+F230/F234</f>
        <v>0</v>
      </c>
      <c r="H230" s="261">
        <v>0</v>
      </c>
      <c r="I230" s="171">
        <f>VLOOKUP(H230,'RESUMEN RENDIMIENTOS'!$V$6:$W$158,2,FALSE)</f>
        <v>0</v>
      </c>
      <c r="J230" s="177"/>
      <c r="K230" s="172" t="s">
        <v>337</v>
      </c>
      <c r="L230" s="173">
        <f t="shared" si="35"/>
        <v>0</v>
      </c>
      <c r="M230" s="174">
        <f>+L230/L234</f>
        <v>0</v>
      </c>
      <c r="N230" s="261">
        <v>0</v>
      </c>
      <c r="O230" s="171">
        <f>VLOOKUP(N230,'RESUMEN RENDIMIENTOS'!$V$6:$W$158,2,FALSE)</f>
        <v>0</v>
      </c>
      <c r="P230" s="177"/>
      <c r="Q230" s="172" t="s">
        <v>337</v>
      </c>
      <c r="R230" s="175">
        <f t="shared" si="36"/>
        <v>0</v>
      </c>
      <c r="S230" s="174">
        <f>+R230/R234</f>
        <v>0</v>
      </c>
      <c r="U230" s="138">
        <v>225</v>
      </c>
      <c r="V230" s="248" t="str">
        <f t="shared" si="33"/>
        <v>Vacio</v>
      </c>
      <c r="W230" s="190">
        <f t="shared" si="33"/>
        <v>0.1</v>
      </c>
      <c r="X230" s="249">
        <f t="shared" si="30"/>
        <v>41.666666666666664</v>
      </c>
      <c r="Y230" s="250"/>
      <c r="Z230" s="251">
        <f t="shared" si="23"/>
        <v>21712.335174960324</v>
      </c>
      <c r="AA230" s="212">
        <v>21.712335174960327</v>
      </c>
    </row>
    <row r="231" spans="2:27" ht="19">
      <c r="B231" s="170">
        <v>0</v>
      </c>
      <c r="C231" s="171">
        <f>VLOOKUP(B231,'RESUMEN RENDIMIENTOS'!$V$6:$W$158,2,FALSE)</f>
        <v>0</v>
      </c>
      <c r="D231" s="177"/>
      <c r="E231" s="172" t="s">
        <v>337</v>
      </c>
      <c r="F231" s="173">
        <f t="shared" si="34"/>
        <v>0</v>
      </c>
      <c r="G231" s="174">
        <f>+F231/F234</f>
        <v>0</v>
      </c>
      <c r="H231" s="261">
        <v>0</v>
      </c>
      <c r="I231" s="171">
        <f>VLOOKUP(H231,'RESUMEN RENDIMIENTOS'!$V$6:$W$158,2,FALSE)</f>
        <v>0</v>
      </c>
      <c r="J231" s="177"/>
      <c r="K231" s="172" t="s">
        <v>337</v>
      </c>
      <c r="L231" s="173">
        <f t="shared" si="35"/>
        <v>0</v>
      </c>
      <c r="M231" s="174">
        <f>+L231/L234</f>
        <v>0</v>
      </c>
      <c r="N231" s="261">
        <v>0</v>
      </c>
      <c r="O231" s="171">
        <f>VLOOKUP(N231,'RESUMEN RENDIMIENTOS'!$V$6:$W$158,2,FALSE)</f>
        <v>0</v>
      </c>
      <c r="P231" s="177"/>
      <c r="Q231" s="172" t="s">
        <v>337</v>
      </c>
      <c r="R231" s="175">
        <f t="shared" si="36"/>
        <v>0</v>
      </c>
      <c r="S231" s="174">
        <f>+R231/R234</f>
        <v>0</v>
      </c>
      <c r="U231" s="138">
        <v>226</v>
      </c>
      <c r="V231" s="248" t="str">
        <f>+P3</f>
        <v>Cristales</v>
      </c>
      <c r="W231" s="190">
        <f>+R3</f>
        <v>30</v>
      </c>
      <c r="X231" s="249">
        <f t="shared" si="30"/>
        <v>0.1388888888888889</v>
      </c>
      <c r="Y231" s="250"/>
      <c r="Z231" s="251">
        <f t="shared" si="23"/>
        <v>72.374450583201082</v>
      </c>
      <c r="AA231" s="212">
        <v>21.712335174960327</v>
      </c>
    </row>
    <row r="232" spans="2:27" ht="19">
      <c r="B232" s="170">
        <v>0</v>
      </c>
      <c r="C232" s="171">
        <f>VLOOKUP(B232,'RESUMEN RENDIMIENTOS'!$V$6:$W$158,2,FALSE)</f>
        <v>0</v>
      </c>
      <c r="D232" s="177"/>
      <c r="E232" s="172" t="s">
        <v>337</v>
      </c>
      <c r="F232" s="173">
        <f t="shared" si="34"/>
        <v>0</v>
      </c>
      <c r="G232" s="174">
        <f>+F232/F234</f>
        <v>0</v>
      </c>
      <c r="H232" s="261">
        <v>0</v>
      </c>
      <c r="I232" s="171">
        <f>VLOOKUP(H232,'RESUMEN RENDIMIENTOS'!$V$6:$W$158,2,FALSE)</f>
        <v>0</v>
      </c>
      <c r="J232" s="177"/>
      <c r="K232" s="172" t="s">
        <v>337</v>
      </c>
      <c r="L232" s="173">
        <f t="shared" si="35"/>
        <v>0</v>
      </c>
      <c r="M232" s="174">
        <f>+L232/L234</f>
        <v>0</v>
      </c>
      <c r="N232" s="261">
        <v>0</v>
      </c>
      <c r="O232" s="171">
        <f>VLOOKUP(N232,'RESUMEN RENDIMIENTOS'!$V$6:$W$158,2,FALSE)</f>
        <v>0</v>
      </c>
      <c r="P232" s="177"/>
      <c r="Q232" s="172" t="s">
        <v>337</v>
      </c>
      <c r="R232" s="175">
        <f t="shared" si="36"/>
        <v>0</v>
      </c>
      <c r="S232" s="174">
        <f>+R232/R234</f>
        <v>0</v>
      </c>
      <c r="U232" s="138">
        <v>227</v>
      </c>
      <c r="V232" s="248" t="str">
        <f t="shared" ref="V232:V248" si="37">+P4</f>
        <v>Cristales escaparates</v>
      </c>
      <c r="W232" s="190">
        <f t="shared" ref="W232:W248" si="38">+R4</f>
        <v>40</v>
      </c>
      <c r="X232" s="249">
        <f t="shared" si="30"/>
        <v>0.10416666666666667</v>
      </c>
      <c r="Y232" s="250"/>
      <c r="Z232" s="251">
        <f t="shared" si="23"/>
        <v>54.280837937400818</v>
      </c>
      <c r="AA232" s="212">
        <v>21.712335174960327</v>
      </c>
    </row>
    <row r="233" spans="2:27" ht="19">
      <c r="B233" s="170">
        <v>0</v>
      </c>
      <c r="C233" s="171">
        <f>VLOOKUP(B233,'RESUMEN RENDIMIENTOS'!$V$6:$W$158,2,FALSE)</f>
        <v>0</v>
      </c>
      <c r="D233" s="177"/>
      <c r="E233" s="172" t="s">
        <v>337</v>
      </c>
      <c r="F233" s="173">
        <f t="shared" si="34"/>
        <v>0</v>
      </c>
      <c r="G233" s="174">
        <f>+F233/F234</f>
        <v>0</v>
      </c>
      <c r="H233" s="261">
        <v>0</v>
      </c>
      <c r="I233" s="171">
        <f>VLOOKUP(H233,'RESUMEN RENDIMIENTOS'!$V$6:$W$158,2,FALSE)</f>
        <v>0</v>
      </c>
      <c r="J233" s="177"/>
      <c r="K233" s="172" t="s">
        <v>337</v>
      </c>
      <c r="L233" s="173">
        <f t="shared" si="35"/>
        <v>0</v>
      </c>
      <c r="M233" s="174">
        <f>+L233/L234</f>
        <v>0</v>
      </c>
      <c r="N233" s="261">
        <v>0</v>
      </c>
      <c r="O233" s="171">
        <f>VLOOKUP(N233,'RESUMEN RENDIMIENTOS'!$V$6:$W$158,2,FALSE)</f>
        <v>0</v>
      </c>
      <c r="P233" s="177"/>
      <c r="Q233" s="172" t="s">
        <v>337</v>
      </c>
      <c r="R233" s="175">
        <f t="shared" si="36"/>
        <v>0</v>
      </c>
      <c r="S233" s="174">
        <f>+R233/R234</f>
        <v>0</v>
      </c>
      <c r="U233" s="138">
        <v>228</v>
      </c>
      <c r="V233" s="248" t="str">
        <f t="shared" si="37"/>
        <v>Cristales cocinas</v>
      </c>
      <c r="W233" s="190">
        <f t="shared" si="38"/>
        <v>3</v>
      </c>
      <c r="X233" s="249">
        <f t="shared" si="30"/>
        <v>1.3888888888888891</v>
      </c>
      <c r="Y233" s="250"/>
      <c r="Z233" s="251">
        <f t="shared" ref="Z233:Z248" si="39">+(AA233/W233)*100</f>
        <v>723.74450583201087</v>
      </c>
      <c r="AA233" s="212">
        <v>21.712335174960327</v>
      </c>
    </row>
    <row r="234" spans="2:27" ht="25" thickBot="1">
      <c r="B234" s="178"/>
      <c r="E234" s="90"/>
      <c r="F234" s="173">
        <f>SUM(F218:F233)</f>
        <v>0.30675853094274153</v>
      </c>
      <c r="G234" s="181">
        <f>+F234/F234</f>
        <v>1</v>
      </c>
      <c r="H234" s="178"/>
      <c r="I234" s="179"/>
      <c r="J234" s="182" t="s">
        <v>24</v>
      </c>
      <c r="K234" s="90"/>
      <c r="L234" s="173">
        <f>SUM(L218:L233)</f>
        <v>1.3930919926755168</v>
      </c>
      <c r="M234" s="181">
        <f>+L234/L234</f>
        <v>1</v>
      </c>
      <c r="N234" s="178"/>
      <c r="O234" s="179"/>
      <c r="Q234" s="90"/>
      <c r="R234" s="175">
        <f>SUM(R218:R233)</f>
        <v>0.78062547546529248</v>
      </c>
      <c r="S234" s="181">
        <f>+R234/R234</f>
        <v>1</v>
      </c>
      <c r="U234" s="138">
        <v>229</v>
      </c>
      <c r="V234" s="248" t="str">
        <f t="shared" si="37"/>
        <v>Cristales Obra</v>
      </c>
      <c r="W234" s="190">
        <f t="shared" si="38"/>
        <v>3</v>
      </c>
      <c r="X234" s="249">
        <f t="shared" si="30"/>
        <v>1.3888888888888891</v>
      </c>
      <c r="Y234" s="250"/>
      <c r="Z234" s="251">
        <f t="shared" si="39"/>
        <v>723.74450583201087</v>
      </c>
      <c r="AA234" s="212">
        <v>21.712335174960327</v>
      </c>
    </row>
    <row r="235" spans="2:27" ht="18" customHeight="1">
      <c r="B235" s="427" t="s">
        <v>317</v>
      </c>
      <c r="C235" s="428"/>
      <c r="D235" s="429"/>
      <c r="E235" s="185">
        <v>0.12</v>
      </c>
      <c r="F235" s="173">
        <f>+F234*E235</f>
        <v>3.6811023713128985E-2</v>
      </c>
      <c r="H235" s="427" t="s">
        <v>317</v>
      </c>
      <c r="I235" s="428"/>
      <c r="J235" s="429"/>
      <c r="K235" s="185">
        <v>0.12</v>
      </c>
      <c r="L235" s="173">
        <f>+L234*K235</f>
        <v>0.16717103912106202</v>
      </c>
      <c r="N235" s="427" t="s">
        <v>317</v>
      </c>
      <c r="O235" s="428"/>
      <c r="P235" s="429"/>
      <c r="Q235" s="185">
        <v>0.12</v>
      </c>
      <c r="R235" s="175">
        <f>+R234*Q235</f>
        <v>9.3675057055835093E-2</v>
      </c>
      <c r="U235" s="138">
        <v>230</v>
      </c>
      <c r="V235" s="248" t="str">
        <f t="shared" si="37"/>
        <v>Paredes Alicatadas</v>
      </c>
      <c r="W235" s="190">
        <f t="shared" si="38"/>
        <v>60</v>
      </c>
      <c r="X235" s="249">
        <f t="shared" si="30"/>
        <v>6.9444444444444448E-2</v>
      </c>
      <c r="Y235" s="250"/>
      <c r="Z235" s="251">
        <f t="shared" si="39"/>
        <v>36.187225291600541</v>
      </c>
      <c r="AA235" s="212">
        <v>21.712335174960327</v>
      </c>
    </row>
    <row r="236" spans="2:27" ht="18" customHeight="1">
      <c r="B236" s="178"/>
      <c r="F236" s="173">
        <f>+F235+F234</f>
        <v>0.34356955465587052</v>
      </c>
      <c r="G236" s="187">
        <f>+F236/24</f>
        <v>1.4315398110661272E-2</v>
      </c>
      <c r="H236" s="178"/>
      <c r="I236" s="179"/>
      <c r="K236" s="88"/>
      <c r="L236" s="173">
        <f>+L235+L234</f>
        <v>1.5602630317965787</v>
      </c>
      <c r="M236" s="187">
        <f>+L236/24</f>
        <v>6.5010959658190773E-2</v>
      </c>
      <c r="N236" s="178"/>
      <c r="O236" s="179"/>
      <c r="R236" s="175">
        <f>+R235+R234</f>
        <v>0.8743005325211276</v>
      </c>
      <c r="S236" s="187">
        <f>+R236/24</f>
        <v>3.6429188855046986E-2</v>
      </c>
      <c r="U236" s="138">
        <v>231</v>
      </c>
      <c r="V236" s="248" t="str">
        <f t="shared" si="37"/>
        <v>Techos PVC</v>
      </c>
      <c r="W236" s="190">
        <f t="shared" si="38"/>
        <v>40</v>
      </c>
      <c r="X236" s="249">
        <f t="shared" si="30"/>
        <v>0.10416666666666667</v>
      </c>
      <c r="Y236" s="250"/>
      <c r="Z236" s="251">
        <f t="shared" si="39"/>
        <v>54.280837937400818</v>
      </c>
      <c r="AA236" s="212">
        <v>21.712335174960327</v>
      </c>
    </row>
    <row r="237" spans="2:27" ht="19">
      <c r="B237" s="178"/>
      <c r="D237" s="188"/>
      <c r="F237" s="173"/>
      <c r="H237" s="178"/>
      <c r="I237" s="179"/>
      <c r="J237" s="188"/>
      <c r="K237" s="88"/>
      <c r="L237" s="173"/>
      <c r="N237" s="178"/>
      <c r="O237" s="179"/>
      <c r="P237" s="188"/>
      <c r="R237" s="175"/>
      <c r="U237" s="138">
        <v>232</v>
      </c>
      <c r="V237" s="248" t="str">
        <f t="shared" si="37"/>
        <v>Limpieza de Graderias exteriores</v>
      </c>
      <c r="W237" s="190">
        <f t="shared" si="38"/>
        <v>500</v>
      </c>
      <c r="X237" s="249">
        <f t="shared" si="30"/>
        <v>8.3333333333333332E-3</v>
      </c>
      <c r="Y237" s="250"/>
      <c r="Z237" s="251">
        <f t="shared" si="39"/>
        <v>4.3424670349920653</v>
      </c>
      <c r="AA237" s="212">
        <v>21.712335174960327</v>
      </c>
    </row>
    <row r="238" spans="2:27" ht="21">
      <c r="B238" s="191" t="s">
        <v>318</v>
      </c>
      <c r="C238" s="192"/>
      <c r="D238" s="192"/>
      <c r="E238" s="444">
        <f>IF(F236=0,0,(100/F236))</f>
        <v>291.06187857699723</v>
      </c>
      <c r="F238" s="445"/>
      <c r="H238" s="191" t="s">
        <v>318</v>
      </c>
      <c r="I238" s="192"/>
      <c r="J238" s="192"/>
      <c r="K238" s="444">
        <f>IF(L236=0,0,(100/L236))</f>
        <v>64.091757583241659</v>
      </c>
      <c r="L238" s="445"/>
      <c r="N238" s="191" t="s">
        <v>318</v>
      </c>
      <c r="O238" s="192"/>
      <c r="P238" s="192"/>
      <c r="Q238" s="444">
        <f>IF(R236=0,0,(100/R236))</f>
        <v>114.3771463934039</v>
      </c>
      <c r="R238" s="445"/>
      <c r="U238" s="138">
        <v>233</v>
      </c>
      <c r="V238" s="248" t="str">
        <f t="shared" si="37"/>
        <v>Limpieza de Graderias interiores</v>
      </c>
      <c r="W238" s="190">
        <f t="shared" si="38"/>
        <v>300</v>
      </c>
      <c r="X238" s="249">
        <f t="shared" si="30"/>
        <v>1.3888888888888888E-2</v>
      </c>
      <c r="Y238" s="250"/>
      <c r="Z238" s="251">
        <f t="shared" si="39"/>
        <v>7.2374450583201089</v>
      </c>
      <c r="AA238" s="212">
        <v>21.712335174960327</v>
      </c>
    </row>
    <row r="239" spans="2:27" ht="19">
      <c r="B239" s="178"/>
      <c r="F239" s="189"/>
      <c r="H239" s="178"/>
      <c r="I239" s="179"/>
      <c r="K239" s="88"/>
      <c r="L239" s="189"/>
      <c r="N239" s="178"/>
      <c r="O239" s="179"/>
      <c r="R239" s="189"/>
      <c r="U239" s="138">
        <v>234</v>
      </c>
      <c r="V239" s="248" t="str">
        <f t="shared" si="37"/>
        <v>Vacio</v>
      </c>
      <c r="W239" s="190">
        <f t="shared" si="38"/>
        <v>0.1</v>
      </c>
      <c r="X239" s="249">
        <f t="shared" si="30"/>
        <v>41.666666666666664</v>
      </c>
      <c r="Y239" s="250"/>
      <c r="Z239" s="251">
        <f t="shared" si="39"/>
        <v>21712.335174960324</v>
      </c>
      <c r="AA239" s="212">
        <v>21.712335174960327</v>
      </c>
    </row>
    <row r="240" spans="2:27" ht="21">
      <c r="B240" s="446" t="s">
        <v>319</v>
      </c>
      <c r="C240" s="447"/>
      <c r="D240" s="447"/>
      <c r="E240" s="447"/>
      <c r="F240" s="448"/>
      <c r="H240" s="446" t="s">
        <v>319</v>
      </c>
      <c r="I240" s="447"/>
      <c r="J240" s="447"/>
      <c r="K240" s="447"/>
      <c r="L240" s="448"/>
      <c r="N240" s="446" t="s">
        <v>319</v>
      </c>
      <c r="O240" s="447"/>
      <c r="P240" s="447"/>
      <c r="Q240" s="447"/>
      <c r="R240" s="448"/>
      <c r="U240" s="138">
        <v>235</v>
      </c>
      <c r="V240" s="248" t="str">
        <f t="shared" si="37"/>
        <v>Vacio</v>
      </c>
      <c r="W240" s="190">
        <f t="shared" si="38"/>
        <v>0.1</v>
      </c>
      <c r="X240" s="249">
        <f t="shared" si="30"/>
        <v>41.666666666666664</v>
      </c>
      <c r="Y240" s="250"/>
      <c r="Z240" s="251">
        <f t="shared" si="39"/>
        <v>21712.335174960324</v>
      </c>
      <c r="AA240" s="212">
        <v>21.712335174960327</v>
      </c>
    </row>
    <row r="241" spans="2:27" ht="18" customHeight="1">
      <c r="B241" s="194" t="s">
        <v>320</v>
      </c>
      <c r="C241" s="195"/>
      <c r="D241" s="435" t="s">
        <v>321</v>
      </c>
      <c r="E241" s="435"/>
      <c r="F241" s="196" t="s">
        <v>322</v>
      </c>
      <c r="H241" s="194" t="s">
        <v>320</v>
      </c>
      <c r="I241" s="195"/>
      <c r="J241" s="435" t="s">
        <v>321</v>
      </c>
      <c r="K241" s="435"/>
      <c r="L241" s="196" t="s">
        <v>322</v>
      </c>
      <c r="N241" s="194" t="s">
        <v>320</v>
      </c>
      <c r="O241" s="195"/>
      <c r="P241" s="435" t="s">
        <v>321</v>
      </c>
      <c r="Q241" s="435"/>
      <c r="R241" s="196" t="s">
        <v>322</v>
      </c>
      <c r="U241" s="138">
        <v>236</v>
      </c>
      <c r="V241" s="248" t="str">
        <f t="shared" si="37"/>
        <v>Vacio</v>
      </c>
      <c r="W241" s="190">
        <f t="shared" si="38"/>
        <v>0.1</v>
      </c>
      <c r="X241" s="249">
        <f t="shared" si="30"/>
        <v>41.666666666666664</v>
      </c>
      <c r="Y241" s="250"/>
      <c r="Z241" s="251">
        <f t="shared" si="39"/>
        <v>21712.335174960324</v>
      </c>
      <c r="AA241" s="212">
        <v>21.712335174960327</v>
      </c>
    </row>
    <row r="242" spans="2:27" ht="19">
      <c r="B242" s="197" t="s">
        <v>278</v>
      </c>
      <c r="C242" s="201">
        <v>1</v>
      </c>
      <c r="E242" s="199">
        <f>IF(C242=0,0,(VLOOKUP(B242,'RESUMEN RENDIMIENTOS'!$AB$6:$AO$64,13,FALSE)))*C242</f>
        <v>0.75</v>
      </c>
      <c r="F242" s="200">
        <f>IF(C242=0,0,(VLOOKUP(B242,'RESUMEN RENDIMIENTOS'!$AB$6:$AO$64,14,FALSE)))*C242</f>
        <v>1.0285714285714287E-2</v>
      </c>
      <c r="H242" s="197" t="s">
        <v>278</v>
      </c>
      <c r="I242" s="201">
        <v>1</v>
      </c>
      <c r="K242" s="199">
        <f>IF(I242=0,0,(VLOOKUP(H242,'RESUMEN RENDIMIENTOS'!$AB$6:$AO$64,13,FALSE)))*I242</f>
        <v>0.75</v>
      </c>
      <c r="L242" s="200">
        <f>IF(I242=0,0,(VLOOKUP(H242,'RESUMEN RENDIMIENTOS'!$AB$6:$AO$64,14,FALSE)))*I242</f>
        <v>1.0285714285714287E-2</v>
      </c>
      <c r="N242" s="197" t="s">
        <v>278</v>
      </c>
      <c r="O242" s="201">
        <v>1</v>
      </c>
      <c r="Q242" s="199">
        <f>IF(O242=0,0,(VLOOKUP(N242,'RESUMEN RENDIMIENTOS'!$AB$6:$AO$64,13,FALSE)))*O242</f>
        <v>0.75</v>
      </c>
      <c r="R242" s="200">
        <f>IF(O242=0,0,(VLOOKUP(N242,'RESUMEN RENDIMIENTOS'!$AB$6:$AO$64,14,FALSE)))*O242</f>
        <v>1.0285714285714287E-2</v>
      </c>
      <c r="U242" s="138">
        <v>237</v>
      </c>
      <c r="V242" s="248" t="str">
        <f t="shared" si="37"/>
        <v>Vacio</v>
      </c>
      <c r="W242" s="190">
        <f t="shared" si="38"/>
        <v>0.1</v>
      </c>
      <c r="X242" s="249">
        <f t="shared" si="30"/>
        <v>41.666666666666664</v>
      </c>
      <c r="Y242" s="250"/>
      <c r="Z242" s="251">
        <f t="shared" si="39"/>
        <v>21712.335174960324</v>
      </c>
      <c r="AA242" s="212">
        <v>21.712335174960327</v>
      </c>
    </row>
    <row r="243" spans="2:27" ht="19">
      <c r="B243" s="197" t="s">
        <v>279</v>
      </c>
      <c r="C243" s="201">
        <v>0</v>
      </c>
      <c r="E243" s="199">
        <f>IF(C243=0,0,(VLOOKUP(B243,'RESUMEN RENDIMIENTOS'!$AB$6:$AO$64,13,FALSE)))*C243</f>
        <v>0</v>
      </c>
      <c r="F243" s="200">
        <f>IF(C243=0,0,(VLOOKUP(B243,'RESUMEN RENDIMIENTOS'!$AB$6:$AO$64,14,FALSE)))*C243</f>
        <v>0</v>
      </c>
      <c r="H243" s="197" t="s">
        <v>279</v>
      </c>
      <c r="I243" s="201">
        <v>1</v>
      </c>
      <c r="K243" s="199">
        <f>IF(I243=0,0,(VLOOKUP(H243,'RESUMEN RENDIMIENTOS'!$AB$6:$AO$64,13,FALSE)))*I243</f>
        <v>2</v>
      </c>
      <c r="L243" s="200">
        <f>IF(I243=0,0,(VLOOKUP(H243,'RESUMEN RENDIMIENTOS'!$AB$6:$AO$64,14,FALSE)))*I243</f>
        <v>9.5999999999999988E-2</v>
      </c>
      <c r="N243" s="197" t="s">
        <v>279</v>
      </c>
      <c r="O243" s="201">
        <v>1</v>
      </c>
      <c r="Q243" s="199">
        <f>IF(O243=0,0,(VLOOKUP(N243,'RESUMEN RENDIMIENTOS'!$AB$6:$AO$64,13,FALSE)))*O243</f>
        <v>2</v>
      </c>
      <c r="R243" s="200">
        <f>IF(O243=0,0,(VLOOKUP(N243,'RESUMEN RENDIMIENTOS'!$AB$6:$AO$64,14,FALSE)))*O243</f>
        <v>9.5999999999999988E-2</v>
      </c>
      <c r="U243" s="138">
        <v>238</v>
      </c>
      <c r="V243" s="248" t="str">
        <f t="shared" si="37"/>
        <v>Vacio</v>
      </c>
      <c r="W243" s="190">
        <f t="shared" si="38"/>
        <v>0.1</v>
      </c>
      <c r="X243" s="249">
        <f t="shared" si="30"/>
        <v>41.666666666666664</v>
      </c>
      <c r="Y243" s="250"/>
      <c r="Z243" s="251">
        <f t="shared" si="39"/>
        <v>21712.335174960324</v>
      </c>
      <c r="AA243" s="212">
        <v>21.712335174960327</v>
      </c>
    </row>
    <row r="244" spans="2:27" ht="19">
      <c r="B244" s="197" t="s">
        <v>284</v>
      </c>
      <c r="C244" s="201">
        <v>0.25</v>
      </c>
      <c r="E244" s="199">
        <f>IF(C244=0,0,(VLOOKUP(B244,'RESUMEN RENDIMIENTOS'!$AB$6:$AO$64,13,FALSE)))*C244</f>
        <v>0.52500000000000002</v>
      </c>
      <c r="F244" s="200">
        <f>IF(C244=0,0,(VLOOKUP(B244,'RESUMEN RENDIMIENTOS'!$AB$6:$AO$64,14,FALSE)))*C244</f>
        <v>4.2000000000000003E-2</v>
      </c>
      <c r="H244" s="197" t="s">
        <v>284</v>
      </c>
      <c r="I244" s="201">
        <v>0.25</v>
      </c>
      <c r="K244" s="199">
        <f>IF(I244=0,0,(VLOOKUP(H244,'RESUMEN RENDIMIENTOS'!$AB$6:$AO$64,13,FALSE)))*I244</f>
        <v>0.52500000000000002</v>
      </c>
      <c r="L244" s="200">
        <f>IF(I244=0,0,(VLOOKUP(H244,'RESUMEN RENDIMIENTOS'!$AB$6:$AO$64,14,FALSE)))*I244</f>
        <v>4.2000000000000003E-2</v>
      </c>
      <c r="N244" s="197" t="s">
        <v>284</v>
      </c>
      <c r="O244" s="201">
        <v>0.25</v>
      </c>
      <c r="Q244" s="199">
        <f>IF(O244=0,0,(VLOOKUP(N244,'RESUMEN RENDIMIENTOS'!$AB$6:$AO$64,13,FALSE)))*O244</f>
        <v>0.52500000000000002</v>
      </c>
      <c r="R244" s="200">
        <f>IF(O244=0,0,(VLOOKUP(N244,'RESUMEN RENDIMIENTOS'!$AB$6:$AO$64,14,FALSE)))*O244</f>
        <v>4.2000000000000003E-2</v>
      </c>
      <c r="U244" s="138">
        <v>239</v>
      </c>
      <c r="V244" s="248" t="str">
        <f t="shared" si="37"/>
        <v>Vacio</v>
      </c>
      <c r="W244" s="190">
        <f t="shared" si="38"/>
        <v>0.1</v>
      </c>
      <c r="X244" s="249">
        <f t="shared" si="30"/>
        <v>41.666666666666664</v>
      </c>
      <c r="Y244" s="250"/>
      <c r="Z244" s="251">
        <f t="shared" si="39"/>
        <v>21712.335174960324</v>
      </c>
      <c r="AA244" s="212">
        <v>21.712335174960327</v>
      </c>
    </row>
    <row r="245" spans="2:27" ht="19">
      <c r="B245" s="197" t="s">
        <v>283</v>
      </c>
      <c r="C245" s="201">
        <v>1</v>
      </c>
      <c r="E245" s="199">
        <f>IF(C245=0,0,(VLOOKUP(B245,'RESUMEN RENDIMIENTOS'!$AB$6:$AO$64,13,FALSE)))*C245</f>
        <v>1.59</v>
      </c>
      <c r="F245" s="200">
        <f>IF(C245=0,0,(VLOOKUP(B245,'RESUMEN RENDIMIENTOS'!$AB$6:$AO$64,14,FALSE)))*C245</f>
        <v>0.12720000000000001</v>
      </c>
      <c r="H245" s="197" t="s">
        <v>283</v>
      </c>
      <c r="I245" s="201">
        <v>1</v>
      </c>
      <c r="K245" s="199">
        <f>IF(I245=0,0,(VLOOKUP(H245,'RESUMEN RENDIMIENTOS'!$AB$6:$AO$64,13,FALSE)))*I245</f>
        <v>1.59</v>
      </c>
      <c r="L245" s="200">
        <f>IF(I245=0,0,(VLOOKUP(H245,'RESUMEN RENDIMIENTOS'!$AB$6:$AO$64,14,FALSE)))*I245</f>
        <v>0.12720000000000001</v>
      </c>
      <c r="N245" s="197" t="s">
        <v>283</v>
      </c>
      <c r="O245" s="201">
        <v>1</v>
      </c>
      <c r="Q245" s="199">
        <f>IF(O245=0,0,(VLOOKUP(N245,'RESUMEN RENDIMIENTOS'!$AB$6:$AO$64,13,FALSE)))*O245</f>
        <v>1.59</v>
      </c>
      <c r="R245" s="200">
        <f>IF(O245=0,0,(VLOOKUP(N245,'RESUMEN RENDIMIENTOS'!$AB$6:$AO$64,14,FALSE)))*O245</f>
        <v>0.12720000000000001</v>
      </c>
      <c r="U245" s="138">
        <v>240</v>
      </c>
      <c r="V245" s="248" t="str">
        <f t="shared" si="37"/>
        <v>Vacio</v>
      </c>
      <c r="W245" s="190">
        <f t="shared" si="38"/>
        <v>0.1</v>
      </c>
      <c r="X245" s="249">
        <f t="shared" si="30"/>
        <v>41.666666666666664</v>
      </c>
      <c r="Y245" s="250"/>
      <c r="Z245" s="251">
        <f t="shared" si="39"/>
        <v>21712.335174960324</v>
      </c>
      <c r="AA245" s="212">
        <v>21.712335174960327</v>
      </c>
    </row>
    <row r="246" spans="2:27" ht="19">
      <c r="B246" s="197" t="s">
        <v>282</v>
      </c>
      <c r="C246" s="201">
        <v>1</v>
      </c>
      <c r="E246" s="199">
        <f>IF(C246=0,0,(VLOOKUP(B246,'RESUMEN RENDIMIENTOS'!$AB$6:$AO$64,13,FALSE)))*C246</f>
        <v>2.62</v>
      </c>
      <c r="F246" s="200">
        <f>IF(C246=0,0,(VLOOKUP(B246,'RESUMEN RENDIMIENTOS'!$AB$6:$AO$64,14,FALSE)))*C246</f>
        <v>6.986666666666666E-2</v>
      </c>
      <c r="H246" s="197" t="s">
        <v>282</v>
      </c>
      <c r="I246" s="201">
        <v>1</v>
      </c>
      <c r="K246" s="199">
        <f>IF(I246=0,0,(VLOOKUP(H246,'RESUMEN RENDIMIENTOS'!$AB$6:$AO$64,13,FALSE)))*I246</f>
        <v>2.62</v>
      </c>
      <c r="L246" s="200">
        <f>IF(I246=0,0,(VLOOKUP(H246,'RESUMEN RENDIMIENTOS'!$AB$6:$AO$64,14,FALSE)))*I246</f>
        <v>6.986666666666666E-2</v>
      </c>
      <c r="N246" s="197" t="s">
        <v>282</v>
      </c>
      <c r="O246" s="201">
        <v>1</v>
      </c>
      <c r="Q246" s="199">
        <f>IF(O246=0,0,(VLOOKUP(N246,'RESUMEN RENDIMIENTOS'!$AB$6:$AO$64,13,FALSE)))*O246</f>
        <v>2.62</v>
      </c>
      <c r="R246" s="200">
        <f>IF(O246=0,0,(VLOOKUP(N246,'RESUMEN RENDIMIENTOS'!$AB$6:$AO$64,14,FALSE)))*O246</f>
        <v>6.986666666666666E-2</v>
      </c>
      <c r="U246" s="138">
        <v>241</v>
      </c>
      <c r="V246" s="248" t="str">
        <f t="shared" si="37"/>
        <v>Vacio</v>
      </c>
      <c r="W246" s="190">
        <f t="shared" si="38"/>
        <v>0.1</v>
      </c>
      <c r="X246" s="249">
        <f t="shared" si="30"/>
        <v>41.666666666666664</v>
      </c>
      <c r="Y246" s="250"/>
      <c r="Z246" s="251">
        <f t="shared" si="39"/>
        <v>21712.335174960324</v>
      </c>
      <c r="AA246" s="212">
        <v>21.712335174960327</v>
      </c>
    </row>
    <row r="247" spans="2:27" ht="19">
      <c r="B247" s="197" t="s">
        <v>302</v>
      </c>
      <c r="C247" s="201">
        <v>1</v>
      </c>
      <c r="E247" s="199">
        <f>IF(C247=0,0,(VLOOKUP(B247,'RESUMEN RENDIMIENTOS'!$AB$6:$AO$64,13,FALSE)))*C247</f>
        <v>1</v>
      </c>
      <c r="F247" s="200">
        <f>IF(C247=0,0,(VLOOKUP(B247,'RESUMEN RENDIMIENTOS'!$AB$6:$AO$64,14,FALSE)))*C247</f>
        <v>0.2</v>
      </c>
      <c r="H247" s="197" t="s">
        <v>302</v>
      </c>
      <c r="I247" s="201">
        <v>1</v>
      </c>
      <c r="K247" s="199">
        <f>IF(I247=0,0,(VLOOKUP(H247,'RESUMEN RENDIMIENTOS'!$AB$6:$AO$64,13,FALSE)))*I247</f>
        <v>1</v>
      </c>
      <c r="L247" s="200">
        <f>IF(I247=0,0,(VLOOKUP(H247,'RESUMEN RENDIMIENTOS'!$AB$6:$AO$64,14,FALSE)))*I247</f>
        <v>0.2</v>
      </c>
      <c r="N247" s="197" t="s">
        <v>302</v>
      </c>
      <c r="O247" s="201">
        <v>1</v>
      </c>
      <c r="Q247" s="199">
        <f>IF(O247=0,0,(VLOOKUP(N247,'RESUMEN RENDIMIENTOS'!$AB$6:$AO$64,13,FALSE)))*O247</f>
        <v>1</v>
      </c>
      <c r="R247" s="200">
        <f>IF(O247=0,0,(VLOOKUP(N247,'RESUMEN RENDIMIENTOS'!$AB$6:$AO$64,14,FALSE)))*O247</f>
        <v>0.2</v>
      </c>
      <c r="U247" s="138">
        <v>242</v>
      </c>
      <c r="V247" s="248" t="str">
        <f t="shared" si="37"/>
        <v>Vacio</v>
      </c>
      <c r="W247" s="190">
        <f t="shared" si="38"/>
        <v>0.1</v>
      </c>
      <c r="X247" s="249">
        <f t="shared" si="30"/>
        <v>41.666666666666664</v>
      </c>
      <c r="Y247" s="250"/>
      <c r="Z247" s="251">
        <f t="shared" si="39"/>
        <v>21712.335174960324</v>
      </c>
      <c r="AA247" s="212">
        <v>21.712335174960327</v>
      </c>
    </row>
    <row r="248" spans="2:27" ht="19">
      <c r="B248" s="202"/>
      <c r="F248" s="206">
        <f>SUM(F242:F247)</f>
        <v>0.44935238095238095</v>
      </c>
      <c r="G248" s="205">
        <f>+F248</f>
        <v>0.44935238095238095</v>
      </c>
      <c r="H248" s="202"/>
      <c r="I248" s="179"/>
      <c r="K248" s="88"/>
      <c r="L248" s="206">
        <f>SUM(L242:L247)</f>
        <v>0.54535238095238103</v>
      </c>
      <c r="M248" s="205">
        <f>+L248</f>
        <v>0.54535238095238103</v>
      </c>
      <c r="N248" s="202"/>
      <c r="O248" s="179"/>
      <c r="R248" s="206">
        <f>SUM(R242:R247)</f>
        <v>0.54535238095238103</v>
      </c>
      <c r="S248" s="205">
        <f>+R248</f>
        <v>0.54535238095238103</v>
      </c>
      <c r="U248" s="138">
        <v>243</v>
      </c>
      <c r="V248" s="248" t="str">
        <f t="shared" si="37"/>
        <v>Vacio</v>
      </c>
      <c r="W248" s="190">
        <f t="shared" si="38"/>
        <v>0.1</v>
      </c>
      <c r="X248" s="249">
        <f t="shared" si="30"/>
        <v>41.666666666666664</v>
      </c>
      <c r="Y248" s="250"/>
      <c r="Z248" s="251">
        <f t="shared" si="39"/>
        <v>21712.335174960324</v>
      </c>
      <c r="AA248" s="212">
        <v>21.712335174960327</v>
      </c>
    </row>
    <row r="249" spans="2:27">
      <c r="B249" s="436" t="s">
        <v>324</v>
      </c>
      <c r="C249" s="437"/>
      <c r="D249" s="437"/>
      <c r="E249" s="437"/>
      <c r="F249" s="455"/>
      <c r="G249" s="205"/>
      <c r="H249" s="436" t="s">
        <v>324</v>
      </c>
      <c r="I249" s="437"/>
      <c r="J249" s="437"/>
      <c r="K249" s="437"/>
      <c r="L249" s="455"/>
      <c r="M249" s="205"/>
      <c r="N249" s="436" t="s">
        <v>324</v>
      </c>
      <c r="O249" s="437"/>
      <c r="P249" s="437"/>
      <c r="Q249" s="437"/>
      <c r="R249" s="455"/>
      <c r="S249" s="205"/>
      <c r="U249" s="138">
        <v>244</v>
      </c>
    </row>
    <row r="250" spans="2:27">
      <c r="B250" s="210" t="s">
        <v>325</v>
      </c>
      <c r="C250" s="211">
        <v>1</v>
      </c>
      <c r="D250" s="212">
        <v>21.712335174960327</v>
      </c>
      <c r="E250" s="213">
        <f>F236</f>
        <v>0.34356955465587052</v>
      </c>
      <c r="F250" s="214">
        <f>+IF(C250&gt;="",0,(D250*E250))</f>
        <v>7.4596973266001116</v>
      </c>
      <c r="G250" s="215"/>
      <c r="H250" s="210" t="s">
        <v>325</v>
      </c>
      <c r="I250" s="211">
        <v>1</v>
      </c>
      <c r="J250" s="212">
        <v>21.712335174960327</v>
      </c>
      <c r="K250" s="213">
        <f>L236</f>
        <v>1.5602630317965787</v>
      </c>
      <c r="L250" s="216">
        <f>+IF(I250&gt;="",0,(J250*K250))</f>
        <v>33.876953907467097</v>
      </c>
      <c r="M250" s="215"/>
      <c r="N250" s="210" t="s">
        <v>325</v>
      </c>
      <c r="O250" s="211">
        <v>1</v>
      </c>
      <c r="P250" s="212">
        <v>21.712335174960327</v>
      </c>
      <c r="Q250" s="213">
        <f>R236</f>
        <v>0.8743005325211276</v>
      </c>
      <c r="R250" s="214">
        <f>+IF(O250&gt;="",0,(P250*Q250))</f>
        <v>18.983106205745024</v>
      </c>
      <c r="S250" s="215"/>
      <c r="U250" s="138">
        <v>245</v>
      </c>
    </row>
    <row r="251" spans="2:27">
      <c r="B251" s="210" t="s">
        <v>326</v>
      </c>
      <c r="C251" s="211"/>
      <c r="D251" s="212">
        <f>+D250*25%</f>
        <v>5.4280837937400817</v>
      </c>
      <c r="E251" s="213">
        <f>F236</f>
        <v>0.34356955465587052</v>
      </c>
      <c r="F251" s="214">
        <f>+IF(C251= "",0,(D251*E251))</f>
        <v>0</v>
      </c>
      <c r="G251" s="215"/>
      <c r="H251" s="210" t="s">
        <v>326</v>
      </c>
      <c r="I251" s="211"/>
      <c r="J251" s="212">
        <f>+J250*25%</f>
        <v>5.4280837937400817</v>
      </c>
      <c r="K251" s="213">
        <f>L236</f>
        <v>1.5602630317965787</v>
      </c>
      <c r="L251" s="216">
        <f>+IF(I251= "",0,(J251*K251))</f>
        <v>0</v>
      </c>
      <c r="M251" s="215"/>
      <c r="N251" s="210" t="s">
        <v>326</v>
      </c>
      <c r="O251" s="211"/>
      <c r="P251" s="212">
        <f>+P250*25%</f>
        <v>5.4280837937400817</v>
      </c>
      <c r="Q251" s="213">
        <f>R236</f>
        <v>0.8743005325211276</v>
      </c>
      <c r="R251" s="214">
        <f>+IF(O251= "",0,(P251*Q251))</f>
        <v>0</v>
      </c>
      <c r="S251" s="215"/>
      <c r="U251" s="138">
        <v>246</v>
      </c>
    </row>
    <row r="252" spans="2:27">
      <c r="B252" s="210" t="s">
        <v>327</v>
      </c>
      <c r="C252" s="211"/>
      <c r="D252" s="212">
        <f>+D250*50%</f>
        <v>10.856167587480163</v>
      </c>
      <c r="E252" s="213">
        <f>F236</f>
        <v>0.34356955465587052</v>
      </c>
      <c r="F252" s="214">
        <f>+IF(C252= "",0,(D252*E252))</f>
        <v>0</v>
      </c>
      <c r="G252" s="215"/>
      <c r="H252" s="210" t="s">
        <v>327</v>
      </c>
      <c r="I252" s="211"/>
      <c r="J252" s="212">
        <f>+J250*50%</f>
        <v>10.856167587480163</v>
      </c>
      <c r="K252" s="213">
        <f>L236</f>
        <v>1.5602630317965787</v>
      </c>
      <c r="L252" s="216">
        <f>+IF(I252= "",0,(J252*K252))</f>
        <v>0</v>
      </c>
      <c r="M252" s="215"/>
      <c r="N252" s="210" t="s">
        <v>327</v>
      </c>
      <c r="O252" s="211"/>
      <c r="P252" s="212">
        <f>+P250*50%</f>
        <v>10.856167587480163</v>
      </c>
      <c r="Q252" s="213">
        <f>R236</f>
        <v>0.8743005325211276</v>
      </c>
      <c r="R252" s="214">
        <f>+IF(O252= "",0,(P252*Q252))</f>
        <v>0</v>
      </c>
      <c r="S252" s="215"/>
      <c r="U252" s="138">
        <v>247</v>
      </c>
    </row>
    <row r="253" spans="2:27">
      <c r="B253" s="202"/>
      <c r="F253" s="217">
        <f>SUM(F250:F252)</f>
        <v>7.4596973266001116</v>
      </c>
      <c r="G253" s="218"/>
      <c r="H253" s="202"/>
      <c r="I253" s="179"/>
      <c r="K253" s="88"/>
      <c r="L253" s="219">
        <f>SUM(L250:L252)</f>
        <v>33.876953907467097</v>
      </c>
      <c r="M253" s="218"/>
      <c r="N253" s="202"/>
      <c r="O253" s="179"/>
      <c r="R253" s="217">
        <f>SUM(R250:R252)</f>
        <v>18.983106205745024</v>
      </c>
      <c r="S253" s="218"/>
      <c r="U253" s="138">
        <v>248</v>
      </c>
    </row>
    <row r="254" spans="2:27">
      <c r="B254" s="202"/>
      <c r="F254" s="189"/>
      <c r="G254" s="220"/>
      <c r="H254" s="202"/>
      <c r="I254" s="179"/>
      <c r="K254" s="88"/>
      <c r="M254" s="220"/>
      <c r="N254" s="202"/>
      <c r="O254" s="179"/>
      <c r="R254" s="189"/>
      <c r="S254" s="220"/>
      <c r="U254" s="138">
        <v>249</v>
      </c>
    </row>
    <row r="255" spans="2:27" ht="21">
      <c r="B255" s="438" t="s">
        <v>328</v>
      </c>
      <c r="C255" s="439"/>
      <c r="D255" s="439"/>
      <c r="E255" s="440"/>
      <c r="F255" s="225">
        <f>+F248+F253</f>
        <v>7.9090497075524926</v>
      </c>
      <c r="G255" s="205">
        <f>+F255</f>
        <v>7.9090497075524926</v>
      </c>
      <c r="H255" s="438" t="s">
        <v>328</v>
      </c>
      <c r="I255" s="439"/>
      <c r="J255" s="439"/>
      <c r="K255" s="440"/>
      <c r="L255" s="225">
        <f>+L248+L253</f>
        <v>34.422306288419477</v>
      </c>
      <c r="M255" s="205">
        <f>+L255</f>
        <v>34.422306288419477</v>
      </c>
      <c r="N255" s="438" t="s">
        <v>328</v>
      </c>
      <c r="O255" s="439"/>
      <c r="P255" s="439"/>
      <c r="Q255" s="440"/>
      <c r="R255" s="225">
        <f>+R248+R253</f>
        <v>19.528458586697404</v>
      </c>
      <c r="S255" s="205">
        <f>+R255</f>
        <v>19.528458586697404</v>
      </c>
      <c r="U255" s="138">
        <v>250</v>
      </c>
    </row>
    <row r="256" spans="2:27">
      <c r="B256" s="202"/>
      <c r="F256" s="189"/>
      <c r="G256" s="205"/>
      <c r="H256" s="202"/>
      <c r="I256" s="179"/>
      <c r="K256" s="88"/>
      <c r="L256" s="189"/>
      <c r="M256" s="205"/>
      <c r="N256" s="202"/>
      <c r="O256" s="179"/>
      <c r="R256" s="189"/>
      <c r="S256" s="205"/>
    </row>
    <row r="257" spans="2:19" ht="19">
      <c r="B257" s="441" t="s">
        <v>329</v>
      </c>
      <c r="C257" s="442"/>
      <c r="D257" s="442"/>
      <c r="E257" s="443"/>
      <c r="F257" s="230">
        <f>+F255/$C$37</f>
        <v>7.9090497075524929E-2</v>
      </c>
      <c r="G257" s="205"/>
      <c r="H257" s="441" t="s">
        <v>329</v>
      </c>
      <c r="I257" s="442"/>
      <c r="J257" s="442"/>
      <c r="K257" s="443"/>
      <c r="L257" s="230">
        <f>+L255/$C$37</f>
        <v>0.3442230628841948</v>
      </c>
      <c r="M257" s="205"/>
      <c r="N257" s="441" t="s">
        <v>329</v>
      </c>
      <c r="O257" s="442"/>
      <c r="P257" s="442"/>
      <c r="Q257" s="443"/>
      <c r="R257" s="230">
        <f>+R255/$C$37</f>
        <v>0.19528458586697403</v>
      </c>
      <c r="S257" s="205"/>
    </row>
    <row r="258" spans="2:19" ht="17" thickBot="1">
      <c r="B258" s="231"/>
      <c r="C258" s="232"/>
      <c r="D258" s="233"/>
      <c r="E258" s="233"/>
      <c r="F258" s="234"/>
      <c r="G258" s="205"/>
      <c r="H258" s="231"/>
      <c r="I258" s="232"/>
      <c r="J258" s="233"/>
      <c r="K258" s="233"/>
      <c r="L258" s="234"/>
      <c r="M258" s="205"/>
      <c r="N258" s="231"/>
      <c r="O258" s="232"/>
      <c r="P258" s="233"/>
      <c r="Q258" s="233"/>
      <c r="R258" s="234"/>
      <c r="S258" s="205"/>
    </row>
    <row r="259" spans="2:19" ht="23.25" customHeight="1" thickBot="1">
      <c r="B259" s="415" t="s">
        <v>312</v>
      </c>
      <c r="C259" s="416"/>
      <c r="D259" s="416"/>
      <c r="E259" s="416"/>
      <c r="F259" s="416"/>
      <c r="G259" s="416"/>
      <c r="H259" s="416"/>
      <c r="I259" s="416"/>
      <c r="J259" s="416"/>
      <c r="K259" s="416"/>
      <c r="L259" s="416"/>
      <c r="M259" s="416"/>
      <c r="N259" s="416"/>
      <c r="O259" s="416"/>
      <c r="P259" s="416"/>
      <c r="Q259" s="416"/>
      <c r="R259" s="417"/>
    </row>
    <row r="260" spans="2:19" ht="25">
      <c r="B260" s="239" t="s">
        <v>16</v>
      </c>
      <c r="C260" s="452" t="s">
        <v>137</v>
      </c>
      <c r="D260" s="453"/>
      <c r="E260" s="454"/>
      <c r="F260" s="240"/>
      <c r="G260" s="254"/>
      <c r="H260" s="237" t="s">
        <v>16</v>
      </c>
      <c r="I260" s="452" t="s">
        <v>5</v>
      </c>
      <c r="J260" s="453"/>
      <c r="K260" s="454"/>
      <c r="L260" s="238"/>
      <c r="M260" s="254"/>
      <c r="N260" s="239" t="s">
        <v>16</v>
      </c>
      <c r="O260" s="452" t="s">
        <v>68</v>
      </c>
      <c r="P260" s="453"/>
      <c r="Q260" s="454"/>
      <c r="R260" s="262"/>
    </row>
    <row r="261" spans="2:19" ht="33" thickBot="1">
      <c r="B261" s="241" t="s">
        <v>313</v>
      </c>
      <c r="C261" s="242" t="s">
        <v>6</v>
      </c>
      <c r="D261" s="243" t="s">
        <v>25</v>
      </c>
      <c r="E261" s="244" t="s">
        <v>314</v>
      </c>
      <c r="F261" s="245" t="s">
        <v>315</v>
      </c>
      <c r="H261" s="241" t="s">
        <v>313</v>
      </c>
      <c r="I261" s="242" t="s">
        <v>6</v>
      </c>
      <c r="J261" s="243" t="s">
        <v>25</v>
      </c>
      <c r="K261" s="244" t="s">
        <v>314</v>
      </c>
      <c r="L261" s="246" t="s">
        <v>315</v>
      </c>
      <c r="N261" s="241" t="s">
        <v>313</v>
      </c>
      <c r="O261" s="242" t="s">
        <v>6</v>
      </c>
      <c r="P261" s="243" t="s">
        <v>25</v>
      </c>
      <c r="Q261" s="244" t="s">
        <v>314</v>
      </c>
      <c r="R261" s="245" t="s">
        <v>315</v>
      </c>
    </row>
    <row r="262" spans="2:19">
      <c r="B262" s="170" t="s">
        <v>182</v>
      </c>
      <c r="C262" s="171">
        <f>VLOOKUP(B262,'RESUMEN RENDIMIENTOS'!$V$6:$W$158,2,FALSE)</f>
        <v>1400</v>
      </c>
      <c r="D262" s="177" t="s">
        <v>20</v>
      </c>
      <c r="E262" s="172">
        <v>247</v>
      </c>
      <c r="F262" s="173">
        <f t="shared" ref="F262:F277" si="40">IF(C262=0,0,(100/C262)*E262/$E$37)</f>
        <v>7.1428571428571425E-2</v>
      </c>
      <c r="G262" s="164">
        <f>+F262/F278</f>
        <v>0.11892390398743222</v>
      </c>
      <c r="H262" s="170" t="s">
        <v>182</v>
      </c>
      <c r="I262" s="171">
        <f>VLOOKUP(H262,'RESUMEN RENDIMIENTOS'!$V$6:$W$158,2,FALSE)</f>
        <v>1400</v>
      </c>
      <c r="J262" s="177" t="s">
        <v>20</v>
      </c>
      <c r="K262" s="172">
        <v>247</v>
      </c>
      <c r="L262" s="173">
        <f t="shared" ref="L262:L277" si="41">IF(I262=0,0,(100/I262)*K262/$E$37)</f>
        <v>7.1428571428571425E-2</v>
      </c>
      <c r="M262" s="164">
        <f>+L262/L278</f>
        <v>0.14411027568922305</v>
      </c>
      <c r="N262" s="170" t="s">
        <v>182</v>
      </c>
      <c r="O262" s="171">
        <f>VLOOKUP(N262,'RESUMEN RENDIMIENTOS'!$V$6:$W$158,2,FALSE)</f>
        <v>1400</v>
      </c>
      <c r="P262" s="177" t="s">
        <v>20</v>
      </c>
      <c r="Q262" s="172">
        <v>247</v>
      </c>
      <c r="R262" s="173">
        <f t="shared" ref="R262:R277" si="42">IF(O262=0,0,(100/O262)*Q262/$E$37)</f>
        <v>7.1428571428571425E-2</v>
      </c>
      <c r="S262" s="164">
        <f>+R262/R278</f>
        <v>0.16655020709643137</v>
      </c>
    </row>
    <row r="263" spans="2:19">
      <c r="B263" s="170" t="s">
        <v>202</v>
      </c>
      <c r="C263" s="171">
        <f>VLOOKUP(B263,'RESUMEN RENDIMIENTOS'!$V$6:$W$158,2,FALSE)</f>
        <v>550</v>
      </c>
      <c r="D263" s="177" t="s">
        <v>20</v>
      </c>
      <c r="E263" s="172">
        <v>247</v>
      </c>
      <c r="F263" s="173">
        <f t="shared" si="40"/>
        <v>0.18181818181818182</v>
      </c>
      <c r="G263" s="174">
        <f>+F263/F278</f>
        <v>0.30271539196800934</v>
      </c>
      <c r="H263" s="170" t="s">
        <v>201</v>
      </c>
      <c r="I263" s="171">
        <f>VLOOKUP(H263,'RESUMEN RENDIMIENTOS'!$V$6:$W$158,2,FALSE)</f>
        <v>500</v>
      </c>
      <c r="J263" s="177" t="s">
        <v>20</v>
      </c>
      <c r="K263" s="172">
        <v>247</v>
      </c>
      <c r="L263" s="173">
        <f t="shared" si="41"/>
        <v>0.2</v>
      </c>
      <c r="M263" s="174">
        <f>+L263/L278</f>
        <v>0.40350877192982454</v>
      </c>
      <c r="N263" s="170" t="s">
        <v>201</v>
      </c>
      <c r="O263" s="171">
        <f>VLOOKUP(N263,'RESUMEN RENDIMIENTOS'!$V$6:$W$158,2,FALSE)</f>
        <v>500</v>
      </c>
      <c r="P263" s="177" t="s">
        <v>52</v>
      </c>
      <c r="Q263" s="172">
        <v>156.42000000000002</v>
      </c>
      <c r="R263" s="173">
        <f t="shared" si="42"/>
        <v>0.12665587044534415</v>
      </c>
      <c r="S263" s="174">
        <f>+R263/R278</f>
        <v>0.29532386033711189</v>
      </c>
    </row>
    <row r="264" spans="2:19">
      <c r="B264" s="170" t="s">
        <v>214</v>
      </c>
      <c r="C264" s="171">
        <f>VLOOKUP(B264,'RESUMEN RENDIMIENTOS'!$V$6:$W$158,2,FALSE)</f>
        <v>60</v>
      </c>
      <c r="D264" s="177" t="s">
        <v>58</v>
      </c>
      <c r="E264" s="172">
        <v>12</v>
      </c>
      <c r="F264" s="173">
        <f t="shared" si="40"/>
        <v>8.0971659919028341E-2</v>
      </c>
      <c r="G264" s="174">
        <f>+F264/F278</f>
        <v>0.13481252273878958</v>
      </c>
      <c r="H264" s="170" t="s">
        <v>234</v>
      </c>
      <c r="I264" s="171">
        <f>VLOOKUP(H264,'RESUMEN RENDIMIENTOS'!$V$6:$W$158,2,FALSE)</f>
        <v>805</v>
      </c>
      <c r="J264" s="177" t="s">
        <v>20</v>
      </c>
      <c r="K264" s="172">
        <v>247</v>
      </c>
      <c r="L264" s="173">
        <f t="shared" si="41"/>
        <v>0.12422360248447205</v>
      </c>
      <c r="M264" s="174">
        <f>+L264/L278</f>
        <v>0.25062656641604009</v>
      </c>
      <c r="N264" s="170" t="s">
        <v>240</v>
      </c>
      <c r="O264" s="171">
        <f>VLOOKUP(N264,'RESUMEN RENDIMIENTOS'!$V$6:$W$158,2,FALSE)</f>
        <v>1000</v>
      </c>
      <c r="P264" s="177" t="s">
        <v>52</v>
      </c>
      <c r="Q264" s="172">
        <v>156.42000000000002</v>
      </c>
      <c r="R264" s="173">
        <f t="shared" si="42"/>
        <v>6.3327935222672077E-2</v>
      </c>
      <c r="S264" s="174">
        <f>+R264/R278</f>
        <v>0.14766193016855594</v>
      </c>
    </row>
    <row r="265" spans="2:19">
      <c r="B265" s="170" t="s">
        <v>234</v>
      </c>
      <c r="C265" s="171">
        <f>VLOOKUP(B265,'RESUMEN RENDIMIENTOS'!$V$6:$W$158,2,FALSE)</f>
        <v>805</v>
      </c>
      <c r="D265" s="177" t="s">
        <v>52</v>
      </c>
      <c r="E265" s="172">
        <v>156.42000000000002</v>
      </c>
      <c r="F265" s="173">
        <f t="shared" si="40"/>
        <v>7.8668242512636113E-2</v>
      </c>
      <c r="G265" s="174">
        <f>+F265/F278</f>
        <v>0.1309774832720588</v>
      </c>
      <c r="H265" s="170" t="s">
        <v>240</v>
      </c>
      <c r="I265" s="171">
        <f>VLOOKUP(H265,'RESUMEN RENDIMIENTOS'!$V$6:$W$158,2,FALSE)</f>
        <v>1000</v>
      </c>
      <c r="J265" s="177" t="s">
        <v>20</v>
      </c>
      <c r="K265" s="172">
        <v>247</v>
      </c>
      <c r="L265" s="173">
        <f t="shared" si="41"/>
        <v>0.1</v>
      </c>
      <c r="M265" s="174">
        <f>+L265/L278</f>
        <v>0.20175438596491227</v>
      </c>
      <c r="N265" s="170" t="s">
        <v>234</v>
      </c>
      <c r="O265" s="171">
        <f>VLOOKUP(N265,'RESUMEN RENDIMIENTOS'!$V$6:$W$158,2,FALSE)</f>
        <v>805</v>
      </c>
      <c r="P265" s="177" t="s">
        <v>52</v>
      </c>
      <c r="Q265" s="172">
        <v>156.42000000000002</v>
      </c>
      <c r="R265" s="173">
        <f t="shared" si="42"/>
        <v>7.8668242512636113E-2</v>
      </c>
      <c r="S265" s="174">
        <f>+R265/R278</f>
        <v>0.18343096915348564</v>
      </c>
    </row>
    <row r="266" spans="2:19">
      <c r="B266" s="170" t="s">
        <v>190</v>
      </c>
      <c r="C266" s="171">
        <f>VLOOKUP(B266,'RESUMEN RENDIMIENTOS'!$V$6:$W$158,2,FALSE)</f>
        <v>960</v>
      </c>
      <c r="D266" s="177" t="s">
        <v>20</v>
      </c>
      <c r="E266" s="172">
        <v>247</v>
      </c>
      <c r="F266" s="173">
        <f t="shared" si="40"/>
        <v>0.10416666666666667</v>
      </c>
      <c r="G266" s="174">
        <f>+F266/F278</f>
        <v>0.17343069331500535</v>
      </c>
      <c r="H266" s="170">
        <v>0</v>
      </c>
      <c r="I266" s="171">
        <f>VLOOKUP(H266,'RESUMEN RENDIMIENTOS'!$V$6:$W$158,2,FALSE)</f>
        <v>0</v>
      </c>
      <c r="J266" s="177"/>
      <c r="K266" s="172" t="s">
        <v>337</v>
      </c>
      <c r="L266" s="173">
        <f t="shared" si="41"/>
        <v>0</v>
      </c>
      <c r="M266" s="174">
        <f>+L266/L278</f>
        <v>0</v>
      </c>
      <c r="N266" s="170" t="s">
        <v>190</v>
      </c>
      <c r="O266" s="171">
        <f>VLOOKUP(N266,'RESUMEN RENDIMIENTOS'!$V$6:$W$158,2,FALSE)</f>
        <v>960</v>
      </c>
      <c r="P266" s="177" t="s">
        <v>56</v>
      </c>
      <c r="Q266" s="172">
        <v>52.14</v>
      </c>
      <c r="R266" s="173">
        <f t="shared" si="42"/>
        <v>2.1988866396761134E-2</v>
      </c>
      <c r="S266" s="174">
        <f>+R266/R278</f>
        <v>5.1271503530748587E-2</v>
      </c>
    </row>
    <row r="267" spans="2:19">
      <c r="B267" s="170" t="s">
        <v>210</v>
      </c>
      <c r="C267" s="171">
        <f>VLOOKUP(B267,'RESUMEN RENDIMIENTOS'!$V$6:$W$158,2,FALSE)</f>
        <v>80</v>
      </c>
      <c r="D267" s="177" t="s">
        <v>62</v>
      </c>
      <c r="E267" s="172">
        <v>4</v>
      </c>
      <c r="F267" s="173">
        <f t="shared" si="40"/>
        <v>2.0242914979757085E-2</v>
      </c>
      <c r="G267" s="174">
        <f>+F267/F278</f>
        <v>3.3703130684697394E-2</v>
      </c>
      <c r="H267" s="170">
        <v>0</v>
      </c>
      <c r="I267" s="171">
        <f>VLOOKUP(H267,'RESUMEN RENDIMIENTOS'!$V$6:$W$158,2,FALSE)</f>
        <v>0</v>
      </c>
      <c r="J267" s="177"/>
      <c r="K267" s="172" t="s">
        <v>337</v>
      </c>
      <c r="L267" s="173">
        <f t="shared" si="41"/>
        <v>0</v>
      </c>
      <c r="M267" s="174">
        <f>+L267/L278</f>
        <v>0</v>
      </c>
      <c r="N267" s="170" t="s">
        <v>210</v>
      </c>
      <c r="O267" s="171">
        <f>VLOOKUP(N267,'RESUMEN RENDIMIENTOS'!$V$6:$W$158,2,FALSE)</f>
        <v>80</v>
      </c>
      <c r="P267" s="177" t="s">
        <v>58</v>
      </c>
      <c r="Q267" s="172">
        <v>12</v>
      </c>
      <c r="R267" s="173">
        <f t="shared" si="42"/>
        <v>6.0728744939271252E-2</v>
      </c>
      <c r="S267" s="174">
        <f>+R267/R278</f>
        <v>0.14160139064878779</v>
      </c>
    </row>
    <row r="268" spans="2:19">
      <c r="B268" s="170" t="s">
        <v>240</v>
      </c>
      <c r="C268" s="171">
        <f>VLOOKUP(B268,'RESUMEN RENDIMIENTOS'!$V$6:$W$158,2,FALSE)</f>
        <v>1000</v>
      </c>
      <c r="D268" s="177" t="s">
        <v>52</v>
      </c>
      <c r="E268" s="172">
        <v>156.42000000000002</v>
      </c>
      <c r="F268" s="173">
        <f t="shared" si="40"/>
        <v>6.3327935222672077E-2</v>
      </c>
      <c r="G268" s="174">
        <f>+F268/F278</f>
        <v>0.10543687403400734</v>
      </c>
      <c r="H268" s="170">
        <v>0</v>
      </c>
      <c r="I268" s="171">
        <f>VLOOKUP(H268,'RESUMEN RENDIMIENTOS'!$V$6:$W$158,2,FALSE)</f>
        <v>0</v>
      </c>
      <c r="J268" s="177"/>
      <c r="K268" s="172" t="s">
        <v>337</v>
      </c>
      <c r="L268" s="173">
        <f t="shared" si="41"/>
        <v>0</v>
      </c>
      <c r="M268" s="174">
        <f>+L268/L278</f>
        <v>0</v>
      </c>
      <c r="N268" s="170" t="s">
        <v>191</v>
      </c>
      <c r="O268" s="171">
        <f>VLOOKUP(N268,'RESUMEN RENDIMIENTOS'!$V$6:$W$158,2,FALSE)</f>
        <v>800</v>
      </c>
      <c r="P268" s="177" t="s">
        <v>58</v>
      </c>
      <c r="Q268" s="172">
        <v>12</v>
      </c>
      <c r="R268" s="173">
        <f t="shared" si="42"/>
        <v>6.0728744939271256E-3</v>
      </c>
      <c r="S268" s="174">
        <f>+R268/R278</f>
        <v>1.416013906487878E-2</v>
      </c>
    </row>
    <row r="269" spans="2:19">
      <c r="B269" s="170">
        <v>0</v>
      </c>
      <c r="C269" s="171">
        <f>VLOOKUP(B269,'RESUMEN RENDIMIENTOS'!$V$6:$W$158,2,FALSE)</f>
        <v>0</v>
      </c>
      <c r="D269" s="177"/>
      <c r="E269" s="172" t="s">
        <v>337</v>
      </c>
      <c r="F269" s="173">
        <f t="shared" si="40"/>
        <v>0</v>
      </c>
      <c r="G269" s="174">
        <f>+F269/F278</f>
        <v>0</v>
      </c>
      <c r="H269" s="170">
        <v>0</v>
      </c>
      <c r="I269" s="171">
        <f>VLOOKUP(H269,'RESUMEN RENDIMIENTOS'!$V$6:$W$158,2,FALSE)</f>
        <v>0</v>
      </c>
      <c r="J269" s="177"/>
      <c r="K269" s="172" t="s">
        <v>337</v>
      </c>
      <c r="L269" s="173">
        <f t="shared" si="41"/>
        <v>0</v>
      </c>
      <c r="M269" s="174">
        <f>+L269/L278</f>
        <v>0</v>
      </c>
      <c r="N269" s="170">
        <v>0</v>
      </c>
      <c r="O269" s="171">
        <f>VLOOKUP(N269,'RESUMEN RENDIMIENTOS'!$V$6:$W$158,2,FALSE)</f>
        <v>0</v>
      </c>
      <c r="P269" s="177"/>
      <c r="Q269" s="172" t="s">
        <v>337</v>
      </c>
      <c r="R269" s="173">
        <f t="shared" si="42"/>
        <v>0</v>
      </c>
      <c r="S269" s="174">
        <f>+R269/R278</f>
        <v>0</v>
      </c>
    </row>
    <row r="270" spans="2:19">
      <c r="B270" s="170">
        <v>0</v>
      </c>
      <c r="C270" s="171">
        <f>VLOOKUP(B270,'RESUMEN RENDIMIENTOS'!$V$6:$W$158,2,FALSE)</f>
        <v>0</v>
      </c>
      <c r="D270" s="177"/>
      <c r="E270" s="172" t="s">
        <v>337</v>
      </c>
      <c r="F270" s="173">
        <f t="shared" si="40"/>
        <v>0</v>
      </c>
      <c r="G270" s="174">
        <f>+F270/F278</f>
        <v>0</v>
      </c>
      <c r="H270" s="170">
        <v>0</v>
      </c>
      <c r="I270" s="171">
        <f>VLOOKUP(H270,'RESUMEN RENDIMIENTOS'!$V$6:$W$158,2,FALSE)</f>
        <v>0</v>
      </c>
      <c r="J270" s="177"/>
      <c r="K270" s="172" t="s">
        <v>337</v>
      </c>
      <c r="L270" s="173">
        <f t="shared" si="41"/>
        <v>0</v>
      </c>
      <c r="M270" s="174">
        <f>+L270/L278</f>
        <v>0</v>
      </c>
      <c r="N270" s="170">
        <v>0</v>
      </c>
      <c r="O270" s="171">
        <f>VLOOKUP(N270,'RESUMEN RENDIMIENTOS'!$V$6:$W$158,2,FALSE)</f>
        <v>0</v>
      </c>
      <c r="P270" s="177"/>
      <c r="Q270" s="172" t="s">
        <v>337</v>
      </c>
      <c r="R270" s="173">
        <f t="shared" si="42"/>
        <v>0</v>
      </c>
      <c r="S270" s="174">
        <f>+R270/R278</f>
        <v>0</v>
      </c>
    </row>
    <row r="271" spans="2:19">
      <c r="B271" s="170">
        <v>0</v>
      </c>
      <c r="C271" s="171">
        <f>VLOOKUP(B271,'RESUMEN RENDIMIENTOS'!$V$6:$W$158,2,FALSE)</f>
        <v>0</v>
      </c>
      <c r="D271" s="177"/>
      <c r="E271" s="172" t="s">
        <v>337</v>
      </c>
      <c r="F271" s="173">
        <f t="shared" si="40"/>
        <v>0</v>
      </c>
      <c r="G271" s="174">
        <f>+F271/F278</f>
        <v>0</v>
      </c>
      <c r="H271" s="170">
        <v>0</v>
      </c>
      <c r="I271" s="171">
        <f>VLOOKUP(H271,'RESUMEN RENDIMIENTOS'!$V$6:$W$158,2,FALSE)</f>
        <v>0</v>
      </c>
      <c r="J271" s="177"/>
      <c r="K271" s="172" t="s">
        <v>337</v>
      </c>
      <c r="L271" s="173">
        <f t="shared" si="41"/>
        <v>0</v>
      </c>
      <c r="M271" s="174">
        <f>+L271/L278</f>
        <v>0</v>
      </c>
      <c r="N271" s="170">
        <v>0</v>
      </c>
      <c r="O271" s="171">
        <f>VLOOKUP(N271,'RESUMEN RENDIMIENTOS'!$V$6:$W$158,2,FALSE)</f>
        <v>0</v>
      </c>
      <c r="P271" s="177"/>
      <c r="Q271" s="172" t="s">
        <v>337</v>
      </c>
      <c r="R271" s="173">
        <f t="shared" si="42"/>
        <v>0</v>
      </c>
      <c r="S271" s="174">
        <f>+R271/R278</f>
        <v>0</v>
      </c>
    </row>
    <row r="272" spans="2:19">
      <c r="B272" s="170">
        <v>0</v>
      </c>
      <c r="C272" s="171">
        <f>VLOOKUP(B272,'RESUMEN RENDIMIENTOS'!$V$6:$W$158,2,FALSE)</f>
        <v>0</v>
      </c>
      <c r="D272" s="177"/>
      <c r="E272" s="172" t="s">
        <v>337</v>
      </c>
      <c r="F272" s="173">
        <f t="shared" si="40"/>
        <v>0</v>
      </c>
      <c r="G272" s="174">
        <f>+F272/F278</f>
        <v>0</v>
      </c>
      <c r="H272" s="170">
        <v>0</v>
      </c>
      <c r="I272" s="171">
        <f>VLOOKUP(H272,'RESUMEN RENDIMIENTOS'!$V$6:$W$158,2,FALSE)</f>
        <v>0</v>
      </c>
      <c r="J272" s="177"/>
      <c r="K272" s="172" t="s">
        <v>337</v>
      </c>
      <c r="L272" s="173">
        <f t="shared" si="41"/>
        <v>0</v>
      </c>
      <c r="M272" s="174">
        <f>+L272/L278</f>
        <v>0</v>
      </c>
      <c r="N272" s="170">
        <v>0</v>
      </c>
      <c r="O272" s="171">
        <f>VLOOKUP(N272,'RESUMEN RENDIMIENTOS'!$V$6:$W$158,2,FALSE)</f>
        <v>0</v>
      </c>
      <c r="P272" s="177"/>
      <c r="Q272" s="172" t="s">
        <v>337</v>
      </c>
      <c r="R272" s="173">
        <f t="shared" si="42"/>
        <v>0</v>
      </c>
      <c r="S272" s="174">
        <f>+R272/R278</f>
        <v>0</v>
      </c>
    </row>
    <row r="273" spans="2:19">
      <c r="B273" s="170">
        <v>0</v>
      </c>
      <c r="C273" s="171">
        <f>VLOOKUP(B273,'RESUMEN RENDIMIENTOS'!$V$6:$W$158,2,FALSE)</f>
        <v>0</v>
      </c>
      <c r="D273" s="177"/>
      <c r="E273" s="172" t="s">
        <v>337</v>
      </c>
      <c r="F273" s="173">
        <f t="shared" si="40"/>
        <v>0</v>
      </c>
      <c r="G273" s="174">
        <f>+F273/F278</f>
        <v>0</v>
      </c>
      <c r="H273" s="170">
        <v>0</v>
      </c>
      <c r="I273" s="171">
        <f>VLOOKUP(H273,'RESUMEN RENDIMIENTOS'!$V$6:$W$158,2,FALSE)</f>
        <v>0</v>
      </c>
      <c r="J273" s="177"/>
      <c r="K273" s="172" t="s">
        <v>337</v>
      </c>
      <c r="L273" s="173">
        <f t="shared" si="41"/>
        <v>0</v>
      </c>
      <c r="M273" s="174">
        <f>+L273/L278</f>
        <v>0</v>
      </c>
      <c r="N273" s="170">
        <v>0</v>
      </c>
      <c r="O273" s="171">
        <f>VLOOKUP(N273,'RESUMEN RENDIMIENTOS'!$V$6:$W$158,2,FALSE)</f>
        <v>0</v>
      </c>
      <c r="P273" s="177"/>
      <c r="Q273" s="172" t="s">
        <v>337</v>
      </c>
      <c r="R273" s="173">
        <f t="shared" si="42"/>
        <v>0</v>
      </c>
      <c r="S273" s="174">
        <f>+R273/R278</f>
        <v>0</v>
      </c>
    </row>
    <row r="274" spans="2:19">
      <c r="B274" s="170">
        <v>0</v>
      </c>
      <c r="C274" s="171">
        <f>VLOOKUP(B274,'RESUMEN RENDIMIENTOS'!$V$6:$W$158,2,FALSE)</f>
        <v>0</v>
      </c>
      <c r="D274" s="177"/>
      <c r="E274" s="172" t="s">
        <v>337</v>
      </c>
      <c r="F274" s="173">
        <f t="shared" si="40"/>
        <v>0</v>
      </c>
      <c r="G274" s="174">
        <f>+F274/F278</f>
        <v>0</v>
      </c>
      <c r="H274" s="170">
        <v>0</v>
      </c>
      <c r="I274" s="171">
        <f>VLOOKUP(H274,'RESUMEN RENDIMIENTOS'!$V$6:$W$158,2,FALSE)</f>
        <v>0</v>
      </c>
      <c r="J274" s="177"/>
      <c r="K274" s="172" t="s">
        <v>337</v>
      </c>
      <c r="L274" s="173">
        <f t="shared" si="41"/>
        <v>0</v>
      </c>
      <c r="M274" s="174">
        <f>+L274/L278</f>
        <v>0</v>
      </c>
      <c r="N274" s="170">
        <v>0</v>
      </c>
      <c r="O274" s="171">
        <f>VLOOKUP(N274,'RESUMEN RENDIMIENTOS'!$V$6:$W$158,2,FALSE)</f>
        <v>0</v>
      </c>
      <c r="P274" s="177"/>
      <c r="Q274" s="172" t="s">
        <v>337</v>
      </c>
      <c r="R274" s="173">
        <f t="shared" si="42"/>
        <v>0</v>
      </c>
      <c r="S274" s="174">
        <f>+R274/R278</f>
        <v>0</v>
      </c>
    </row>
    <row r="275" spans="2:19">
      <c r="B275" s="170">
        <v>0</v>
      </c>
      <c r="C275" s="171">
        <f>VLOOKUP(B275,'RESUMEN RENDIMIENTOS'!$V$6:$W$158,2,FALSE)</f>
        <v>0</v>
      </c>
      <c r="D275" s="177"/>
      <c r="E275" s="172" t="s">
        <v>337</v>
      </c>
      <c r="F275" s="173">
        <f t="shared" si="40"/>
        <v>0</v>
      </c>
      <c r="G275" s="174">
        <f>+F275/F278</f>
        <v>0</v>
      </c>
      <c r="H275" s="170">
        <v>0</v>
      </c>
      <c r="I275" s="171">
        <f>VLOOKUP(H275,'RESUMEN RENDIMIENTOS'!$V$6:$W$158,2,FALSE)</f>
        <v>0</v>
      </c>
      <c r="J275" s="177"/>
      <c r="K275" s="172" t="s">
        <v>337</v>
      </c>
      <c r="L275" s="173">
        <f t="shared" si="41"/>
        <v>0</v>
      </c>
      <c r="M275" s="174">
        <f>+L275/L278</f>
        <v>0</v>
      </c>
      <c r="N275" s="170">
        <v>0</v>
      </c>
      <c r="O275" s="171">
        <f>VLOOKUP(N275,'RESUMEN RENDIMIENTOS'!$V$6:$W$158,2,FALSE)</f>
        <v>0</v>
      </c>
      <c r="P275" s="177"/>
      <c r="Q275" s="172" t="s">
        <v>337</v>
      </c>
      <c r="R275" s="173">
        <f t="shared" si="42"/>
        <v>0</v>
      </c>
      <c r="S275" s="174">
        <f>+R275/R278</f>
        <v>0</v>
      </c>
    </row>
    <row r="276" spans="2:19">
      <c r="B276" s="170">
        <v>0</v>
      </c>
      <c r="C276" s="171">
        <f>VLOOKUP(B276,'RESUMEN RENDIMIENTOS'!$V$6:$W$158,2,FALSE)</f>
        <v>0</v>
      </c>
      <c r="D276" s="177"/>
      <c r="E276" s="172" t="s">
        <v>337</v>
      </c>
      <c r="F276" s="173">
        <f t="shared" si="40"/>
        <v>0</v>
      </c>
      <c r="G276" s="174">
        <f>+F276/F278</f>
        <v>0</v>
      </c>
      <c r="H276" s="170">
        <v>0</v>
      </c>
      <c r="I276" s="171">
        <f>VLOOKUP(H276,'RESUMEN RENDIMIENTOS'!$V$6:$W$158,2,FALSE)</f>
        <v>0</v>
      </c>
      <c r="J276" s="177"/>
      <c r="K276" s="172" t="s">
        <v>337</v>
      </c>
      <c r="L276" s="173">
        <f t="shared" si="41"/>
        <v>0</v>
      </c>
      <c r="M276" s="174">
        <f>+L276/L278</f>
        <v>0</v>
      </c>
      <c r="N276" s="170">
        <v>0</v>
      </c>
      <c r="O276" s="171">
        <f>VLOOKUP(N276,'RESUMEN RENDIMIENTOS'!$V$6:$W$158,2,FALSE)</f>
        <v>0</v>
      </c>
      <c r="P276" s="177"/>
      <c r="Q276" s="172" t="s">
        <v>337</v>
      </c>
      <c r="R276" s="173">
        <f t="shared" si="42"/>
        <v>0</v>
      </c>
      <c r="S276" s="174">
        <f>+R276/R278</f>
        <v>0</v>
      </c>
    </row>
    <row r="277" spans="2:19">
      <c r="B277" s="170">
        <v>0</v>
      </c>
      <c r="C277" s="171">
        <f>VLOOKUP(B277,'RESUMEN RENDIMIENTOS'!$V$6:$W$158,2,FALSE)</f>
        <v>0</v>
      </c>
      <c r="D277" s="177"/>
      <c r="E277" s="172" t="s">
        <v>337</v>
      </c>
      <c r="F277" s="173">
        <f t="shared" si="40"/>
        <v>0</v>
      </c>
      <c r="G277" s="174">
        <f>+F277/F278</f>
        <v>0</v>
      </c>
      <c r="H277" s="170">
        <v>0</v>
      </c>
      <c r="I277" s="171">
        <f>VLOOKUP(H277,'RESUMEN RENDIMIENTOS'!$V$6:$W$158,2,FALSE)</f>
        <v>0</v>
      </c>
      <c r="J277" s="177"/>
      <c r="K277" s="172" t="s">
        <v>337</v>
      </c>
      <c r="L277" s="173">
        <f t="shared" si="41"/>
        <v>0</v>
      </c>
      <c r="M277" s="174">
        <f>+L277/L278</f>
        <v>0</v>
      </c>
      <c r="N277" s="170">
        <v>0</v>
      </c>
      <c r="O277" s="171">
        <f>VLOOKUP(N277,'RESUMEN RENDIMIENTOS'!$V$6:$W$158,2,FALSE)</f>
        <v>0</v>
      </c>
      <c r="P277" s="177"/>
      <c r="Q277" s="172" t="s">
        <v>337</v>
      </c>
      <c r="R277" s="173">
        <f t="shared" si="42"/>
        <v>0</v>
      </c>
      <c r="S277" s="174">
        <f>+R277/R278</f>
        <v>0</v>
      </c>
    </row>
    <row r="278" spans="2:19" ht="25" thickBot="1">
      <c r="B278" s="178"/>
      <c r="E278" s="90"/>
      <c r="F278" s="173">
        <f>SUM(F262:F277)</f>
        <v>0.60062417254751355</v>
      </c>
      <c r="G278" s="181">
        <f>+F278/F278</f>
        <v>1</v>
      </c>
      <c r="H278" s="178"/>
      <c r="I278" s="179"/>
      <c r="J278" s="182" t="s">
        <v>24</v>
      </c>
      <c r="K278" s="90"/>
      <c r="L278" s="173">
        <f>SUM(L262:L277)</f>
        <v>0.4956521739130435</v>
      </c>
      <c r="M278" s="181">
        <f>+L278/L278</f>
        <v>1</v>
      </c>
      <c r="N278" s="178"/>
      <c r="O278" s="179"/>
      <c r="Q278" s="90"/>
      <c r="R278" s="173">
        <f>SUM(R262:R277)</f>
        <v>0.42887110543918328</v>
      </c>
      <c r="S278" s="181">
        <f>+R278/R278</f>
        <v>1</v>
      </c>
    </row>
    <row r="279" spans="2:19" ht="21" customHeight="1">
      <c r="B279" s="427" t="s">
        <v>317</v>
      </c>
      <c r="C279" s="428"/>
      <c r="D279" s="429"/>
      <c r="E279" s="185">
        <v>0.12</v>
      </c>
      <c r="F279" s="173">
        <f>+F278*E279</f>
        <v>7.2074900705701619E-2</v>
      </c>
      <c r="H279" s="427" t="s">
        <v>317</v>
      </c>
      <c r="I279" s="428"/>
      <c r="J279" s="429"/>
      <c r="K279" s="185">
        <v>0.12</v>
      </c>
      <c r="L279" s="173">
        <f>+L278*K279</f>
        <v>5.9478260869565217E-2</v>
      </c>
      <c r="N279" s="427" t="s">
        <v>317</v>
      </c>
      <c r="O279" s="428"/>
      <c r="P279" s="429"/>
      <c r="Q279" s="185">
        <v>0.12</v>
      </c>
      <c r="R279" s="175">
        <f>+R278*Q279</f>
        <v>5.146453265270199E-2</v>
      </c>
    </row>
    <row r="280" spans="2:19" ht="18" customHeight="1">
      <c r="B280" s="178"/>
      <c r="F280" s="173">
        <f>+F279+F278</f>
        <v>0.67269907325321521</v>
      </c>
      <c r="G280" s="187">
        <f>+F280/24</f>
        <v>2.80291280522173E-2</v>
      </c>
      <c r="H280" s="178"/>
      <c r="I280" s="179"/>
      <c r="K280" s="88"/>
      <c r="L280" s="173">
        <f>+L279+L278</f>
        <v>0.55513043478260871</v>
      </c>
      <c r="M280" s="187">
        <f>+L280/24</f>
        <v>2.3130434782608695E-2</v>
      </c>
      <c r="N280" s="178"/>
      <c r="O280" s="179"/>
      <c r="R280" s="175">
        <f>+R279+R278</f>
        <v>0.48033563809188529</v>
      </c>
      <c r="S280" s="187">
        <f>+R280/24</f>
        <v>2.001398492049522E-2</v>
      </c>
    </row>
    <row r="281" spans="2:19">
      <c r="B281" s="178"/>
      <c r="D281" s="188"/>
      <c r="F281" s="173"/>
      <c r="H281" s="178"/>
      <c r="I281" s="179"/>
      <c r="J281" s="188"/>
      <c r="K281" s="88"/>
      <c r="L281" s="173"/>
      <c r="N281" s="178"/>
      <c r="O281" s="179"/>
      <c r="P281" s="188"/>
      <c r="R281" s="189"/>
    </row>
    <row r="282" spans="2:19" ht="21">
      <c r="B282" s="191" t="s">
        <v>318</v>
      </c>
      <c r="C282" s="192"/>
      <c r="D282" s="192"/>
      <c r="E282" s="444">
        <f>IF(F280=0,0,(100/F280))</f>
        <v>148.65487998429029</v>
      </c>
      <c r="F282" s="445"/>
      <c r="H282" s="191" t="s">
        <v>318</v>
      </c>
      <c r="I282" s="192"/>
      <c r="J282" s="192"/>
      <c r="K282" s="444">
        <f>IF(L280=0,0,(100/L280))</f>
        <v>180.13784461152881</v>
      </c>
      <c r="L282" s="445"/>
      <c r="N282" s="191" t="s">
        <v>318</v>
      </c>
      <c r="O282" s="192"/>
      <c r="P282" s="192"/>
      <c r="Q282" s="444">
        <f>IF(R280=0,0,(100/R280))</f>
        <v>208.1877588705392</v>
      </c>
      <c r="R282" s="445"/>
    </row>
    <row r="283" spans="2:19">
      <c r="B283" s="178"/>
      <c r="F283" s="189"/>
      <c r="H283" s="178"/>
      <c r="I283" s="179"/>
      <c r="K283" s="88"/>
      <c r="N283" s="178"/>
      <c r="O283" s="179"/>
      <c r="R283" s="189"/>
    </row>
    <row r="284" spans="2:19" ht="21">
      <c r="B284" s="446" t="s">
        <v>319</v>
      </c>
      <c r="C284" s="447"/>
      <c r="D284" s="447"/>
      <c r="E284" s="447"/>
      <c r="F284" s="448"/>
      <c r="H284" s="446" t="s">
        <v>319</v>
      </c>
      <c r="I284" s="447"/>
      <c r="J284" s="447"/>
      <c r="K284" s="447"/>
      <c r="L284" s="448"/>
      <c r="N284" s="446" t="s">
        <v>319</v>
      </c>
      <c r="O284" s="447"/>
      <c r="P284" s="447"/>
      <c r="Q284" s="447"/>
      <c r="R284" s="448"/>
    </row>
    <row r="285" spans="2:19" ht="18" customHeight="1">
      <c r="B285" s="194" t="s">
        <v>320</v>
      </c>
      <c r="C285" s="195"/>
      <c r="D285" s="435" t="s">
        <v>321</v>
      </c>
      <c r="E285" s="435"/>
      <c r="F285" s="196" t="s">
        <v>322</v>
      </c>
      <c r="H285" s="194" t="s">
        <v>320</v>
      </c>
      <c r="I285" s="195"/>
      <c r="J285" s="435" t="s">
        <v>321</v>
      </c>
      <c r="K285" s="435"/>
      <c r="L285" s="196" t="s">
        <v>322</v>
      </c>
      <c r="N285" s="194" t="s">
        <v>320</v>
      </c>
      <c r="O285" s="195"/>
      <c r="P285" s="435" t="s">
        <v>321</v>
      </c>
      <c r="Q285" s="435"/>
      <c r="R285" s="196" t="s">
        <v>322</v>
      </c>
    </row>
    <row r="286" spans="2:19">
      <c r="B286" s="197" t="s">
        <v>278</v>
      </c>
      <c r="C286" s="201">
        <v>1</v>
      </c>
      <c r="E286" s="199">
        <f>IF(C286=0,0,(VLOOKUP(B286,'RESUMEN RENDIMIENTOS'!$AB$6:$AO$64,13,FALSE)))*C286</f>
        <v>0.75</v>
      </c>
      <c r="F286" s="200">
        <f>IF(C286=0,0,(VLOOKUP(B286,'RESUMEN RENDIMIENTOS'!$AB$6:$AO$64,14,FALSE)))*C286</f>
        <v>1.0285714285714287E-2</v>
      </c>
      <c r="H286" s="197" t="s">
        <v>278</v>
      </c>
      <c r="I286" s="198">
        <v>1</v>
      </c>
      <c r="K286" s="199">
        <f>IF(I286=0,0,(VLOOKUP(H286,'RESUMEN RENDIMIENTOS'!$AB$6:$AO$64,13,FALSE)))*I286</f>
        <v>0.75</v>
      </c>
      <c r="L286" s="200">
        <f>IF(I286=0,0,(VLOOKUP(H286,'RESUMEN RENDIMIENTOS'!$AB$6:$AO$64,14,FALSE)))*I286</f>
        <v>1.0285714285714287E-2</v>
      </c>
      <c r="N286" s="197" t="s">
        <v>278</v>
      </c>
      <c r="O286" s="201">
        <v>1</v>
      </c>
      <c r="Q286" s="199">
        <f>IF(O286=0,0,(VLOOKUP(N286,'RESUMEN RENDIMIENTOS'!$AB$6:$AO$64,13,FALSE)))*O286</f>
        <v>0.75</v>
      </c>
      <c r="R286" s="200">
        <f>IF(O286=0,0,(VLOOKUP(N286,'RESUMEN RENDIMIENTOS'!$AB$6:$AO$64,14,FALSE)))*O286</f>
        <v>1.0285714285714287E-2</v>
      </c>
    </row>
    <row r="287" spans="2:19">
      <c r="B287" s="197" t="s">
        <v>279</v>
      </c>
      <c r="C287" s="201">
        <v>1</v>
      </c>
      <c r="E287" s="199">
        <f>IF(C287=0,0,(VLOOKUP(B287,'RESUMEN RENDIMIENTOS'!$AB$6:$AO$64,13,FALSE)))*C287</f>
        <v>2</v>
      </c>
      <c r="F287" s="200">
        <f>IF(C287=0,0,(VLOOKUP(B287,'RESUMEN RENDIMIENTOS'!$AB$6:$AO$64,14,FALSE)))*C287</f>
        <v>9.5999999999999988E-2</v>
      </c>
      <c r="H287" s="197" t="s">
        <v>279</v>
      </c>
      <c r="I287" s="198">
        <v>0</v>
      </c>
      <c r="K287" s="199">
        <f>IF(I287=0,0,(VLOOKUP(H287,'RESUMEN RENDIMIENTOS'!$AB$6:$AO$64,13,FALSE)))*I287</f>
        <v>0</v>
      </c>
      <c r="L287" s="200">
        <f>IF(I287=0,0,(VLOOKUP(H287,'RESUMEN RENDIMIENTOS'!$AB$6:$AO$64,14,FALSE)))*I287</f>
        <v>0</v>
      </c>
      <c r="N287" s="197" t="s">
        <v>279</v>
      </c>
      <c r="O287" s="201">
        <v>1</v>
      </c>
      <c r="Q287" s="199">
        <f>IF(O287=0,0,(VLOOKUP(N287,'RESUMEN RENDIMIENTOS'!$AB$6:$AO$64,13,FALSE)))*O287</f>
        <v>2</v>
      </c>
      <c r="R287" s="200">
        <f>IF(O287=0,0,(VLOOKUP(N287,'RESUMEN RENDIMIENTOS'!$AB$6:$AO$64,14,FALSE)))*O287</f>
        <v>9.5999999999999988E-2</v>
      </c>
    </row>
    <row r="288" spans="2:19">
      <c r="B288" s="197" t="s">
        <v>284</v>
      </c>
      <c r="C288" s="201">
        <v>0.25</v>
      </c>
      <c r="E288" s="199">
        <f>IF(C288=0,0,(VLOOKUP(B288,'RESUMEN RENDIMIENTOS'!$AB$6:$AO$64,13,FALSE)))*C288</f>
        <v>0.52500000000000002</v>
      </c>
      <c r="F288" s="200">
        <f>IF(C288=0,0,(VLOOKUP(B288,'RESUMEN RENDIMIENTOS'!$AB$6:$AO$64,14,FALSE)))*C288</f>
        <v>4.2000000000000003E-2</v>
      </c>
      <c r="H288" s="197" t="s">
        <v>285</v>
      </c>
      <c r="I288" s="198">
        <v>0</v>
      </c>
      <c r="K288" s="199">
        <f>IF(I288=0,0,(VLOOKUP(H288,'RESUMEN RENDIMIENTOS'!$AB$6:$AO$64,13,FALSE)))*I288</f>
        <v>0</v>
      </c>
      <c r="L288" s="200">
        <f>IF(I288=0,0,(VLOOKUP(H288,'RESUMEN RENDIMIENTOS'!$AB$6:$AO$64,14,FALSE)))*I288</f>
        <v>0</v>
      </c>
      <c r="N288" s="197" t="s">
        <v>284</v>
      </c>
      <c r="O288" s="201">
        <v>0.25</v>
      </c>
      <c r="Q288" s="199">
        <f>IF(O288=0,0,(VLOOKUP(N288,'RESUMEN RENDIMIENTOS'!$AB$6:$AO$64,13,FALSE)))*O288</f>
        <v>0.52500000000000002</v>
      </c>
      <c r="R288" s="200">
        <f>IF(O288=0,0,(VLOOKUP(N288,'RESUMEN RENDIMIENTOS'!$AB$6:$AO$64,14,FALSE)))*O288</f>
        <v>4.2000000000000003E-2</v>
      </c>
    </row>
    <row r="289" spans="2:19">
      <c r="B289" s="197" t="s">
        <v>283</v>
      </c>
      <c r="C289" s="201">
        <v>1</v>
      </c>
      <c r="E289" s="199">
        <f>IF(C289=0,0,(VLOOKUP(B289,'RESUMEN RENDIMIENTOS'!$AB$6:$AO$64,13,FALSE)))*C289</f>
        <v>1.59</v>
      </c>
      <c r="F289" s="200">
        <f>IF(C289=0,0,(VLOOKUP(B289,'RESUMEN RENDIMIENTOS'!$AB$6:$AO$64,14,FALSE)))*C289</f>
        <v>0.12720000000000001</v>
      </c>
      <c r="H289" s="197" t="s">
        <v>283</v>
      </c>
      <c r="I289" s="198">
        <v>0</v>
      </c>
      <c r="K289" s="199">
        <f>IF(I289=0,0,(VLOOKUP(H289,'RESUMEN RENDIMIENTOS'!$AB$6:$AO$64,13,FALSE)))*I289</f>
        <v>0</v>
      </c>
      <c r="L289" s="200">
        <f>IF(I289=0,0,(VLOOKUP(H289,'RESUMEN RENDIMIENTOS'!$AB$6:$AO$64,14,FALSE)))*I289</f>
        <v>0</v>
      </c>
      <c r="N289" s="197" t="s">
        <v>283</v>
      </c>
      <c r="O289" s="201">
        <v>1</v>
      </c>
      <c r="Q289" s="199">
        <f>IF(O289=0,0,(VLOOKUP(N289,'RESUMEN RENDIMIENTOS'!$AB$6:$AO$64,13,FALSE)))*O289</f>
        <v>1.59</v>
      </c>
      <c r="R289" s="200">
        <f>IF(O289=0,0,(VLOOKUP(N289,'RESUMEN RENDIMIENTOS'!$AB$6:$AO$64,14,FALSE)))*O289</f>
        <v>0.12720000000000001</v>
      </c>
    </row>
    <row r="290" spans="2:19">
      <c r="B290" s="197" t="s">
        <v>282</v>
      </c>
      <c r="C290" s="201">
        <v>1</v>
      </c>
      <c r="E290" s="199">
        <f>IF(C290=0,0,(VLOOKUP(B290,'RESUMEN RENDIMIENTOS'!$AB$6:$AO$64,13,FALSE)))*C290</f>
        <v>2.62</v>
      </c>
      <c r="F290" s="200">
        <f>IF(C290=0,0,(VLOOKUP(B290,'RESUMEN RENDIMIENTOS'!$AB$6:$AO$64,14,FALSE)))*C290</f>
        <v>6.986666666666666E-2</v>
      </c>
      <c r="H290" s="197" t="s">
        <v>282</v>
      </c>
      <c r="I290" s="198">
        <v>0</v>
      </c>
      <c r="K290" s="199">
        <f>IF(I290=0,0,(VLOOKUP(H290,'RESUMEN RENDIMIENTOS'!$AB$6:$AO$64,13,FALSE)))*I290</f>
        <v>0</v>
      </c>
      <c r="L290" s="200">
        <f>IF(I290=0,0,(VLOOKUP(H290,'RESUMEN RENDIMIENTOS'!$AB$6:$AO$64,14,FALSE)))*I290</f>
        <v>0</v>
      </c>
      <c r="N290" s="197" t="s">
        <v>282</v>
      </c>
      <c r="O290" s="201">
        <v>1</v>
      </c>
      <c r="Q290" s="199">
        <f>IF(O290=0,0,(VLOOKUP(N290,'RESUMEN RENDIMIENTOS'!$AB$6:$AO$64,13,FALSE)))*O290</f>
        <v>2.62</v>
      </c>
      <c r="R290" s="200">
        <f>IF(O290=0,0,(VLOOKUP(N290,'RESUMEN RENDIMIENTOS'!$AB$6:$AO$64,14,FALSE)))*O290</f>
        <v>6.986666666666666E-2</v>
      </c>
    </row>
    <row r="291" spans="2:19">
      <c r="B291" s="197" t="s">
        <v>302</v>
      </c>
      <c r="C291" s="201">
        <v>1</v>
      </c>
      <c r="E291" s="199">
        <f>IF(C291=0,0,(VLOOKUP(B291,'RESUMEN RENDIMIENTOS'!$AB$6:$AO$64,13,FALSE)))*C291</f>
        <v>1</v>
      </c>
      <c r="F291" s="200">
        <f>IF(C291=0,0,(VLOOKUP(B291,'RESUMEN RENDIMIENTOS'!$AB$6:$AO$64,14,FALSE)))*C291</f>
        <v>0.2</v>
      </c>
      <c r="H291" s="197" t="s">
        <v>302</v>
      </c>
      <c r="I291" s="198">
        <v>1</v>
      </c>
      <c r="K291" s="199">
        <f>IF(I291=0,0,(VLOOKUP(H291,'RESUMEN RENDIMIENTOS'!$AB$6:$AO$64,13,FALSE)))*I291</f>
        <v>1</v>
      </c>
      <c r="L291" s="200">
        <f>IF(I291=0,0,(VLOOKUP(H291,'RESUMEN RENDIMIENTOS'!$AB$6:$AO$64,14,FALSE)))*I291</f>
        <v>0.2</v>
      </c>
      <c r="N291" s="197" t="s">
        <v>302</v>
      </c>
      <c r="O291" s="201">
        <v>1</v>
      </c>
      <c r="Q291" s="199">
        <f>IF(O291=0,0,(VLOOKUP(N291,'RESUMEN RENDIMIENTOS'!$AB$6:$AO$64,13,FALSE)))*O291</f>
        <v>1</v>
      </c>
      <c r="R291" s="200">
        <f>IF(O291=0,0,(VLOOKUP(N291,'RESUMEN RENDIMIENTOS'!$AB$6:$AO$64,14,FALSE)))*O291</f>
        <v>0.2</v>
      </c>
    </row>
    <row r="292" spans="2:19">
      <c r="B292" s="202"/>
      <c r="F292" s="206">
        <f>SUM(F286:F291)</f>
        <v>0.54535238095238103</v>
      </c>
      <c r="G292" s="205">
        <f>+F292</f>
        <v>0.54535238095238103</v>
      </c>
      <c r="H292" s="202"/>
      <c r="I292" s="179"/>
      <c r="K292" s="88"/>
      <c r="L292" s="252">
        <f>SUM(L286:L291)</f>
        <v>0.2102857142857143</v>
      </c>
      <c r="M292" s="205">
        <f>+L292</f>
        <v>0.2102857142857143</v>
      </c>
      <c r="N292" s="202"/>
      <c r="O292" s="179"/>
      <c r="R292" s="206">
        <f>SUM(R286:R291)</f>
        <v>0.54535238095238103</v>
      </c>
      <c r="S292" s="205">
        <f>+R292</f>
        <v>0.54535238095238103</v>
      </c>
    </row>
    <row r="293" spans="2:19">
      <c r="B293" s="436" t="s">
        <v>324</v>
      </c>
      <c r="C293" s="437"/>
      <c r="D293" s="437"/>
      <c r="E293" s="437"/>
      <c r="F293" s="455"/>
      <c r="G293" s="205"/>
      <c r="H293" s="436" t="s">
        <v>324</v>
      </c>
      <c r="I293" s="437"/>
      <c r="J293" s="437"/>
      <c r="K293" s="437"/>
      <c r="L293" s="437"/>
      <c r="M293" s="205"/>
      <c r="N293" s="436" t="s">
        <v>324</v>
      </c>
      <c r="O293" s="437"/>
      <c r="P293" s="437"/>
      <c r="Q293" s="437"/>
      <c r="R293" s="455"/>
      <c r="S293" s="205"/>
    </row>
    <row r="294" spans="2:19">
      <c r="B294" s="210" t="s">
        <v>325</v>
      </c>
      <c r="C294" s="211">
        <v>1</v>
      </c>
      <c r="D294" s="212">
        <v>21.712335174960327</v>
      </c>
      <c r="E294" s="213">
        <f>F280</f>
        <v>0.67269907325321521</v>
      </c>
      <c r="F294" s="214">
        <f>+IF(C294&gt;="",0,(D294*E294))</f>
        <v>14.605867750358998</v>
      </c>
      <c r="G294" s="215"/>
      <c r="H294" s="210" t="s">
        <v>325</v>
      </c>
      <c r="I294" s="211">
        <v>1</v>
      </c>
      <c r="J294" s="212">
        <v>21.712335174960327</v>
      </c>
      <c r="K294" s="213">
        <f>L280</f>
        <v>0.55513043478260871</v>
      </c>
      <c r="L294" s="216">
        <f>+IF(I294&gt;="",0,(J294*K294))</f>
        <v>12.053178065821454</v>
      </c>
      <c r="M294" s="215"/>
      <c r="N294" s="210" t="s">
        <v>325</v>
      </c>
      <c r="O294" s="211">
        <v>1</v>
      </c>
      <c r="P294" s="212">
        <v>21.712335174960327</v>
      </c>
      <c r="Q294" s="213">
        <f>R280</f>
        <v>0.48033563809188529</v>
      </c>
      <c r="R294" s="214">
        <f>+IF(O294&gt;="",0,(P294*Q294))</f>
        <v>10.429208370729453</v>
      </c>
      <c r="S294" s="215"/>
    </row>
    <row r="295" spans="2:19">
      <c r="B295" s="210" t="s">
        <v>326</v>
      </c>
      <c r="C295" s="211"/>
      <c r="D295" s="212">
        <f>+D294*25%</f>
        <v>5.4280837937400817</v>
      </c>
      <c r="E295" s="213">
        <f>F280</f>
        <v>0.67269907325321521</v>
      </c>
      <c r="F295" s="214">
        <f>+IF(C295= "",0,(D295*E295))</f>
        <v>0</v>
      </c>
      <c r="G295" s="215"/>
      <c r="H295" s="210" t="s">
        <v>326</v>
      </c>
      <c r="I295" s="211"/>
      <c r="J295" s="212">
        <f>+J294*25%</f>
        <v>5.4280837937400817</v>
      </c>
      <c r="K295" s="213">
        <f>L280</f>
        <v>0.55513043478260871</v>
      </c>
      <c r="L295" s="216">
        <f>+IF(I295= "",0,(J295*K295))</f>
        <v>0</v>
      </c>
      <c r="M295" s="215"/>
      <c r="N295" s="210" t="s">
        <v>326</v>
      </c>
      <c r="O295" s="211"/>
      <c r="P295" s="212">
        <f>+P294*25%</f>
        <v>5.4280837937400817</v>
      </c>
      <c r="Q295" s="213">
        <f>R280</f>
        <v>0.48033563809188529</v>
      </c>
      <c r="R295" s="214">
        <f>+IF(O295= "",0,(P295*Q295))</f>
        <v>0</v>
      </c>
      <c r="S295" s="215"/>
    </row>
    <row r="296" spans="2:19">
      <c r="B296" s="210" t="s">
        <v>327</v>
      </c>
      <c r="C296" s="211"/>
      <c r="D296" s="212">
        <f>+D294*50%</f>
        <v>10.856167587480163</v>
      </c>
      <c r="E296" s="213">
        <f>F280</f>
        <v>0.67269907325321521</v>
      </c>
      <c r="F296" s="214">
        <f>+IF(C296= "",0,(D296*E296))</f>
        <v>0</v>
      </c>
      <c r="G296" s="215"/>
      <c r="H296" s="210" t="s">
        <v>327</v>
      </c>
      <c r="I296" s="211"/>
      <c r="J296" s="212">
        <f>+J294*50%</f>
        <v>10.856167587480163</v>
      </c>
      <c r="K296" s="213">
        <f>L280</f>
        <v>0.55513043478260871</v>
      </c>
      <c r="L296" s="216">
        <f>+IF(I296= "",0,(J296*K296))</f>
        <v>0</v>
      </c>
      <c r="M296" s="215"/>
      <c r="N296" s="210" t="s">
        <v>327</v>
      </c>
      <c r="O296" s="211"/>
      <c r="P296" s="212">
        <f>+P294*50%</f>
        <v>10.856167587480163</v>
      </c>
      <c r="Q296" s="213">
        <f>R280</f>
        <v>0.48033563809188529</v>
      </c>
      <c r="R296" s="214">
        <f>+IF(O296= "",0,(P296*Q296))</f>
        <v>0</v>
      </c>
      <c r="S296" s="215"/>
    </row>
    <row r="297" spans="2:19">
      <c r="B297" s="202"/>
      <c r="F297" s="217">
        <f>SUM(F294:F296)</f>
        <v>14.605867750358998</v>
      </c>
      <c r="G297" s="218"/>
      <c r="H297" s="202"/>
      <c r="I297" s="179"/>
      <c r="K297" s="88"/>
      <c r="L297" s="219">
        <f>SUM(L294:L296)</f>
        <v>12.053178065821454</v>
      </c>
      <c r="M297" s="218"/>
      <c r="N297" s="202"/>
      <c r="O297" s="179"/>
      <c r="R297" s="217">
        <f>SUM(R294:R296)</f>
        <v>10.429208370729453</v>
      </c>
      <c r="S297" s="218"/>
    </row>
    <row r="298" spans="2:19">
      <c r="B298" s="202"/>
      <c r="F298" s="189"/>
      <c r="G298" s="220"/>
      <c r="H298" s="202"/>
      <c r="I298" s="179"/>
      <c r="K298" s="88"/>
      <c r="M298" s="220"/>
      <c r="N298" s="202"/>
      <c r="O298" s="179"/>
      <c r="R298" s="189"/>
      <c r="S298" s="220"/>
    </row>
    <row r="299" spans="2:19" ht="21">
      <c r="B299" s="438" t="s">
        <v>328</v>
      </c>
      <c r="C299" s="439"/>
      <c r="D299" s="439"/>
      <c r="E299" s="440"/>
      <c r="F299" s="225">
        <f>+F292+F297</f>
        <v>15.15122013131138</v>
      </c>
      <c r="G299" s="205">
        <f>+F299</f>
        <v>15.15122013131138</v>
      </c>
      <c r="H299" s="438" t="s">
        <v>328</v>
      </c>
      <c r="I299" s="439"/>
      <c r="J299" s="439"/>
      <c r="K299" s="440"/>
      <c r="L299" s="221">
        <f>+L292+L297</f>
        <v>12.263463780107168</v>
      </c>
      <c r="M299" s="205">
        <f>+L299</f>
        <v>12.263463780107168</v>
      </c>
      <c r="N299" s="438" t="s">
        <v>328</v>
      </c>
      <c r="O299" s="439"/>
      <c r="P299" s="439"/>
      <c r="Q299" s="440"/>
      <c r="R299" s="225">
        <f>+R292+R297</f>
        <v>10.974560751681835</v>
      </c>
      <c r="S299" s="205">
        <f>+R299</f>
        <v>10.974560751681835</v>
      </c>
    </row>
    <row r="300" spans="2:19">
      <c r="B300" s="202"/>
      <c r="F300" s="189"/>
      <c r="G300" s="205"/>
      <c r="H300" s="202"/>
      <c r="I300" s="179"/>
      <c r="K300" s="88"/>
      <c r="M300" s="205"/>
      <c r="N300" s="202"/>
      <c r="O300" s="179"/>
      <c r="R300" s="189"/>
      <c r="S300" s="205"/>
    </row>
    <row r="301" spans="2:19" ht="19">
      <c r="B301" s="441" t="s">
        <v>329</v>
      </c>
      <c r="C301" s="442"/>
      <c r="D301" s="442"/>
      <c r="E301" s="443"/>
      <c r="F301" s="230">
        <f>+F299/$C$37</f>
        <v>0.1515122013131138</v>
      </c>
      <c r="G301" s="205"/>
      <c r="H301" s="441" t="s">
        <v>329</v>
      </c>
      <c r="I301" s="442"/>
      <c r="J301" s="442"/>
      <c r="K301" s="443"/>
      <c r="L301" s="253">
        <f>+L299/$C$37</f>
        <v>0.12263463780107169</v>
      </c>
      <c r="M301" s="205"/>
      <c r="N301" s="441" t="s">
        <v>329</v>
      </c>
      <c r="O301" s="442"/>
      <c r="P301" s="442"/>
      <c r="Q301" s="443"/>
      <c r="R301" s="230">
        <f>+R299/$C$37</f>
        <v>0.10974560751681835</v>
      </c>
      <c r="S301" s="205"/>
    </row>
    <row r="302" spans="2:19" ht="17" thickBot="1">
      <c r="B302" s="231"/>
      <c r="C302" s="232"/>
      <c r="D302" s="233"/>
      <c r="E302" s="233"/>
      <c r="F302" s="234"/>
      <c r="G302" s="205"/>
      <c r="H302" s="231"/>
      <c r="I302" s="232"/>
      <c r="J302" s="233"/>
      <c r="K302" s="233"/>
      <c r="L302" s="233"/>
      <c r="M302" s="205"/>
      <c r="N302" s="231"/>
      <c r="O302" s="232"/>
      <c r="P302" s="233"/>
      <c r="Q302" s="233"/>
      <c r="R302" s="234"/>
      <c r="S302" s="205"/>
    </row>
    <row r="303" spans="2:19" ht="23.25" customHeight="1" thickBot="1">
      <c r="B303" s="415" t="s">
        <v>312</v>
      </c>
      <c r="C303" s="416"/>
      <c r="D303" s="416"/>
      <c r="E303" s="416"/>
      <c r="F303" s="416"/>
      <c r="G303" s="416"/>
      <c r="H303" s="416"/>
      <c r="I303" s="416"/>
      <c r="J303" s="416"/>
      <c r="K303" s="416"/>
      <c r="L303" s="416"/>
      <c r="M303" s="416"/>
      <c r="N303" s="416"/>
      <c r="O303" s="416"/>
      <c r="P303" s="416"/>
      <c r="Q303" s="416"/>
      <c r="R303" s="417"/>
    </row>
    <row r="304" spans="2:19" ht="25">
      <c r="B304" s="237" t="s">
        <v>16</v>
      </c>
      <c r="C304" s="452" t="s">
        <v>112</v>
      </c>
      <c r="D304" s="453"/>
      <c r="E304" s="454"/>
      <c r="F304" s="240"/>
      <c r="G304" s="254"/>
      <c r="H304" s="239" t="s">
        <v>16</v>
      </c>
      <c r="I304" s="452" t="s">
        <v>91</v>
      </c>
      <c r="J304" s="453"/>
      <c r="K304" s="454"/>
      <c r="L304" s="240"/>
      <c r="M304" s="254"/>
      <c r="N304" s="237" t="s">
        <v>16</v>
      </c>
      <c r="O304" s="452" t="s">
        <v>85</v>
      </c>
      <c r="P304" s="453"/>
      <c r="Q304" s="454"/>
      <c r="R304" s="240"/>
    </row>
    <row r="305" spans="2:19" ht="33" thickBot="1">
      <c r="B305" s="241" t="s">
        <v>313</v>
      </c>
      <c r="C305" s="242" t="s">
        <v>6</v>
      </c>
      <c r="D305" s="243" t="s">
        <v>25</v>
      </c>
      <c r="E305" s="244" t="s">
        <v>314</v>
      </c>
      <c r="F305" s="245" t="s">
        <v>315</v>
      </c>
      <c r="H305" s="241" t="s">
        <v>313</v>
      </c>
      <c r="I305" s="242" t="s">
        <v>6</v>
      </c>
      <c r="J305" s="243" t="s">
        <v>25</v>
      </c>
      <c r="K305" s="244" t="s">
        <v>314</v>
      </c>
      <c r="L305" s="245" t="s">
        <v>315</v>
      </c>
      <c r="N305" s="241" t="s">
        <v>313</v>
      </c>
      <c r="O305" s="242" t="s">
        <v>6</v>
      </c>
      <c r="P305" s="243" t="s">
        <v>25</v>
      </c>
      <c r="Q305" s="244" t="s">
        <v>314</v>
      </c>
      <c r="R305" s="245" t="s">
        <v>315</v>
      </c>
    </row>
    <row r="306" spans="2:19">
      <c r="B306" s="170" t="s">
        <v>180</v>
      </c>
      <c r="C306" s="171">
        <f>VLOOKUP(B306,'RESUMEN RENDIMIENTOS'!$V$6:$W$158,2,FALSE)</f>
        <v>1800</v>
      </c>
      <c r="D306" s="177" t="s">
        <v>20</v>
      </c>
      <c r="E306" s="172">
        <f>+IF(D306="","",VLOOKUP(D306,Tablas!$B$5:$E$40,4,FALSE))</f>
        <v>247</v>
      </c>
      <c r="F306" s="173">
        <f t="shared" ref="F306:F321" si="43">IF(C306=0,0,(100/C306)*E306/$E$37)</f>
        <v>5.5555555555555552E-2</v>
      </c>
      <c r="G306" s="164">
        <f>+F306/F322</f>
        <v>0.5</v>
      </c>
      <c r="H306" s="170" t="s">
        <v>182</v>
      </c>
      <c r="I306" s="171">
        <f>VLOOKUP(H306,'RESUMEN RENDIMIENTOS'!$V$6:$W$158,2,FALSE)</f>
        <v>1400</v>
      </c>
      <c r="J306" s="177" t="s">
        <v>20</v>
      </c>
      <c r="K306" s="172">
        <v>247</v>
      </c>
      <c r="L306" s="173">
        <f t="shared" ref="L306:L321" si="44">IF(I306=0,0,(100/I306)*K306/$E$37)</f>
        <v>7.1428571428571425E-2</v>
      </c>
      <c r="M306" s="164">
        <f>+L306/L322</f>
        <v>0.13311493621441237</v>
      </c>
      <c r="N306" s="170" t="s">
        <v>181</v>
      </c>
      <c r="O306" s="171">
        <f>VLOOKUP(N306,'RESUMEN RENDIMIENTOS'!$V$6:$W$158,2,FALSE)</f>
        <v>900</v>
      </c>
      <c r="P306" s="177" t="s">
        <v>20</v>
      </c>
      <c r="Q306" s="172">
        <v>247</v>
      </c>
      <c r="R306" s="173">
        <f t="shared" ref="R306:R321" si="45">IF(O306=0,0,(100/O306)*Q306/$E$37)</f>
        <v>0.1111111111111111</v>
      </c>
      <c r="S306" s="263">
        <f t="shared" ref="S306:S321" si="46">+R306/$R$322</f>
        <v>0.13198173531027305</v>
      </c>
    </row>
    <row r="307" spans="2:19">
      <c r="B307" s="170" t="s">
        <v>204</v>
      </c>
      <c r="C307" s="171">
        <f>VLOOKUP(B307,'RESUMEN RENDIMIENTOS'!$V$6:$W$158,2,FALSE)</f>
        <v>1800</v>
      </c>
      <c r="D307" s="177" t="s">
        <v>20</v>
      </c>
      <c r="E307" s="172">
        <f>+IF(D307="","",VLOOKUP(D307,Tablas!$B$5:$E$40,4,FALSE))</f>
        <v>247</v>
      </c>
      <c r="F307" s="173">
        <f t="shared" si="43"/>
        <v>5.5555555555555552E-2</v>
      </c>
      <c r="G307" s="174">
        <f>+F307/F322</f>
        <v>0.5</v>
      </c>
      <c r="H307" s="170" t="s">
        <v>201</v>
      </c>
      <c r="I307" s="171">
        <f>VLOOKUP(H307,'RESUMEN RENDIMIENTOS'!$V$6:$W$158,2,FALSE)</f>
        <v>500</v>
      </c>
      <c r="J307" s="177" t="s">
        <v>20</v>
      </c>
      <c r="K307" s="172">
        <v>247</v>
      </c>
      <c r="L307" s="173">
        <f t="shared" si="44"/>
        <v>0.2</v>
      </c>
      <c r="M307" s="174">
        <f>+L307/L322</f>
        <v>0.3727218214003547</v>
      </c>
      <c r="N307" s="170" t="s">
        <v>203</v>
      </c>
      <c r="O307" s="171">
        <f>VLOOKUP(N307,'RESUMEN RENDIMIENTOS'!$V$6:$W$158,2,FALSE)</f>
        <v>600</v>
      </c>
      <c r="P307" s="177" t="s">
        <v>20</v>
      </c>
      <c r="Q307" s="172">
        <v>247</v>
      </c>
      <c r="R307" s="173">
        <f t="shared" si="45"/>
        <v>0.16666666666666666</v>
      </c>
      <c r="S307" s="264">
        <f t="shared" si="46"/>
        <v>0.19797260296540956</v>
      </c>
    </row>
    <row r="308" spans="2:19">
      <c r="B308" s="170">
        <v>0</v>
      </c>
      <c r="C308" s="171">
        <f>VLOOKUP(B308,'RESUMEN RENDIMIENTOS'!$V$6:$W$158,2,FALSE)</f>
        <v>0</v>
      </c>
      <c r="D308" s="177"/>
      <c r="E308" s="172" t="str">
        <f>+IF(D308="","",VLOOKUP(D308,Tablas!$B$5:$E$40,4,FALSE))</f>
        <v/>
      </c>
      <c r="F308" s="173">
        <f t="shared" si="43"/>
        <v>0</v>
      </c>
      <c r="G308" s="174">
        <f>+F308/F322</f>
        <v>0</v>
      </c>
      <c r="H308" s="170" t="s">
        <v>190</v>
      </c>
      <c r="I308" s="171">
        <f>VLOOKUP(H308,'RESUMEN RENDIMIENTOS'!$V$6:$W$158,2,FALSE)</f>
        <v>960</v>
      </c>
      <c r="J308" s="177" t="s">
        <v>20</v>
      </c>
      <c r="K308" s="172">
        <v>247</v>
      </c>
      <c r="L308" s="173">
        <f t="shared" si="44"/>
        <v>0.10416666666666667</v>
      </c>
      <c r="M308" s="174">
        <f>+L308/L322</f>
        <v>0.19412594864601806</v>
      </c>
      <c r="N308" s="170" t="s">
        <v>241</v>
      </c>
      <c r="O308" s="171">
        <f>VLOOKUP(N308,'RESUMEN RENDIMIENTOS'!$V$6:$W$158,2,FALSE)</f>
        <v>450</v>
      </c>
      <c r="P308" s="177" t="s">
        <v>20</v>
      </c>
      <c r="Q308" s="172">
        <v>247</v>
      </c>
      <c r="R308" s="173">
        <f t="shared" si="45"/>
        <v>0.22222222222222221</v>
      </c>
      <c r="S308" s="264">
        <f t="shared" si="46"/>
        <v>0.26396347062054609</v>
      </c>
    </row>
    <row r="309" spans="2:19">
      <c r="B309" s="170">
        <v>0</v>
      </c>
      <c r="C309" s="171">
        <f>VLOOKUP(B309,'RESUMEN RENDIMIENTOS'!$V$6:$W$158,2,FALSE)</f>
        <v>0</v>
      </c>
      <c r="D309" s="177"/>
      <c r="E309" s="172" t="str">
        <f>+IF(D309="","",VLOOKUP(D309,Tablas!$B$5:$E$40,4,FALSE))</f>
        <v/>
      </c>
      <c r="F309" s="173">
        <f t="shared" si="43"/>
        <v>0</v>
      </c>
      <c r="G309" s="174">
        <f>+F309/F322</f>
        <v>0</v>
      </c>
      <c r="H309" s="170" t="s">
        <v>191</v>
      </c>
      <c r="I309" s="171">
        <f>VLOOKUP(H309,'RESUMEN RENDIMIENTOS'!$V$6:$W$158,2,FALSE)</f>
        <v>800</v>
      </c>
      <c r="J309" s="177" t="s">
        <v>56</v>
      </c>
      <c r="K309" s="172">
        <v>52.14</v>
      </c>
      <c r="L309" s="173">
        <f t="shared" si="44"/>
        <v>2.638663967611336E-2</v>
      </c>
      <c r="M309" s="174">
        <f>+L309/L322</f>
        <v>4.9174382003579181E-2</v>
      </c>
      <c r="N309" s="170" t="s">
        <v>254</v>
      </c>
      <c r="O309" s="171">
        <f>VLOOKUP(N309,'RESUMEN RENDIMIENTOS'!$V$6:$W$158,2,FALSE)</f>
        <v>2000</v>
      </c>
      <c r="P309" s="177" t="s">
        <v>20</v>
      </c>
      <c r="Q309" s="172">
        <v>247</v>
      </c>
      <c r="R309" s="173">
        <f t="shared" si="45"/>
        <v>0.05</v>
      </c>
      <c r="S309" s="264">
        <f t="shared" si="46"/>
        <v>5.9391780889622874E-2</v>
      </c>
    </row>
    <row r="310" spans="2:19">
      <c r="B310" s="170">
        <v>0</v>
      </c>
      <c r="C310" s="171">
        <f>VLOOKUP(B310,'RESUMEN RENDIMIENTOS'!$V$6:$W$158,2,FALSE)</f>
        <v>0</v>
      </c>
      <c r="D310" s="177"/>
      <c r="E310" s="172" t="str">
        <f>+IF(D310="","",VLOOKUP(D310,Tablas!$B$5:$E$40,4,FALSE))</f>
        <v/>
      </c>
      <c r="F310" s="173">
        <f t="shared" si="43"/>
        <v>0</v>
      </c>
      <c r="G310" s="174">
        <f>+F310/F322</f>
        <v>0</v>
      </c>
      <c r="H310" s="170" t="s">
        <v>194</v>
      </c>
      <c r="I310" s="171">
        <f>VLOOKUP(H310,'RESUMEN RENDIMIENTOS'!$V$6:$W$158,2,FALSE)</f>
        <v>2000</v>
      </c>
      <c r="J310" s="177" t="s">
        <v>56</v>
      </c>
      <c r="K310" s="172">
        <v>52.14</v>
      </c>
      <c r="L310" s="173">
        <f t="shared" si="44"/>
        <v>1.0554655870445346E-2</v>
      </c>
      <c r="M310" s="174">
        <f>+L310/L322</f>
        <v>1.9669752801431677E-2</v>
      </c>
      <c r="N310" s="170" t="s">
        <v>259</v>
      </c>
      <c r="O310" s="171">
        <f>VLOOKUP(N310,'RESUMEN RENDIMIENTOS'!$V$6:$W$158,2,FALSE)</f>
        <v>1800</v>
      </c>
      <c r="P310" s="177" t="s">
        <v>20</v>
      </c>
      <c r="Q310" s="172">
        <v>247</v>
      </c>
      <c r="R310" s="173">
        <f t="shared" si="45"/>
        <v>5.5555555555555552E-2</v>
      </c>
      <c r="S310" s="264">
        <f t="shared" si="46"/>
        <v>6.5990867655136523E-2</v>
      </c>
    </row>
    <row r="311" spans="2:19">
      <c r="B311" s="170">
        <v>0</v>
      </c>
      <c r="C311" s="171">
        <f>VLOOKUP(B311,'RESUMEN RENDIMIENTOS'!$V$6:$W$158,2,FALSE)</f>
        <v>0</v>
      </c>
      <c r="D311" s="177"/>
      <c r="E311" s="172" t="str">
        <f>+IF(D311="","",VLOOKUP(D311,Tablas!$B$5:$E$40,4,FALSE))</f>
        <v/>
      </c>
      <c r="F311" s="173">
        <f t="shared" si="43"/>
        <v>0</v>
      </c>
      <c r="G311" s="174">
        <f>+F311/F322</f>
        <v>0</v>
      </c>
      <c r="H311" s="170" t="s">
        <v>210</v>
      </c>
      <c r="I311" s="171">
        <f>VLOOKUP(H311,'RESUMEN RENDIMIENTOS'!$V$6:$W$158,2,FALSE)</f>
        <v>80</v>
      </c>
      <c r="J311" s="177" t="s">
        <v>58</v>
      </c>
      <c r="K311" s="172">
        <v>12</v>
      </c>
      <c r="L311" s="173">
        <f t="shared" si="44"/>
        <v>6.0728744939271252E-2</v>
      </c>
      <c r="M311" s="174">
        <f>+L311/L322</f>
        <v>0.11317464212561376</v>
      </c>
      <c r="N311" s="170" t="s">
        <v>232</v>
      </c>
      <c r="O311" s="171">
        <f>VLOOKUP(N311,'RESUMEN RENDIMIENTOS'!$V$6:$W$158,2,FALSE)</f>
        <v>1200</v>
      </c>
      <c r="P311" s="177" t="s">
        <v>20</v>
      </c>
      <c r="Q311" s="172">
        <v>247</v>
      </c>
      <c r="R311" s="173">
        <f t="shared" si="45"/>
        <v>8.3333333333333329E-2</v>
      </c>
      <c r="S311" s="264">
        <f t="shared" si="46"/>
        <v>9.8986301482704778E-2</v>
      </c>
    </row>
    <row r="312" spans="2:19">
      <c r="B312" s="170">
        <v>0</v>
      </c>
      <c r="C312" s="171">
        <f>VLOOKUP(B312,'RESUMEN RENDIMIENTOS'!$V$6:$W$158,2,FALSE)</f>
        <v>0</v>
      </c>
      <c r="D312" s="177"/>
      <c r="E312" s="172" t="str">
        <f>+IF(D312="","",VLOOKUP(D312,Tablas!$B$5:$E$40,4,FALSE))</f>
        <v/>
      </c>
      <c r="F312" s="173">
        <f t="shared" si="43"/>
        <v>0</v>
      </c>
      <c r="G312" s="174">
        <f>+F312/F322</f>
        <v>0</v>
      </c>
      <c r="H312" s="170" t="s">
        <v>240</v>
      </c>
      <c r="I312" s="171">
        <f>VLOOKUP(H312,'RESUMEN RENDIMIENTOS'!$V$6:$W$158,2,FALSE)</f>
        <v>1000</v>
      </c>
      <c r="J312" s="177" t="s">
        <v>52</v>
      </c>
      <c r="K312" s="172">
        <v>156.42000000000002</v>
      </c>
      <c r="L312" s="173">
        <f t="shared" si="44"/>
        <v>6.3327935222672077E-2</v>
      </c>
      <c r="M312" s="174">
        <f>+L312/L322</f>
        <v>0.11801851680859006</v>
      </c>
      <c r="N312" s="170" t="s">
        <v>253</v>
      </c>
      <c r="O312" s="171">
        <f>VLOOKUP(N312,'RESUMEN RENDIMIENTOS'!$V$6:$W$158,2,FALSE)</f>
        <v>1500</v>
      </c>
      <c r="P312" s="177" t="s">
        <v>20</v>
      </c>
      <c r="Q312" s="172">
        <v>247</v>
      </c>
      <c r="R312" s="173">
        <f t="shared" si="45"/>
        <v>6.6666666666666666E-2</v>
      </c>
      <c r="S312" s="264">
        <f t="shared" si="46"/>
        <v>7.9189041186163822E-2</v>
      </c>
    </row>
    <row r="313" spans="2:19">
      <c r="B313" s="170">
        <v>0</v>
      </c>
      <c r="C313" s="171">
        <f>VLOOKUP(B313,'RESUMEN RENDIMIENTOS'!$V$6:$W$158,2,FALSE)</f>
        <v>0</v>
      </c>
      <c r="D313" s="177"/>
      <c r="E313" s="172" t="str">
        <f>+IF(D313="","",VLOOKUP(D313,Tablas!$B$5:$E$40,4,FALSE))</f>
        <v/>
      </c>
      <c r="F313" s="173">
        <f t="shared" si="43"/>
        <v>0</v>
      </c>
      <c r="G313" s="174">
        <f>+F313/F322</f>
        <v>0</v>
      </c>
      <c r="H313" s="170">
        <v>0</v>
      </c>
      <c r="I313" s="171">
        <f>VLOOKUP(H313,'RESUMEN RENDIMIENTOS'!$V$6:$W$158,2,FALSE)</f>
        <v>0</v>
      </c>
      <c r="J313" s="177"/>
      <c r="K313" s="172" t="s">
        <v>337</v>
      </c>
      <c r="L313" s="173">
        <f t="shared" si="44"/>
        <v>0</v>
      </c>
      <c r="M313" s="174">
        <f>+L313/L322</f>
        <v>0</v>
      </c>
      <c r="N313" s="170" t="s">
        <v>194</v>
      </c>
      <c r="O313" s="171">
        <f>VLOOKUP(N313,'RESUMEN RENDIMIENTOS'!$V$6:$W$158,2,FALSE)</f>
        <v>2000</v>
      </c>
      <c r="P313" s="177" t="s">
        <v>56</v>
      </c>
      <c r="Q313" s="172">
        <v>52.14</v>
      </c>
      <c r="R313" s="173">
        <f t="shared" si="45"/>
        <v>1.0554655870445346E-2</v>
      </c>
      <c r="S313" s="264">
        <f t="shared" si="46"/>
        <v>1.2537196176457235E-2</v>
      </c>
    </row>
    <row r="314" spans="2:19">
      <c r="B314" s="170">
        <v>0</v>
      </c>
      <c r="C314" s="171">
        <f>VLOOKUP(B314,'RESUMEN RENDIMIENTOS'!$V$6:$W$158,2,FALSE)</f>
        <v>0</v>
      </c>
      <c r="D314" s="177"/>
      <c r="E314" s="172" t="str">
        <f>+IF(D314="","",VLOOKUP(D314,Tablas!$B$5:$E$40,4,FALSE))</f>
        <v/>
      </c>
      <c r="F314" s="173">
        <f t="shared" si="43"/>
        <v>0</v>
      </c>
      <c r="G314" s="174">
        <f>+F314/F322</f>
        <v>0</v>
      </c>
      <c r="H314" s="170">
        <v>0</v>
      </c>
      <c r="I314" s="171">
        <f>VLOOKUP(H314,'RESUMEN RENDIMIENTOS'!$V$6:$W$158,2,FALSE)</f>
        <v>0</v>
      </c>
      <c r="J314" s="177"/>
      <c r="K314" s="172" t="s">
        <v>337</v>
      </c>
      <c r="L314" s="173">
        <f t="shared" si="44"/>
        <v>0</v>
      </c>
      <c r="M314" s="174">
        <f>+L314/L322</f>
        <v>0</v>
      </c>
      <c r="N314" s="170" t="s">
        <v>230</v>
      </c>
      <c r="O314" s="171">
        <f>VLOOKUP(N314,'RESUMEN RENDIMIENTOS'!$V$6:$W$158,2,FALSE)</f>
        <v>900</v>
      </c>
      <c r="P314" s="177" t="s">
        <v>30</v>
      </c>
      <c r="Q314" s="172">
        <v>24</v>
      </c>
      <c r="R314" s="173">
        <f t="shared" si="45"/>
        <v>1.0796221322537112E-2</v>
      </c>
      <c r="S314" s="264">
        <f t="shared" si="46"/>
        <v>1.2824136224479971E-2</v>
      </c>
    </row>
    <row r="315" spans="2:19">
      <c r="B315" s="170">
        <v>0</v>
      </c>
      <c r="C315" s="171">
        <f>VLOOKUP(B315,'RESUMEN RENDIMIENTOS'!$V$6:$W$158,2,FALSE)</f>
        <v>0</v>
      </c>
      <c r="D315" s="177"/>
      <c r="E315" s="172" t="str">
        <f>+IF(D315="","",VLOOKUP(D315,Tablas!$B$5:$E$40,4,FALSE))</f>
        <v/>
      </c>
      <c r="F315" s="173">
        <f t="shared" si="43"/>
        <v>0</v>
      </c>
      <c r="G315" s="174">
        <f>+F315/F322</f>
        <v>0</v>
      </c>
      <c r="H315" s="170">
        <v>0</v>
      </c>
      <c r="I315" s="171">
        <f>VLOOKUP(H315,'RESUMEN RENDIMIENTOS'!$V$6:$W$158,2,FALSE)</f>
        <v>0</v>
      </c>
      <c r="J315" s="177"/>
      <c r="K315" s="172" t="s">
        <v>337</v>
      </c>
      <c r="L315" s="173">
        <f t="shared" si="44"/>
        <v>0</v>
      </c>
      <c r="M315" s="174">
        <f>+L315/L322</f>
        <v>0</v>
      </c>
      <c r="N315" s="170" t="s">
        <v>210</v>
      </c>
      <c r="O315" s="171">
        <f>VLOOKUP(N315,'RESUMEN RENDIMIENTOS'!$V$6:$W$158,2,FALSE)</f>
        <v>80</v>
      </c>
      <c r="P315" s="177" t="s">
        <v>60</v>
      </c>
      <c r="Q315" s="172">
        <v>6</v>
      </c>
      <c r="R315" s="173">
        <f t="shared" si="45"/>
        <v>3.0364372469635626E-2</v>
      </c>
      <c r="S315" s="264">
        <f t="shared" si="46"/>
        <v>3.6067883131349919E-2</v>
      </c>
    </row>
    <row r="316" spans="2:19">
      <c r="B316" s="170">
        <v>0</v>
      </c>
      <c r="C316" s="171">
        <f>VLOOKUP(B316,'RESUMEN RENDIMIENTOS'!$V$6:$W$158,2,FALSE)</f>
        <v>0</v>
      </c>
      <c r="D316" s="177"/>
      <c r="E316" s="172" t="str">
        <f>+IF(D316="","",VLOOKUP(D316,Tablas!$B$5:$E$40,4,FALSE))</f>
        <v/>
      </c>
      <c r="F316" s="173">
        <f t="shared" si="43"/>
        <v>0</v>
      </c>
      <c r="G316" s="174">
        <f>+F316/F322</f>
        <v>0</v>
      </c>
      <c r="H316" s="170">
        <v>0</v>
      </c>
      <c r="I316" s="171">
        <f>VLOOKUP(H316,'RESUMEN RENDIMIENTOS'!$V$6:$W$158,2,FALSE)</f>
        <v>0</v>
      </c>
      <c r="J316" s="177"/>
      <c r="K316" s="172" t="s">
        <v>337</v>
      </c>
      <c r="L316" s="173">
        <f t="shared" si="44"/>
        <v>0</v>
      </c>
      <c r="M316" s="174">
        <f>+L316/L322</f>
        <v>0</v>
      </c>
      <c r="N316" s="170" t="s">
        <v>242</v>
      </c>
      <c r="O316" s="171">
        <f>VLOOKUP(N316,'RESUMEN RENDIMIENTOS'!$V$6:$W$158,2,FALSE)</f>
        <v>125</v>
      </c>
      <c r="P316" s="177" t="s">
        <v>60</v>
      </c>
      <c r="Q316" s="172">
        <v>6</v>
      </c>
      <c r="R316" s="173">
        <f t="shared" si="45"/>
        <v>1.9433198380566806E-2</v>
      </c>
      <c r="S316" s="264">
        <f t="shared" si="46"/>
        <v>2.3083445204063954E-2</v>
      </c>
    </row>
    <row r="317" spans="2:19">
      <c r="B317" s="170">
        <v>0</v>
      </c>
      <c r="C317" s="171">
        <f>VLOOKUP(B317,'RESUMEN RENDIMIENTOS'!$V$6:$W$158,2,FALSE)</f>
        <v>0</v>
      </c>
      <c r="D317" s="177"/>
      <c r="E317" s="172" t="str">
        <f>+IF(D317="","",VLOOKUP(D317,Tablas!$B$5:$E$40,4,FALSE))</f>
        <v/>
      </c>
      <c r="F317" s="173">
        <f t="shared" si="43"/>
        <v>0</v>
      </c>
      <c r="G317" s="174">
        <f>+F317/F322</f>
        <v>0</v>
      </c>
      <c r="H317" s="170">
        <v>0</v>
      </c>
      <c r="I317" s="171">
        <f>VLOOKUP(H317,'RESUMEN RENDIMIENTOS'!$V$6:$W$158,2,FALSE)</f>
        <v>0</v>
      </c>
      <c r="J317" s="177"/>
      <c r="K317" s="172" t="s">
        <v>337</v>
      </c>
      <c r="L317" s="173">
        <f t="shared" si="44"/>
        <v>0</v>
      </c>
      <c r="M317" s="174">
        <f>+L317/L322</f>
        <v>0</v>
      </c>
      <c r="N317" s="170" t="s">
        <v>240</v>
      </c>
      <c r="O317" s="171">
        <f>VLOOKUP(N317,'RESUMEN RENDIMIENTOS'!$V$6:$W$158,2,FALSE)</f>
        <v>1000</v>
      </c>
      <c r="P317" s="177" t="s">
        <v>60</v>
      </c>
      <c r="Q317" s="172">
        <v>6</v>
      </c>
      <c r="R317" s="173">
        <f t="shared" si="45"/>
        <v>2.4291497975708507E-3</v>
      </c>
      <c r="S317" s="264">
        <f t="shared" si="46"/>
        <v>2.8854306505079943E-3</v>
      </c>
    </row>
    <row r="318" spans="2:19">
      <c r="B318" s="170">
        <v>0</v>
      </c>
      <c r="C318" s="171">
        <f>VLOOKUP(B318,'RESUMEN RENDIMIENTOS'!$V$6:$W$158,2,FALSE)</f>
        <v>0</v>
      </c>
      <c r="D318" s="177"/>
      <c r="E318" s="172" t="str">
        <f>+IF(D318="","",VLOOKUP(D318,Tablas!$B$5:$E$40,4,FALSE))</f>
        <v/>
      </c>
      <c r="F318" s="173">
        <f t="shared" si="43"/>
        <v>0</v>
      </c>
      <c r="G318" s="174">
        <f>+F318/F322</f>
        <v>0</v>
      </c>
      <c r="H318" s="170">
        <v>0</v>
      </c>
      <c r="I318" s="171">
        <f>VLOOKUP(H318,'RESUMEN RENDIMIENTOS'!$V$6:$W$158,2,FALSE)</f>
        <v>0</v>
      </c>
      <c r="J318" s="177"/>
      <c r="K318" s="172" t="s">
        <v>337</v>
      </c>
      <c r="L318" s="173">
        <f t="shared" si="44"/>
        <v>0</v>
      </c>
      <c r="M318" s="174">
        <f>+L318/L322</f>
        <v>0</v>
      </c>
      <c r="N318" s="170" t="s">
        <v>234</v>
      </c>
      <c r="O318" s="171">
        <f>VLOOKUP(N318,'RESUMEN RENDIMIENTOS'!$V$6:$W$158,2,FALSE)</f>
        <v>805</v>
      </c>
      <c r="P318" s="177" t="s">
        <v>60</v>
      </c>
      <c r="Q318" s="172">
        <v>6</v>
      </c>
      <c r="R318" s="173">
        <f t="shared" si="45"/>
        <v>3.0175773882867704E-3</v>
      </c>
      <c r="S318" s="264">
        <f t="shared" si="46"/>
        <v>3.584385901252166E-3</v>
      </c>
    </row>
    <row r="319" spans="2:19">
      <c r="B319" s="170">
        <v>0</v>
      </c>
      <c r="C319" s="171">
        <f>VLOOKUP(B319,'RESUMEN RENDIMIENTOS'!$V$6:$W$158,2,FALSE)</f>
        <v>0</v>
      </c>
      <c r="D319" s="177"/>
      <c r="E319" s="172" t="str">
        <f>+IF(D319="","",VLOOKUP(D319,Tablas!$B$5:$E$40,4,FALSE))</f>
        <v/>
      </c>
      <c r="F319" s="173">
        <f t="shared" si="43"/>
        <v>0</v>
      </c>
      <c r="G319" s="174">
        <f>+F319/F322</f>
        <v>0</v>
      </c>
      <c r="H319" s="170">
        <v>0</v>
      </c>
      <c r="I319" s="171">
        <f>VLOOKUP(H319,'RESUMEN RENDIMIENTOS'!$V$6:$W$158,2,FALSE)</f>
        <v>0</v>
      </c>
      <c r="J319" s="177"/>
      <c r="K319" s="172" t="s">
        <v>337</v>
      </c>
      <c r="L319" s="173">
        <f t="shared" si="44"/>
        <v>0</v>
      </c>
      <c r="M319" s="174">
        <f>+L319/L322</f>
        <v>0</v>
      </c>
      <c r="N319" s="170" t="s">
        <v>237</v>
      </c>
      <c r="O319" s="171">
        <f>VLOOKUP(N319,'RESUMEN RENDIMIENTOS'!$V$6:$W$158,2,FALSE)</f>
        <v>250</v>
      </c>
      <c r="P319" s="177" t="s">
        <v>60</v>
      </c>
      <c r="Q319" s="172">
        <v>6</v>
      </c>
      <c r="R319" s="173">
        <f t="shared" si="45"/>
        <v>9.716599190283403E-3</v>
      </c>
      <c r="S319" s="264">
        <f t="shared" si="46"/>
        <v>1.1541722602031977E-2</v>
      </c>
    </row>
    <row r="320" spans="2:19">
      <c r="B320" s="170">
        <v>0</v>
      </c>
      <c r="C320" s="171">
        <f>VLOOKUP(B320,'RESUMEN RENDIMIENTOS'!$V$6:$W$158,2,FALSE)</f>
        <v>0</v>
      </c>
      <c r="D320" s="177"/>
      <c r="E320" s="172" t="str">
        <f>+IF(D320="","",VLOOKUP(D320,Tablas!$B$5:$E$40,4,FALSE))</f>
        <v/>
      </c>
      <c r="F320" s="173">
        <f t="shared" si="43"/>
        <v>0</v>
      </c>
      <c r="G320" s="174">
        <f>+F320/F322</f>
        <v>0</v>
      </c>
      <c r="H320" s="170">
        <v>0</v>
      </c>
      <c r="I320" s="171">
        <f>VLOOKUP(H320,'RESUMEN RENDIMIENTOS'!$V$6:$W$158,2,FALSE)</f>
        <v>0</v>
      </c>
      <c r="J320" s="177"/>
      <c r="K320" s="172" t="s">
        <v>337</v>
      </c>
      <c r="L320" s="173">
        <f t="shared" si="44"/>
        <v>0</v>
      </c>
      <c r="M320" s="174">
        <f>+L320/L322</f>
        <v>0</v>
      </c>
      <c r="N320" s="170">
        <v>0</v>
      </c>
      <c r="O320" s="171">
        <f>VLOOKUP(N320,'RESUMEN RENDIMIENTOS'!$V$6:$W$158,2,FALSE)</f>
        <v>0</v>
      </c>
      <c r="P320" s="177"/>
      <c r="Q320" s="172" t="s">
        <v>337</v>
      </c>
      <c r="R320" s="173">
        <f t="shared" si="45"/>
        <v>0</v>
      </c>
      <c r="S320" s="264">
        <f t="shared" si="46"/>
        <v>0</v>
      </c>
    </row>
    <row r="321" spans="2:19" ht="17" thickBot="1">
      <c r="B321" s="170">
        <v>0</v>
      </c>
      <c r="C321" s="171">
        <f>VLOOKUP(B321,'RESUMEN RENDIMIENTOS'!$V$6:$W$158,2,FALSE)</f>
        <v>0</v>
      </c>
      <c r="D321" s="177"/>
      <c r="E321" s="172" t="str">
        <f>+IF(D321="","",VLOOKUP(D321,Tablas!$B$5:$E$40,4,FALSE))</f>
        <v/>
      </c>
      <c r="F321" s="173">
        <f t="shared" si="43"/>
        <v>0</v>
      </c>
      <c r="G321" s="174">
        <f>+F321/F322</f>
        <v>0</v>
      </c>
      <c r="H321" s="170">
        <v>0</v>
      </c>
      <c r="I321" s="171">
        <f>VLOOKUP(H321,'RESUMEN RENDIMIENTOS'!$V$6:$W$158,2,FALSE)</f>
        <v>0</v>
      </c>
      <c r="J321" s="177"/>
      <c r="K321" s="172" t="s">
        <v>337</v>
      </c>
      <c r="L321" s="173">
        <f t="shared" si="44"/>
        <v>0</v>
      </c>
      <c r="M321" s="174">
        <f>+L321/L322</f>
        <v>0</v>
      </c>
      <c r="N321" s="170">
        <v>0</v>
      </c>
      <c r="O321" s="171">
        <f>VLOOKUP(N321,'RESUMEN RENDIMIENTOS'!$V$6:$W$158,2,FALSE)</f>
        <v>0</v>
      </c>
      <c r="P321" s="177"/>
      <c r="Q321" s="172" t="s">
        <v>337</v>
      </c>
      <c r="R321" s="173">
        <f t="shared" si="45"/>
        <v>0</v>
      </c>
      <c r="S321" s="265">
        <f t="shared" si="46"/>
        <v>0</v>
      </c>
    </row>
    <row r="322" spans="2:19" ht="36.75" customHeight="1" thickBot="1">
      <c r="B322" s="178"/>
      <c r="E322" s="90"/>
      <c r="F322" s="173">
        <f>SUM(F306:F321)</f>
        <v>0.1111111111111111</v>
      </c>
      <c r="G322" s="181">
        <f>+F322/F322</f>
        <v>1</v>
      </c>
      <c r="H322" s="178"/>
      <c r="I322" s="179"/>
      <c r="J322" s="182" t="s">
        <v>24</v>
      </c>
      <c r="K322" s="90"/>
      <c r="L322" s="173">
        <f>SUM(L306:L321)</f>
        <v>0.53659321380374025</v>
      </c>
      <c r="M322" s="181">
        <f>+L322/L322</f>
        <v>1</v>
      </c>
      <c r="N322" s="179"/>
      <c r="O322" s="179"/>
      <c r="Q322" s="90"/>
      <c r="R322" s="175">
        <f>SUM(R306:R321)</f>
        <v>0.84186732997488156</v>
      </c>
      <c r="S322" s="266">
        <f>+R322/$R$322</f>
        <v>1</v>
      </c>
    </row>
    <row r="323" spans="2:19" ht="18" customHeight="1">
      <c r="B323" s="427" t="s">
        <v>317</v>
      </c>
      <c r="C323" s="428"/>
      <c r="D323" s="429"/>
      <c r="E323" s="185">
        <v>0.12</v>
      </c>
      <c r="F323" s="173">
        <f>+F322*E323</f>
        <v>1.3333333333333332E-2</v>
      </c>
      <c r="H323" s="427" t="s">
        <v>317</v>
      </c>
      <c r="I323" s="428"/>
      <c r="J323" s="429"/>
      <c r="K323" s="185">
        <v>0.12</v>
      </c>
      <c r="L323" s="173">
        <f>+L322*K323</f>
        <v>6.4391185656448829E-2</v>
      </c>
      <c r="N323" s="427" t="s">
        <v>317</v>
      </c>
      <c r="O323" s="428"/>
      <c r="P323" s="429"/>
      <c r="Q323" s="185">
        <v>0.12</v>
      </c>
      <c r="R323" s="175">
        <f>+R322*Q323</f>
        <v>0.10102407959698578</v>
      </c>
    </row>
    <row r="324" spans="2:19" ht="18" customHeight="1">
      <c r="B324" s="178"/>
      <c r="F324" s="173">
        <f>+F323+F322</f>
        <v>0.12444444444444444</v>
      </c>
      <c r="G324" s="187">
        <f>+F324/24</f>
        <v>5.185185185185185E-3</v>
      </c>
      <c r="H324" s="178"/>
      <c r="I324" s="179"/>
      <c r="K324" s="88"/>
      <c r="L324" s="173">
        <f>+L323+L322</f>
        <v>0.60098439946018911</v>
      </c>
      <c r="M324" s="187">
        <f>+L324/24</f>
        <v>2.5041016644174546E-2</v>
      </c>
      <c r="N324" s="178"/>
      <c r="O324" s="179"/>
      <c r="R324" s="175">
        <f>+R323+R322</f>
        <v>0.94289140957186734</v>
      </c>
      <c r="S324" s="187">
        <f>+R324/24</f>
        <v>3.9287142065494475E-2</v>
      </c>
    </row>
    <row r="325" spans="2:19">
      <c r="B325" s="178"/>
      <c r="D325" s="188"/>
      <c r="F325" s="173"/>
      <c r="H325" s="178"/>
      <c r="I325" s="179"/>
      <c r="J325" s="188"/>
      <c r="K325" s="88"/>
      <c r="L325" s="173"/>
      <c r="N325" s="178"/>
      <c r="O325" s="179"/>
      <c r="P325" s="188"/>
      <c r="R325" s="175"/>
    </row>
    <row r="326" spans="2:19" ht="21">
      <c r="B326" s="191" t="s">
        <v>318</v>
      </c>
      <c r="C326" s="192"/>
      <c r="D326" s="192"/>
      <c r="E326" s="444">
        <f>IF(F324=0,0,(100/F324))</f>
        <v>803.57142857142856</v>
      </c>
      <c r="F326" s="445"/>
      <c r="H326" s="191" t="s">
        <v>318</v>
      </c>
      <c r="I326" s="192"/>
      <c r="J326" s="192"/>
      <c r="K326" s="444">
        <f>IF(L324=0,0,(100/L324))</f>
        <v>166.39367026801546</v>
      </c>
      <c r="L326" s="445"/>
      <c r="N326" s="191" t="s">
        <v>318</v>
      </c>
      <c r="O326" s="192"/>
      <c r="P326" s="192"/>
      <c r="Q326" s="444">
        <f>IF(R324=0,0,(100/R324))</f>
        <v>106.05675158861227</v>
      </c>
      <c r="R326" s="445"/>
    </row>
    <row r="327" spans="2:19">
      <c r="B327" s="178"/>
      <c r="F327" s="189"/>
      <c r="H327" s="178"/>
      <c r="I327" s="179"/>
      <c r="K327" s="88"/>
      <c r="L327" s="189"/>
      <c r="N327" s="178"/>
      <c r="O327" s="179"/>
      <c r="R327" s="189"/>
    </row>
    <row r="328" spans="2:19" ht="21">
      <c r="B328" s="446" t="s">
        <v>319</v>
      </c>
      <c r="C328" s="447"/>
      <c r="D328" s="447"/>
      <c r="E328" s="447"/>
      <c r="F328" s="448"/>
      <c r="H328" s="446" t="s">
        <v>319</v>
      </c>
      <c r="I328" s="447"/>
      <c r="J328" s="447"/>
      <c r="K328" s="447"/>
      <c r="L328" s="448"/>
      <c r="N328" s="446" t="s">
        <v>319</v>
      </c>
      <c r="O328" s="447"/>
      <c r="P328" s="447"/>
      <c r="Q328" s="447"/>
      <c r="R328" s="448"/>
    </row>
    <row r="329" spans="2:19" ht="18" customHeight="1">
      <c r="B329" s="194" t="s">
        <v>320</v>
      </c>
      <c r="C329" s="195"/>
      <c r="D329" s="435" t="s">
        <v>321</v>
      </c>
      <c r="E329" s="435"/>
      <c r="F329" s="196" t="s">
        <v>322</v>
      </c>
      <c r="H329" s="194" t="s">
        <v>320</v>
      </c>
      <c r="I329" s="195"/>
      <c r="J329" s="435" t="s">
        <v>321</v>
      </c>
      <c r="K329" s="435"/>
      <c r="L329" s="196" t="s">
        <v>322</v>
      </c>
      <c r="N329" s="194" t="s">
        <v>320</v>
      </c>
      <c r="O329" s="195"/>
      <c r="P329" s="435" t="s">
        <v>321</v>
      </c>
      <c r="Q329" s="435"/>
      <c r="R329" s="196" t="s">
        <v>322</v>
      </c>
    </row>
    <row r="330" spans="2:19">
      <c r="B330" s="197" t="s">
        <v>278</v>
      </c>
      <c r="C330" s="201">
        <v>1</v>
      </c>
      <c r="E330" s="199">
        <f>IF(C330=0,0,(VLOOKUP(B330,'RESUMEN RENDIMIENTOS'!$AB$6:$AO$64,13,FALSE)))*C330</f>
        <v>0.75</v>
      </c>
      <c r="F330" s="200">
        <f>IF(C330=0,0,(VLOOKUP(B330,'RESUMEN RENDIMIENTOS'!$AB$6:$AO$64,14,FALSE)))*C330</f>
        <v>1.0285714285714287E-2</v>
      </c>
      <c r="H330" s="197" t="s">
        <v>278</v>
      </c>
      <c r="I330" s="201">
        <v>1</v>
      </c>
      <c r="K330" s="199">
        <f>IF(I330=0,0,(VLOOKUP(H330,'RESUMEN RENDIMIENTOS'!$AB$6:$AO$64,13,FALSE)))*I330</f>
        <v>0.75</v>
      </c>
      <c r="L330" s="200">
        <f>IF(I330=0,0,(VLOOKUP(H330,'RESUMEN RENDIMIENTOS'!$AB$6:$AO$64,14,FALSE)))*I330</f>
        <v>1.0285714285714287E-2</v>
      </c>
      <c r="N330" s="197" t="s">
        <v>278</v>
      </c>
      <c r="O330" s="201">
        <v>1</v>
      </c>
      <c r="Q330" s="199">
        <f>IF(O330=0,0,(VLOOKUP(N330,'RESUMEN RENDIMIENTOS'!$AB$6:$AO$64,13,FALSE)))*O330</f>
        <v>0.75</v>
      </c>
      <c r="R330" s="200">
        <f>IF(O330=0,0,(VLOOKUP(N330,'RESUMEN RENDIMIENTOS'!$AB$6:$AO$64,14,FALSE)))*O330</f>
        <v>1.0285714285714287E-2</v>
      </c>
    </row>
    <row r="331" spans="2:19">
      <c r="B331" s="197" t="s">
        <v>279</v>
      </c>
      <c r="C331" s="201">
        <v>1</v>
      </c>
      <c r="E331" s="199">
        <f>IF(C331=0,0,(VLOOKUP(B331,'RESUMEN RENDIMIENTOS'!$AB$6:$AO$64,13,FALSE)))*C331</f>
        <v>2</v>
      </c>
      <c r="F331" s="200">
        <f>IF(C331=0,0,(VLOOKUP(B331,'RESUMEN RENDIMIENTOS'!$AB$6:$AO$64,14,FALSE)))*C331</f>
        <v>9.5999999999999988E-2</v>
      </c>
      <c r="H331" s="197" t="s">
        <v>279</v>
      </c>
      <c r="I331" s="201">
        <v>1</v>
      </c>
      <c r="K331" s="199">
        <f>IF(I331=0,0,(VLOOKUP(H331,'RESUMEN RENDIMIENTOS'!$AB$6:$AO$64,13,FALSE)))*I331</f>
        <v>2</v>
      </c>
      <c r="L331" s="200">
        <f>IF(I331=0,0,(VLOOKUP(H331,'RESUMEN RENDIMIENTOS'!$AB$6:$AO$64,14,FALSE)))*I331</f>
        <v>9.5999999999999988E-2</v>
      </c>
      <c r="N331" s="197" t="s">
        <v>279</v>
      </c>
      <c r="O331" s="201">
        <v>1</v>
      </c>
      <c r="Q331" s="199">
        <f>IF(O331=0,0,(VLOOKUP(N331,'RESUMEN RENDIMIENTOS'!$AB$6:$AO$64,13,FALSE)))*O331</f>
        <v>2</v>
      </c>
      <c r="R331" s="200">
        <f>IF(O331=0,0,(VLOOKUP(N331,'RESUMEN RENDIMIENTOS'!$AB$6:$AO$64,14,FALSE)))*O331</f>
        <v>9.5999999999999988E-2</v>
      </c>
    </row>
    <row r="332" spans="2:19">
      <c r="B332" s="197" t="s">
        <v>284</v>
      </c>
      <c r="C332" s="201">
        <v>0.25</v>
      </c>
      <c r="E332" s="199">
        <f>IF(C332=0,0,(VLOOKUP(B332,'RESUMEN RENDIMIENTOS'!$AB$6:$AO$64,13,FALSE)))*C332</f>
        <v>0.52500000000000002</v>
      </c>
      <c r="F332" s="200">
        <f>IF(C332=0,0,(VLOOKUP(B332,'RESUMEN RENDIMIENTOS'!$AB$6:$AO$64,14,FALSE)))*C332</f>
        <v>4.2000000000000003E-2</v>
      </c>
      <c r="H332" s="197" t="s">
        <v>284</v>
      </c>
      <c r="I332" s="201">
        <v>0.25</v>
      </c>
      <c r="K332" s="199">
        <f>IF(I332=0,0,(VLOOKUP(H332,'RESUMEN RENDIMIENTOS'!$AB$6:$AO$64,13,FALSE)))*I332</f>
        <v>0.52500000000000002</v>
      </c>
      <c r="L332" s="200">
        <f>IF(I332=0,0,(VLOOKUP(H332,'RESUMEN RENDIMIENTOS'!$AB$6:$AO$64,14,FALSE)))*I332</f>
        <v>4.2000000000000003E-2</v>
      </c>
      <c r="N332" s="197" t="s">
        <v>284</v>
      </c>
      <c r="O332" s="201">
        <v>0.25</v>
      </c>
      <c r="Q332" s="199">
        <f>IF(O332=0,0,(VLOOKUP(N332,'RESUMEN RENDIMIENTOS'!$AB$6:$AO$64,13,FALSE)))*O332</f>
        <v>0.52500000000000002</v>
      </c>
      <c r="R332" s="200">
        <f>IF(O332=0,0,(VLOOKUP(N332,'RESUMEN RENDIMIENTOS'!$AB$6:$AO$64,14,FALSE)))*O332</f>
        <v>4.2000000000000003E-2</v>
      </c>
    </row>
    <row r="333" spans="2:19">
      <c r="B333" s="197" t="s">
        <v>283</v>
      </c>
      <c r="C333" s="201">
        <v>1</v>
      </c>
      <c r="E333" s="199">
        <f>IF(C333=0,0,(VLOOKUP(B333,'RESUMEN RENDIMIENTOS'!$AB$6:$AO$64,13,FALSE)))*C333</f>
        <v>1.59</v>
      </c>
      <c r="F333" s="200">
        <f>IF(C333=0,0,(VLOOKUP(B333,'RESUMEN RENDIMIENTOS'!$AB$6:$AO$64,14,FALSE)))*C333</f>
        <v>0.12720000000000001</v>
      </c>
      <c r="H333" s="197" t="s">
        <v>283</v>
      </c>
      <c r="I333" s="201">
        <v>1</v>
      </c>
      <c r="K333" s="199">
        <f>IF(I333=0,0,(VLOOKUP(H333,'RESUMEN RENDIMIENTOS'!$AB$6:$AO$64,13,FALSE)))*I333</f>
        <v>1.59</v>
      </c>
      <c r="L333" s="200">
        <f>IF(I333=0,0,(VLOOKUP(H333,'RESUMEN RENDIMIENTOS'!$AB$6:$AO$64,14,FALSE)))*I333</f>
        <v>0.12720000000000001</v>
      </c>
      <c r="N333" s="197" t="s">
        <v>283</v>
      </c>
      <c r="O333" s="201">
        <v>1</v>
      </c>
      <c r="Q333" s="199">
        <f>IF(O333=0,0,(VLOOKUP(N333,'RESUMEN RENDIMIENTOS'!$AB$6:$AO$64,13,FALSE)))*O333</f>
        <v>1.59</v>
      </c>
      <c r="R333" s="200">
        <f>IF(O333=0,0,(VLOOKUP(N333,'RESUMEN RENDIMIENTOS'!$AB$6:$AO$64,14,FALSE)))*O333</f>
        <v>0.12720000000000001</v>
      </c>
    </row>
    <row r="334" spans="2:19">
      <c r="B334" s="197" t="s">
        <v>282</v>
      </c>
      <c r="C334" s="201">
        <v>1</v>
      </c>
      <c r="E334" s="199">
        <f>IF(C334=0,0,(VLOOKUP(B334,'RESUMEN RENDIMIENTOS'!$AB$6:$AO$64,13,FALSE)))*C334</f>
        <v>2.62</v>
      </c>
      <c r="F334" s="200">
        <f>IF(C334=0,0,(VLOOKUP(B334,'RESUMEN RENDIMIENTOS'!$AB$6:$AO$64,14,FALSE)))*C334</f>
        <v>6.986666666666666E-2</v>
      </c>
      <c r="H334" s="197" t="s">
        <v>282</v>
      </c>
      <c r="I334" s="201">
        <v>1</v>
      </c>
      <c r="K334" s="199">
        <f>IF(I334=0,0,(VLOOKUP(H334,'RESUMEN RENDIMIENTOS'!$AB$6:$AO$64,13,FALSE)))*I334</f>
        <v>2.62</v>
      </c>
      <c r="L334" s="200">
        <f>IF(I334=0,0,(VLOOKUP(H334,'RESUMEN RENDIMIENTOS'!$AB$6:$AO$64,14,FALSE)))*I334</f>
        <v>6.986666666666666E-2</v>
      </c>
      <c r="N334" s="197" t="s">
        <v>282</v>
      </c>
      <c r="O334" s="201">
        <v>1</v>
      </c>
      <c r="Q334" s="199">
        <f>IF(O334=0,0,(VLOOKUP(N334,'RESUMEN RENDIMIENTOS'!$AB$6:$AO$64,13,FALSE)))*O334</f>
        <v>2.62</v>
      </c>
      <c r="R334" s="200">
        <f>IF(O334=0,0,(VLOOKUP(N334,'RESUMEN RENDIMIENTOS'!$AB$6:$AO$64,14,FALSE)))*O334</f>
        <v>6.986666666666666E-2</v>
      </c>
    </row>
    <row r="335" spans="2:19">
      <c r="B335" s="197" t="s">
        <v>302</v>
      </c>
      <c r="C335" s="201">
        <v>1</v>
      </c>
      <c r="E335" s="199">
        <f>IF(C335=0,0,(VLOOKUP(B335,'RESUMEN RENDIMIENTOS'!$AB$6:$AO$64,13,FALSE)))*C335</f>
        <v>1</v>
      </c>
      <c r="F335" s="200">
        <f>IF(C335=0,0,(VLOOKUP(B335,'RESUMEN RENDIMIENTOS'!$AB$6:$AO$64,14,FALSE)))*C335</f>
        <v>0.2</v>
      </c>
      <c r="H335" s="197" t="s">
        <v>302</v>
      </c>
      <c r="I335" s="201">
        <v>1</v>
      </c>
      <c r="K335" s="199">
        <f>IF(I335=0,0,(VLOOKUP(H335,'RESUMEN RENDIMIENTOS'!$AB$6:$AO$64,13,FALSE)))*I335</f>
        <v>1</v>
      </c>
      <c r="L335" s="200">
        <f>IF(I335=0,0,(VLOOKUP(H335,'RESUMEN RENDIMIENTOS'!$AB$6:$AO$64,14,FALSE)))*I335</f>
        <v>0.2</v>
      </c>
      <c r="N335" s="197" t="s">
        <v>302</v>
      </c>
      <c r="O335" s="201">
        <v>1</v>
      </c>
      <c r="Q335" s="199">
        <f>IF(O335=0,0,(VLOOKUP(N335,'RESUMEN RENDIMIENTOS'!$AB$6:$AO$64,13,FALSE)))*O335</f>
        <v>1</v>
      </c>
      <c r="R335" s="200">
        <f>IF(O335=0,0,(VLOOKUP(N335,'RESUMEN RENDIMIENTOS'!$AB$6:$AO$64,14,FALSE)))*O335</f>
        <v>0.2</v>
      </c>
    </row>
    <row r="336" spans="2:19">
      <c r="B336" s="202"/>
      <c r="F336" s="206">
        <f>SUM(F330:F335)</f>
        <v>0.54535238095238103</v>
      </c>
      <c r="G336" s="205">
        <f>+F336</f>
        <v>0.54535238095238103</v>
      </c>
      <c r="H336" s="202"/>
      <c r="I336" s="179"/>
      <c r="K336" s="88"/>
      <c r="L336" s="206">
        <f>SUM(L330:L335)</f>
        <v>0.54535238095238103</v>
      </c>
      <c r="M336" s="205">
        <f>+L336</f>
        <v>0.54535238095238103</v>
      </c>
      <c r="N336" s="202"/>
      <c r="O336" s="179"/>
      <c r="R336" s="206">
        <f>SUM(R330:R335)</f>
        <v>0.54535238095238103</v>
      </c>
      <c r="S336" s="205">
        <f>+R336</f>
        <v>0.54535238095238103</v>
      </c>
    </row>
    <row r="337" spans="2:19">
      <c r="B337" s="436" t="s">
        <v>324</v>
      </c>
      <c r="C337" s="437"/>
      <c r="D337" s="437"/>
      <c r="E337" s="437"/>
      <c r="F337" s="455"/>
      <c r="G337" s="205"/>
      <c r="H337" s="436" t="s">
        <v>324</v>
      </c>
      <c r="I337" s="437"/>
      <c r="J337" s="437"/>
      <c r="K337" s="437"/>
      <c r="L337" s="455"/>
      <c r="M337" s="205"/>
      <c r="N337" s="436" t="s">
        <v>324</v>
      </c>
      <c r="O337" s="437"/>
      <c r="P337" s="437"/>
      <c r="Q337" s="437"/>
      <c r="R337" s="455"/>
      <c r="S337" s="205"/>
    </row>
    <row r="338" spans="2:19">
      <c r="B338" s="210" t="s">
        <v>325</v>
      </c>
      <c r="C338" s="211">
        <v>1</v>
      </c>
      <c r="D338" s="212">
        <v>21.712335174960327</v>
      </c>
      <c r="E338" s="213">
        <f>F324</f>
        <v>0.12444444444444444</v>
      </c>
      <c r="F338" s="214">
        <f>+IF(C338&gt;="",0,(D338*E338))</f>
        <v>2.7019794884395072</v>
      </c>
      <c r="G338" s="215"/>
      <c r="H338" s="210" t="s">
        <v>325</v>
      </c>
      <c r="I338" s="211">
        <v>1</v>
      </c>
      <c r="J338" s="212">
        <v>21.712335174960327</v>
      </c>
      <c r="K338" s="213">
        <f>L324</f>
        <v>0.60098439946018911</v>
      </c>
      <c r="L338" s="216">
        <f>+IF(I338&gt;="",0,(J338*K338))</f>
        <v>13.048774716001873</v>
      </c>
      <c r="M338" s="215"/>
      <c r="N338" s="210" t="s">
        <v>325</v>
      </c>
      <c r="O338" s="211">
        <v>1</v>
      </c>
      <c r="P338" s="212">
        <v>21.712335174960327</v>
      </c>
      <c r="Q338" s="213">
        <f>R324</f>
        <v>0.94289140957186734</v>
      </c>
      <c r="R338" s="214">
        <f>+IF(O338&gt;="",0,(P338*Q338))</f>
        <v>20.472374318215181</v>
      </c>
      <c r="S338" s="215"/>
    </row>
    <row r="339" spans="2:19">
      <c r="B339" s="210" t="s">
        <v>326</v>
      </c>
      <c r="C339" s="211"/>
      <c r="D339" s="212">
        <f>+D338*25%</f>
        <v>5.4280837937400817</v>
      </c>
      <c r="E339" s="213">
        <f>F324</f>
        <v>0.12444444444444444</v>
      </c>
      <c r="F339" s="214">
        <f>+IF(C339= "",0,(D339*E339))</f>
        <v>0</v>
      </c>
      <c r="G339" s="215"/>
      <c r="H339" s="210" t="s">
        <v>326</v>
      </c>
      <c r="I339" s="211"/>
      <c r="J339" s="212">
        <f>+J338*25%</f>
        <v>5.4280837937400817</v>
      </c>
      <c r="K339" s="213">
        <f>L324</f>
        <v>0.60098439946018911</v>
      </c>
      <c r="L339" s="216">
        <f>+IF(I339= "",0,(J339*K339))</f>
        <v>0</v>
      </c>
      <c r="M339" s="215"/>
      <c r="N339" s="210" t="s">
        <v>326</v>
      </c>
      <c r="O339" s="211"/>
      <c r="P339" s="212">
        <f>+P338*25%</f>
        <v>5.4280837937400817</v>
      </c>
      <c r="Q339" s="213">
        <f>R324</f>
        <v>0.94289140957186734</v>
      </c>
      <c r="R339" s="214">
        <f>+IF(O339= "",0,(P339*Q339))</f>
        <v>0</v>
      </c>
      <c r="S339" s="215"/>
    </row>
    <row r="340" spans="2:19">
      <c r="B340" s="210" t="s">
        <v>327</v>
      </c>
      <c r="C340" s="211"/>
      <c r="D340" s="212">
        <f>+D338*50%</f>
        <v>10.856167587480163</v>
      </c>
      <c r="E340" s="213">
        <f>F324</f>
        <v>0.12444444444444444</v>
      </c>
      <c r="F340" s="214">
        <f>+IF(C340= "",0,(D340*E340))</f>
        <v>0</v>
      </c>
      <c r="G340" s="215"/>
      <c r="H340" s="210" t="s">
        <v>327</v>
      </c>
      <c r="I340" s="211"/>
      <c r="J340" s="212">
        <f>+J338*50%</f>
        <v>10.856167587480163</v>
      </c>
      <c r="K340" s="213">
        <f>L324</f>
        <v>0.60098439946018911</v>
      </c>
      <c r="L340" s="216">
        <f>+IF(I340= "",0,(J340*K340))</f>
        <v>0</v>
      </c>
      <c r="M340" s="215"/>
      <c r="N340" s="210" t="s">
        <v>327</v>
      </c>
      <c r="O340" s="211"/>
      <c r="P340" s="212">
        <f>+P338*50%</f>
        <v>10.856167587480163</v>
      </c>
      <c r="Q340" s="213">
        <f>R324</f>
        <v>0.94289140957186734</v>
      </c>
      <c r="R340" s="214">
        <f>+IF(O340= "",0,(P340*Q340))</f>
        <v>0</v>
      </c>
      <c r="S340" s="215"/>
    </row>
    <row r="341" spans="2:19">
      <c r="B341" s="202"/>
      <c r="F341" s="217">
        <f>SUM(F338:F340)</f>
        <v>2.7019794884395072</v>
      </c>
      <c r="G341" s="218"/>
      <c r="H341" s="202"/>
      <c r="I341" s="179"/>
      <c r="K341" s="88"/>
      <c r="L341" s="219">
        <f>SUM(L338:L340)</f>
        <v>13.048774716001873</v>
      </c>
      <c r="M341" s="218"/>
      <c r="N341" s="202"/>
      <c r="O341" s="179"/>
      <c r="R341" s="217">
        <f>SUM(R338:R340)</f>
        <v>20.472374318215181</v>
      </c>
      <c r="S341" s="218"/>
    </row>
    <row r="342" spans="2:19">
      <c r="B342" s="202"/>
      <c r="F342" s="189"/>
      <c r="G342" s="220"/>
      <c r="H342" s="202"/>
      <c r="I342" s="179"/>
      <c r="K342" s="88"/>
      <c r="M342" s="220"/>
      <c r="N342" s="202"/>
      <c r="O342" s="179"/>
      <c r="R342" s="189"/>
      <c r="S342" s="220"/>
    </row>
    <row r="343" spans="2:19" ht="21">
      <c r="B343" s="438" t="s">
        <v>328</v>
      </c>
      <c r="C343" s="439"/>
      <c r="D343" s="439"/>
      <c r="E343" s="440"/>
      <c r="F343" s="225">
        <f>+F336+F341</f>
        <v>3.2473318693918882</v>
      </c>
      <c r="G343" s="205">
        <f>+F343</f>
        <v>3.2473318693918882</v>
      </c>
      <c r="H343" s="438" t="s">
        <v>328</v>
      </c>
      <c r="I343" s="439"/>
      <c r="J343" s="439"/>
      <c r="K343" s="440"/>
      <c r="L343" s="225">
        <f>+L336+L341</f>
        <v>13.594127096954253</v>
      </c>
      <c r="M343" s="205">
        <f>+L343</f>
        <v>13.594127096954253</v>
      </c>
      <c r="N343" s="438" t="s">
        <v>328</v>
      </c>
      <c r="O343" s="439"/>
      <c r="P343" s="439"/>
      <c r="Q343" s="440"/>
      <c r="R343" s="225">
        <f>+R336+R341</f>
        <v>21.017726699167561</v>
      </c>
      <c r="S343" s="205">
        <f>+R343</f>
        <v>21.017726699167561</v>
      </c>
    </row>
    <row r="344" spans="2:19">
      <c r="B344" s="202"/>
      <c r="F344" s="189"/>
      <c r="G344" s="205"/>
      <c r="H344" s="202"/>
      <c r="I344" s="179"/>
      <c r="K344" s="88"/>
      <c r="L344" s="189"/>
      <c r="M344" s="205"/>
      <c r="N344" s="202"/>
      <c r="O344" s="179"/>
      <c r="R344" s="189"/>
      <c r="S344" s="205"/>
    </row>
    <row r="345" spans="2:19" ht="19">
      <c r="B345" s="441" t="s">
        <v>329</v>
      </c>
      <c r="C345" s="442"/>
      <c r="D345" s="442"/>
      <c r="E345" s="443"/>
      <c r="F345" s="230">
        <f>+F343/$C$37</f>
        <v>3.2473318693918882E-2</v>
      </c>
      <c r="G345" s="205"/>
      <c r="H345" s="441" t="s">
        <v>329</v>
      </c>
      <c r="I345" s="442"/>
      <c r="J345" s="442"/>
      <c r="K345" s="443"/>
      <c r="L345" s="230">
        <f>+L343/$C$37</f>
        <v>0.13594127096954253</v>
      </c>
      <c r="M345" s="205"/>
      <c r="N345" s="441" t="s">
        <v>329</v>
      </c>
      <c r="O345" s="442"/>
      <c r="P345" s="442"/>
      <c r="Q345" s="443"/>
      <c r="R345" s="230">
        <f>+R343/$C$37</f>
        <v>0.2101772669916756</v>
      </c>
      <c r="S345" s="205"/>
    </row>
    <row r="346" spans="2:19" ht="17" thickBot="1">
      <c r="B346" s="231"/>
      <c r="C346" s="232"/>
      <c r="D346" s="233"/>
      <c r="E346" s="233"/>
      <c r="F346" s="234"/>
      <c r="G346" s="205"/>
      <c r="H346" s="231"/>
      <c r="I346" s="232"/>
      <c r="J346" s="233"/>
      <c r="K346" s="233"/>
      <c r="L346" s="234"/>
      <c r="M346" s="205"/>
      <c r="N346" s="231"/>
      <c r="O346" s="232"/>
      <c r="P346" s="233"/>
      <c r="Q346" s="233"/>
      <c r="R346" s="234"/>
      <c r="S346" s="205"/>
    </row>
    <row r="347" spans="2:19" ht="23.25" customHeight="1" thickBot="1">
      <c r="B347" s="415" t="s">
        <v>312</v>
      </c>
      <c r="C347" s="416"/>
      <c r="D347" s="416"/>
      <c r="E347" s="416"/>
      <c r="F347" s="416"/>
      <c r="G347" s="416"/>
      <c r="H347" s="416"/>
      <c r="I347" s="416"/>
      <c r="J347" s="416"/>
      <c r="K347" s="416"/>
      <c r="L347" s="416"/>
      <c r="M347" s="416"/>
      <c r="N347" s="416"/>
      <c r="O347" s="416"/>
      <c r="P347" s="416"/>
      <c r="Q347" s="416"/>
      <c r="R347" s="417"/>
    </row>
    <row r="348" spans="2:19" ht="25">
      <c r="B348" s="239" t="s">
        <v>16</v>
      </c>
      <c r="C348" s="452" t="s">
        <v>116</v>
      </c>
      <c r="D348" s="453"/>
      <c r="E348" s="454"/>
      <c r="F348" s="240"/>
      <c r="G348" s="254"/>
      <c r="H348" s="237" t="s">
        <v>16</v>
      </c>
      <c r="I348" s="452" t="s">
        <v>74</v>
      </c>
      <c r="J348" s="453"/>
      <c r="K348" s="454"/>
      <c r="L348" s="238"/>
      <c r="M348" s="254"/>
      <c r="N348" s="239" t="s">
        <v>16</v>
      </c>
      <c r="O348" s="452" t="s">
        <v>92</v>
      </c>
      <c r="P348" s="453"/>
      <c r="Q348" s="454"/>
      <c r="R348" s="240"/>
    </row>
    <row r="349" spans="2:19" ht="33" thickBot="1">
      <c r="B349" s="241" t="s">
        <v>313</v>
      </c>
      <c r="C349" s="242" t="s">
        <v>6</v>
      </c>
      <c r="D349" s="267" t="s">
        <v>25</v>
      </c>
      <c r="E349" s="268" t="s">
        <v>314</v>
      </c>
      <c r="F349" s="245" t="s">
        <v>315</v>
      </c>
      <c r="H349" s="241" t="s">
        <v>313</v>
      </c>
      <c r="I349" s="242" t="s">
        <v>6</v>
      </c>
      <c r="J349" s="243" t="s">
        <v>25</v>
      </c>
      <c r="K349" s="244" t="s">
        <v>314</v>
      </c>
      <c r="L349" s="246" t="s">
        <v>315</v>
      </c>
      <c r="N349" s="241" t="s">
        <v>313</v>
      </c>
      <c r="O349" s="242" t="s">
        <v>6</v>
      </c>
      <c r="P349" s="243" t="s">
        <v>25</v>
      </c>
      <c r="Q349" s="244" t="s">
        <v>314</v>
      </c>
      <c r="R349" s="245" t="s">
        <v>315</v>
      </c>
    </row>
    <row r="350" spans="2:19">
      <c r="B350" s="170" t="s">
        <v>181</v>
      </c>
      <c r="C350" s="171">
        <f>VLOOKUP(B350,'RESUMEN RENDIMIENTOS'!$V$6:$W$158,2,FALSE)</f>
        <v>900</v>
      </c>
      <c r="D350" s="269" t="s">
        <v>20</v>
      </c>
      <c r="E350" s="270">
        <v>247</v>
      </c>
      <c r="F350" s="173">
        <f t="shared" ref="F350:F365" si="47">IF(C350=0,0,(100/C350)*E350/$E$37)</f>
        <v>0.1111111111111111</v>
      </c>
      <c r="G350" s="164">
        <f>+F350/F366</f>
        <v>0.16776688689183653</v>
      </c>
      <c r="H350" s="170" t="s">
        <v>182</v>
      </c>
      <c r="I350" s="171">
        <f>VLOOKUP(H350,'RESUMEN RENDIMIENTOS'!$V$6:$W$158,2,FALSE)</f>
        <v>1400</v>
      </c>
      <c r="J350" s="177" t="s">
        <v>20</v>
      </c>
      <c r="K350" s="172">
        <v>247</v>
      </c>
      <c r="L350" s="173">
        <f t="shared" ref="L350:L365" si="48">IF(I350=0,0,(100/I350)*K350/$E$37)</f>
        <v>7.1428571428571425E-2</v>
      </c>
      <c r="M350" s="164">
        <f>+L350/L366</f>
        <v>0.17630496905205384</v>
      </c>
      <c r="N350" s="170" t="s">
        <v>181</v>
      </c>
      <c r="O350" s="171">
        <f>VLOOKUP(N350,'RESUMEN RENDIMIENTOS'!$V$6:$W$158,2,FALSE)</f>
        <v>900</v>
      </c>
      <c r="P350" s="177" t="s">
        <v>20</v>
      </c>
      <c r="Q350" s="172">
        <v>247</v>
      </c>
      <c r="R350" s="173">
        <f t="shared" ref="R350:R365" si="49">IF(O350=0,0,(100/O350)*Q350/$E$37)</f>
        <v>0.1111111111111111</v>
      </c>
      <c r="S350" s="263">
        <f t="shared" ref="S350:S365" si="50">+R350/$R$366</f>
        <v>0.12860369224314702</v>
      </c>
    </row>
    <row r="351" spans="2:19">
      <c r="B351" s="170" t="s">
        <v>203</v>
      </c>
      <c r="C351" s="171">
        <f>VLOOKUP(B351,'RESUMEN RENDIMIENTOS'!$V$6:$W$158,2,FALSE)</f>
        <v>600</v>
      </c>
      <c r="D351" s="269" t="s">
        <v>20</v>
      </c>
      <c r="E351" s="270">
        <v>247</v>
      </c>
      <c r="F351" s="173">
        <f t="shared" si="47"/>
        <v>0.16666666666666666</v>
      </c>
      <c r="G351" s="174">
        <f>+F351/F366</f>
        <v>0.2516503303377548</v>
      </c>
      <c r="H351" s="170" t="s">
        <v>190</v>
      </c>
      <c r="I351" s="171">
        <f>VLOOKUP(H351,'RESUMEN RENDIMIENTOS'!$V$6:$W$158,2,FALSE)</f>
        <v>960</v>
      </c>
      <c r="J351" s="177" t="s">
        <v>52</v>
      </c>
      <c r="K351" s="172">
        <v>156.42000000000002</v>
      </c>
      <c r="L351" s="173">
        <f t="shared" si="48"/>
        <v>6.5966599190283415E-2</v>
      </c>
      <c r="M351" s="174">
        <f>+L351/L366</f>
        <v>0.16282334920197022</v>
      </c>
      <c r="N351" s="170" t="s">
        <v>203</v>
      </c>
      <c r="O351" s="171">
        <f>VLOOKUP(N351,'RESUMEN RENDIMIENTOS'!$V$6:$W$158,2,FALSE)</f>
        <v>600</v>
      </c>
      <c r="P351" s="177" t="s">
        <v>20</v>
      </c>
      <c r="Q351" s="172">
        <v>247</v>
      </c>
      <c r="R351" s="173">
        <f t="shared" si="49"/>
        <v>0.16666666666666666</v>
      </c>
      <c r="S351" s="264">
        <f t="shared" si="50"/>
        <v>0.19290553836472052</v>
      </c>
    </row>
    <row r="352" spans="2:19">
      <c r="B352" s="170" t="s">
        <v>190</v>
      </c>
      <c r="C352" s="171">
        <f>VLOOKUP(B352,'RESUMEN RENDIMIENTOS'!$V$6:$W$158,2,FALSE)</f>
        <v>960</v>
      </c>
      <c r="D352" s="269" t="s">
        <v>20</v>
      </c>
      <c r="E352" s="270">
        <v>247</v>
      </c>
      <c r="F352" s="173">
        <f t="shared" si="47"/>
        <v>0.10416666666666667</v>
      </c>
      <c r="G352" s="174">
        <f>+F352/F366</f>
        <v>0.15728145646109676</v>
      </c>
      <c r="H352" s="170" t="s">
        <v>202</v>
      </c>
      <c r="I352" s="171">
        <f>VLOOKUP(H352,'RESUMEN RENDIMIENTOS'!$V$6:$W$158,2,FALSE)</f>
        <v>550</v>
      </c>
      <c r="J352" s="177" t="s">
        <v>31</v>
      </c>
      <c r="K352" s="172">
        <v>104.28</v>
      </c>
      <c r="L352" s="173">
        <f t="shared" si="48"/>
        <v>7.6761133603238871E-2</v>
      </c>
      <c r="M352" s="174">
        <f>+L352/L366</f>
        <v>0.18946716998047441</v>
      </c>
      <c r="N352" s="170" t="s">
        <v>241</v>
      </c>
      <c r="O352" s="171">
        <f>VLOOKUP(N352,'RESUMEN RENDIMIENTOS'!$V$6:$W$158,2,FALSE)</f>
        <v>450</v>
      </c>
      <c r="P352" s="177" t="s">
        <v>20</v>
      </c>
      <c r="Q352" s="172">
        <v>247</v>
      </c>
      <c r="R352" s="173">
        <f t="shared" si="49"/>
        <v>0.22222222222222221</v>
      </c>
      <c r="S352" s="264">
        <f t="shared" si="50"/>
        <v>0.25720738448629404</v>
      </c>
    </row>
    <row r="353" spans="2:19">
      <c r="B353" s="170" t="s">
        <v>191</v>
      </c>
      <c r="C353" s="171">
        <f>VLOOKUP(B353,'RESUMEN RENDIMIENTOS'!$V$6:$W$158,2,FALSE)</f>
        <v>800</v>
      </c>
      <c r="D353" s="269" t="s">
        <v>56</v>
      </c>
      <c r="E353" s="270">
        <v>52.14</v>
      </c>
      <c r="F353" s="173">
        <f t="shared" si="47"/>
        <v>2.638663967611336E-2</v>
      </c>
      <c r="G353" s="174">
        <f>+F353/F366</f>
        <v>3.9841239545983405E-2</v>
      </c>
      <c r="H353" s="170" t="s">
        <v>240</v>
      </c>
      <c r="I353" s="171">
        <f>VLOOKUP(H353,'RESUMEN RENDIMIENTOS'!$V$6:$W$158,2,FALSE)</f>
        <v>1000</v>
      </c>
      <c r="J353" s="177" t="s">
        <v>56</v>
      </c>
      <c r="K353" s="172">
        <v>52.14</v>
      </c>
      <c r="L353" s="173">
        <f t="shared" si="48"/>
        <v>2.1109311740890691E-2</v>
      </c>
      <c r="M353" s="174">
        <f>+L353/L366</f>
        <v>5.2103471744630467E-2</v>
      </c>
      <c r="N353" s="170" t="s">
        <v>254</v>
      </c>
      <c r="O353" s="171">
        <f>VLOOKUP(N353,'RESUMEN RENDIMIENTOS'!$V$6:$W$158,2,FALSE)</f>
        <v>2000</v>
      </c>
      <c r="P353" s="177" t="s">
        <v>20</v>
      </c>
      <c r="Q353" s="172">
        <v>247</v>
      </c>
      <c r="R353" s="173">
        <f t="shared" si="49"/>
        <v>0.05</v>
      </c>
      <c r="S353" s="264">
        <f t="shared" si="50"/>
        <v>5.7871661509416167E-2</v>
      </c>
    </row>
    <row r="354" spans="2:19">
      <c r="B354" s="170" t="s">
        <v>194</v>
      </c>
      <c r="C354" s="171">
        <f>VLOOKUP(B354,'RESUMEN RENDIMIENTOS'!$V$6:$W$158,2,FALSE)</f>
        <v>2000</v>
      </c>
      <c r="D354" s="269" t="s">
        <v>56</v>
      </c>
      <c r="E354" s="270">
        <v>52.14</v>
      </c>
      <c r="F354" s="173">
        <f t="shared" si="47"/>
        <v>1.0554655870445346E-2</v>
      </c>
      <c r="G354" s="174">
        <f>+F354/F366</f>
        <v>1.5936495818393365E-2</v>
      </c>
      <c r="H354" s="170" t="s">
        <v>191</v>
      </c>
      <c r="I354" s="171">
        <f>VLOOKUP(H354,'RESUMEN RENDIMIENTOS'!$V$6:$W$158,2,FALSE)</f>
        <v>800</v>
      </c>
      <c r="J354" s="177" t="s">
        <v>56</v>
      </c>
      <c r="K354" s="172">
        <v>52.14</v>
      </c>
      <c r="L354" s="173">
        <f t="shared" si="48"/>
        <v>2.638663967611336E-2</v>
      </c>
      <c r="M354" s="174">
        <f>+L354/L366</f>
        <v>6.5129339680788073E-2</v>
      </c>
      <c r="N354" s="170" t="s">
        <v>259</v>
      </c>
      <c r="O354" s="171">
        <f>VLOOKUP(N354,'RESUMEN RENDIMIENTOS'!$V$6:$W$158,2,FALSE)</f>
        <v>1800</v>
      </c>
      <c r="P354" s="177" t="s">
        <v>20</v>
      </c>
      <c r="Q354" s="172">
        <v>247</v>
      </c>
      <c r="R354" s="173">
        <f t="shared" si="49"/>
        <v>5.5555555555555552E-2</v>
      </c>
      <c r="S354" s="264">
        <f t="shared" si="50"/>
        <v>6.4301846121573511E-2</v>
      </c>
    </row>
    <row r="355" spans="2:19">
      <c r="B355" s="170" t="s">
        <v>210</v>
      </c>
      <c r="C355" s="171">
        <f>VLOOKUP(B355,'RESUMEN RENDIMIENTOS'!$V$6:$W$158,2,FALSE)</f>
        <v>80</v>
      </c>
      <c r="D355" s="269" t="s">
        <v>58</v>
      </c>
      <c r="E355" s="270">
        <v>12</v>
      </c>
      <c r="F355" s="173">
        <f t="shared" si="47"/>
        <v>6.0728744939271252E-2</v>
      </c>
      <c r="G355" s="174">
        <f>+F355/F366</f>
        <v>9.1694452349789193E-2</v>
      </c>
      <c r="H355" s="170" t="s">
        <v>194</v>
      </c>
      <c r="I355" s="171">
        <f>VLOOKUP(H355,'RESUMEN RENDIMIENTOS'!$V$6:$W$158,2,FALSE)</f>
        <v>2000</v>
      </c>
      <c r="J355" s="177" t="s">
        <v>56</v>
      </c>
      <c r="K355" s="172">
        <v>52.14</v>
      </c>
      <c r="L355" s="173">
        <f t="shared" si="48"/>
        <v>1.0554655870445346E-2</v>
      </c>
      <c r="M355" s="174">
        <f>+L355/L366</f>
        <v>2.6051735872315233E-2</v>
      </c>
      <c r="N355" s="170">
        <v>0</v>
      </c>
      <c r="O355" s="171">
        <f>VLOOKUP(N355,'RESUMEN RENDIMIENTOS'!$V$6:$W$158,2,FALSE)</f>
        <v>0</v>
      </c>
      <c r="P355" s="177"/>
      <c r="Q355" s="172" t="s">
        <v>337</v>
      </c>
      <c r="R355" s="173">
        <f t="shared" si="49"/>
        <v>0</v>
      </c>
      <c r="S355" s="264">
        <f t="shared" si="50"/>
        <v>0</v>
      </c>
    </row>
    <row r="356" spans="2:19">
      <c r="B356" s="170" t="s">
        <v>214</v>
      </c>
      <c r="C356" s="171">
        <f>VLOOKUP(B356,'RESUMEN RENDIMIENTOS'!$V$6:$W$158,2,FALSE)</f>
        <v>60</v>
      </c>
      <c r="D356" s="269" t="s">
        <v>58</v>
      </c>
      <c r="E356" s="270">
        <v>12</v>
      </c>
      <c r="F356" s="173">
        <f t="shared" si="47"/>
        <v>8.0971659919028341E-2</v>
      </c>
      <c r="G356" s="174">
        <f>+F356/F366</f>
        <v>0.12225926979971893</v>
      </c>
      <c r="H356" s="170" t="s">
        <v>233</v>
      </c>
      <c r="I356" s="171">
        <f>VLOOKUP(H356,'RESUMEN RENDIMIENTOS'!$V$6:$W$158,2,FALSE)</f>
        <v>400</v>
      </c>
      <c r="J356" s="177" t="s">
        <v>56</v>
      </c>
      <c r="K356" s="172">
        <v>52.14</v>
      </c>
      <c r="L356" s="173">
        <f t="shared" si="48"/>
        <v>5.2773279352226719E-2</v>
      </c>
      <c r="M356" s="174">
        <f>+L356/L366</f>
        <v>0.13025867936157615</v>
      </c>
      <c r="N356" s="170" t="s">
        <v>253</v>
      </c>
      <c r="O356" s="171">
        <f>VLOOKUP(N356,'RESUMEN RENDIMIENTOS'!$V$6:$W$158,2,FALSE)</f>
        <v>1500</v>
      </c>
      <c r="P356" s="177" t="s">
        <v>20</v>
      </c>
      <c r="Q356" s="172">
        <v>247</v>
      </c>
      <c r="R356" s="173">
        <f t="shared" si="49"/>
        <v>6.6666666666666666E-2</v>
      </c>
      <c r="S356" s="264">
        <f t="shared" si="50"/>
        <v>7.7162215345888213E-2</v>
      </c>
    </row>
    <row r="357" spans="2:19">
      <c r="B357" s="170" t="s">
        <v>196</v>
      </c>
      <c r="C357" s="171">
        <f>VLOOKUP(B357,'RESUMEN RENDIMIENTOS'!$V$6:$W$158,2,FALSE)</f>
        <v>550</v>
      </c>
      <c r="D357" s="269" t="s">
        <v>56</v>
      </c>
      <c r="E357" s="270">
        <v>52.14</v>
      </c>
      <c r="F357" s="173">
        <f t="shared" si="47"/>
        <v>3.8380566801619435E-2</v>
      </c>
      <c r="G357" s="174">
        <f>+F357/F366</f>
        <v>5.7950893885066773E-2</v>
      </c>
      <c r="H357" s="170" t="s">
        <v>210</v>
      </c>
      <c r="I357" s="171">
        <f>VLOOKUP(H357,'RESUMEN RENDIMIENTOS'!$V$6:$W$158,2,FALSE)</f>
        <v>80</v>
      </c>
      <c r="J357" s="177" t="s">
        <v>58</v>
      </c>
      <c r="K357" s="172">
        <v>12</v>
      </c>
      <c r="L357" s="173">
        <f t="shared" si="48"/>
        <v>6.0728744939271252E-2</v>
      </c>
      <c r="M357" s="174">
        <f>+L357/L366</f>
        <v>0.14989491295923607</v>
      </c>
      <c r="N357" s="170">
        <v>0</v>
      </c>
      <c r="O357" s="171">
        <f>VLOOKUP(N357,'RESUMEN RENDIMIENTOS'!$V$6:$W$158,2,FALSE)</f>
        <v>0</v>
      </c>
      <c r="P357" s="177"/>
      <c r="Q357" s="172" t="s">
        <v>337</v>
      </c>
      <c r="R357" s="173">
        <f t="shared" si="49"/>
        <v>0</v>
      </c>
      <c r="S357" s="264">
        <f t="shared" si="50"/>
        <v>0</v>
      </c>
    </row>
    <row r="358" spans="2:19">
      <c r="B358" s="170" t="s">
        <v>240</v>
      </c>
      <c r="C358" s="171">
        <f>VLOOKUP(B358,'RESUMEN RENDIMIENTOS'!$V$6:$W$158,2,FALSE)</f>
        <v>1000</v>
      </c>
      <c r="D358" s="177" t="s">
        <v>52</v>
      </c>
      <c r="E358" s="172">
        <v>156.42000000000002</v>
      </c>
      <c r="F358" s="173">
        <f t="shared" si="47"/>
        <v>6.3327935222672077E-2</v>
      </c>
      <c r="G358" s="174">
        <f>+F358/F366</f>
        <v>9.5618974910360199E-2</v>
      </c>
      <c r="H358" s="170" t="s">
        <v>237</v>
      </c>
      <c r="I358" s="171">
        <f>VLOOKUP(H358,'RESUMEN RENDIMIENTOS'!$V$6:$W$158,2,FALSE)</f>
        <v>250</v>
      </c>
      <c r="J358" s="177" t="s">
        <v>58</v>
      </c>
      <c r="K358" s="172">
        <v>12</v>
      </c>
      <c r="L358" s="173">
        <f t="shared" si="48"/>
        <v>1.9433198380566806E-2</v>
      </c>
      <c r="M358" s="174">
        <f>+L358/L366</f>
        <v>4.7966372146955552E-2</v>
      </c>
      <c r="N358" s="170" t="s">
        <v>194</v>
      </c>
      <c r="O358" s="171">
        <f>VLOOKUP(N358,'RESUMEN RENDIMIENTOS'!$V$6:$W$158,2,FALSE)</f>
        <v>2000</v>
      </c>
      <c r="P358" s="177" t="s">
        <v>56</v>
      </c>
      <c r="Q358" s="172">
        <v>52.14</v>
      </c>
      <c r="R358" s="173">
        <f t="shared" si="49"/>
        <v>1.0554655870445346E-2</v>
      </c>
      <c r="S358" s="264">
        <f t="shared" si="50"/>
        <v>1.2216309437655705E-2</v>
      </c>
    </row>
    <row r="359" spans="2:19">
      <c r="B359" s="170">
        <v>0</v>
      </c>
      <c r="C359" s="171">
        <f>VLOOKUP(B359,'RESUMEN RENDIMIENTOS'!$V$6:$W$158,2,FALSE)</f>
        <v>0</v>
      </c>
      <c r="D359" s="269"/>
      <c r="E359" s="270" t="s">
        <v>337</v>
      </c>
      <c r="F359" s="173">
        <f t="shared" si="47"/>
        <v>0</v>
      </c>
      <c r="G359" s="174">
        <f>+F359/F366</f>
        <v>0</v>
      </c>
      <c r="H359" s="170">
        <v>0</v>
      </c>
      <c r="I359" s="171">
        <f>VLOOKUP(H359,'RESUMEN RENDIMIENTOS'!$V$6:$W$158,2,FALSE)</f>
        <v>0</v>
      </c>
      <c r="J359" s="177"/>
      <c r="K359" s="172" t="s">
        <v>337</v>
      </c>
      <c r="L359" s="173">
        <f t="shared" si="48"/>
        <v>0</v>
      </c>
      <c r="M359" s="174">
        <f>+L359/L366</f>
        <v>0</v>
      </c>
      <c r="N359" s="170" t="s">
        <v>230</v>
      </c>
      <c r="O359" s="171">
        <f>VLOOKUP(N359,'RESUMEN RENDIMIENTOS'!$V$6:$W$158,2,FALSE)</f>
        <v>900</v>
      </c>
      <c r="P359" s="177" t="s">
        <v>30</v>
      </c>
      <c r="Q359" s="172">
        <v>24</v>
      </c>
      <c r="R359" s="173">
        <f t="shared" si="49"/>
        <v>1.0796221322537112E-2</v>
      </c>
      <c r="S359" s="264">
        <f t="shared" si="50"/>
        <v>1.249590531917218E-2</v>
      </c>
    </row>
    <row r="360" spans="2:19">
      <c r="B360" s="170">
        <v>0</v>
      </c>
      <c r="C360" s="171">
        <f>VLOOKUP(B360,'RESUMEN RENDIMIENTOS'!$V$6:$W$158,2,FALSE)</f>
        <v>0</v>
      </c>
      <c r="D360" s="269"/>
      <c r="E360" s="270" t="s">
        <v>337</v>
      </c>
      <c r="F360" s="173">
        <f t="shared" si="47"/>
        <v>0</v>
      </c>
      <c r="G360" s="174">
        <f>+F360/F366</f>
        <v>0</v>
      </c>
      <c r="H360" s="170">
        <v>0</v>
      </c>
      <c r="I360" s="171">
        <f>VLOOKUP(H360,'RESUMEN RENDIMIENTOS'!$V$6:$W$158,2,FALSE)</f>
        <v>0</v>
      </c>
      <c r="J360" s="177"/>
      <c r="K360" s="172" t="s">
        <v>337</v>
      </c>
      <c r="L360" s="173">
        <f t="shared" si="48"/>
        <v>0</v>
      </c>
      <c r="M360" s="174">
        <f>+L360/L366</f>
        <v>0</v>
      </c>
      <c r="N360" s="170" t="s">
        <v>210</v>
      </c>
      <c r="O360" s="171">
        <f>VLOOKUP(N360,'RESUMEN RENDIMIENTOS'!$V$6:$W$158,2,FALSE)</f>
        <v>80</v>
      </c>
      <c r="P360" s="177" t="s">
        <v>58</v>
      </c>
      <c r="Q360" s="172">
        <v>12</v>
      </c>
      <c r="R360" s="173">
        <f t="shared" si="49"/>
        <v>6.0728744939271252E-2</v>
      </c>
      <c r="S360" s="264">
        <f t="shared" si="50"/>
        <v>7.0289467420343518E-2</v>
      </c>
    </row>
    <row r="361" spans="2:19">
      <c r="B361" s="170">
        <v>0</v>
      </c>
      <c r="C361" s="171">
        <f>VLOOKUP(B361,'RESUMEN RENDIMIENTOS'!$V$6:$W$158,2,FALSE)</f>
        <v>0</v>
      </c>
      <c r="D361" s="269"/>
      <c r="E361" s="270" t="s">
        <v>337</v>
      </c>
      <c r="F361" s="173">
        <f t="shared" si="47"/>
        <v>0</v>
      </c>
      <c r="G361" s="174">
        <f>+F361/F366</f>
        <v>0</v>
      </c>
      <c r="H361" s="170">
        <v>0</v>
      </c>
      <c r="I361" s="171">
        <f>VLOOKUP(H361,'RESUMEN RENDIMIENTOS'!$V$6:$W$158,2,FALSE)</f>
        <v>0</v>
      </c>
      <c r="J361" s="177"/>
      <c r="K361" s="172" t="s">
        <v>337</v>
      </c>
      <c r="L361" s="173">
        <f t="shared" si="48"/>
        <v>0</v>
      </c>
      <c r="M361" s="174">
        <f>+L361/L366</f>
        <v>0</v>
      </c>
      <c r="N361" s="170" t="s">
        <v>242</v>
      </c>
      <c r="O361" s="171">
        <f>VLOOKUP(N361,'RESUMEN RENDIMIENTOS'!$V$6:$W$158,2,FALSE)</f>
        <v>125</v>
      </c>
      <c r="P361" s="177" t="s">
        <v>58</v>
      </c>
      <c r="Q361" s="172">
        <v>12</v>
      </c>
      <c r="R361" s="173">
        <f t="shared" si="49"/>
        <v>3.8866396761133612E-2</v>
      </c>
      <c r="S361" s="264">
        <f t="shared" si="50"/>
        <v>4.4985259149019859E-2</v>
      </c>
    </row>
    <row r="362" spans="2:19">
      <c r="B362" s="170">
        <v>0</v>
      </c>
      <c r="C362" s="171">
        <f>VLOOKUP(B362,'RESUMEN RENDIMIENTOS'!$V$6:$W$158,2,FALSE)</f>
        <v>0</v>
      </c>
      <c r="D362" s="269"/>
      <c r="E362" s="270" t="s">
        <v>337</v>
      </c>
      <c r="F362" s="173">
        <f t="shared" si="47"/>
        <v>0</v>
      </c>
      <c r="G362" s="174">
        <f>+F362/F366</f>
        <v>0</v>
      </c>
      <c r="H362" s="170">
        <v>0</v>
      </c>
      <c r="I362" s="171">
        <f>VLOOKUP(H362,'RESUMEN RENDIMIENTOS'!$V$6:$W$158,2,FALSE)</f>
        <v>0</v>
      </c>
      <c r="J362" s="177"/>
      <c r="K362" s="172" t="s">
        <v>337</v>
      </c>
      <c r="L362" s="173">
        <f t="shared" si="48"/>
        <v>0</v>
      </c>
      <c r="M362" s="174">
        <f>+L362/L366</f>
        <v>0</v>
      </c>
      <c r="N362" s="170" t="s">
        <v>240</v>
      </c>
      <c r="O362" s="171">
        <f>VLOOKUP(N362,'RESUMEN RENDIMIENTOS'!$V$6:$W$158,2,FALSE)</f>
        <v>1000</v>
      </c>
      <c r="P362" s="177" t="s">
        <v>58</v>
      </c>
      <c r="Q362" s="172">
        <v>12</v>
      </c>
      <c r="R362" s="173">
        <f t="shared" si="49"/>
        <v>4.8582995951417015E-3</v>
      </c>
      <c r="S362" s="264">
        <f t="shared" si="50"/>
        <v>5.6231573936274823E-3</v>
      </c>
    </row>
    <row r="363" spans="2:19">
      <c r="B363" s="170">
        <v>0</v>
      </c>
      <c r="C363" s="171">
        <f>VLOOKUP(B363,'RESUMEN RENDIMIENTOS'!$V$6:$W$158,2,FALSE)</f>
        <v>0</v>
      </c>
      <c r="D363" s="269"/>
      <c r="E363" s="270" t="s">
        <v>337</v>
      </c>
      <c r="F363" s="173">
        <f t="shared" si="47"/>
        <v>0</v>
      </c>
      <c r="G363" s="174">
        <f>+F363/F366</f>
        <v>0</v>
      </c>
      <c r="H363" s="170">
        <v>0</v>
      </c>
      <c r="I363" s="171">
        <f>VLOOKUP(H363,'RESUMEN RENDIMIENTOS'!$V$6:$W$158,2,FALSE)</f>
        <v>0</v>
      </c>
      <c r="J363" s="177"/>
      <c r="K363" s="172" t="s">
        <v>337</v>
      </c>
      <c r="L363" s="173">
        <f t="shared" si="48"/>
        <v>0</v>
      </c>
      <c r="M363" s="174">
        <f>+L363/L366</f>
        <v>0</v>
      </c>
      <c r="N363" s="170" t="s">
        <v>234</v>
      </c>
      <c r="O363" s="171">
        <f>VLOOKUP(N363,'RESUMEN RENDIMIENTOS'!$V$6:$W$158,2,FALSE)</f>
        <v>805</v>
      </c>
      <c r="P363" s="177" t="s">
        <v>58</v>
      </c>
      <c r="Q363" s="172">
        <v>12</v>
      </c>
      <c r="R363" s="173">
        <f t="shared" si="49"/>
        <v>6.0351547765735408E-3</v>
      </c>
      <c r="S363" s="264">
        <f t="shared" si="50"/>
        <v>6.9852886877360019E-3</v>
      </c>
    </row>
    <row r="364" spans="2:19">
      <c r="B364" s="170">
        <v>0</v>
      </c>
      <c r="C364" s="171">
        <f>VLOOKUP(B364,'RESUMEN RENDIMIENTOS'!$V$6:$W$158,2,FALSE)</f>
        <v>0</v>
      </c>
      <c r="D364" s="269"/>
      <c r="E364" s="270" t="s">
        <v>337</v>
      </c>
      <c r="F364" s="173">
        <f t="shared" si="47"/>
        <v>0</v>
      </c>
      <c r="G364" s="174">
        <f>+F364/F366</f>
        <v>0</v>
      </c>
      <c r="H364" s="170">
        <v>0</v>
      </c>
      <c r="I364" s="171">
        <f>VLOOKUP(H364,'RESUMEN RENDIMIENTOS'!$V$6:$W$158,2,FALSE)</f>
        <v>0</v>
      </c>
      <c r="J364" s="177"/>
      <c r="K364" s="172" t="s">
        <v>337</v>
      </c>
      <c r="L364" s="173">
        <f t="shared" si="48"/>
        <v>0</v>
      </c>
      <c r="M364" s="174">
        <f>+L364/L366</f>
        <v>0</v>
      </c>
      <c r="N364" s="170" t="s">
        <v>237</v>
      </c>
      <c r="O364" s="171">
        <f>VLOOKUP(N364,'RESUMEN RENDIMIENTOS'!$V$6:$W$158,2,FALSE)</f>
        <v>250</v>
      </c>
      <c r="P364" s="177" t="s">
        <v>58</v>
      </c>
      <c r="Q364" s="172">
        <v>12</v>
      </c>
      <c r="R364" s="173">
        <f t="shared" si="49"/>
        <v>1.9433198380566806E-2</v>
      </c>
      <c r="S364" s="264">
        <f t="shared" si="50"/>
        <v>2.2492629574509929E-2</v>
      </c>
    </row>
    <row r="365" spans="2:19">
      <c r="B365" s="170">
        <v>0</v>
      </c>
      <c r="C365" s="171">
        <f>VLOOKUP(B365,'RESUMEN RENDIMIENTOS'!$V$6:$W$158,2,FALSE)</f>
        <v>0</v>
      </c>
      <c r="D365" s="269"/>
      <c r="E365" s="270" t="s">
        <v>337</v>
      </c>
      <c r="F365" s="173">
        <f t="shared" si="47"/>
        <v>0</v>
      </c>
      <c r="G365" s="174">
        <f>+F365/F366</f>
        <v>0</v>
      </c>
      <c r="H365" s="170">
        <v>0</v>
      </c>
      <c r="I365" s="171">
        <f>VLOOKUP(H365,'RESUMEN RENDIMIENTOS'!$V$6:$W$158,2,FALSE)</f>
        <v>0</v>
      </c>
      <c r="J365" s="177"/>
      <c r="K365" s="172" t="s">
        <v>337</v>
      </c>
      <c r="L365" s="173">
        <f t="shared" si="48"/>
        <v>0</v>
      </c>
      <c r="M365" s="174">
        <f>+L365/L366</f>
        <v>0</v>
      </c>
      <c r="N365" s="170" t="s">
        <v>212</v>
      </c>
      <c r="O365" s="171">
        <f>VLOOKUP(N365,'RESUMEN RENDIMIENTOS'!$V$6:$W$158,2,FALSE)</f>
        <v>240</v>
      </c>
      <c r="P365" s="177" t="s">
        <v>30</v>
      </c>
      <c r="Q365" s="172">
        <v>24</v>
      </c>
      <c r="R365" s="173">
        <f t="shared" si="49"/>
        <v>4.048582995951417E-2</v>
      </c>
      <c r="S365" s="264">
        <f t="shared" si="50"/>
        <v>4.6859644946895679E-2</v>
      </c>
    </row>
    <row r="366" spans="2:19" ht="25" thickBot="1">
      <c r="B366" s="178"/>
      <c r="E366" s="90"/>
      <c r="F366" s="173">
        <f>SUM(F350:F365)</f>
        <v>0.66229464687359429</v>
      </c>
      <c r="G366" s="181">
        <f>+F366/F366</f>
        <v>1</v>
      </c>
      <c r="H366" s="178"/>
      <c r="I366" s="179"/>
      <c r="J366" s="182" t="s">
        <v>24</v>
      </c>
      <c r="K366" s="90"/>
      <c r="L366" s="173">
        <f>SUM(L350:L365)</f>
        <v>0.40514213418160788</v>
      </c>
      <c r="M366" s="181">
        <f>+L366/L366</f>
        <v>1</v>
      </c>
      <c r="N366" s="178"/>
      <c r="O366" s="179"/>
      <c r="Q366" s="90"/>
      <c r="R366" s="173">
        <f>SUM(R350:R365)</f>
        <v>0.86398072382740587</v>
      </c>
      <c r="S366" s="265">
        <f>+R366/$R$366</f>
        <v>1</v>
      </c>
    </row>
    <row r="367" spans="2:19" ht="18" customHeight="1">
      <c r="B367" s="427" t="s">
        <v>317</v>
      </c>
      <c r="C367" s="428"/>
      <c r="D367" s="429"/>
      <c r="E367" s="185">
        <v>0.12</v>
      </c>
      <c r="F367" s="173">
        <f>+F366*E367</f>
        <v>7.9475357624831308E-2</v>
      </c>
      <c r="H367" s="427" t="s">
        <v>317</v>
      </c>
      <c r="I367" s="428"/>
      <c r="J367" s="429"/>
      <c r="K367" s="185">
        <v>0.12</v>
      </c>
      <c r="L367" s="173">
        <f>+L366*K367</f>
        <v>4.8617056101792941E-2</v>
      </c>
      <c r="N367" s="427" t="s">
        <v>317</v>
      </c>
      <c r="O367" s="428"/>
      <c r="P367" s="429"/>
      <c r="Q367" s="185">
        <v>0.12</v>
      </c>
      <c r="R367" s="175">
        <f>+R366*Q367</f>
        <v>0.1036776868592887</v>
      </c>
    </row>
    <row r="368" spans="2:19" ht="18" customHeight="1">
      <c r="B368" s="178"/>
      <c r="F368" s="173">
        <f>+F367+F366</f>
        <v>0.74177000449842556</v>
      </c>
      <c r="G368" s="187">
        <f>+F368/24</f>
        <v>3.0907083520767733E-2</v>
      </c>
      <c r="H368" s="178"/>
      <c r="I368" s="179"/>
      <c r="K368" s="88"/>
      <c r="L368" s="173">
        <f>+L367+L366</f>
        <v>0.45375919028340084</v>
      </c>
      <c r="M368" s="187">
        <f>+L368/24</f>
        <v>1.8906632928475036E-2</v>
      </c>
      <c r="N368" s="178"/>
      <c r="O368" s="179"/>
      <c r="R368" s="175">
        <f>+R367+R366</f>
        <v>0.96765841068669456</v>
      </c>
      <c r="S368" s="187">
        <f>+R368/24</f>
        <v>4.0319100445278942E-2</v>
      </c>
    </row>
    <row r="369" spans="2:19">
      <c r="B369" s="178"/>
      <c r="D369" s="188"/>
      <c r="F369" s="173"/>
      <c r="H369" s="178"/>
      <c r="I369" s="179"/>
      <c r="J369" s="188"/>
      <c r="K369" s="88"/>
      <c r="L369" s="173"/>
      <c r="N369" s="178"/>
      <c r="O369" s="179"/>
      <c r="P369" s="188"/>
      <c r="R369" s="175"/>
    </row>
    <row r="370" spans="2:19" ht="21">
      <c r="B370" s="191" t="s">
        <v>318</v>
      </c>
      <c r="C370" s="192"/>
      <c r="D370" s="192"/>
      <c r="E370" s="444">
        <f>IF(F368=0,0,(100/F368))</f>
        <v>134.81267696665435</v>
      </c>
      <c r="F370" s="445"/>
      <c r="H370" s="191" t="s">
        <v>318</v>
      </c>
      <c r="I370" s="192"/>
      <c r="J370" s="192"/>
      <c r="K370" s="444">
        <f>IF(L368=0,0,(100/L368))</f>
        <v>220.3812113150673</v>
      </c>
      <c r="L370" s="445"/>
      <c r="N370" s="191" t="s">
        <v>318</v>
      </c>
      <c r="O370" s="192"/>
      <c r="P370" s="192"/>
      <c r="Q370" s="444">
        <f>IF(R368=0,0,(100/R368))</f>
        <v>103.34225269538601</v>
      </c>
      <c r="R370" s="445"/>
    </row>
    <row r="371" spans="2:19">
      <c r="B371" s="178"/>
      <c r="F371" s="189"/>
      <c r="H371" s="178"/>
      <c r="I371" s="179"/>
      <c r="K371" s="88"/>
      <c r="N371" s="178"/>
      <c r="O371" s="179"/>
      <c r="R371" s="189"/>
    </row>
    <row r="372" spans="2:19" ht="21">
      <c r="B372" s="446" t="s">
        <v>319</v>
      </c>
      <c r="C372" s="447"/>
      <c r="D372" s="447"/>
      <c r="E372" s="447"/>
      <c r="F372" s="448"/>
      <c r="H372" s="446" t="s">
        <v>319</v>
      </c>
      <c r="I372" s="447"/>
      <c r="J372" s="447"/>
      <c r="K372" s="447"/>
      <c r="L372" s="448"/>
      <c r="N372" s="446" t="s">
        <v>319</v>
      </c>
      <c r="O372" s="447"/>
      <c r="P372" s="447"/>
      <c r="Q372" s="447"/>
      <c r="R372" s="448"/>
    </row>
    <row r="373" spans="2:19" ht="18" customHeight="1">
      <c r="B373" s="194" t="s">
        <v>320</v>
      </c>
      <c r="C373" s="195"/>
      <c r="D373" s="435" t="s">
        <v>321</v>
      </c>
      <c r="E373" s="435"/>
      <c r="F373" s="196" t="s">
        <v>322</v>
      </c>
      <c r="H373" s="194" t="s">
        <v>320</v>
      </c>
      <c r="I373" s="195"/>
      <c r="J373" s="435" t="s">
        <v>321</v>
      </c>
      <c r="K373" s="435"/>
      <c r="L373" s="196" t="s">
        <v>322</v>
      </c>
      <c r="N373" s="194" t="s">
        <v>320</v>
      </c>
      <c r="O373" s="195"/>
      <c r="P373" s="435" t="s">
        <v>321</v>
      </c>
      <c r="Q373" s="435"/>
      <c r="R373" s="196" t="s">
        <v>322</v>
      </c>
    </row>
    <row r="374" spans="2:19">
      <c r="B374" s="197" t="s">
        <v>278</v>
      </c>
      <c r="C374" s="201">
        <v>1</v>
      </c>
      <c r="E374" s="199">
        <f>IF(C374=0,0,(VLOOKUP(B374,'RESUMEN RENDIMIENTOS'!$AB$6:$AO$64,13,FALSE)))*C374</f>
        <v>0.75</v>
      </c>
      <c r="F374" s="200">
        <f>IF(C374=0,0,(VLOOKUP(B374,'RESUMEN RENDIMIENTOS'!$AB$6:$AO$64,14,FALSE)))*C374</f>
        <v>1.0285714285714287E-2</v>
      </c>
      <c r="H374" s="197" t="s">
        <v>278</v>
      </c>
      <c r="I374" s="201">
        <v>1</v>
      </c>
      <c r="K374" s="199">
        <f>IF(I374=0,0,(VLOOKUP(H374,'RESUMEN RENDIMIENTOS'!$AB$6:$AO$64,13,FALSE)))*I374</f>
        <v>0.75</v>
      </c>
      <c r="L374" s="200">
        <f>IF(I374=0,0,(VLOOKUP(H374,'RESUMEN RENDIMIENTOS'!$AB$6:$AO$64,14,FALSE)))*I374</f>
        <v>1.0285714285714287E-2</v>
      </c>
      <c r="N374" s="197" t="s">
        <v>278</v>
      </c>
      <c r="O374" s="201">
        <v>1</v>
      </c>
      <c r="Q374" s="199">
        <f>IF(O374=0,0,(VLOOKUP(N374,'RESUMEN RENDIMIENTOS'!$AB$6:$AO$64,13,FALSE)))*O374</f>
        <v>0.75</v>
      </c>
      <c r="R374" s="200">
        <f>IF(O374=0,0,(VLOOKUP(N374,'RESUMEN RENDIMIENTOS'!$AB$6:$AO$64,14,FALSE)))*O374</f>
        <v>1.0285714285714287E-2</v>
      </c>
    </row>
    <row r="375" spans="2:19">
      <c r="B375" s="197" t="s">
        <v>279</v>
      </c>
      <c r="C375" s="201">
        <v>1</v>
      </c>
      <c r="E375" s="199">
        <f>IF(C375=0,0,(VLOOKUP(B375,'RESUMEN RENDIMIENTOS'!$AB$6:$AO$64,13,FALSE)))*C375</f>
        <v>2</v>
      </c>
      <c r="F375" s="200">
        <f>IF(C375=0,0,(VLOOKUP(B375,'RESUMEN RENDIMIENTOS'!$AB$6:$AO$64,14,FALSE)))*C375</f>
        <v>9.5999999999999988E-2</v>
      </c>
      <c r="H375" s="197" t="s">
        <v>279</v>
      </c>
      <c r="I375" s="201">
        <v>1</v>
      </c>
      <c r="K375" s="199">
        <f>IF(I375=0,0,(VLOOKUP(H375,'RESUMEN RENDIMIENTOS'!$AB$6:$AO$64,13,FALSE)))*I375</f>
        <v>2</v>
      </c>
      <c r="L375" s="200">
        <f>IF(I375=0,0,(VLOOKUP(H375,'RESUMEN RENDIMIENTOS'!$AB$6:$AO$64,14,FALSE)))*I375</f>
        <v>9.5999999999999988E-2</v>
      </c>
      <c r="N375" s="197" t="s">
        <v>279</v>
      </c>
      <c r="O375" s="201">
        <v>1</v>
      </c>
      <c r="Q375" s="199">
        <f>IF(O375=0,0,(VLOOKUP(N375,'RESUMEN RENDIMIENTOS'!$AB$6:$AO$64,13,FALSE)))*O375</f>
        <v>2</v>
      </c>
      <c r="R375" s="200">
        <f>IF(O375=0,0,(VLOOKUP(N375,'RESUMEN RENDIMIENTOS'!$AB$6:$AO$64,14,FALSE)))*O375</f>
        <v>9.5999999999999988E-2</v>
      </c>
    </row>
    <row r="376" spans="2:19">
      <c r="B376" s="197" t="s">
        <v>284</v>
      </c>
      <c r="C376" s="201">
        <v>0.25</v>
      </c>
      <c r="E376" s="199">
        <f>IF(C376=0,0,(VLOOKUP(B376,'RESUMEN RENDIMIENTOS'!$AB$6:$AO$64,13,FALSE)))*C376</f>
        <v>0.52500000000000002</v>
      </c>
      <c r="F376" s="200">
        <f>IF(C376=0,0,(VLOOKUP(B376,'RESUMEN RENDIMIENTOS'!$AB$6:$AO$64,14,FALSE)))*C376</f>
        <v>4.2000000000000003E-2</v>
      </c>
      <c r="H376" s="197" t="s">
        <v>284</v>
      </c>
      <c r="I376" s="201">
        <v>0.25</v>
      </c>
      <c r="K376" s="199">
        <f>IF(I376=0,0,(VLOOKUP(H376,'RESUMEN RENDIMIENTOS'!$AB$6:$AO$64,13,FALSE)))*I376</f>
        <v>0.52500000000000002</v>
      </c>
      <c r="L376" s="200">
        <f>IF(I376=0,0,(VLOOKUP(H376,'RESUMEN RENDIMIENTOS'!$AB$6:$AO$64,14,FALSE)))*I376</f>
        <v>4.2000000000000003E-2</v>
      </c>
      <c r="N376" s="197" t="s">
        <v>284</v>
      </c>
      <c r="O376" s="201">
        <v>0.25</v>
      </c>
      <c r="Q376" s="199">
        <f>IF(O376=0,0,(VLOOKUP(N376,'RESUMEN RENDIMIENTOS'!$AB$6:$AO$64,13,FALSE)))*O376</f>
        <v>0.52500000000000002</v>
      </c>
      <c r="R376" s="200">
        <f>IF(O376=0,0,(VLOOKUP(N376,'RESUMEN RENDIMIENTOS'!$AB$6:$AO$64,14,FALSE)))*O376</f>
        <v>4.2000000000000003E-2</v>
      </c>
    </row>
    <row r="377" spans="2:19">
      <c r="B377" s="197" t="s">
        <v>283</v>
      </c>
      <c r="C377" s="201">
        <v>1</v>
      </c>
      <c r="E377" s="199">
        <f>IF(C377=0,0,(VLOOKUP(B377,'RESUMEN RENDIMIENTOS'!$AB$6:$AO$64,13,FALSE)))*C377</f>
        <v>1.59</v>
      </c>
      <c r="F377" s="200">
        <f>IF(C377=0,0,(VLOOKUP(B377,'RESUMEN RENDIMIENTOS'!$AB$6:$AO$64,14,FALSE)))*C377</f>
        <v>0.12720000000000001</v>
      </c>
      <c r="H377" s="197" t="s">
        <v>283</v>
      </c>
      <c r="I377" s="201">
        <v>1</v>
      </c>
      <c r="K377" s="199">
        <f>IF(I377=0,0,(VLOOKUP(H377,'RESUMEN RENDIMIENTOS'!$AB$6:$AO$64,13,FALSE)))*I377</f>
        <v>1.59</v>
      </c>
      <c r="L377" s="200">
        <f>IF(I377=0,0,(VLOOKUP(H377,'RESUMEN RENDIMIENTOS'!$AB$6:$AO$64,14,FALSE)))*I377</f>
        <v>0.12720000000000001</v>
      </c>
      <c r="N377" s="197" t="s">
        <v>283</v>
      </c>
      <c r="O377" s="201">
        <v>1</v>
      </c>
      <c r="Q377" s="199">
        <f>IF(O377=0,0,(VLOOKUP(N377,'RESUMEN RENDIMIENTOS'!$AB$6:$AO$64,13,FALSE)))*O377</f>
        <v>1.59</v>
      </c>
      <c r="R377" s="200">
        <f>IF(O377=0,0,(VLOOKUP(N377,'RESUMEN RENDIMIENTOS'!$AB$6:$AO$64,14,FALSE)))*O377</f>
        <v>0.12720000000000001</v>
      </c>
    </row>
    <row r="378" spans="2:19">
      <c r="B378" s="197" t="s">
        <v>282</v>
      </c>
      <c r="C378" s="201">
        <v>1</v>
      </c>
      <c r="E378" s="199">
        <f>IF(C378=0,0,(VLOOKUP(B378,'RESUMEN RENDIMIENTOS'!$AB$6:$AO$64,13,FALSE)))*C378</f>
        <v>2.62</v>
      </c>
      <c r="F378" s="200">
        <f>IF(C378=0,0,(VLOOKUP(B378,'RESUMEN RENDIMIENTOS'!$AB$6:$AO$64,14,FALSE)))*C378</f>
        <v>6.986666666666666E-2</v>
      </c>
      <c r="H378" s="197" t="s">
        <v>282</v>
      </c>
      <c r="I378" s="201">
        <v>1</v>
      </c>
      <c r="K378" s="199">
        <f>IF(I378=0,0,(VLOOKUP(H378,'RESUMEN RENDIMIENTOS'!$AB$6:$AO$64,13,FALSE)))*I378</f>
        <v>2.62</v>
      </c>
      <c r="L378" s="200">
        <f>IF(I378=0,0,(VLOOKUP(H378,'RESUMEN RENDIMIENTOS'!$AB$6:$AO$64,14,FALSE)))*I378</f>
        <v>6.986666666666666E-2</v>
      </c>
      <c r="N378" s="197" t="s">
        <v>282</v>
      </c>
      <c r="O378" s="201">
        <v>1</v>
      </c>
      <c r="Q378" s="199">
        <f>IF(O378=0,0,(VLOOKUP(N378,'RESUMEN RENDIMIENTOS'!$AB$6:$AO$64,13,FALSE)))*O378</f>
        <v>2.62</v>
      </c>
      <c r="R378" s="200">
        <f>IF(O378=0,0,(VLOOKUP(N378,'RESUMEN RENDIMIENTOS'!$AB$6:$AO$64,14,FALSE)))*O378</f>
        <v>6.986666666666666E-2</v>
      </c>
    </row>
    <row r="379" spans="2:19">
      <c r="B379" s="197" t="s">
        <v>302</v>
      </c>
      <c r="C379" s="201">
        <v>1</v>
      </c>
      <c r="E379" s="199">
        <f>IF(C379=0,0,(VLOOKUP(B379,'RESUMEN RENDIMIENTOS'!$AB$6:$AO$64,13,FALSE)))*C379</f>
        <v>1</v>
      </c>
      <c r="F379" s="200">
        <f>IF(C379=0,0,(VLOOKUP(B379,'RESUMEN RENDIMIENTOS'!$AB$6:$AO$64,14,FALSE)))*C379</f>
        <v>0.2</v>
      </c>
      <c r="H379" s="197" t="s">
        <v>302</v>
      </c>
      <c r="I379" s="201">
        <v>1</v>
      </c>
      <c r="K379" s="199">
        <f>IF(I379=0,0,(VLOOKUP(H379,'RESUMEN RENDIMIENTOS'!$AB$6:$AO$64,13,FALSE)))*I379</f>
        <v>1</v>
      </c>
      <c r="L379" s="200">
        <f>IF(I379=0,0,(VLOOKUP(H379,'RESUMEN RENDIMIENTOS'!$AB$6:$AO$64,14,FALSE)))*I379</f>
        <v>0.2</v>
      </c>
      <c r="N379" s="197" t="s">
        <v>302</v>
      </c>
      <c r="O379" s="201">
        <v>1</v>
      </c>
      <c r="Q379" s="199">
        <f>IF(O379=0,0,(VLOOKUP(N379,'RESUMEN RENDIMIENTOS'!$AB$6:$AO$64,13,FALSE)))*O379</f>
        <v>1</v>
      </c>
      <c r="R379" s="200">
        <f>IF(O379=0,0,(VLOOKUP(N379,'RESUMEN RENDIMIENTOS'!$AB$6:$AO$64,14,FALSE)))*O379</f>
        <v>0.2</v>
      </c>
    </row>
    <row r="380" spans="2:19">
      <c r="B380" s="202"/>
      <c r="F380" s="206">
        <f>SUM(F374:F379)</f>
        <v>0.54535238095238103</v>
      </c>
      <c r="G380" s="205">
        <f>+F380</f>
        <v>0.54535238095238103</v>
      </c>
      <c r="H380" s="202"/>
      <c r="I380" s="179"/>
      <c r="K380" s="88"/>
      <c r="L380" s="252">
        <f>SUM(L374:L379)</f>
        <v>0.54535238095238103</v>
      </c>
      <c r="M380" s="205">
        <f>+L380</f>
        <v>0.54535238095238103</v>
      </c>
      <c r="N380" s="202"/>
      <c r="O380" s="179"/>
      <c r="R380" s="206">
        <f>SUM(R374:R379)</f>
        <v>0.54535238095238103</v>
      </c>
      <c r="S380" s="205">
        <f>+R380</f>
        <v>0.54535238095238103</v>
      </c>
    </row>
    <row r="381" spans="2:19">
      <c r="B381" s="436" t="s">
        <v>324</v>
      </c>
      <c r="C381" s="437"/>
      <c r="D381" s="437"/>
      <c r="E381" s="437"/>
      <c r="F381" s="455"/>
      <c r="G381" s="205"/>
      <c r="H381" s="436" t="s">
        <v>324</v>
      </c>
      <c r="I381" s="437"/>
      <c r="J381" s="437"/>
      <c r="K381" s="437"/>
      <c r="L381" s="437"/>
      <c r="M381" s="205"/>
      <c r="N381" s="436" t="s">
        <v>324</v>
      </c>
      <c r="O381" s="437"/>
      <c r="P381" s="437"/>
      <c r="Q381" s="437"/>
      <c r="R381" s="455"/>
      <c r="S381" s="205"/>
    </row>
    <row r="382" spans="2:19">
      <c r="B382" s="210" t="s">
        <v>325</v>
      </c>
      <c r="C382" s="211">
        <v>1</v>
      </c>
      <c r="D382" s="212">
        <v>21.712335174960327</v>
      </c>
      <c r="E382" s="213">
        <f>F368</f>
        <v>0.74177000449842556</v>
      </c>
      <c r="F382" s="214">
        <f>+IF(C382&gt;="",0,(D382*E382))</f>
        <v>16.105558960401645</v>
      </c>
      <c r="G382" s="215"/>
      <c r="H382" s="210" t="s">
        <v>325</v>
      </c>
      <c r="I382" s="211">
        <v>1</v>
      </c>
      <c r="J382" s="212">
        <v>21.712335174960327</v>
      </c>
      <c r="K382" s="213">
        <f>L368</f>
        <v>0.45375919028340084</v>
      </c>
      <c r="L382" s="216">
        <f>+IF(I382&gt;="",0,(J382*K382))</f>
        <v>9.8521716281517993</v>
      </c>
      <c r="M382" s="215"/>
      <c r="N382" s="210" t="s">
        <v>325</v>
      </c>
      <c r="O382" s="211">
        <v>1</v>
      </c>
      <c r="P382" s="212">
        <v>21.712335174960327</v>
      </c>
      <c r="Q382" s="213">
        <f>R368</f>
        <v>0.96765841068669456</v>
      </c>
      <c r="R382" s="214">
        <f>+IF(O382&gt;="",0,(P382*Q382))</f>
        <v>21.010123747698923</v>
      </c>
      <c r="S382" s="215"/>
    </row>
    <row r="383" spans="2:19">
      <c r="B383" s="210" t="s">
        <v>326</v>
      </c>
      <c r="C383" s="211"/>
      <c r="D383" s="212">
        <f>+D382*25%</f>
        <v>5.4280837937400817</v>
      </c>
      <c r="E383" s="213">
        <f>F368</f>
        <v>0.74177000449842556</v>
      </c>
      <c r="F383" s="214">
        <f>+IF(C383= "",0,(D383*E383))</f>
        <v>0</v>
      </c>
      <c r="G383" s="215"/>
      <c r="H383" s="210" t="s">
        <v>326</v>
      </c>
      <c r="I383" s="211"/>
      <c r="J383" s="212">
        <f>+J382*25%</f>
        <v>5.4280837937400817</v>
      </c>
      <c r="K383" s="213">
        <f>L368</f>
        <v>0.45375919028340084</v>
      </c>
      <c r="L383" s="216">
        <f>+IF(I383= "",0,(J383*K383))</f>
        <v>0</v>
      </c>
      <c r="M383" s="215"/>
      <c r="N383" s="210" t="s">
        <v>326</v>
      </c>
      <c r="O383" s="211"/>
      <c r="P383" s="212">
        <f>+P382*25%</f>
        <v>5.4280837937400817</v>
      </c>
      <c r="Q383" s="213">
        <f>R368</f>
        <v>0.96765841068669456</v>
      </c>
      <c r="R383" s="214">
        <f>+IF(O383= "",0,(P383*Q383))</f>
        <v>0</v>
      </c>
      <c r="S383" s="215"/>
    </row>
    <row r="384" spans="2:19">
      <c r="B384" s="210" t="s">
        <v>327</v>
      </c>
      <c r="C384" s="211"/>
      <c r="D384" s="212">
        <f>+D382*50%</f>
        <v>10.856167587480163</v>
      </c>
      <c r="E384" s="213">
        <f>F368</f>
        <v>0.74177000449842556</v>
      </c>
      <c r="F384" s="214">
        <f>+IF(C384= "",0,(D384*E384))</f>
        <v>0</v>
      </c>
      <c r="G384" s="215"/>
      <c r="H384" s="210" t="s">
        <v>327</v>
      </c>
      <c r="I384" s="211"/>
      <c r="J384" s="212">
        <f>+J382*50%</f>
        <v>10.856167587480163</v>
      </c>
      <c r="K384" s="213">
        <f>L368</f>
        <v>0.45375919028340084</v>
      </c>
      <c r="L384" s="216">
        <f>+IF(I384= "",0,(J384*K384))</f>
        <v>0</v>
      </c>
      <c r="M384" s="215"/>
      <c r="N384" s="210" t="s">
        <v>327</v>
      </c>
      <c r="O384" s="211"/>
      <c r="P384" s="212">
        <f>+P382*50%</f>
        <v>10.856167587480163</v>
      </c>
      <c r="Q384" s="213">
        <f>R368</f>
        <v>0.96765841068669456</v>
      </c>
      <c r="R384" s="214">
        <f>+IF(O384= "",0,(P384*Q384))</f>
        <v>0</v>
      </c>
      <c r="S384" s="215"/>
    </row>
    <row r="385" spans="2:19">
      <c r="B385" s="202"/>
      <c r="F385" s="217">
        <f>SUM(F382:F384)</f>
        <v>16.105558960401645</v>
      </c>
      <c r="G385" s="218"/>
      <c r="H385" s="202"/>
      <c r="I385" s="179"/>
      <c r="K385" s="88"/>
      <c r="L385" s="219">
        <f>SUM(L382:L384)</f>
        <v>9.8521716281517993</v>
      </c>
      <c r="M385" s="218"/>
      <c r="N385" s="202"/>
      <c r="O385" s="179"/>
      <c r="R385" s="217">
        <f>SUM(R382:R384)</f>
        <v>21.010123747698923</v>
      </c>
      <c r="S385" s="218"/>
    </row>
    <row r="386" spans="2:19">
      <c r="B386" s="202"/>
      <c r="F386" s="189"/>
      <c r="G386" s="220"/>
      <c r="H386" s="202"/>
      <c r="I386" s="179"/>
      <c r="K386" s="88"/>
      <c r="M386" s="220"/>
      <c r="N386" s="202"/>
      <c r="O386" s="179"/>
      <c r="R386" s="189"/>
      <c r="S386" s="220"/>
    </row>
    <row r="387" spans="2:19" ht="21">
      <c r="B387" s="438" t="s">
        <v>328</v>
      </c>
      <c r="C387" s="439"/>
      <c r="D387" s="439"/>
      <c r="E387" s="440"/>
      <c r="F387" s="225">
        <f>+F380+F385</f>
        <v>16.650911341354025</v>
      </c>
      <c r="G387" s="205">
        <f>+F387</f>
        <v>16.650911341354025</v>
      </c>
      <c r="H387" s="438" t="s">
        <v>328</v>
      </c>
      <c r="I387" s="439"/>
      <c r="J387" s="439"/>
      <c r="K387" s="440"/>
      <c r="L387" s="221">
        <f>+L380+L385</f>
        <v>10.397524009104181</v>
      </c>
      <c r="M387" s="205">
        <f>+L387</f>
        <v>10.397524009104181</v>
      </c>
      <c r="N387" s="438" t="s">
        <v>328</v>
      </c>
      <c r="O387" s="439"/>
      <c r="P387" s="439"/>
      <c r="Q387" s="440"/>
      <c r="R387" s="225">
        <f>+R380+R385</f>
        <v>21.555476128651303</v>
      </c>
      <c r="S387" s="205">
        <f>+R387</f>
        <v>21.555476128651303</v>
      </c>
    </row>
    <row r="388" spans="2:19">
      <c r="B388" s="202"/>
      <c r="F388" s="189"/>
      <c r="G388" s="205"/>
      <c r="H388" s="202"/>
      <c r="I388" s="179"/>
      <c r="K388" s="88"/>
      <c r="M388" s="205"/>
      <c r="N388" s="202"/>
      <c r="O388" s="179"/>
      <c r="R388" s="189"/>
      <c r="S388" s="205"/>
    </row>
    <row r="389" spans="2:19" ht="19">
      <c r="B389" s="441" t="s">
        <v>329</v>
      </c>
      <c r="C389" s="442"/>
      <c r="D389" s="442"/>
      <c r="E389" s="443"/>
      <c r="F389" s="230">
        <f>+F387/$C$37</f>
        <v>0.16650911341354024</v>
      </c>
      <c r="G389" s="205"/>
      <c r="H389" s="441" t="s">
        <v>329</v>
      </c>
      <c r="I389" s="442"/>
      <c r="J389" s="442"/>
      <c r="K389" s="443"/>
      <c r="L389" s="253">
        <f>+L387/$C$37</f>
        <v>0.10397524009104181</v>
      </c>
      <c r="M389" s="205"/>
      <c r="N389" s="441" t="s">
        <v>329</v>
      </c>
      <c r="O389" s="442"/>
      <c r="P389" s="442"/>
      <c r="Q389" s="443"/>
      <c r="R389" s="230">
        <f>+R387/$C$37</f>
        <v>0.21555476128651305</v>
      </c>
      <c r="S389" s="205"/>
    </row>
    <row r="390" spans="2:19" ht="17" thickBot="1">
      <c r="B390" s="231"/>
      <c r="C390" s="232"/>
      <c r="D390" s="233"/>
      <c r="E390" s="233"/>
      <c r="F390" s="234"/>
      <c r="G390" s="205"/>
      <c r="H390" s="231"/>
      <c r="I390" s="232"/>
      <c r="J390" s="233"/>
      <c r="K390" s="233"/>
      <c r="L390" s="233"/>
      <c r="M390" s="205"/>
      <c r="N390" s="231"/>
      <c r="O390" s="232"/>
      <c r="P390" s="233"/>
      <c r="Q390" s="233"/>
      <c r="R390" s="234"/>
      <c r="S390" s="205"/>
    </row>
    <row r="391" spans="2:19" ht="23.25" customHeight="1" thickBot="1">
      <c r="B391" s="415" t="s">
        <v>312</v>
      </c>
      <c r="C391" s="416"/>
      <c r="D391" s="416"/>
      <c r="E391" s="416"/>
      <c r="F391" s="416"/>
      <c r="G391" s="416"/>
      <c r="H391" s="416"/>
      <c r="I391" s="416"/>
      <c r="J391" s="416"/>
      <c r="K391" s="416"/>
      <c r="L391" s="416"/>
      <c r="M391" s="416"/>
      <c r="N391" s="416"/>
      <c r="O391" s="416"/>
      <c r="P391" s="416"/>
      <c r="Q391" s="416"/>
      <c r="R391" s="417"/>
    </row>
    <row r="392" spans="2:19" ht="25">
      <c r="B392" s="237" t="s">
        <v>16</v>
      </c>
      <c r="C392" s="459" t="s">
        <v>94</v>
      </c>
      <c r="D392" s="460"/>
      <c r="E392" s="461"/>
      <c r="F392" s="255"/>
      <c r="G392" s="258"/>
      <c r="H392" s="239" t="s">
        <v>16</v>
      </c>
      <c r="I392" s="452" t="s">
        <v>93</v>
      </c>
      <c r="J392" s="453"/>
      <c r="K392" s="454"/>
      <c r="L392" s="240"/>
      <c r="M392" s="254"/>
      <c r="N392" s="237" t="s">
        <v>16</v>
      </c>
      <c r="O392" s="459" t="s">
        <v>122</v>
      </c>
      <c r="P392" s="460"/>
      <c r="Q392" s="461"/>
      <c r="R392" s="255"/>
    </row>
    <row r="393" spans="2:19" ht="33" thickBot="1">
      <c r="B393" s="241" t="s">
        <v>313</v>
      </c>
      <c r="C393" s="242" t="s">
        <v>6</v>
      </c>
      <c r="D393" s="243" t="s">
        <v>25</v>
      </c>
      <c r="E393" s="244" t="s">
        <v>314</v>
      </c>
      <c r="F393" s="245" t="s">
        <v>315</v>
      </c>
      <c r="H393" s="241" t="s">
        <v>313</v>
      </c>
      <c r="I393" s="242" t="s">
        <v>6</v>
      </c>
      <c r="J393" s="243" t="s">
        <v>25</v>
      </c>
      <c r="K393" s="244" t="s">
        <v>314</v>
      </c>
      <c r="L393" s="245" t="s">
        <v>315</v>
      </c>
      <c r="N393" s="241" t="s">
        <v>313</v>
      </c>
      <c r="O393" s="242" t="s">
        <v>6</v>
      </c>
      <c r="P393" s="243" t="s">
        <v>25</v>
      </c>
      <c r="Q393" s="244" t="s">
        <v>314</v>
      </c>
      <c r="R393" s="245" t="s">
        <v>315</v>
      </c>
    </row>
    <row r="394" spans="2:19">
      <c r="B394" s="170" t="s">
        <v>181</v>
      </c>
      <c r="C394" s="171">
        <f>VLOOKUP(B394,'RESUMEN RENDIMIENTOS'!$V$6:$W$158,2,FALSE)</f>
        <v>900</v>
      </c>
      <c r="D394" s="177" t="s">
        <v>20</v>
      </c>
      <c r="E394" s="172">
        <v>247</v>
      </c>
      <c r="F394" s="173">
        <f t="shared" ref="F394:F409" si="51">IF(C394=0,0,(100/C394)*E394/$E$37)</f>
        <v>0.1111111111111111</v>
      </c>
      <c r="G394" s="164">
        <f>+F394/F410</f>
        <v>0.14895440825604292</v>
      </c>
      <c r="H394" s="170" t="s">
        <v>181</v>
      </c>
      <c r="I394" s="171">
        <f>VLOOKUP(H394,'RESUMEN RENDIMIENTOS'!$V$6:$W$158,2,FALSE)</f>
        <v>900</v>
      </c>
      <c r="J394" s="177" t="s">
        <v>20</v>
      </c>
      <c r="K394" s="172">
        <v>247</v>
      </c>
      <c r="L394" s="173">
        <f t="shared" ref="L394:L409" si="52">IF(I394=0,0,(100/I394)*K394/$E$37)</f>
        <v>0.1111111111111111</v>
      </c>
      <c r="M394" s="164">
        <f>+L394/L410</f>
        <v>0.13492629030063663</v>
      </c>
      <c r="N394" s="170" t="s">
        <v>180</v>
      </c>
      <c r="O394" s="171">
        <f>VLOOKUP(N394,'RESUMEN RENDIMIENTOS'!$V$6:$W$158,2,FALSE)</f>
        <v>1800</v>
      </c>
      <c r="P394" s="177" t="s">
        <v>20</v>
      </c>
      <c r="Q394" s="172">
        <v>247</v>
      </c>
      <c r="R394" s="175">
        <f t="shared" ref="R394:R409" si="53">IF(O394=0,0,(100/O394)*Q394/$E$37)</f>
        <v>5.5555555555555552E-2</v>
      </c>
      <c r="S394" s="164">
        <f>+R394/R410</f>
        <v>0.41739718214655375</v>
      </c>
    </row>
    <row r="395" spans="2:19">
      <c r="B395" s="170" t="s">
        <v>203</v>
      </c>
      <c r="C395" s="171">
        <f>VLOOKUP(B395,'RESUMEN RENDIMIENTOS'!$V$6:$W$158,2,FALSE)</f>
        <v>600</v>
      </c>
      <c r="D395" s="177" t="s">
        <v>20</v>
      </c>
      <c r="E395" s="172">
        <v>247</v>
      </c>
      <c r="F395" s="173">
        <f t="shared" si="51"/>
        <v>0.16666666666666666</v>
      </c>
      <c r="G395" s="174">
        <f>+F395/F410</f>
        <v>0.22343161238406437</v>
      </c>
      <c r="H395" s="170" t="s">
        <v>203</v>
      </c>
      <c r="I395" s="171">
        <f>VLOOKUP(H395,'RESUMEN RENDIMIENTOS'!$V$6:$W$158,2,FALSE)</f>
        <v>600</v>
      </c>
      <c r="J395" s="177" t="s">
        <v>20</v>
      </c>
      <c r="K395" s="172">
        <v>247</v>
      </c>
      <c r="L395" s="173">
        <f t="shared" si="52"/>
        <v>0.16666666666666666</v>
      </c>
      <c r="M395" s="174">
        <f>+L395/L410</f>
        <v>0.20238943545095495</v>
      </c>
      <c r="N395" s="170" t="s">
        <v>204</v>
      </c>
      <c r="O395" s="171">
        <f>VLOOKUP(N395,'RESUMEN RENDIMIENTOS'!$V$6:$W$158,2,FALSE)</f>
        <v>1800</v>
      </c>
      <c r="P395" s="177" t="s">
        <v>20</v>
      </c>
      <c r="Q395" s="172">
        <v>247</v>
      </c>
      <c r="R395" s="175">
        <f t="shared" si="53"/>
        <v>5.5555555555555552E-2</v>
      </c>
      <c r="S395" s="174">
        <f>+R395/R410</f>
        <v>0.41739718214655375</v>
      </c>
    </row>
    <row r="396" spans="2:19">
      <c r="B396" s="170" t="s">
        <v>190</v>
      </c>
      <c r="C396" s="171">
        <f>VLOOKUP(B396,'RESUMEN RENDIMIENTOS'!$V$6:$W$158,2,FALSE)</f>
        <v>960</v>
      </c>
      <c r="D396" s="177" t="s">
        <v>20</v>
      </c>
      <c r="E396" s="172">
        <v>247</v>
      </c>
      <c r="F396" s="173">
        <f t="shared" si="51"/>
        <v>0.10416666666666667</v>
      </c>
      <c r="G396" s="174">
        <f>+F396/F410</f>
        <v>0.13964475774004023</v>
      </c>
      <c r="H396" s="170" t="s">
        <v>241</v>
      </c>
      <c r="I396" s="171">
        <f>VLOOKUP(H396,'RESUMEN RENDIMIENTOS'!$V$6:$W$158,2,FALSE)</f>
        <v>450</v>
      </c>
      <c r="J396" s="177" t="s">
        <v>20</v>
      </c>
      <c r="K396" s="172">
        <v>247</v>
      </c>
      <c r="L396" s="173">
        <f t="shared" si="52"/>
        <v>0.22222222222222221</v>
      </c>
      <c r="M396" s="174">
        <f>+L396/L410</f>
        <v>0.26985258060127326</v>
      </c>
      <c r="N396" s="170" t="s">
        <v>190</v>
      </c>
      <c r="O396" s="171">
        <f>VLOOKUP(N396,'RESUMEN RENDIMIENTOS'!$V$6:$W$158,2,FALSE)</f>
        <v>960</v>
      </c>
      <c r="P396" s="177" t="s">
        <v>56</v>
      </c>
      <c r="Q396" s="172">
        <v>52.14</v>
      </c>
      <c r="R396" s="175">
        <f t="shared" si="53"/>
        <v>2.1988866396761134E-2</v>
      </c>
      <c r="S396" s="174">
        <f>+R396/R410</f>
        <v>0.16520563570689256</v>
      </c>
    </row>
    <row r="397" spans="2:19">
      <c r="B397" s="170" t="s">
        <v>191</v>
      </c>
      <c r="C397" s="171">
        <f>VLOOKUP(B397,'RESUMEN RENDIMIENTOS'!$V$6:$W$158,2,FALSE)</f>
        <v>800</v>
      </c>
      <c r="D397" s="177" t="s">
        <v>52</v>
      </c>
      <c r="E397" s="172">
        <v>156.42000000000002</v>
      </c>
      <c r="F397" s="173">
        <f t="shared" si="51"/>
        <v>7.9159919028340089E-2</v>
      </c>
      <c r="G397" s="174">
        <f>+F397/F410</f>
        <v>0.10612097006816403</v>
      </c>
      <c r="H397" s="170" t="s">
        <v>254</v>
      </c>
      <c r="I397" s="171">
        <f>VLOOKUP(H397,'RESUMEN RENDIMIENTOS'!$V$6:$W$158,2,FALSE)</f>
        <v>2000</v>
      </c>
      <c r="J397" s="177" t="s">
        <v>20</v>
      </c>
      <c r="K397" s="172">
        <v>247</v>
      </c>
      <c r="L397" s="173">
        <f t="shared" si="52"/>
        <v>0.05</v>
      </c>
      <c r="M397" s="174">
        <f>+L397/L410</f>
        <v>6.0716830635286489E-2</v>
      </c>
      <c r="N397" s="170">
        <v>0</v>
      </c>
      <c r="O397" s="171">
        <f>VLOOKUP(N397,'RESUMEN RENDIMIENTOS'!$V$6:$W$158,2,FALSE)</f>
        <v>0</v>
      </c>
      <c r="P397" s="177"/>
      <c r="Q397" s="172" t="s">
        <v>337</v>
      </c>
      <c r="R397" s="175">
        <f t="shared" si="53"/>
        <v>0</v>
      </c>
      <c r="S397" s="174">
        <f>+R397/R410</f>
        <v>0</v>
      </c>
    </row>
    <row r="398" spans="2:19">
      <c r="B398" s="170" t="s">
        <v>210</v>
      </c>
      <c r="C398" s="171">
        <f>VLOOKUP(B398,'RESUMEN RENDIMIENTOS'!$V$6:$W$158,2,FALSE)</f>
        <v>80</v>
      </c>
      <c r="D398" s="177" t="s">
        <v>30</v>
      </c>
      <c r="E398" s="172">
        <v>24</v>
      </c>
      <c r="F398" s="173">
        <f t="shared" si="51"/>
        <v>0.1214574898785425</v>
      </c>
      <c r="G398" s="174">
        <f>+F398/F410</f>
        <v>0.1628246567981036</v>
      </c>
      <c r="H398" s="170" t="s">
        <v>259</v>
      </c>
      <c r="I398" s="171">
        <f>VLOOKUP(H398,'RESUMEN RENDIMIENTOS'!$V$6:$W$158,2,FALSE)</f>
        <v>1800</v>
      </c>
      <c r="J398" s="177" t="s">
        <v>20</v>
      </c>
      <c r="K398" s="172">
        <v>247</v>
      </c>
      <c r="L398" s="173">
        <f t="shared" si="52"/>
        <v>5.5555555555555552E-2</v>
      </c>
      <c r="M398" s="174">
        <f>+L398/L410</f>
        <v>6.7463145150318315E-2</v>
      </c>
      <c r="N398" s="170">
        <v>0</v>
      </c>
      <c r="O398" s="171">
        <f>VLOOKUP(N398,'RESUMEN RENDIMIENTOS'!$V$6:$W$158,2,FALSE)</f>
        <v>0</v>
      </c>
      <c r="P398" s="177"/>
      <c r="Q398" s="172" t="s">
        <v>337</v>
      </c>
      <c r="R398" s="175">
        <f t="shared" si="53"/>
        <v>0</v>
      </c>
      <c r="S398" s="174">
        <f>+R398/R410</f>
        <v>0</v>
      </c>
    </row>
    <row r="399" spans="2:19">
      <c r="B399" s="170" t="s">
        <v>196</v>
      </c>
      <c r="C399" s="171">
        <f>VLOOKUP(B399,'RESUMEN RENDIMIENTOS'!$V$6:$W$158,2,FALSE)</f>
        <v>550</v>
      </c>
      <c r="D399" s="177" t="s">
        <v>58</v>
      </c>
      <c r="E399" s="172">
        <v>12</v>
      </c>
      <c r="F399" s="173">
        <f t="shared" si="51"/>
        <v>8.833271991166727E-3</v>
      </c>
      <c r="G399" s="174">
        <f>+F399/F410</f>
        <v>1.1841793221680261E-2</v>
      </c>
      <c r="H399" s="170" t="s">
        <v>253</v>
      </c>
      <c r="I399" s="171">
        <f>VLOOKUP(H399,'RESUMEN RENDIMIENTOS'!$V$6:$W$158,2,FALSE)</f>
        <v>1500</v>
      </c>
      <c r="J399" s="177" t="s">
        <v>20</v>
      </c>
      <c r="K399" s="172">
        <v>247</v>
      </c>
      <c r="L399" s="173">
        <f t="shared" si="52"/>
        <v>6.6666666666666666E-2</v>
      </c>
      <c r="M399" s="174">
        <f>+L399/L410</f>
        <v>8.0955774180381981E-2</v>
      </c>
      <c r="N399" s="170">
        <v>0</v>
      </c>
      <c r="O399" s="171">
        <f>VLOOKUP(N399,'RESUMEN RENDIMIENTOS'!$V$6:$W$158,2,FALSE)</f>
        <v>0</v>
      </c>
      <c r="P399" s="177"/>
      <c r="Q399" s="172" t="s">
        <v>337</v>
      </c>
      <c r="R399" s="175">
        <f t="shared" si="53"/>
        <v>0</v>
      </c>
      <c r="S399" s="174">
        <f>+R399/R410</f>
        <v>0</v>
      </c>
    </row>
    <row r="400" spans="2:19">
      <c r="B400" s="170" t="s">
        <v>194</v>
      </c>
      <c r="C400" s="171">
        <f>VLOOKUP(B400,'RESUMEN RENDIMIENTOS'!$V$6:$W$158,2,FALSE)</f>
        <v>2000</v>
      </c>
      <c r="D400" s="177" t="s">
        <v>20</v>
      </c>
      <c r="E400" s="172">
        <v>247</v>
      </c>
      <c r="F400" s="173">
        <f t="shared" si="51"/>
        <v>0.05</v>
      </c>
      <c r="G400" s="174">
        <f>+F400/F410</f>
        <v>6.7029483715219315E-2</v>
      </c>
      <c r="H400" s="170" t="s">
        <v>194</v>
      </c>
      <c r="I400" s="171">
        <f>VLOOKUP(H400,'RESUMEN RENDIMIENTOS'!$V$6:$W$158,2,FALSE)</f>
        <v>2000</v>
      </c>
      <c r="J400" s="177" t="s">
        <v>56</v>
      </c>
      <c r="K400" s="172">
        <v>52.14</v>
      </c>
      <c r="L400" s="173">
        <f t="shared" si="52"/>
        <v>1.0554655870445346E-2</v>
      </c>
      <c r="M400" s="174">
        <f>+L400/L410</f>
        <v>1.2816905057991247E-2</v>
      </c>
      <c r="N400" s="170">
        <v>0</v>
      </c>
      <c r="O400" s="171">
        <f>VLOOKUP(N400,'RESUMEN RENDIMIENTOS'!$V$6:$W$158,2,FALSE)</f>
        <v>0</v>
      </c>
      <c r="P400" s="177"/>
      <c r="Q400" s="172" t="s">
        <v>337</v>
      </c>
      <c r="R400" s="175">
        <f t="shared" si="53"/>
        <v>0</v>
      </c>
      <c r="S400" s="174">
        <f>+R400/R410</f>
        <v>0</v>
      </c>
    </row>
    <row r="401" spans="2:19">
      <c r="B401" s="170" t="s">
        <v>234</v>
      </c>
      <c r="C401" s="171">
        <f>VLOOKUP(B401,'RESUMEN RENDIMIENTOS'!$V$6:$W$158,2,FALSE)</f>
        <v>805</v>
      </c>
      <c r="D401" s="177" t="s">
        <v>58</v>
      </c>
      <c r="E401" s="172">
        <v>12</v>
      </c>
      <c r="F401" s="173">
        <f t="shared" si="51"/>
        <v>6.0351547765735408E-3</v>
      </c>
      <c r="G401" s="174">
        <f>+F401/F410</f>
        <v>8.0906661763032843E-3</v>
      </c>
      <c r="H401" s="170" t="s">
        <v>230</v>
      </c>
      <c r="I401" s="171">
        <f>VLOOKUP(H401,'RESUMEN RENDIMIENTOS'!$V$6:$W$158,2,FALSE)</f>
        <v>900</v>
      </c>
      <c r="J401" s="177" t="s">
        <v>30</v>
      </c>
      <c r="K401" s="172">
        <v>24</v>
      </c>
      <c r="L401" s="173">
        <f t="shared" si="52"/>
        <v>1.0796221322537112E-2</v>
      </c>
      <c r="M401" s="174">
        <f>+L401/L410</f>
        <v>1.311024683083109E-2</v>
      </c>
      <c r="N401" s="170">
        <v>0</v>
      </c>
      <c r="O401" s="171">
        <f>VLOOKUP(N401,'RESUMEN RENDIMIENTOS'!$V$6:$W$158,2,FALSE)</f>
        <v>0</v>
      </c>
      <c r="P401" s="177"/>
      <c r="Q401" s="172" t="s">
        <v>337</v>
      </c>
      <c r="R401" s="175">
        <f t="shared" si="53"/>
        <v>0</v>
      </c>
      <c r="S401" s="174">
        <f>+R401/R410</f>
        <v>0</v>
      </c>
    </row>
    <row r="402" spans="2:19">
      <c r="B402" s="170" t="s">
        <v>197</v>
      </c>
      <c r="C402" s="171">
        <f>VLOOKUP(B402,'RESUMEN RENDIMIENTOS'!$V$6:$W$158,2,FALSE)</f>
        <v>600</v>
      </c>
      <c r="D402" s="177" t="s">
        <v>56</v>
      </c>
      <c r="E402" s="172">
        <v>52.14</v>
      </c>
      <c r="F402" s="173">
        <f t="shared" si="51"/>
        <v>3.5182186234817815E-2</v>
      </c>
      <c r="G402" s="174">
        <f>+F402/F410</f>
        <v>4.7164875585850675E-2</v>
      </c>
      <c r="H402" s="170" t="s">
        <v>210</v>
      </c>
      <c r="I402" s="171">
        <f>VLOOKUP(H402,'RESUMEN RENDIMIENTOS'!$V$6:$W$158,2,FALSE)</f>
        <v>80</v>
      </c>
      <c r="J402" s="177" t="s">
        <v>58</v>
      </c>
      <c r="K402" s="172">
        <v>12</v>
      </c>
      <c r="L402" s="173">
        <f t="shared" si="52"/>
        <v>6.0728744939271252E-2</v>
      </c>
      <c r="M402" s="174">
        <f>+L402/L410</f>
        <v>7.374513842342488E-2</v>
      </c>
      <c r="N402" s="170">
        <v>0</v>
      </c>
      <c r="O402" s="171">
        <f>VLOOKUP(N402,'RESUMEN RENDIMIENTOS'!$V$6:$W$158,2,FALSE)</f>
        <v>0</v>
      </c>
      <c r="P402" s="177"/>
      <c r="Q402" s="172" t="s">
        <v>337</v>
      </c>
      <c r="R402" s="175">
        <f t="shared" si="53"/>
        <v>0</v>
      </c>
      <c r="S402" s="174">
        <f>+R402/R410</f>
        <v>0</v>
      </c>
    </row>
    <row r="403" spans="2:19">
      <c r="B403" s="170" t="s">
        <v>240</v>
      </c>
      <c r="C403" s="171">
        <f>VLOOKUP(B403,'RESUMEN RENDIMIENTOS'!$V$6:$W$158,2,FALSE)</f>
        <v>1000</v>
      </c>
      <c r="D403" s="177" t="s">
        <v>52</v>
      </c>
      <c r="E403" s="172">
        <v>156.42000000000002</v>
      </c>
      <c r="F403" s="173">
        <f t="shared" si="51"/>
        <v>6.3327935222672077E-2</v>
      </c>
      <c r="G403" s="174">
        <f>+F403/F410</f>
        <v>8.4896776054531234E-2</v>
      </c>
      <c r="H403" s="170" t="s">
        <v>242</v>
      </c>
      <c r="I403" s="171">
        <f>VLOOKUP(H403,'RESUMEN RENDIMIENTOS'!$V$6:$W$158,2,FALSE)</f>
        <v>125</v>
      </c>
      <c r="J403" s="177" t="s">
        <v>58</v>
      </c>
      <c r="K403" s="172">
        <v>12</v>
      </c>
      <c r="L403" s="173">
        <f t="shared" si="52"/>
        <v>3.8866396761133612E-2</v>
      </c>
      <c r="M403" s="174">
        <f>+L403/L410</f>
        <v>4.7196888590991935E-2</v>
      </c>
      <c r="N403" s="170">
        <v>0</v>
      </c>
      <c r="O403" s="171">
        <f>VLOOKUP(N403,'RESUMEN RENDIMIENTOS'!$V$6:$W$158,2,FALSE)</f>
        <v>0</v>
      </c>
      <c r="P403" s="177"/>
      <c r="Q403" s="172" t="s">
        <v>337</v>
      </c>
      <c r="R403" s="175">
        <f t="shared" si="53"/>
        <v>0</v>
      </c>
      <c r="S403" s="174">
        <f>+R403/R410</f>
        <v>0</v>
      </c>
    </row>
    <row r="404" spans="2:19">
      <c r="B404" s="170">
        <v>0</v>
      </c>
      <c r="C404" s="171">
        <f>VLOOKUP(B404,'RESUMEN RENDIMIENTOS'!$V$6:$W$158,2,FALSE)</f>
        <v>0</v>
      </c>
      <c r="D404" s="177"/>
      <c r="E404" s="172" t="s">
        <v>337</v>
      </c>
      <c r="F404" s="173">
        <f t="shared" si="51"/>
        <v>0</v>
      </c>
      <c r="G404" s="174">
        <f>+F404/F410</f>
        <v>0</v>
      </c>
      <c r="H404" s="170" t="s">
        <v>240</v>
      </c>
      <c r="I404" s="171">
        <f>VLOOKUP(H404,'RESUMEN RENDIMIENTOS'!$V$6:$W$158,2,FALSE)</f>
        <v>1000</v>
      </c>
      <c r="J404" s="177" t="s">
        <v>58</v>
      </c>
      <c r="K404" s="172">
        <v>12</v>
      </c>
      <c r="L404" s="173">
        <f t="shared" si="52"/>
        <v>4.8582995951417015E-3</v>
      </c>
      <c r="M404" s="174">
        <f>+L404/L410</f>
        <v>5.8996110738739919E-3</v>
      </c>
      <c r="N404" s="170">
        <v>0</v>
      </c>
      <c r="O404" s="171">
        <f>VLOOKUP(N404,'RESUMEN RENDIMIENTOS'!$V$6:$W$158,2,FALSE)</f>
        <v>0</v>
      </c>
      <c r="P404" s="177"/>
      <c r="Q404" s="172" t="s">
        <v>337</v>
      </c>
      <c r="R404" s="175">
        <f t="shared" si="53"/>
        <v>0</v>
      </c>
      <c r="S404" s="174">
        <f>+R404/R410</f>
        <v>0</v>
      </c>
    </row>
    <row r="405" spans="2:19">
      <c r="B405" s="170">
        <v>0</v>
      </c>
      <c r="C405" s="171">
        <f>VLOOKUP(B405,'RESUMEN RENDIMIENTOS'!$V$6:$W$158,2,FALSE)</f>
        <v>0</v>
      </c>
      <c r="D405" s="177"/>
      <c r="E405" s="172" t="s">
        <v>337</v>
      </c>
      <c r="F405" s="173">
        <f t="shared" si="51"/>
        <v>0</v>
      </c>
      <c r="G405" s="174">
        <f>+F405/F410</f>
        <v>0</v>
      </c>
      <c r="H405" s="170" t="s">
        <v>234</v>
      </c>
      <c r="I405" s="171">
        <f>VLOOKUP(H405,'RESUMEN RENDIMIENTOS'!$V$6:$W$158,2,FALSE)</f>
        <v>805</v>
      </c>
      <c r="J405" s="177" t="s">
        <v>58</v>
      </c>
      <c r="K405" s="172">
        <v>12</v>
      </c>
      <c r="L405" s="173">
        <f t="shared" si="52"/>
        <v>6.0351547765735408E-3</v>
      </c>
      <c r="M405" s="174">
        <f>+L405/L410</f>
        <v>7.3287094085391193E-3</v>
      </c>
      <c r="N405" s="170">
        <v>0</v>
      </c>
      <c r="O405" s="171">
        <f>VLOOKUP(N405,'RESUMEN RENDIMIENTOS'!$V$6:$W$158,2,FALSE)</f>
        <v>0</v>
      </c>
      <c r="P405" s="177"/>
      <c r="Q405" s="172" t="s">
        <v>337</v>
      </c>
      <c r="R405" s="175">
        <f t="shared" si="53"/>
        <v>0</v>
      </c>
      <c r="S405" s="174">
        <f>+R405/R410</f>
        <v>0</v>
      </c>
    </row>
    <row r="406" spans="2:19">
      <c r="B406" s="170">
        <v>0</v>
      </c>
      <c r="C406" s="171">
        <f>VLOOKUP(B406,'RESUMEN RENDIMIENTOS'!$V$6:$W$158,2,FALSE)</f>
        <v>0</v>
      </c>
      <c r="D406" s="177"/>
      <c r="E406" s="172" t="s">
        <v>337</v>
      </c>
      <c r="F406" s="173">
        <f t="shared" si="51"/>
        <v>0</v>
      </c>
      <c r="G406" s="174">
        <f>+F406/F410</f>
        <v>0</v>
      </c>
      <c r="H406" s="170" t="s">
        <v>237</v>
      </c>
      <c r="I406" s="171">
        <f>VLOOKUP(H406,'RESUMEN RENDIMIENTOS'!$V$6:$W$158,2,FALSE)</f>
        <v>250</v>
      </c>
      <c r="J406" s="177" t="s">
        <v>58</v>
      </c>
      <c r="K406" s="172">
        <v>12</v>
      </c>
      <c r="L406" s="173">
        <f t="shared" si="52"/>
        <v>1.9433198380566806E-2</v>
      </c>
      <c r="M406" s="174">
        <f>+L406/L410</f>
        <v>2.3598444295495968E-2</v>
      </c>
      <c r="N406" s="170">
        <v>0</v>
      </c>
      <c r="O406" s="171">
        <f>VLOOKUP(N406,'RESUMEN RENDIMIENTOS'!$V$6:$W$158,2,FALSE)</f>
        <v>0</v>
      </c>
      <c r="P406" s="177"/>
      <c r="Q406" s="172" t="s">
        <v>337</v>
      </c>
      <c r="R406" s="175">
        <f t="shared" si="53"/>
        <v>0</v>
      </c>
      <c r="S406" s="174">
        <f>+R406/R410</f>
        <v>0</v>
      </c>
    </row>
    <row r="407" spans="2:19">
      <c r="B407" s="170">
        <v>0</v>
      </c>
      <c r="C407" s="171">
        <f>VLOOKUP(B407,'RESUMEN RENDIMIENTOS'!$V$6:$W$158,2,FALSE)</f>
        <v>0</v>
      </c>
      <c r="D407" s="177"/>
      <c r="E407" s="172" t="s">
        <v>337</v>
      </c>
      <c r="F407" s="173">
        <f t="shared" si="51"/>
        <v>0</v>
      </c>
      <c r="G407" s="174">
        <f>+F407/F410</f>
        <v>0</v>
      </c>
      <c r="H407" s="170">
        <v>0</v>
      </c>
      <c r="I407" s="171">
        <f>VLOOKUP(H407,'RESUMEN RENDIMIENTOS'!$V$6:$W$158,2,FALSE)</f>
        <v>0</v>
      </c>
      <c r="J407" s="177"/>
      <c r="K407" s="172" t="s">
        <v>337</v>
      </c>
      <c r="L407" s="173">
        <f t="shared" si="52"/>
        <v>0</v>
      </c>
      <c r="M407" s="174">
        <f>+L407/L410</f>
        <v>0</v>
      </c>
      <c r="N407" s="170">
        <v>0</v>
      </c>
      <c r="O407" s="171">
        <f>VLOOKUP(N407,'RESUMEN RENDIMIENTOS'!$V$6:$W$158,2,FALSE)</f>
        <v>0</v>
      </c>
      <c r="P407" s="177"/>
      <c r="Q407" s="172" t="s">
        <v>337</v>
      </c>
      <c r="R407" s="175">
        <f t="shared" si="53"/>
        <v>0</v>
      </c>
      <c r="S407" s="174">
        <f>+R407/R410</f>
        <v>0</v>
      </c>
    </row>
    <row r="408" spans="2:19">
      <c r="B408" s="170">
        <v>0</v>
      </c>
      <c r="C408" s="171">
        <f>VLOOKUP(B408,'RESUMEN RENDIMIENTOS'!$V$6:$W$158,2,FALSE)</f>
        <v>0</v>
      </c>
      <c r="D408" s="177"/>
      <c r="E408" s="172" t="s">
        <v>337</v>
      </c>
      <c r="F408" s="173">
        <f t="shared" si="51"/>
        <v>0</v>
      </c>
      <c r="G408" s="174">
        <f>+F408/F410</f>
        <v>0</v>
      </c>
      <c r="H408" s="170">
        <v>0</v>
      </c>
      <c r="I408" s="171">
        <f>VLOOKUP(H408,'RESUMEN RENDIMIENTOS'!$V$6:$W$158,2,FALSE)</f>
        <v>0</v>
      </c>
      <c r="J408" s="177"/>
      <c r="K408" s="172" t="s">
        <v>337</v>
      </c>
      <c r="L408" s="173">
        <f t="shared" si="52"/>
        <v>0</v>
      </c>
      <c r="M408" s="174">
        <f>+L408/L410</f>
        <v>0</v>
      </c>
      <c r="N408" s="170">
        <v>0</v>
      </c>
      <c r="O408" s="171">
        <f>VLOOKUP(N408,'RESUMEN RENDIMIENTOS'!$V$6:$W$158,2,FALSE)</f>
        <v>0</v>
      </c>
      <c r="P408" s="177"/>
      <c r="Q408" s="172" t="s">
        <v>337</v>
      </c>
      <c r="R408" s="175">
        <f t="shared" si="53"/>
        <v>0</v>
      </c>
      <c r="S408" s="174">
        <f>+R408/R410</f>
        <v>0</v>
      </c>
    </row>
    <row r="409" spans="2:19">
      <c r="B409" s="170">
        <v>0</v>
      </c>
      <c r="C409" s="171">
        <f>VLOOKUP(B409,'RESUMEN RENDIMIENTOS'!$V$6:$W$158,2,FALSE)</f>
        <v>0</v>
      </c>
      <c r="D409" s="177"/>
      <c r="E409" s="172" t="s">
        <v>337</v>
      </c>
      <c r="F409" s="173">
        <f t="shared" si="51"/>
        <v>0</v>
      </c>
      <c r="G409" s="174">
        <f>+F409/F410</f>
        <v>0</v>
      </c>
      <c r="H409" s="170">
        <v>0</v>
      </c>
      <c r="I409" s="171">
        <f>VLOOKUP(H409,'RESUMEN RENDIMIENTOS'!$V$6:$W$158,2,FALSE)</f>
        <v>0</v>
      </c>
      <c r="J409" s="177"/>
      <c r="K409" s="172" t="s">
        <v>337</v>
      </c>
      <c r="L409" s="173">
        <f t="shared" si="52"/>
        <v>0</v>
      </c>
      <c r="M409" s="174">
        <f>+L409/L410</f>
        <v>0</v>
      </c>
      <c r="N409" s="170">
        <v>0</v>
      </c>
      <c r="O409" s="171">
        <f>VLOOKUP(N409,'RESUMEN RENDIMIENTOS'!$V$6:$W$158,2,FALSE)</f>
        <v>0</v>
      </c>
      <c r="P409" s="177"/>
      <c r="Q409" s="172" t="s">
        <v>337</v>
      </c>
      <c r="R409" s="175">
        <f t="shared" si="53"/>
        <v>0</v>
      </c>
      <c r="S409" s="174">
        <f>+R409/R410</f>
        <v>0</v>
      </c>
    </row>
    <row r="410" spans="2:19" ht="25" thickBot="1">
      <c r="B410" s="178"/>
      <c r="E410" s="90"/>
      <c r="F410" s="173">
        <f>SUM(F394:F409)</f>
        <v>0.74594040157655728</v>
      </c>
      <c r="G410" s="181">
        <f>+F410/F410</f>
        <v>1</v>
      </c>
      <c r="H410" s="178"/>
      <c r="I410" s="179"/>
      <c r="J410" s="182" t="s">
        <v>24</v>
      </c>
      <c r="K410" s="90"/>
      <c r="L410" s="173">
        <f>SUM(L394:L409)</f>
        <v>0.82349489386789165</v>
      </c>
      <c r="M410" s="181">
        <f>+L410/L410</f>
        <v>1</v>
      </c>
      <c r="N410" s="178"/>
      <c r="O410" s="179"/>
      <c r="Q410" s="90"/>
      <c r="R410" s="175">
        <f>SUM(R394:R409)</f>
        <v>0.13309997750787222</v>
      </c>
      <c r="S410" s="181">
        <f>+R410/R410</f>
        <v>1</v>
      </c>
    </row>
    <row r="411" spans="2:19" ht="29.25" customHeight="1">
      <c r="B411" s="427" t="s">
        <v>317</v>
      </c>
      <c r="C411" s="428"/>
      <c r="D411" s="429"/>
      <c r="E411" s="185">
        <v>0.12</v>
      </c>
      <c r="F411" s="271">
        <f>+F410*E411</f>
        <v>8.9512848189186867E-2</v>
      </c>
      <c r="H411" s="427" t="s">
        <v>317</v>
      </c>
      <c r="I411" s="428"/>
      <c r="J411" s="429"/>
      <c r="K411" s="185">
        <v>0.12</v>
      </c>
      <c r="L411" s="173">
        <f>+L410*K411</f>
        <v>9.8819387264146991E-2</v>
      </c>
      <c r="N411" s="427" t="s">
        <v>317</v>
      </c>
      <c r="O411" s="428"/>
      <c r="P411" s="429"/>
      <c r="Q411" s="185">
        <v>0.12</v>
      </c>
      <c r="R411" s="175">
        <f>+R410*Q411</f>
        <v>1.5971997300944667E-2</v>
      </c>
    </row>
    <row r="412" spans="2:19" ht="18" customHeight="1">
      <c r="B412" s="178"/>
      <c r="F412" s="271">
        <f>+F411+F410</f>
        <v>0.83545324976574409</v>
      </c>
      <c r="G412" s="187">
        <f>+F412/24</f>
        <v>3.481055207357267E-2</v>
      </c>
      <c r="H412" s="178"/>
      <c r="I412" s="179"/>
      <c r="K412" s="88"/>
      <c r="L412" s="173">
        <f>+L411+L410</f>
        <v>0.92231428113203862</v>
      </c>
      <c r="M412" s="187">
        <f>+L412/24</f>
        <v>3.8429761713834942E-2</v>
      </c>
      <c r="N412" s="178"/>
      <c r="O412" s="179"/>
      <c r="R412" s="175">
        <f>+R411+R410</f>
        <v>0.1490719748088169</v>
      </c>
      <c r="S412" s="187">
        <f>+R412/24</f>
        <v>6.2113322837007044E-3</v>
      </c>
    </row>
    <row r="413" spans="2:19">
      <c r="B413" s="178"/>
      <c r="D413" s="188"/>
      <c r="F413" s="189"/>
      <c r="H413" s="178"/>
      <c r="I413" s="179"/>
      <c r="J413" s="188"/>
      <c r="K413" s="88"/>
      <c r="L413" s="189"/>
      <c r="N413" s="178"/>
      <c r="O413" s="179"/>
      <c r="P413" s="188"/>
      <c r="R413" s="189"/>
    </row>
    <row r="414" spans="2:19" ht="21">
      <c r="B414" s="191" t="s">
        <v>318</v>
      </c>
      <c r="C414" s="192"/>
      <c r="D414" s="192"/>
      <c r="E414" s="444">
        <f>IF(F412=0,0,(100/F412))</f>
        <v>119.69550663432021</v>
      </c>
      <c r="F414" s="445"/>
      <c r="H414" s="191" t="s">
        <v>318</v>
      </c>
      <c r="I414" s="192"/>
      <c r="J414" s="192"/>
      <c r="K414" s="444">
        <f>IF(L412=0,0,(100/L412))</f>
        <v>108.42291184872587</v>
      </c>
      <c r="L414" s="445"/>
      <c r="N414" s="191" t="s">
        <v>318</v>
      </c>
      <c r="O414" s="192"/>
      <c r="P414" s="192"/>
      <c r="Q414" s="444">
        <f>IF(R412=0,0,(100/R412))</f>
        <v>670.81689987839002</v>
      </c>
      <c r="R414" s="445"/>
    </row>
    <row r="415" spans="2:19">
      <c r="B415" s="178"/>
      <c r="F415" s="189"/>
      <c r="H415" s="178"/>
      <c r="I415" s="179"/>
      <c r="K415" s="88"/>
      <c r="L415" s="189"/>
      <c r="N415" s="178"/>
      <c r="O415" s="179"/>
      <c r="R415" s="189"/>
    </row>
    <row r="416" spans="2:19" ht="21">
      <c r="B416" s="446" t="s">
        <v>319</v>
      </c>
      <c r="C416" s="447"/>
      <c r="D416" s="447"/>
      <c r="E416" s="447"/>
      <c r="F416" s="448"/>
      <c r="H416" s="446" t="s">
        <v>319</v>
      </c>
      <c r="I416" s="447"/>
      <c r="J416" s="447"/>
      <c r="K416" s="447"/>
      <c r="L416" s="448"/>
      <c r="N416" s="446" t="s">
        <v>319</v>
      </c>
      <c r="O416" s="447"/>
      <c r="P416" s="447"/>
      <c r="Q416" s="447"/>
      <c r="R416" s="448"/>
    </row>
    <row r="417" spans="2:19" ht="18" customHeight="1">
      <c r="B417" s="194" t="s">
        <v>320</v>
      </c>
      <c r="C417" s="195"/>
      <c r="D417" s="435" t="s">
        <v>321</v>
      </c>
      <c r="E417" s="435"/>
      <c r="F417" s="196" t="s">
        <v>322</v>
      </c>
      <c r="H417" s="194" t="s">
        <v>320</v>
      </c>
      <c r="I417" s="195"/>
      <c r="J417" s="435" t="s">
        <v>321</v>
      </c>
      <c r="K417" s="435"/>
      <c r="L417" s="196" t="s">
        <v>322</v>
      </c>
      <c r="N417" s="194" t="s">
        <v>320</v>
      </c>
      <c r="O417" s="195"/>
      <c r="P417" s="435" t="s">
        <v>321</v>
      </c>
      <c r="Q417" s="435"/>
      <c r="R417" s="196" t="s">
        <v>322</v>
      </c>
    </row>
    <row r="418" spans="2:19">
      <c r="B418" s="197" t="s">
        <v>278</v>
      </c>
      <c r="C418" s="201">
        <v>1</v>
      </c>
      <c r="E418" s="199">
        <f>IF(C418=0,0,(VLOOKUP(B418,'RESUMEN RENDIMIENTOS'!$AB$6:$AO$64,13,FALSE)))*C418</f>
        <v>0.75</v>
      </c>
      <c r="F418" s="200">
        <f>IF(C418=0,0,(VLOOKUP(B418,'RESUMEN RENDIMIENTOS'!$AB$6:$AO$64,14,FALSE)))*C418</f>
        <v>1.0285714285714287E-2</v>
      </c>
      <c r="H418" s="197" t="s">
        <v>278</v>
      </c>
      <c r="I418" s="201">
        <v>1</v>
      </c>
      <c r="K418" s="199">
        <f>IF(I418=0,0,(VLOOKUP(H418,'RESUMEN RENDIMIENTOS'!$AB$6:$AO$64,13,FALSE)))*I418</f>
        <v>0.75</v>
      </c>
      <c r="L418" s="200">
        <f>IF(I418=0,0,(VLOOKUP(H418,'RESUMEN RENDIMIENTOS'!$AB$6:$AO$64,14,FALSE)))*I418</f>
        <v>1.0285714285714287E-2</v>
      </c>
      <c r="N418" s="197" t="s">
        <v>278</v>
      </c>
      <c r="O418" s="201">
        <v>1</v>
      </c>
      <c r="Q418" s="199">
        <f>IF(O418=0,0,(VLOOKUP(N418,'RESUMEN RENDIMIENTOS'!$AB$6:$AO$64,13,FALSE)))*O418</f>
        <v>0.75</v>
      </c>
      <c r="R418" s="200">
        <f>IF(O418=0,0,(VLOOKUP(N418,'RESUMEN RENDIMIENTOS'!$AB$6:$AO$64,14,FALSE)))*O418</f>
        <v>1.0285714285714287E-2</v>
      </c>
    </row>
    <row r="419" spans="2:19">
      <c r="B419" s="197" t="s">
        <v>279</v>
      </c>
      <c r="C419" s="201">
        <v>1</v>
      </c>
      <c r="E419" s="199">
        <f>IF(C419=0,0,(VLOOKUP(B419,'RESUMEN RENDIMIENTOS'!$AB$6:$AO$64,13,FALSE)))*C419</f>
        <v>2</v>
      </c>
      <c r="F419" s="200">
        <f>IF(C419=0,0,(VLOOKUP(B419,'RESUMEN RENDIMIENTOS'!$AB$6:$AO$64,14,FALSE)))*C419</f>
        <v>9.5999999999999988E-2</v>
      </c>
      <c r="H419" s="197" t="s">
        <v>279</v>
      </c>
      <c r="I419" s="201">
        <v>1</v>
      </c>
      <c r="K419" s="199">
        <f>IF(I419=0,0,(VLOOKUP(H419,'RESUMEN RENDIMIENTOS'!$AB$6:$AO$64,13,FALSE)))*I419</f>
        <v>2</v>
      </c>
      <c r="L419" s="200">
        <f>IF(I419=0,0,(VLOOKUP(H419,'RESUMEN RENDIMIENTOS'!$AB$6:$AO$64,14,FALSE)))*I419</f>
        <v>9.5999999999999988E-2</v>
      </c>
      <c r="N419" s="197" t="s">
        <v>279</v>
      </c>
      <c r="O419" s="201">
        <v>1</v>
      </c>
      <c r="Q419" s="199">
        <f>IF(O419=0,0,(VLOOKUP(N419,'RESUMEN RENDIMIENTOS'!$AB$6:$AO$64,13,FALSE)))*O419</f>
        <v>2</v>
      </c>
      <c r="R419" s="200">
        <f>IF(O419=0,0,(VLOOKUP(N419,'RESUMEN RENDIMIENTOS'!$AB$6:$AO$64,14,FALSE)))*O419</f>
        <v>9.5999999999999988E-2</v>
      </c>
    </row>
    <row r="420" spans="2:19">
      <c r="B420" s="197" t="s">
        <v>284</v>
      </c>
      <c r="C420" s="201">
        <v>0.25</v>
      </c>
      <c r="E420" s="199">
        <f>IF(C420=0,0,(VLOOKUP(B420,'RESUMEN RENDIMIENTOS'!$AB$6:$AO$64,13,FALSE)))*C420</f>
        <v>0.52500000000000002</v>
      </c>
      <c r="F420" s="200">
        <f>IF(C420=0,0,(VLOOKUP(B420,'RESUMEN RENDIMIENTOS'!$AB$6:$AO$64,14,FALSE)))*C420</f>
        <v>4.2000000000000003E-2</v>
      </c>
      <c r="H420" s="197" t="s">
        <v>284</v>
      </c>
      <c r="I420" s="201">
        <v>0.25</v>
      </c>
      <c r="K420" s="199">
        <f>IF(I420=0,0,(VLOOKUP(H420,'RESUMEN RENDIMIENTOS'!$AB$6:$AO$64,13,FALSE)))*I420</f>
        <v>0.52500000000000002</v>
      </c>
      <c r="L420" s="200">
        <f>IF(I420=0,0,(VLOOKUP(H420,'RESUMEN RENDIMIENTOS'!$AB$6:$AO$64,14,FALSE)))*I420</f>
        <v>4.2000000000000003E-2</v>
      </c>
      <c r="N420" s="197" t="s">
        <v>284</v>
      </c>
      <c r="O420" s="201">
        <v>0.25</v>
      </c>
      <c r="Q420" s="199">
        <f>IF(O420=0,0,(VLOOKUP(N420,'RESUMEN RENDIMIENTOS'!$AB$6:$AO$64,13,FALSE)))*O420</f>
        <v>0.52500000000000002</v>
      </c>
      <c r="R420" s="200">
        <f>IF(O420=0,0,(VLOOKUP(N420,'RESUMEN RENDIMIENTOS'!$AB$6:$AO$64,14,FALSE)))*O420</f>
        <v>4.2000000000000003E-2</v>
      </c>
    </row>
    <row r="421" spans="2:19">
      <c r="B421" s="197" t="s">
        <v>283</v>
      </c>
      <c r="C421" s="201">
        <v>1</v>
      </c>
      <c r="E421" s="199">
        <f>IF(C421=0,0,(VLOOKUP(B421,'RESUMEN RENDIMIENTOS'!$AB$6:$AO$64,13,FALSE)))*C421</f>
        <v>1.59</v>
      </c>
      <c r="F421" s="200">
        <f>IF(C421=0,0,(VLOOKUP(B421,'RESUMEN RENDIMIENTOS'!$AB$6:$AO$64,14,FALSE)))*C421</f>
        <v>0.12720000000000001</v>
      </c>
      <c r="H421" s="197" t="s">
        <v>283</v>
      </c>
      <c r="I421" s="201">
        <v>1</v>
      </c>
      <c r="K421" s="199">
        <f>IF(I421=0,0,(VLOOKUP(H421,'RESUMEN RENDIMIENTOS'!$AB$6:$AO$64,13,FALSE)))*I421</f>
        <v>1.59</v>
      </c>
      <c r="L421" s="200">
        <f>IF(I421=0,0,(VLOOKUP(H421,'RESUMEN RENDIMIENTOS'!$AB$6:$AO$64,14,FALSE)))*I421</f>
        <v>0.12720000000000001</v>
      </c>
      <c r="N421" s="197" t="s">
        <v>283</v>
      </c>
      <c r="O421" s="201">
        <v>1</v>
      </c>
      <c r="Q421" s="199">
        <f>IF(O421=0,0,(VLOOKUP(N421,'RESUMEN RENDIMIENTOS'!$AB$6:$AO$64,13,FALSE)))*O421</f>
        <v>1.59</v>
      </c>
      <c r="R421" s="200">
        <f>IF(O421=0,0,(VLOOKUP(N421,'RESUMEN RENDIMIENTOS'!$AB$6:$AO$64,14,FALSE)))*O421</f>
        <v>0.12720000000000001</v>
      </c>
    </row>
    <row r="422" spans="2:19">
      <c r="B422" s="197" t="s">
        <v>282</v>
      </c>
      <c r="C422" s="201">
        <v>1</v>
      </c>
      <c r="E422" s="199">
        <f>IF(C422=0,0,(VLOOKUP(B422,'RESUMEN RENDIMIENTOS'!$AB$6:$AO$64,13,FALSE)))*C422</f>
        <v>2.62</v>
      </c>
      <c r="F422" s="200">
        <f>IF(C422=0,0,(VLOOKUP(B422,'RESUMEN RENDIMIENTOS'!$AB$6:$AO$64,14,FALSE)))*C422</f>
        <v>6.986666666666666E-2</v>
      </c>
      <c r="H422" s="197" t="s">
        <v>282</v>
      </c>
      <c r="I422" s="201">
        <v>1</v>
      </c>
      <c r="K422" s="199">
        <f>IF(I422=0,0,(VLOOKUP(H422,'RESUMEN RENDIMIENTOS'!$AB$6:$AO$64,13,FALSE)))*I422</f>
        <v>2.62</v>
      </c>
      <c r="L422" s="200">
        <f>IF(I422=0,0,(VLOOKUP(H422,'RESUMEN RENDIMIENTOS'!$AB$6:$AO$64,14,FALSE)))*I422</f>
        <v>6.986666666666666E-2</v>
      </c>
      <c r="N422" s="197" t="s">
        <v>282</v>
      </c>
      <c r="O422" s="201">
        <v>1</v>
      </c>
      <c r="Q422" s="199">
        <f>IF(O422=0,0,(VLOOKUP(N422,'RESUMEN RENDIMIENTOS'!$AB$6:$AO$64,13,FALSE)))*O422</f>
        <v>2.62</v>
      </c>
      <c r="R422" s="200">
        <f>IF(O422=0,0,(VLOOKUP(N422,'RESUMEN RENDIMIENTOS'!$AB$6:$AO$64,14,FALSE)))*O422</f>
        <v>6.986666666666666E-2</v>
      </c>
    </row>
    <row r="423" spans="2:19">
      <c r="B423" s="197" t="s">
        <v>302</v>
      </c>
      <c r="C423" s="201">
        <v>1</v>
      </c>
      <c r="E423" s="199">
        <f>IF(C423=0,0,(VLOOKUP(B423,'RESUMEN RENDIMIENTOS'!$AB$6:$AO$64,13,FALSE)))*C423</f>
        <v>1</v>
      </c>
      <c r="F423" s="200">
        <f>IF(C423=0,0,(VLOOKUP(B423,'RESUMEN RENDIMIENTOS'!$AB$6:$AO$64,14,FALSE)))*C423</f>
        <v>0.2</v>
      </c>
      <c r="H423" s="197" t="s">
        <v>302</v>
      </c>
      <c r="I423" s="201">
        <v>1</v>
      </c>
      <c r="K423" s="199">
        <f>IF(I423=0,0,(VLOOKUP(H423,'RESUMEN RENDIMIENTOS'!$AB$6:$AO$64,13,FALSE)))*I423</f>
        <v>1</v>
      </c>
      <c r="L423" s="200">
        <f>IF(I423=0,0,(VLOOKUP(H423,'RESUMEN RENDIMIENTOS'!$AB$6:$AO$64,14,FALSE)))*I423</f>
        <v>0.2</v>
      </c>
      <c r="N423" s="197" t="s">
        <v>302</v>
      </c>
      <c r="O423" s="201">
        <v>1</v>
      </c>
      <c r="Q423" s="199">
        <f>IF(O423=0,0,(VLOOKUP(N423,'RESUMEN RENDIMIENTOS'!$AB$6:$AO$64,13,FALSE)))*O423</f>
        <v>1</v>
      </c>
      <c r="R423" s="200">
        <f>IF(O423=0,0,(VLOOKUP(N423,'RESUMEN RENDIMIENTOS'!$AB$6:$AO$64,14,FALSE)))*O423</f>
        <v>0.2</v>
      </c>
    </row>
    <row r="424" spans="2:19">
      <c r="B424" s="202"/>
      <c r="F424" s="206">
        <f>SUM(F418:F423)</f>
        <v>0.54535238095238103</v>
      </c>
      <c r="G424" s="205">
        <f>+F424</f>
        <v>0.54535238095238103</v>
      </c>
      <c r="H424" s="202"/>
      <c r="I424" s="179"/>
      <c r="K424" s="88"/>
      <c r="L424" s="206">
        <f>SUM(L418:L423)</f>
        <v>0.54535238095238103</v>
      </c>
      <c r="M424" s="205">
        <f>+L424</f>
        <v>0.54535238095238103</v>
      </c>
      <c r="N424" s="202"/>
      <c r="O424" s="179"/>
      <c r="R424" s="206">
        <f>SUM(R418:R423)</f>
        <v>0.54535238095238103</v>
      </c>
      <c r="S424" s="205">
        <f>+R424</f>
        <v>0.54535238095238103</v>
      </c>
    </row>
    <row r="425" spans="2:19">
      <c r="B425" s="436" t="s">
        <v>324</v>
      </c>
      <c r="C425" s="437"/>
      <c r="D425" s="437"/>
      <c r="E425" s="437"/>
      <c r="F425" s="455"/>
      <c r="G425" s="205"/>
      <c r="H425" s="436" t="s">
        <v>324</v>
      </c>
      <c r="I425" s="437"/>
      <c r="J425" s="437"/>
      <c r="K425" s="437"/>
      <c r="L425" s="455"/>
      <c r="M425" s="205"/>
      <c r="N425" s="436" t="s">
        <v>324</v>
      </c>
      <c r="O425" s="437"/>
      <c r="P425" s="437"/>
      <c r="Q425" s="437"/>
      <c r="R425" s="455"/>
      <c r="S425" s="205"/>
    </row>
    <row r="426" spans="2:19">
      <c r="B426" s="210" t="s">
        <v>325</v>
      </c>
      <c r="C426" s="211">
        <v>1</v>
      </c>
      <c r="D426" s="212">
        <v>21.712335174960327</v>
      </c>
      <c r="E426" s="213">
        <f>F412</f>
        <v>0.83545324976574409</v>
      </c>
      <c r="F426" s="214">
        <f>+IF(C426&gt;="",0,(D426*E426))</f>
        <v>18.13964098192368</v>
      </c>
      <c r="G426" s="215"/>
      <c r="H426" s="210" t="s">
        <v>325</v>
      </c>
      <c r="I426" s="211">
        <v>1</v>
      </c>
      <c r="J426" s="212">
        <v>21.712335174960327</v>
      </c>
      <c r="K426" s="213">
        <f>L412</f>
        <v>0.92231428113203862</v>
      </c>
      <c r="L426" s="216">
        <f>+IF(I426&gt;="",0,(J426*K426))</f>
        <v>20.025596808591409</v>
      </c>
      <c r="M426" s="215"/>
      <c r="N426" s="210" t="s">
        <v>325</v>
      </c>
      <c r="O426" s="211">
        <v>1</v>
      </c>
      <c r="P426" s="212">
        <v>21.712335174960327</v>
      </c>
      <c r="Q426" s="213">
        <f>R412</f>
        <v>0.1490719748088169</v>
      </c>
      <c r="R426" s="214">
        <f>+IF(O426&gt;="",0,(P426*Q426))</f>
        <v>3.236700682242275</v>
      </c>
      <c r="S426" s="215"/>
    </row>
    <row r="427" spans="2:19">
      <c r="B427" s="210" t="s">
        <v>326</v>
      </c>
      <c r="C427" s="211"/>
      <c r="D427" s="212">
        <f>+D426*25%</f>
        <v>5.4280837937400817</v>
      </c>
      <c r="E427" s="213">
        <f>F412</f>
        <v>0.83545324976574409</v>
      </c>
      <c r="F427" s="214">
        <f>+IF(C427= "",0,(D427*E427))</f>
        <v>0</v>
      </c>
      <c r="G427" s="215"/>
      <c r="H427" s="210" t="s">
        <v>326</v>
      </c>
      <c r="I427" s="211"/>
      <c r="J427" s="212">
        <f>+J426*25%</f>
        <v>5.4280837937400817</v>
      </c>
      <c r="K427" s="213">
        <f>L412</f>
        <v>0.92231428113203862</v>
      </c>
      <c r="L427" s="216">
        <f>+IF(I427= "",0,(J427*K427))</f>
        <v>0</v>
      </c>
      <c r="M427" s="215"/>
      <c r="N427" s="210" t="s">
        <v>326</v>
      </c>
      <c r="O427" s="211"/>
      <c r="P427" s="212">
        <f>+P426*25%</f>
        <v>5.4280837937400817</v>
      </c>
      <c r="Q427" s="213">
        <f>R412</f>
        <v>0.1490719748088169</v>
      </c>
      <c r="R427" s="214">
        <f>+IF(O427= "",0,(P427*Q427))</f>
        <v>0</v>
      </c>
      <c r="S427" s="215"/>
    </row>
    <row r="428" spans="2:19">
      <c r="B428" s="210" t="s">
        <v>327</v>
      </c>
      <c r="C428" s="211"/>
      <c r="D428" s="212">
        <f>+D426*50%</f>
        <v>10.856167587480163</v>
      </c>
      <c r="E428" s="213">
        <f>F412</f>
        <v>0.83545324976574409</v>
      </c>
      <c r="F428" s="214">
        <f>+IF(C428= "",0,(D428*E428))</f>
        <v>0</v>
      </c>
      <c r="G428" s="215"/>
      <c r="H428" s="210" t="s">
        <v>327</v>
      </c>
      <c r="I428" s="211"/>
      <c r="J428" s="212">
        <f>+J426*50%</f>
        <v>10.856167587480163</v>
      </c>
      <c r="K428" s="213">
        <f>L412</f>
        <v>0.92231428113203862</v>
      </c>
      <c r="L428" s="216">
        <f>+IF(I428= "",0,(J428*K428))</f>
        <v>0</v>
      </c>
      <c r="M428" s="215"/>
      <c r="N428" s="210" t="s">
        <v>327</v>
      </c>
      <c r="O428" s="211"/>
      <c r="P428" s="212">
        <f>+P426*50%</f>
        <v>10.856167587480163</v>
      </c>
      <c r="Q428" s="213">
        <f>R412</f>
        <v>0.1490719748088169</v>
      </c>
      <c r="R428" s="214">
        <f>+IF(O428= "",0,(P428*Q428))</f>
        <v>0</v>
      </c>
      <c r="S428" s="215"/>
    </row>
    <row r="429" spans="2:19">
      <c r="B429" s="202"/>
      <c r="F429" s="217">
        <f>SUM(F426:F428)</f>
        <v>18.13964098192368</v>
      </c>
      <c r="G429" s="218"/>
      <c r="H429" s="202"/>
      <c r="I429" s="179"/>
      <c r="K429" s="88"/>
      <c r="L429" s="219">
        <f>SUM(L426:L428)</f>
        <v>20.025596808591409</v>
      </c>
      <c r="M429" s="218"/>
      <c r="N429" s="202"/>
      <c r="O429" s="179"/>
      <c r="R429" s="217">
        <f>SUM(R426:R428)</f>
        <v>3.236700682242275</v>
      </c>
      <c r="S429" s="218"/>
    </row>
    <row r="430" spans="2:19">
      <c r="B430" s="202"/>
      <c r="F430" s="189"/>
      <c r="G430" s="220"/>
      <c r="H430" s="202"/>
      <c r="I430" s="179"/>
      <c r="K430" s="88"/>
      <c r="M430" s="220"/>
      <c r="N430" s="202"/>
      <c r="O430" s="179"/>
      <c r="R430" s="189"/>
      <c r="S430" s="220"/>
    </row>
    <row r="431" spans="2:19" ht="21">
      <c r="B431" s="438" t="s">
        <v>328</v>
      </c>
      <c r="C431" s="439"/>
      <c r="D431" s="439"/>
      <c r="E431" s="440"/>
      <c r="F431" s="225">
        <f>+F424+F429</f>
        <v>18.68499336287606</v>
      </c>
      <c r="G431" s="205">
        <f>+F431</f>
        <v>18.68499336287606</v>
      </c>
      <c r="H431" s="438" t="s">
        <v>328</v>
      </c>
      <c r="I431" s="439"/>
      <c r="J431" s="439"/>
      <c r="K431" s="440"/>
      <c r="L431" s="225">
        <f>+L424+L429</f>
        <v>20.570949189543789</v>
      </c>
      <c r="M431" s="205">
        <f>+L431</f>
        <v>20.570949189543789</v>
      </c>
      <c r="N431" s="438" t="s">
        <v>328</v>
      </c>
      <c r="O431" s="439"/>
      <c r="P431" s="439"/>
      <c r="Q431" s="440"/>
      <c r="R431" s="225">
        <f>+R424+R429</f>
        <v>3.7820530631946561</v>
      </c>
      <c r="S431" s="205">
        <f>+R431</f>
        <v>3.7820530631946561</v>
      </c>
    </row>
    <row r="432" spans="2:19">
      <c r="B432" s="202"/>
      <c r="F432" s="189"/>
      <c r="G432" s="205"/>
      <c r="H432" s="202"/>
      <c r="I432" s="179"/>
      <c r="K432" s="88"/>
      <c r="L432" s="189"/>
      <c r="M432" s="205"/>
      <c r="N432" s="202"/>
      <c r="O432" s="179"/>
      <c r="R432" s="189"/>
      <c r="S432" s="205"/>
    </row>
    <row r="433" spans="2:19" ht="19">
      <c r="B433" s="441" t="s">
        <v>329</v>
      </c>
      <c r="C433" s="442"/>
      <c r="D433" s="442"/>
      <c r="E433" s="443"/>
      <c r="F433" s="230">
        <f>+F431/$C$37</f>
        <v>0.18684993362876059</v>
      </c>
      <c r="G433" s="205"/>
      <c r="H433" s="441" t="s">
        <v>329</v>
      </c>
      <c r="I433" s="442"/>
      <c r="J433" s="442"/>
      <c r="K433" s="443"/>
      <c r="L433" s="230">
        <f>+L431/$C$37</f>
        <v>0.20570949189543788</v>
      </c>
      <c r="M433" s="205"/>
      <c r="N433" s="441" t="s">
        <v>329</v>
      </c>
      <c r="O433" s="442"/>
      <c r="P433" s="442"/>
      <c r="Q433" s="443"/>
      <c r="R433" s="230">
        <f>+R431/$C$37</f>
        <v>3.7820530631946563E-2</v>
      </c>
      <c r="S433" s="205"/>
    </row>
    <row r="434" spans="2:19" ht="17" thickBot="1">
      <c r="B434" s="231"/>
      <c r="C434" s="232"/>
      <c r="D434" s="233"/>
      <c r="E434" s="233"/>
      <c r="F434" s="234"/>
      <c r="G434" s="205"/>
      <c r="H434" s="231"/>
      <c r="I434" s="232"/>
      <c r="J434" s="233"/>
      <c r="K434" s="233"/>
      <c r="L434" s="234"/>
      <c r="M434" s="205"/>
      <c r="N434" s="231"/>
      <c r="O434" s="232"/>
      <c r="P434" s="233"/>
      <c r="Q434" s="233"/>
      <c r="R434" s="234"/>
      <c r="S434" s="205"/>
    </row>
    <row r="435" spans="2:19" ht="23.25" customHeight="1" thickBot="1">
      <c r="B435" s="415" t="s">
        <v>312</v>
      </c>
      <c r="C435" s="416"/>
      <c r="D435" s="416"/>
      <c r="E435" s="416"/>
      <c r="F435" s="416"/>
      <c r="G435" s="416"/>
      <c r="H435" s="416"/>
      <c r="I435" s="416"/>
      <c r="J435" s="416"/>
      <c r="K435" s="416"/>
      <c r="L435" s="416"/>
      <c r="M435" s="416"/>
      <c r="N435" s="416"/>
      <c r="O435" s="416"/>
      <c r="P435" s="416"/>
      <c r="Q435" s="416"/>
      <c r="R435" s="417"/>
    </row>
    <row r="436" spans="2:19" ht="23.25" customHeight="1">
      <c r="B436" s="239" t="s">
        <v>16</v>
      </c>
      <c r="C436" s="459" t="s">
        <v>121</v>
      </c>
      <c r="D436" s="460"/>
      <c r="E436" s="461"/>
      <c r="F436" s="255"/>
      <c r="G436" s="258"/>
      <c r="H436" s="237" t="s">
        <v>16</v>
      </c>
      <c r="I436" s="459" t="s">
        <v>120</v>
      </c>
      <c r="J436" s="460"/>
      <c r="K436" s="461"/>
      <c r="L436" s="255"/>
      <c r="M436" s="258"/>
      <c r="N436" s="239" t="s">
        <v>16</v>
      </c>
      <c r="O436" s="452" t="s">
        <v>95</v>
      </c>
      <c r="P436" s="453"/>
      <c r="Q436" s="454"/>
      <c r="R436" s="240"/>
    </row>
    <row r="437" spans="2:19" ht="33" thickBot="1">
      <c r="B437" s="241" t="s">
        <v>313</v>
      </c>
      <c r="C437" s="242" t="s">
        <v>6</v>
      </c>
      <c r="D437" s="243" t="s">
        <v>25</v>
      </c>
      <c r="E437" s="244" t="s">
        <v>314</v>
      </c>
      <c r="F437" s="245" t="s">
        <v>315</v>
      </c>
      <c r="H437" s="241" t="s">
        <v>313</v>
      </c>
      <c r="I437" s="242" t="s">
        <v>6</v>
      </c>
      <c r="J437" s="243" t="s">
        <v>25</v>
      </c>
      <c r="K437" s="244" t="s">
        <v>314</v>
      </c>
      <c r="L437" s="245" t="s">
        <v>315</v>
      </c>
      <c r="N437" s="241" t="s">
        <v>313</v>
      </c>
      <c r="O437" s="242" t="s">
        <v>6</v>
      </c>
      <c r="P437" s="243" t="s">
        <v>25</v>
      </c>
      <c r="Q437" s="244" t="s">
        <v>314</v>
      </c>
      <c r="R437" s="245" t="s">
        <v>315</v>
      </c>
    </row>
    <row r="438" spans="2:19">
      <c r="B438" s="170" t="s">
        <v>180</v>
      </c>
      <c r="C438" s="171">
        <f>VLOOKUP(B438,'RESUMEN RENDIMIENTOS'!$V$6:$W$158,2,FALSE)</f>
        <v>1800</v>
      </c>
      <c r="D438" s="177" t="s">
        <v>20</v>
      </c>
      <c r="E438" s="172">
        <v>247</v>
      </c>
      <c r="F438" s="175">
        <f t="shared" ref="F438:F453" si="54">IF(C438=0,0,(100/C438)*E438/$E$37)</f>
        <v>5.5555555555555552E-2</v>
      </c>
      <c r="G438" s="164">
        <f>+F438/F454</f>
        <v>0.34532776428234391</v>
      </c>
      <c r="H438" s="170" t="s">
        <v>182</v>
      </c>
      <c r="I438" s="171">
        <f>VLOOKUP(H438,'RESUMEN RENDIMIENTOS'!$V$6:$W$158,2,FALSE)</f>
        <v>1400</v>
      </c>
      <c r="J438" s="177" t="s">
        <v>20</v>
      </c>
      <c r="K438" s="172">
        <v>247</v>
      </c>
      <c r="L438" s="175">
        <f t="shared" ref="L438:L453" si="55">IF(I438=0,0,(100/I438)*K438/$E$37)</f>
        <v>7.1428571428571425E-2</v>
      </c>
      <c r="M438" s="164">
        <f>+L438/L454</f>
        <v>0.27463643565640794</v>
      </c>
      <c r="N438" s="170" t="s">
        <v>181</v>
      </c>
      <c r="O438" s="171">
        <f>VLOOKUP(N438,'RESUMEN RENDIMIENTOS'!$V$6:$W$158,2,FALSE)</f>
        <v>900</v>
      </c>
      <c r="P438" s="177" t="s">
        <v>20</v>
      </c>
      <c r="Q438" s="172">
        <v>247</v>
      </c>
      <c r="R438" s="175">
        <f t="shared" ref="R438:R453" si="56">IF(O438=0,0,(100/O438)*Q438/$E$37)</f>
        <v>0.1111111111111111</v>
      </c>
      <c r="S438" s="164">
        <f>+R438/R454</f>
        <v>0.2583136249816953</v>
      </c>
    </row>
    <row r="439" spans="2:19">
      <c r="B439" s="170" t="s">
        <v>205</v>
      </c>
      <c r="C439" s="171">
        <f>VLOOKUP(B439,'RESUMEN RENDIMIENTOS'!$V$6:$W$158,2,FALSE)</f>
        <v>1200</v>
      </c>
      <c r="D439" s="177" t="s">
        <v>20</v>
      </c>
      <c r="E439" s="172">
        <v>247</v>
      </c>
      <c r="F439" s="173">
        <f t="shared" si="54"/>
        <v>8.3333333333333329E-2</v>
      </c>
      <c r="G439" s="174">
        <f>+F439/F454</f>
        <v>0.51799164642351581</v>
      </c>
      <c r="H439" s="170" t="s">
        <v>206</v>
      </c>
      <c r="I439" s="171">
        <f>VLOOKUP(H439,'RESUMEN RENDIMIENTOS'!$V$6:$W$158,2,FALSE)</f>
        <v>600</v>
      </c>
      <c r="J439" s="177" t="s">
        <v>20</v>
      </c>
      <c r="K439" s="172">
        <v>247</v>
      </c>
      <c r="L439" s="175">
        <f t="shared" si="55"/>
        <v>0.16666666666666666</v>
      </c>
      <c r="M439" s="174">
        <f>+L439/L454</f>
        <v>0.6408183498649519</v>
      </c>
      <c r="N439" s="170" t="s">
        <v>200</v>
      </c>
      <c r="O439" s="171">
        <f>VLOOKUP(N439,'RESUMEN RENDIMIENTOS'!$V$6:$W$158,2,FALSE)</f>
        <v>425</v>
      </c>
      <c r="P439" s="177" t="s">
        <v>56</v>
      </c>
      <c r="Q439" s="172">
        <v>52.14</v>
      </c>
      <c r="R439" s="175">
        <f t="shared" si="56"/>
        <v>4.9668968802095738E-2</v>
      </c>
      <c r="S439" s="174">
        <f>+R439/R454</f>
        <v>0.11547154242334874</v>
      </c>
    </row>
    <row r="440" spans="2:19">
      <c r="B440" s="170" t="s">
        <v>190</v>
      </c>
      <c r="C440" s="171">
        <f>VLOOKUP(B440,'RESUMEN RENDIMIENTOS'!$V$6:$W$158,2,FALSE)</f>
        <v>960</v>
      </c>
      <c r="D440" s="177" t="s">
        <v>56</v>
      </c>
      <c r="E440" s="172">
        <v>52.14</v>
      </c>
      <c r="F440" s="173">
        <f t="shared" si="54"/>
        <v>2.1988866396761134E-2</v>
      </c>
      <c r="G440" s="174">
        <f>+F440/F454</f>
        <v>0.13668058929414026</v>
      </c>
      <c r="H440" s="170" t="s">
        <v>190</v>
      </c>
      <c r="I440" s="171">
        <f>VLOOKUP(H440,'RESUMEN RENDIMIENTOS'!$V$6:$W$158,2,FALSE)</f>
        <v>960</v>
      </c>
      <c r="J440" s="177" t="s">
        <v>56</v>
      </c>
      <c r="K440" s="172">
        <v>52.14</v>
      </c>
      <c r="L440" s="175">
        <f t="shared" si="55"/>
        <v>2.1988866396761134E-2</v>
      </c>
      <c r="M440" s="174">
        <f>+L440/L454</f>
        <v>8.4545214478640163E-2</v>
      </c>
      <c r="N440" s="170" t="s">
        <v>190</v>
      </c>
      <c r="O440" s="171">
        <f>VLOOKUP(N440,'RESUMEN RENDIMIENTOS'!$V$6:$W$158,2,FALSE)</f>
        <v>960</v>
      </c>
      <c r="P440" s="177" t="s">
        <v>20</v>
      </c>
      <c r="Q440" s="172">
        <v>247</v>
      </c>
      <c r="R440" s="175">
        <f t="shared" si="56"/>
        <v>0.10416666666666667</v>
      </c>
      <c r="S440" s="174">
        <f>+R440/R454</f>
        <v>0.24216902342033936</v>
      </c>
    </row>
    <row r="441" spans="2:19">
      <c r="B441" s="170">
        <v>0</v>
      </c>
      <c r="C441" s="171">
        <f>VLOOKUP(B441,'RESUMEN RENDIMIENTOS'!$V$6:$W$158,2,FALSE)</f>
        <v>0</v>
      </c>
      <c r="D441" s="177"/>
      <c r="E441" s="172" t="s">
        <v>337</v>
      </c>
      <c r="F441" s="173">
        <f t="shared" si="54"/>
        <v>0</v>
      </c>
      <c r="G441" s="174">
        <f>+F441/F454</f>
        <v>0</v>
      </c>
      <c r="H441" s="170">
        <v>0</v>
      </c>
      <c r="I441" s="171">
        <f>VLOOKUP(H441,'RESUMEN RENDIMIENTOS'!$V$6:$W$158,2,FALSE)</f>
        <v>0</v>
      </c>
      <c r="J441" s="177"/>
      <c r="K441" s="172" t="s">
        <v>337</v>
      </c>
      <c r="L441" s="175">
        <f t="shared" si="55"/>
        <v>0</v>
      </c>
      <c r="M441" s="174">
        <f>+L441/L454</f>
        <v>0</v>
      </c>
      <c r="N441" s="170" t="s">
        <v>194</v>
      </c>
      <c r="O441" s="171">
        <f>VLOOKUP(N441,'RESUMEN RENDIMIENTOS'!$V$6:$W$158,2,FALSE)</f>
        <v>2000</v>
      </c>
      <c r="P441" s="177" t="s">
        <v>56</v>
      </c>
      <c r="Q441" s="172">
        <v>52.14</v>
      </c>
      <c r="R441" s="175">
        <f t="shared" si="56"/>
        <v>1.0554655870445346E-2</v>
      </c>
      <c r="S441" s="174">
        <f>+R441/R454</f>
        <v>2.4537702764961609E-2</v>
      </c>
    </row>
    <row r="442" spans="2:19">
      <c r="B442" s="170">
        <v>0</v>
      </c>
      <c r="C442" s="171">
        <f>VLOOKUP(B442,'RESUMEN RENDIMIENTOS'!$V$6:$W$158,2,FALSE)</f>
        <v>0</v>
      </c>
      <c r="D442" s="177"/>
      <c r="E442" s="172" t="s">
        <v>337</v>
      </c>
      <c r="F442" s="173">
        <f t="shared" si="54"/>
        <v>0</v>
      </c>
      <c r="G442" s="174">
        <f>+F442/F454</f>
        <v>0</v>
      </c>
      <c r="H442" s="170">
        <v>0</v>
      </c>
      <c r="I442" s="171">
        <f>VLOOKUP(H442,'RESUMEN RENDIMIENTOS'!$V$6:$W$158,2,FALSE)</f>
        <v>0</v>
      </c>
      <c r="J442" s="177"/>
      <c r="K442" s="172" t="s">
        <v>337</v>
      </c>
      <c r="L442" s="175">
        <f t="shared" si="55"/>
        <v>0</v>
      </c>
      <c r="M442" s="174">
        <f>+L442/L454</f>
        <v>0</v>
      </c>
      <c r="N442" s="170" t="s">
        <v>196</v>
      </c>
      <c r="O442" s="171">
        <f>VLOOKUP(N442,'RESUMEN RENDIMIENTOS'!$V$6:$W$158,2,FALSE)</f>
        <v>550</v>
      </c>
      <c r="P442" s="177" t="s">
        <v>58</v>
      </c>
      <c r="Q442" s="172">
        <v>12</v>
      </c>
      <c r="R442" s="175">
        <f t="shared" si="56"/>
        <v>8.833271991166727E-3</v>
      </c>
      <c r="S442" s="174">
        <f>+R442/R454</f>
        <v>2.0535790576387991E-2</v>
      </c>
    </row>
    <row r="443" spans="2:19">
      <c r="B443" s="170">
        <v>0</v>
      </c>
      <c r="C443" s="171">
        <f>VLOOKUP(B443,'RESUMEN RENDIMIENTOS'!$V$6:$W$158,2,FALSE)</f>
        <v>0</v>
      </c>
      <c r="D443" s="177"/>
      <c r="E443" s="172" t="s">
        <v>337</v>
      </c>
      <c r="F443" s="173">
        <f t="shared" si="54"/>
        <v>0</v>
      </c>
      <c r="G443" s="174">
        <f>+F443/F454</f>
        <v>0</v>
      </c>
      <c r="H443" s="170">
        <v>0</v>
      </c>
      <c r="I443" s="171">
        <f>VLOOKUP(H443,'RESUMEN RENDIMIENTOS'!$V$6:$W$158,2,FALSE)</f>
        <v>0</v>
      </c>
      <c r="J443" s="177"/>
      <c r="K443" s="172" t="s">
        <v>337</v>
      </c>
      <c r="L443" s="175">
        <f t="shared" si="55"/>
        <v>0</v>
      </c>
      <c r="M443" s="174">
        <f>+L443/L454</f>
        <v>0</v>
      </c>
      <c r="N443" s="170" t="s">
        <v>210</v>
      </c>
      <c r="O443" s="171">
        <f>VLOOKUP(N443,'RESUMEN RENDIMIENTOS'!$V$6:$W$158,2,FALSE)</f>
        <v>80</v>
      </c>
      <c r="P443" s="177" t="s">
        <v>30</v>
      </c>
      <c r="Q443" s="172">
        <v>24</v>
      </c>
      <c r="R443" s="175">
        <f t="shared" si="56"/>
        <v>0.1214574898785425</v>
      </c>
      <c r="S443" s="174">
        <f>+R443/R454</f>
        <v>0.28236712042533491</v>
      </c>
    </row>
    <row r="444" spans="2:19">
      <c r="B444" s="170">
        <v>0</v>
      </c>
      <c r="C444" s="171">
        <f>VLOOKUP(B444,'RESUMEN RENDIMIENTOS'!$V$6:$W$158,2,FALSE)</f>
        <v>0</v>
      </c>
      <c r="D444" s="177"/>
      <c r="E444" s="172" t="s">
        <v>337</v>
      </c>
      <c r="F444" s="173">
        <f t="shared" si="54"/>
        <v>0</v>
      </c>
      <c r="G444" s="174">
        <f>+F444/F454</f>
        <v>0</v>
      </c>
      <c r="H444" s="170">
        <v>0</v>
      </c>
      <c r="I444" s="171">
        <f>VLOOKUP(H444,'RESUMEN RENDIMIENTOS'!$V$6:$W$158,2,FALSE)</f>
        <v>0</v>
      </c>
      <c r="J444" s="177"/>
      <c r="K444" s="172" t="s">
        <v>337</v>
      </c>
      <c r="L444" s="175">
        <f t="shared" si="55"/>
        <v>0</v>
      </c>
      <c r="M444" s="174">
        <f>+L444/L454</f>
        <v>0</v>
      </c>
      <c r="N444" s="170" t="s">
        <v>253</v>
      </c>
      <c r="O444" s="171">
        <f>VLOOKUP(N444,'RESUMEN RENDIMIENTOS'!$V$6:$W$158,2,FALSE)</f>
        <v>1500</v>
      </c>
      <c r="P444" s="177" t="s">
        <v>58</v>
      </c>
      <c r="Q444" s="172">
        <v>12</v>
      </c>
      <c r="R444" s="175">
        <f t="shared" si="56"/>
        <v>3.2388663967611339E-3</v>
      </c>
      <c r="S444" s="174">
        <f>+R444/R454</f>
        <v>7.5297898780089323E-3</v>
      </c>
    </row>
    <row r="445" spans="2:19">
      <c r="B445" s="170">
        <v>0</v>
      </c>
      <c r="C445" s="171">
        <f>VLOOKUP(B445,'RESUMEN RENDIMIENTOS'!$V$6:$W$158,2,FALSE)</f>
        <v>0</v>
      </c>
      <c r="D445" s="177"/>
      <c r="E445" s="172" t="s">
        <v>337</v>
      </c>
      <c r="F445" s="173">
        <f t="shared" si="54"/>
        <v>0</v>
      </c>
      <c r="G445" s="174">
        <f>+F445/F454</f>
        <v>0</v>
      </c>
      <c r="H445" s="170">
        <v>0</v>
      </c>
      <c r="I445" s="171">
        <f>VLOOKUP(H445,'RESUMEN RENDIMIENTOS'!$V$6:$W$158,2,FALSE)</f>
        <v>0</v>
      </c>
      <c r="J445" s="177"/>
      <c r="K445" s="172" t="s">
        <v>337</v>
      </c>
      <c r="L445" s="175">
        <f t="shared" si="55"/>
        <v>0</v>
      </c>
      <c r="M445" s="174">
        <f>+L445/L454</f>
        <v>0</v>
      </c>
      <c r="N445" s="170" t="s">
        <v>240</v>
      </c>
      <c r="O445" s="171">
        <f>VLOOKUP(N445,'RESUMEN RENDIMIENTOS'!$V$6:$W$158,2,FALSE)</f>
        <v>1000</v>
      </c>
      <c r="P445" s="177" t="s">
        <v>56</v>
      </c>
      <c r="Q445" s="172">
        <v>52.14</v>
      </c>
      <c r="R445" s="175">
        <f t="shared" si="56"/>
        <v>2.1109311740890691E-2</v>
      </c>
      <c r="S445" s="174">
        <f>+R445/R454</f>
        <v>4.9075405529923219E-2</v>
      </c>
    </row>
    <row r="446" spans="2:19">
      <c r="B446" s="170">
        <v>0</v>
      </c>
      <c r="C446" s="171">
        <f>VLOOKUP(B446,'RESUMEN RENDIMIENTOS'!$V$6:$W$158,2,FALSE)</f>
        <v>0</v>
      </c>
      <c r="D446" s="177"/>
      <c r="E446" s="172" t="s">
        <v>337</v>
      </c>
      <c r="F446" s="173">
        <f t="shared" si="54"/>
        <v>0</v>
      </c>
      <c r="G446" s="174">
        <f>+F446/F454</f>
        <v>0</v>
      </c>
      <c r="H446" s="170">
        <v>0</v>
      </c>
      <c r="I446" s="171">
        <f>VLOOKUP(H446,'RESUMEN RENDIMIENTOS'!$V$6:$W$158,2,FALSE)</f>
        <v>0</v>
      </c>
      <c r="J446" s="177"/>
      <c r="K446" s="172" t="s">
        <v>337</v>
      </c>
      <c r="L446" s="175">
        <f t="shared" si="55"/>
        <v>0</v>
      </c>
      <c r="M446" s="174">
        <f>+L446/L454</f>
        <v>0</v>
      </c>
      <c r="N446" s="170">
        <v>0</v>
      </c>
      <c r="O446" s="171">
        <f>VLOOKUP(N446,'RESUMEN RENDIMIENTOS'!$V$6:$W$158,2,FALSE)</f>
        <v>0</v>
      </c>
      <c r="P446" s="177"/>
      <c r="Q446" s="172" t="s">
        <v>337</v>
      </c>
      <c r="R446" s="175">
        <f t="shared" si="56"/>
        <v>0</v>
      </c>
      <c r="S446" s="174">
        <f>+R446/R454</f>
        <v>0</v>
      </c>
    </row>
    <row r="447" spans="2:19">
      <c r="B447" s="170">
        <v>0</v>
      </c>
      <c r="C447" s="171">
        <f>VLOOKUP(B447,'RESUMEN RENDIMIENTOS'!$V$6:$W$158,2,FALSE)</f>
        <v>0</v>
      </c>
      <c r="D447" s="177"/>
      <c r="E447" s="172" t="s">
        <v>337</v>
      </c>
      <c r="F447" s="173">
        <f t="shared" si="54"/>
        <v>0</v>
      </c>
      <c r="G447" s="174">
        <f>+F447/F454</f>
        <v>0</v>
      </c>
      <c r="H447" s="170">
        <v>0</v>
      </c>
      <c r="I447" s="171">
        <f>VLOOKUP(H447,'RESUMEN RENDIMIENTOS'!$V$6:$W$158,2,FALSE)</f>
        <v>0</v>
      </c>
      <c r="J447" s="177"/>
      <c r="K447" s="172" t="s">
        <v>337</v>
      </c>
      <c r="L447" s="175">
        <f t="shared" si="55"/>
        <v>0</v>
      </c>
      <c r="M447" s="174">
        <f>+L447/L454</f>
        <v>0</v>
      </c>
      <c r="N447" s="170">
        <v>0</v>
      </c>
      <c r="O447" s="171">
        <f>VLOOKUP(N447,'RESUMEN RENDIMIENTOS'!$V$6:$W$158,2,FALSE)</f>
        <v>0</v>
      </c>
      <c r="P447" s="177"/>
      <c r="Q447" s="172" t="s">
        <v>337</v>
      </c>
      <c r="R447" s="175">
        <f t="shared" si="56"/>
        <v>0</v>
      </c>
      <c r="S447" s="174">
        <f>+R447/R454</f>
        <v>0</v>
      </c>
    </row>
    <row r="448" spans="2:19">
      <c r="B448" s="170">
        <v>0</v>
      </c>
      <c r="C448" s="171">
        <f>VLOOKUP(B448,'RESUMEN RENDIMIENTOS'!$V$6:$W$158,2,FALSE)</f>
        <v>0</v>
      </c>
      <c r="D448" s="177"/>
      <c r="E448" s="172" t="s">
        <v>337</v>
      </c>
      <c r="F448" s="173">
        <f t="shared" si="54"/>
        <v>0</v>
      </c>
      <c r="G448" s="174">
        <f>+F448/F454</f>
        <v>0</v>
      </c>
      <c r="H448" s="170">
        <v>0</v>
      </c>
      <c r="I448" s="171">
        <f>VLOOKUP(H448,'RESUMEN RENDIMIENTOS'!$V$6:$W$158,2,FALSE)</f>
        <v>0</v>
      </c>
      <c r="J448" s="177"/>
      <c r="K448" s="172" t="s">
        <v>337</v>
      </c>
      <c r="L448" s="173">
        <f t="shared" si="55"/>
        <v>0</v>
      </c>
      <c r="M448" s="174">
        <f>+L448/L454</f>
        <v>0</v>
      </c>
      <c r="N448" s="170">
        <v>0</v>
      </c>
      <c r="O448" s="171">
        <f>VLOOKUP(N448,'RESUMEN RENDIMIENTOS'!$V$6:$W$158,2,FALSE)</f>
        <v>0</v>
      </c>
      <c r="P448" s="177"/>
      <c r="Q448" s="172" t="s">
        <v>337</v>
      </c>
      <c r="R448" s="175">
        <f t="shared" si="56"/>
        <v>0</v>
      </c>
      <c r="S448" s="174">
        <f>+R448/R454</f>
        <v>0</v>
      </c>
    </row>
    <row r="449" spans="2:19">
      <c r="B449" s="170">
        <v>0</v>
      </c>
      <c r="C449" s="171">
        <f>VLOOKUP(B449,'RESUMEN RENDIMIENTOS'!$V$6:$W$158,2,FALSE)</f>
        <v>0</v>
      </c>
      <c r="D449" s="177"/>
      <c r="E449" s="172" t="s">
        <v>337</v>
      </c>
      <c r="F449" s="173">
        <f t="shared" si="54"/>
        <v>0</v>
      </c>
      <c r="G449" s="174">
        <f>+F449/F454</f>
        <v>0</v>
      </c>
      <c r="H449" s="170">
        <v>0</v>
      </c>
      <c r="I449" s="171">
        <f>VLOOKUP(H449,'RESUMEN RENDIMIENTOS'!$V$6:$W$158,2,FALSE)</f>
        <v>0</v>
      </c>
      <c r="J449" s="177"/>
      <c r="K449" s="172" t="s">
        <v>337</v>
      </c>
      <c r="L449" s="173">
        <f t="shared" si="55"/>
        <v>0</v>
      </c>
      <c r="M449" s="174">
        <f>+L449/L454</f>
        <v>0</v>
      </c>
      <c r="N449" s="170">
        <v>0</v>
      </c>
      <c r="O449" s="171">
        <f>VLOOKUP(N449,'RESUMEN RENDIMIENTOS'!$V$6:$W$158,2,FALSE)</f>
        <v>0</v>
      </c>
      <c r="P449" s="177"/>
      <c r="Q449" s="172" t="s">
        <v>337</v>
      </c>
      <c r="R449" s="175">
        <f t="shared" si="56"/>
        <v>0</v>
      </c>
      <c r="S449" s="174">
        <f>+R449/R454</f>
        <v>0</v>
      </c>
    </row>
    <row r="450" spans="2:19">
      <c r="B450" s="170">
        <v>0</v>
      </c>
      <c r="C450" s="171">
        <f>VLOOKUP(B450,'RESUMEN RENDIMIENTOS'!$V$6:$W$158,2,FALSE)</f>
        <v>0</v>
      </c>
      <c r="D450" s="177"/>
      <c r="E450" s="172" t="s">
        <v>337</v>
      </c>
      <c r="F450" s="173">
        <f t="shared" si="54"/>
        <v>0</v>
      </c>
      <c r="G450" s="174">
        <f>+F450/F454</f>
        <v>0</v>
      </c>
      <c r="H450" s="170">
        <v>0</v>
      </c>
      <c r="I450" s="171">
        <f>VLOOKUP(H450,'RESUMEN RENDIMIENTOS'!$V$6:$W$158,2,FALSE)</f>
        <v>0</v>
      </c>
      <c r="J450" s="177"/>
      <c r="K450" s="172" t="s">
        <v>337</v>
      </c>
      <c r="L450" s="173">
        <f t="shared" si="55"/>
        <v>0</v>
      </c>
      <c r="M450" s="174">
        <f>+L450/L454</f>
        <v>0</v>
      </c>
      <c r="N450" s="170">
        <v>0</v>
      </c>
      <c r="O450" s="171">
        <f>VLOOKUP(N450,'RESUMEN RENDIMIENTOS'!$V$6:$W$158,2,FALSE)</f>
        <v>0</v>
      </c>
      <c r="P450" s="177"/>
      <c r="Q450" s="172" t="s">
        <v>337</v>
      </c>
      <c r="R450" s="175">
        <f t="shared" si="56"/>
        <v>0</v>
      </c>
      <c r="S450" s="174">
        <f>+R450/R454</f>
        <v>0</v>
      </c>
    </row>
    <row r="451" spans="2:19">
      <c r="B451" s="170">
        <v>0</v>
      </c>
      <c r="C451" s="171">
        <f>VLOOKUP(B451,'RESUMEN RENDIMIENTOS'!$V$6:$W$158,2,FALSE)</f>
        <v>0</v>
      </c>
      <c r="D451" s="177"/>
      <c r="E451" s="172" t="s">
        <v>337</v>
      </c>
      <c r="F451" s="173">
        <f t="shared" si="54"/>
        <v>0</v>
      </c>
      <c r="G451" s="174">
        <f>+F451/F454</f>
        <v>0</v>
      </c>
      <c r="H451" s="170">
        <v>0</v>
      </c>
      <c r="I451" s="171">
        <f>VLOOKUP(H451,'RESUMEN RENDIMIENTOS'!$V$6:$W$158,2,FALSE)</f>
        <v>0</v>
      </c>
      <c r="J451" s="177"/>
      <c r="K451" s="172" t="s">
        <v>337</v>
      </c>
      <c r="L451" s="173">
        <f t="shared" si="55"/>
        <v>0</v>
      </c>
      <c r="M451" s="174">
        <f>+L451/L454</f>
        <v>0</v>
      </c>
      <c r="N451" s="170">
        <v>0</v>
      </c>
      <c r="O451" s="171">
        <f>VLOOKUP(N451,'RESUMEN RENDIMIENTOS'!$V$6:$W$158,2,FALSE)</f>
        <v>0</v>
      </c>
      <c r="P451" s="177"/>
      <c r="Q451" s="172" t="s">
        <v>337</v>
      </c>
      <c r="R451" s="175">
        <f t="shared" si="56"/>
        <v>0</v>
      </c>
      <c r="S451" s="174">
        <f>+R451/R454</f>
        <v>0</v>
      </c>
    </row>
    <row r="452" spans="2:19">
      <c r="B452" s="170">
        <v>0</v>
      </c>
      <c r="C452" s="171">
        <f>VLOOKUP(B452,'RESUMEN RENDIMIENTOS'!$V$6:$W$158,2,FALSE)</f>
        <v>0</v>
      </c>
      <c r="D452" s="177"/>
      <c r="E452" s="172" t="s">
        <v>337</v>
      </c>
      <c r="F452" s="173">
        <f t="shared" si="54"/>
        <v>0</v>
      </c>
      <c r="G452" s="174">
        <f>+F452/F454</f>
        <v>0</v>
      </c>
      <c r="H452" s="170">
        <v>0</v>
      </c>
      <c r="I452" s="171">
        <f>VLOOKUP(H452,'RESUMEN RENDIMIENTOS'!$V$6:$W$158,2,FALSE)</f>
        <v>0</v>
      </c>
      <c r="J452" s="177"/>
      <c r="K452" s="172" t="s">
        <v>337</v>
      </c>
      <c r="L452" s="173">
        <f t="shared" si="55"/>
        <v>0</v>
      </c>
      <c r="M452" s="174">
        <f>+L452/L454</f>
        <v>0</v>
      </c>
      <c r="N452" s="170">
        <v>0</v>
      </c>
      <c r="O452" s="171">
        <f>VLOOKUP(N452,'RESUMEN RENDIMIENTOS'!$V$6:$W$158,2,FALSE)</f>
        <v>0</v>
      </c>
      <c r="P452" s="177"/>
      <c r="Q452" s="172" t="s">
        <v>337</v>
      </c>
      <c r="R452" s="175">
        <f t="shared" si="56"/>
        <v>0</v>
      </c>
      <c r="S452" s="174">
        <f>+R452/R454</f>
        <v>0</v>
      </c>
    </row>
    <row r="453" spans="2:19">
      <c r="B453" s="170">
        <v>0</v>
      </c>
      <c r="C453" s="171">
        <f>VLOOKUP(B453,'RESUMEN RENDIMIENTOS'!$V$6:$W$158,2,FALSE)</f>
        <v>0</v>
      </c>
      <c r="D453" s="177"/>
      <c r="E453" s="172" t="s">
        <v>337</v>
      </c>
      <c r="F453" s="173">
        <f t="shared" si="54"/>
        <v>0</v>
      </c>
      <c r="G453" s="174">
        <f>+F453/F454</f>
        <v>0</v>
      </c>
      <c r="H453" s="170">
        <v>0</v>
      </c>
      <c r="I453" s="171">
        <f>VLOOKUP(H453,'RESUMEN RENDIMIENTOS'!$V$6:$W$158,2,FALSE)</f>
        <v>0</v>
      </c>
      <c r="J453" s="177"/>
      <c r="K453" s="172" t="s">
        <v>337</v>
      </c>
      <c r="L453" s="173">
        <f t="shared" si="55"/>
        <v>0</v>
      </c>
      <c r="M453" s="174">
        <f>+L453/L454</f>
        <v>0</v>
      </c>
      <c r="N453" s="170">
        <v>0</v>
      </c>
      <c r="O453" s="171">
        <f>VLOOKUP(N453,'RESUMEN RENDIMIENTOS'!$V$6:$W$158,2,FALSE)</f>
        <v>0</v>
      </c>
      <c r="P453" s="177"/>
      <c r="Q453" s="172" t="s">
        <v>337</v>
      </c>
      <c r="R453" s="175">
        <f t="shared" si="56"/>
        <v>0</v>
      </c>
      <c r="S453" s="174">
        <f>+R453/R454</f>
        <v>0</v>
      </c>
    </row>
    <row r="454" spans="2:19" ht="25" thickBot="1">
      <c r="B454" s="178"/>
      <c r="E454" s="90"/>
      <c r="F454" s="173">
        <f>SUM(F438:F453)</f>
        <v>0.16087775528565001</v>
      </c>
      <c r="G454" s="181">
        <f>+F454/F454</f>
        <v>1</v>
      </c>
      <c r="H454" s="178"/>
      <c r="I454" s="179"/>
      <c r="J454" s="182" t="s">
        <v>24</v>
      </c>
      <c r="K454" s="90"/>
      <c r="L454" s="173">
        <f>SUM(L438:L453)</f>
        <v>0.2600841044919992</v>
      </c>
      <c r="M454" s="181">
        <f>+L454/L454</f>
        <v>1</v>
      </c>
      <c r="N454" s="178"/>
      <c r="O454" s="179"/>
      <c r="Q454" s="90"/>
      <c r="R454" s="175">
        <f>SUM(R438:R453)</f>
        <v>0.4301403424576799</v>
      </c>
      <c r="S454" s="181">
        <f>+R454/R454</f>
        <v>1</v>
      </c>
    </row>
    <row r="455" spans="2:19" ht="18" customHeight="1">
      <c r="B455" s="427" t="s">
        <v>317</v>
      </c>
      <c r="C455" s="428"/>
      <c r="D455" s="429"/>
      <c r="E455" s="185">
        <v>0.12</v>
      </c>
      <c r="F455" s="173">
        <f>+F454*E455</f>
        <v>1.9305330634278001E-2</v>
      </c>
      <c r="H455" s="427" t="s">
        <v>317</v>
      </c>
      <c r="I455" s="428"/>
      <c r="J455" s="429"/>
      <c r="K455" s="185">
        <v>0.12</v>
      </c>
      <c r="L455" s="173">
        <f>+L454*K455</f>
        <v>3.1210092539039905E-2</v>
      </c>
      <c r="N455" s="427" t="s">
        <v>317</v>
      </c>
      <c r="O455" s="428"/>
      <c r="P455" s="429"/>
      <c r="Q455" s="185">
        <v>0.12</v>
      </c>
      <c r="R455" s="175">
        <f>+R454*Q455</f>
        <v>5.1616841094921588E-2</v>
      </c>
    </row>
    <row r="456" spans="2:19" ht="18" customHeight="1">
      <c r="B456" s="178"/>
      <c r="F456" s="173">
        <f>+F455+F454</f>
        <v>0.18018308591992802</v>
      </c>
      <c r="G456" s="187">
        <f>+F456/24</f>
        <v>7.5076285799970006E-3</v>
      </c>
      <c r="H456" s="178"/>
      <c r="I456" s="179"/>
      <c r="K456" s="88"/>
      <c r="L456" s="173">
        <f>+L455+L454</f>
        <v>0.29129419703103909</v>
      </c>
      <c r="M456" s="187">
        <f>+L456/24</f>
        <v>1.2137258209626628E-2</v>
      </c>
      <c r="N456" s="178"/>
      <c r="O456" s="179"/>
      <c r="R456" s="175">
        <f>+R455+R454</f>
        <v>0.4817571835526015</v>
      </c>
      <c r="S456" s="187">
        <f>+R456/24</f>
        <v>2.0073215981358396E-2</v>
      </c>
    </row>
    <row r="457" spans="2:19">
      <c r="B457" s="178"/>
      <c r="D457" s="188"/>
      <c r="F457" s="189"/>
      <c r="H457" s="178"/>
      <c r="I457" s="179"/>
      <c r="J457" s="188"/>
      <c r="K457" s="88"/>
      <c r="L457" s="189"/>
      <c r="N457" s="178"/>
      <c r="O457" s="179"/>
      <c r="P457" s="188"/>
      <c r="R457" s="189"/>
    </row>
    <row r="458" spans="2:19" ht="21">
      <c r="B458" s="191" t="s">
        <v>318</v>
      </c>
      <c r="C458" s="192"/>
      <c r="D458" s="192"/>
      <c r="E458" s="444">
        <f>IF(F456=0,0,(100/F456))</f>
        <v>554.99104973948124</v>
      </c>
      <c r="F458" s="445"/>
      <c r="H458" s="191" t="s">
        <v>318</v>
      </c>
      <c r="I458" s="192"/>
      <c r="J458" s="192"/>
      <c r="K458" s="444">
        <f>IF(L456=0,0,(100/L456))</f>
        <v>343.29554457051</v>
      </c>
      <c r="L458" s="445"/>
      <c r="N458" s="191" t="s">
        <v>318</v>
      </c>
      <c r="O458" s="192"/>
      <c r="P458" s="192"/>
      <c r="Q458" s="444">
        <f>IF(R456=0,0,(100/R456))</f>
        <v>207.57344864600515</v>
      </c>
      <c r="R458" s="445"/>
    </row>
    <row r="459" spans="2:19">
      <c r="B459" s="178"/>
      <c r="F459" s="189"/>
      <c r="H459" s="178"/>
      <c r="I459" s="179"/>
      <c r="K459" s="88"/>
      <c r="L459" s="189"/>
      <c r="N459" s="178"/>
      <c r="O459" s="179"/>
      <c r="R459" s="189"/>
    </row>
    <row r="460" spans="2:19" ht="21">
      <c r="B460" s="446" t="s">
        <v>319</v>
      </c>
      <c r="C460" s="447"/>
      <c r="D460" s="447"/>
      <c r="E460" s="447"/>
      <c r="F460" s="448"/>
      <c r="H460" s="446" t="s">
        <v>319</v>
      </c>
      <c r="I460" s="447"/>
      <c r="J460" s="447"/>
      <c r="K460" s="447"/>
      <c r="L460" s="448"/>
      <c r="N460" s="446" t="s">
        <v>319</v>
      </c>
      <c r="O460" s="447"/>
      <c r="P460" s="447"/>
      <c r="Q460" s="447"/>
      <c r="R460" s="448"/>
    </row>
    <row r="461" spans="2:19" ht="18" customHeight="1">
      <c r="B461" s="194" t="s">
        <v>320</v>
      </c>
      <c r="C461" s="195"/>
      <c r="D461" s="435" t="s">
        <v>321</v>
      </c>
      <c r="E461" s="435"/>
      <c r="F461" s="196" t="s">
        <v>322</v>
      </c>
      <c r="H461" s="194" t="s">
        <v>320</v>
      </c>
      <c r="I461" s="195"/>
      <c r="J461" s="435" t="s">
        <v>321</v>
      </c>
      <c r="K461" s="435"/>
      <c r="L461" s="196" t="s">
        <v>322</v>
      </c>
      <c r="N461" s="194" t="s">
        <v>320</v>
      </c>
      <c r="O461" s="195"/>
      <c r="P461" s="435" t="s">
        <v>321</v>
      </c>
      <c r="Q461" s="435"/>
      <c r="R461" s="196" t="s">
        <v>322</v>
      </c>
    </row>
    <row r="462" spans="2:19">
      <c r="B462" s="197" t="s">
        <v>278</v>
      </c>
      <c r="C462" s="201">
        <v>1</v>
      </c>
      <c r="E462" s="199">
        <f>IF(C462=0,0,(VLOOKUP(B462,'RESUMEN RENDIMIENTOS'!$AB$6:$AO$64,13,FALSE)))*C462</f>
        <v>0.75</v>
      </c>
      <c r="F462" s="200">
        <f>IF(C462=0,0,(VLOOKUP(B462,'RESUMEN RENDIMIENTOS'!$AB$6:$AO$64,14,FALSE)))*C462</f>
        <v>1.0285714285714287E-2</v>
      </c>
      <c r="H462" s="197" t="s">
        <v>278</v>
      </c>
      <c r="I462" s="201">
        <v>1</v>
      </c>
      <c r="K462" s="199">
        <f>IF(I462=0,0,(VLOOKUP(H462,'RESUMEN RENDIMIENTOS'!$AB$6:$AO$64,13,FALSE)))*I462</f>
        <v>0.75</v>
      </c>
      <c r="L462" s="200">
        <f>IF(I462=0,0,(VLOOKUP(H462,'RESUMEN RENDIMIENTOS'!$AB$6:$AO$64,14,FALSE)))*I462</f>
        <v>1.0285714285714287E-2</v>
      </c>
      <c r="N462" s="197" t="s">
        <v>278</v>
      </c>
      <c r="O462" s="201">
        <v>1</v>
      </c>
      <c r="Q462" s="199">
        <f>IF(O462=0,0,(VLOOKUP(N462,'RESUMEN RENDIMIENTOS'!$AB$6:$AO$64,13,FALSE)))*O462</f>
        <v>0.75</v>
      </c>
      <c r="R462" s="200">
        <f>IF(O462=0,0,(VLOOKUP(N462,'RESUMEN RENDIMIENTOS'!$AB$6:$AO$64,14,FALSE)))*O462</f>
        <v>1.0285714285714287E-2</v>
      </c>
    </row>
    <row r="463" spans="2:19">
      <c r="B463" s="197" t="s">
        <v>279</v>
      </c>
      <c r="C463" s="201">
        <v>1</v>
      </c>
      <c r="E463" s="199">
        <f>IF(C463=0,0,(VLOOKUP(B463,'RESUMEN RENDIMIENTOS'!$AB$6:$AO$64,13,FALSE)))*C463</f>
        <v>2</v>
      </c>
      <c r="F463" s="200">
        <f>IF(C463=0,0,(VLOOKUP(B463,'RESUMEN RENDIMIENTOS'!$AB$6:$AO$64,14,FALSE)))*C463</f>
        <v>9.5999999999999988E-2</v>
      </c>
      <c r="H463" s="197" t="s">
        <v>279</v>
      </c>
      <c r="I463" s="201">
        <v>1</v>
      </c>
      <c r="K463" s="199">
        <f>IF(I463=0,0,(VLOOKUP(H463,'RESUMEN RENDIMIENTOS'!$AB$6:$AO$64,13,FALSE)))*I463</f>
        <v>2</v>
      </c>
      <c r="L463" s="200">
        <f>IF(I463=0,0,(VLOOKUP(H463,'RESUMEN RENDIMIENTOS'!$AB$6:$AO$64,14,FALSE)))*I463</f>
        <v>9.5999999999999988E-2</v>
      </c>
      <c r="N463" s="197" t="s">
        <v>279</v>
      </c>
      <c r="O463" s="201">
        <v>1</v>
      </c>
      <c r="Q463" s="199">
        <f>IF(O463=0,0,(VLOOKUP(N463,'RESUMEN RENDIMIENTOS'!$AB$6:$AO$64,13,FALSE)))*O463</f>
        <v>2</v>
      </c>
      <c r="R463" s="200">
        <f>IF(O463=0,0,(VLOOKUP(N463,'RESUMEN RENDIMIENTOS'!$AB$6:$AO$64,14,FALSE)))*O463</f>
        <v>9.5999999999999988E-2</v>
      </c>
    </row>
    <row r="464" spans="2:19">
      <c r="B464" s="197" t="s">
        <v>284</v>
      </c>
      <c r="C464" s="201">
        <v>0.25</v>
      </c>
      <c r="E464" s="199">
        <f>IF(C464=0,0,(VLOOKUP(B464,'RESUMEN RENDIMIENTOS'!$AB$6:$AO$64,13,FALSE)))*C464</f>
        <v>0.52500000000000002</v>
      </c>
      <c r="F464" s="200">
        <f>IF(C464=0,0,(VLOOKUP(B464,'RESUMEN RENDIMIENTOS'!$AB$6:$AO$64,14,FALSE)))*C464</f>
        <v>4.2000000000000003E-2</v>
      </c>
      <c r="H464" s="197" t="s">
        <v>284</v>
      </c>
      <c r="I464" s="201">
        <v>0.25</v>
      </c>
      <c r="K464" s="199">
        <f>IF(I464=0,0,(VLOOKUP(H464,'RESUMEN RENDIMIENTOS'!$AB$6:$AO$64,13,FALSE)))*I464</f>
        <v>0.52500000000000002</v>
      </c>
      <c r="L464" s="200">
        <f>IF(I464=0,0,(VLOOKUP(H464,'RESUMEN RENDIMIENTOS'!$AB$6:$AO$64,14,FALSE)))*I464</f>
        <v>4.2000000000000003E-2</v>
      </c>
      <c r="N464" s="197" t="s">
        <v>284</v>
      </c>
      <c r="O464" s="201">
        <v>0.25</v>
      </c>
      <c r="Q464" s="199">
        <f>IF(O464=0,0,(VLOOKUP(N464,'RESUMEN RENDIMIENTOS'!$AB$6:$AO$64,13,FALSE)))*O464</f>
        <v>0.52500000000000002</v>
      </c>
      <c r="R464" s="200">
        <f>IF(O464=0,0,(VLOOKUP(N464,'RESUMEN RENDIMIENTOS'!$AB$6:$AO$64,14,FALSE)))*O464</f>
        <v>4.2000000000000003E-2</v>
      </c>
    </row>
    <row r="465" spans="2:19">
      <c r="B465" s="197" t="s">
        <v>283</v>
      </c>
      <c r="C465" s="201">
        <v>1</v>
      </c>
      <c r="E465" s="199">
        <f>IF(C465=0,0,(VLOOKUP(B465,'RESUMEN RENDIMIENTOS'!$AB$6:$AO$64,13,FALSE)))*C465</f>
        <v>1.59</v>
      </c>
      <c r="F465" s="200">
        <f>IF(C465=0,0,(VLOOKUP(B465,'RESUMEN RENDIMIENTOS'!$AB$6:$AO$64,14,FALSE)))*C465</f>
        <v>0.12720000000000001</v>
      </c>
      <c r="H465" s="197" t="s">
        <v>283</v>
      </c>
      <c r="I465" s="201">
        <v>1</v>
      </c>
      <c r="K465" s="199">
        <f>IF(I465=0,0,(VLOOKUP(H465,'RESUMEN RENDIMIENTOS'!$AB$6:$AO$64,13,FALSE)))*I465</f>
        <v>1.59</v>
      </c>
      <c r="L465" s="200">
        <f>IF(I465=0,0,(VLOOKUP(H465,'RESUMEN RENDIMIENTOS'!$AB$6:$AO$64,14,FALSE)))*I465</f>
        <v>0.12720000000000001</v>
      </c>
      <c r="N465" s="197" t="s">
        <v>283</v>
      </c>
      <c r="O465" s="201">
        <v>1</v>
      </c>
      <c r="Q465" s="199">
        <f>IF(O465=0,0,(VLOOKUP(N465,'RESUMEN RENDIMIENTOS'!$AB$6:$AO$64,13,FALSE)))*O465</f>
        <v>1.59</v>
      </c>
      <c r="R465" s="200">
        <f>IF(O465=0,0,(VLOOKUP(N465,'RESUMEN RENDIMIENTOS'!$AB$6:$AO$64,14,FALSE)))*O465</f>
        <v>0.12720000000000001</v>
      </c>
    </row>
    <row r="466" spans="2:19">
      <c r="B466" s="197" t="s">
        <v>282</v>
      </c>
      <c r="C466" s="201">
        <v>1</v>
      </c>
      <c r="E466" s="199">
        <f>IF(C466=0,0,(VLOOKUP(B466,'RESUMEN RENDIMIENTOS'!$AB$6:$AO$64,13,FALSE)))*C466</f>
        <v>2.62</v>
      </c>
      <c r="F466" s="200">
        <f>IF(C466=0,0,(VLOOKUP(B466,'RESUMEN RENDIMIENTOS'!$AB$6:$AO$64,14,FALSE)))*C466</f>
        <v>6.986666666666666E-2</v>
      </c>
      <c r="H466" s="197" t="s">
        <v>282</v>
      </c>
      <c r="I466" s="201">
        <v>1</v>
      </c>
      <c r="K466" s="199">
        <f>IF(I466=0,0,(VLOOKUP(H466,'RESUMEN RENDIMIENTOS'!$AB$6:$AO$64,13,FALSE)))*I466</f>
        <v>2.62</v>
      </c>
      <c r="L466" s="200">
        <f>IF(I466=0,0,(VLOOKUP(H466,'RESUMEN RENDIMIENTOS'!$AB$6:$AO$64,14,FALSE)))*I466</f>
        <v>6.986666666666666E-2</v>
      </c>
      <c r="N466" s="197" t="s">
        <v>282</v>
      </c>
      <c r="O466" s="201">
        <v>1</v>
      </c>
      <c r="Q466" s="199">
        <f>IF(O466=0,0,(VLOOKUP(N466,'RESUMEN RENDIMIENTOS'!$AB$6:$AO$64,13,FALSE)))*O466</f>
        <v>2.62</v>
      </c>
      <c r="R466" s="200">
        <f>IF(O466=0,0,(VLOOKUP(N466,'RESUMEN RENDIMIENTOS'!$AB$6:$AO$64,14,FALSE)))*O466</f>
        <v>6.986666666666666E-2</v>
      </c>
    </row>
    <row r="467" spans="2:19">
      <c r="B467" s="197" t="s">
        <v>302</v>
      </c>
      <c r="C467" s="201">
        <v>1</v>
      </c>
      <c r="E467" s="199">
        <f>IF(C467=0,0,(VLOOKUP(B467,'RESUMEN RENDIMIENTOS'!$AB$6:$AO$64,13,FALSE)))*C467</f>
        <v>1</v>
      </c>
      <c r="F467" s="200">
        <f>IF(C467=0,0,(VLOOKUP(B467,'RESUMEN RENDIMIENTOS'!$AB$6:$AO$64,14,FALSE)))*C467</f>
        <v>0.2</v>
      </c>
      <c r="H467" s="197" t="s">
        <v>302</v>
      </c>
      <c r="I467" s="201">
        <v>1</v>
      </c>
      <c r="K467" s="199">
        <f>IF(I467=0,0,(VLOOKUP(H467,'RESUMEN RENDIMIENTOS'!$AB$6:$AO$64,13,FALSE)))*I467</f>
        <v>1</v>
      </c>
      <c r="L467" s="200">
        <f>IF(I467=0,0,(VLOOKUP(H467,'RESUMEN RENDIMIENTOS'!$AB$6:$AO$64,14,FALSE)))*I467</f>
        <v>0.2</v>
      </c>
      <c r="N467" s="197" t="s">
        <v>302</v>
      </c>
      <c r="O467" s="201">
        <v>1</v>
      </c>
      <c r="Q467" s="199">
        <f>IF(O467=0,0,(VLOOKUP(N467,'RESUMEN RENDIMIENTOS'!$AB$6:$AO$64,13,FALSE)))*O467</f>
        <v>1</v>
      </c>
      <c r="R467" s="200">
        <f>IF(O467=0,0,(VLOOKUP(N467,'RESUMEN RENDIMIENTOS'!$AB$6:$AO$64,14,FALSE)))*O467</f>
        <v>0.2</v>
      </c>
    </row>
    <row r="468" spans="2:19">
      <c r="B468" s="202"/>
      <c r="F468" s="206">
        <f>SUM(F462:F467)</f>
        <v>0.54535238095238103</v>
      </c>
      <c r="G468" s="205">
        <f>+F468</f>
        <v>0.54535238095238103</v>
      </c>
      <c r="H468" s="202"/>
      <c r="I468" s="179"/>
      <c r="K468" s="88"/>
      <c r="L468" s="206">
        <f>SUM(L462:L467)</f>
        <v>0.54535238095238103</v>
      </c>
      <c r="M468" s="205">
        <f>+L468</f>
        <v>0.54535238095238103</v>
      </c>
      <c r="N468" s="202"/>
      <c r="O468" s="179"/>
      <c r="R468" s="206">
        <f>SUM(R462:R467)</f>
        <v>0.54535238095238103</v>
      </c>
      <c r="S468" s="205">
        <f>+R468</f>
        <v>0.54535238095238103</v>
      </c>
    </row>
    <row r="469" spans="2:19">
      <c r="B469" s="436" t="s">
        <v>324</v>
      </c>
      <c r="C469" s="437"/>
      <c r="D469" s="437"/>
      <c r="E469" s="437"/>
      <c r="F469" s="455"/>
      <c r="G469" s="205"/>
      <c r="H469" s="436" t="s">
        <v>324</v>
      </c>
      <c r="I469" s="437"/>
      <c r="J469" s="437"/>
      <c r="K469" s="437"/>
      <c r="L469" s="455"/>
      <c r="M469" s="205"/>
      <c r="N469" s="436" t="s">
        <v>324</v>
      </c>
      <c r="O469" s="437"/>
      <c r="P469" s="437"/>
      <c r="Q469" s="437"/>
      <c r="R469" s="455"/>
      <c r="S469" s="205"/>
    </row>
    <row r="470" spans="2:19">
      <c r="B470" s="210" t="s">
        <v>325</v>
      </c>
      <c r="C470" s="211">
        <v>1</v>
      </c>
      <c r="D470" s="212">
        <v>21.712335174960327</v>
      </c>
      <c r="E470" s="213">
        <f>F456</f>
        <v>0.18018308591992802</v>
      </c>
      <c r="F470" s="214">
        <f>+IF(C470&gt;="",0,(D470*E470))</f>
        <v>3.9121955543521518</v>
      </c>
      <c r="G470" s="215"/>
      <c r="H470" s="210" t="s">
        <v>325</v>
      </c>
      <c r="I470" s="211">
        <v>1</v>
      </c>
      <c r="J470" s="212">
        <v>21.712335174960327</v>
      </c>
      <c r="K470" s="213">
        <f>L456</f>
        <v>0.29129419703103909</v>
      </c>
      <c r="L470" s="216">
        <f>+IF(I470&gt;="",0,(J470*K470))</f>
        <v>6.324677240458854</v>
      </c>
      <c r="M470" s="215"/>
      <c r="N470" s="210" t="s">
        <v>325</v>
      </c>
      <c r="O470" s="211">
        <v>1</v>
      </c>
      <c r="P470" s="212">
        <v>21.712335174960327</v>
      </c>
      <c r="Q470" s="213">
        <f>R456</f>
        <v>0.4817571835526015</v>
      </c>
      <c r="R470" s="214">
        <f>+IF(O470&gt;="",0,(P470*Q470))</f>
        <v>10.460073442238969</v>
      </c>
      <c r="S470" s="215"/>
    </row>
    <row r="471" spans="2:19">
      <c r="B471" s="210" t="s">
        <v>326</v>
      </c>
      <c r="C471" s="211"/>
      <c r="D471" s="212">
        <f>+D470*25%</f>
        <v>5.4280837937400817</v>
      </c>
      <c r="E471" s="213">
        <f>F456</f>
        <v>0.18018308591992802</v>
      </c>
      <c r="F471" s="214">
        <f>+IF(C471= "",0,(D471*E471))</f>
        <v>0</v>
      </c>
      <c r="G471" s="215"/>
      <c r="H471" s="210" t="s">
        <v>326</v>
      </c>
      <c r="I471" s="211"/>
      <c r="J471" s="212">
        <f>+J470*25%</f>
        <v>5.4280837937400817</v>
      </c>
      <c r="K471" s="213">
        <f>L456</f>
        <v>0.29129419703103909</v>
      </c>
      <c r="L471" s="216">
        <f>+IF(I471= "",0,(J471*K471))</f>
        <v>0</v>
      </c>
      <c r="M471" s="215"/>
      <c r="N471" s="210" t="s">
        <v>326</v>
      </c>
      <c r="O471" s="211"/>
      <c r="P471" s="212">
        <f>+P470*25%</f>
        <v>5.4280837937400817</v>
      </c>
      <c r="Q471" s="213">
        <f>R456</f>
        <v>0.4817571835526015</v>
      </c>
      <c r="R471" s="214">
        <f>+IF(O471= "",0,(P471*Q471))</f>
        <v>0</v>
      </c>
      <c r="S471" s="215"/>
    </row>
    <row r="472" spans="2:19">
      <c r="B472" s="210" t="s">
        <v>327</v>
      </c>
      <c r="C472" s="211"/>
      <c r="D472" s="212">
        <f>+D470*50%</f>
        <v>10.856167587480163</v>
      </c>
      <c r="E472" s="213">
        <f>F456</f>
        <v>0.18018308591992802</v>
      </c>
      <c r="F472" s="214">
        <f>+IF(C472= "",0,(D472*E472))</f>
        <v>0</v>
      </c>
      <c r="G472" s="215"/>
      <c r="H472" s="210" t="s">
        <v>327</v>
      </c>
      <c r="I472" s="211"/>
      <c r="J472" s="212">
        <f>+J470*50%</f>
        <v>10.856167587480163</v>
      </c>
      <c r="K472" s="213">
        <f>L456</f>
        <v>0.29129419703103909</v>
      </c>
      <c r="L472" s="216">
        <f>+IF(I472= "",0,(J472*K472))</f>
        <v>0</v>
      </c>
      <c r="M472" s="215"/>
      <c r="N472" s="210" t="s">
        <v>327</v>
      </c>
      <c r="O472" s="211"/>
      <c r="P472" s="212">
        <f>+P470*50%</f>
        <v>10.856167587480163</v>
      </c>
      <c r="Q472" s="213">
        <f>R456</f>
        <v>0.4817571835526015</v>
      </c>
      <c r="R472" s="214">
        <f>+IF(O472= "",0,(P472*Q472))</f>
        <v>0</v>
      </c>
      <c r="S472" s="215"/>
    </row>
    <row r="473" spans="2:19">
      <c r="B473" s="202"/>
      <c r="F473" s="217">
        <f>SUM(F470:F472)</f>
        <v>3.9121955543521518</v>
      </c>
      <c r="G473" s="218"/>
      <c r="H473" s="202"/>
      <c r="I473" s="179"/>
      <c r="K473" s="88"/>
      <c r="L473" s="219">
        <f>SUM(L470:L472)</f>
        <v>6.324677240458854</v>
      </c>
      <c r="M473" s="218"/>
      <c r="N473" s="202"/>
      <c r="O473" s="179"/>
      <c r="R473" s="217">
        <f>SUM(R470:R472)</f>
        <v>10.460073442238969</v>
      </c>
      <c r="S473" s="218"/>
    </row>
    <row r="474" spans="2:19">
      <c r="B474" s="202"/>
      <c r="F474" s="189"/>
      <c r="G474" s="220"/>
      <c r="H474" s="202"/>
      <c r="I474" s="179"/>
      <c r="K474" s="88"/>
      <c r="M474" s="220"/>
      <c r="N474" s="202"/>
      <c r="O474" s="179"/>
      <c r="R474" s="189"/>
      <c r="S474" s="220"/>
    </row>
    <row r="475" spans="2:19" ht="21">
      <c r="B475" s="438" t="s">
        <v>328</v>
      </c>
      <c r="C475" s="439"/>
      <c r="D475" s="439"/>
      <c r="E475" s="440"/>
      <c r="F475" s="225">
        <f>+F468+F473</f>
        <v>4.4575479353045324</v>
      </c>
      <c r="G475" s="205">
        <f>+F475</f>
        <v>4.4575479353045324</v>
      </c>
      <c r="H475" s="438" t="s">
        <v>328</v>
      </c>
      <c r="I475" s="439"/>
      <c r="J475" s="439"/>
      <c r="K475" s="440"/>
      <c r="L475" s="225">
        <f>+L468+L473</f>
        <v>6.8700296214112351</v>
      </c>
      <c r="M475" s="205">
        <f>+L475</f>
        <v>6.8700296214112351</v>
      </c>
      <c r="N475" s="438" t="s">
        <v>328</v>
      </c>
      <c r="O475" s="439"/>
      <c r="P475" s="439"/>
      <c r="Q475" s="440"/>
      <c r="R475" s="225">
        <f>+R468+R473</f>
        <v>11.005425823191349</v>
      </c>
      <c r="S475" s="205">
        <f>+R475</f>
        <v>11.005425823191349</v>
      </c>
    </row>
    <row r="476" spans="2:19">
      <c r="B476" s="202"/>
      <c r="F476" s="189"/>
      <c r="G476" s="205"/>
      <c r="H476" s="202"/>
      <c r="I476" s="179"/>
      <c r="K476" s="88"/>
      <c r="L476" s="189"/>
      <c r="M476" s="205"/>
      <c r="N476" s="202"/>
      <c r="O476" s="179"/>
      <c r="R476" s="189"/>
      <c r="S476" s="205"/>
    </row>
    <row r="477" spans="2:19" ht="19">
      <c r="B477" s="441" t="s">
        <v>329</v>
      </c>
      <c r="C477" s="442"/>
      <c r="D477" s="442"/>
      <c r="E477" s="443"/>
      <c r="F477" s="230">
        <f>+F475/$C$37</f>
        <v>4.4575479353045323E-2</v>
      </c>
      <c r="G477" s="205"/>
      <c r="H477" s="441" t="s">
        <v>329</v>
      </c>
      <c r="I477" s="442"/>
      <c r="J477" s="442"/>
      <c r="K477" s="443"/>
      <c r="L477" s="230">
        <f>+L475/$C$37</f>
        <v>6.8700296214112347E-2</v>
      </c>
      <c r="M477" s="205"/>
      <c r="N477" s="441" t="s">
        <v>329</v>
      </c>
      <c r="O477" s="442"/>
      <c r="P477" s="442"/>
      <c r="Q477" s="443"/>
      <c r="R477" s="230">
        <f>+R475/$C$37</f>
        <v>0.11005425823191349</v>
      </c>
      <c r="S477" s="205"/>
    </row>
    <row r="478" spans="2:19" ht="17" thickBot="1">
      <c r="B478" s="231"/>
      <c r="C478" s="232"/>
      <c r="D478" s="233"/>
      <c r="E478" s="233"/>
      <c r="F478" s="234"/>
      <c r="G478" s="205"/>
      <c r="H478" s="231"/>
      <c r="I478" s="232"/>
      <c r="J478" s="233"/>
      <c r="K478" s="233"/>
      <c r="L478" s="234"/>
      <c r="M478" s="205"/>
      <c r="N478" s="231"/>
      <c r="O478" s="232"/>
      <c r="P478" s="233"/>
      <c r="Q478" s="233"/>
      <c r="R478" s="234"/>
      <c r="S478" s="205"/>
    </row>
    <row r="479" spans="2:19" ht="23.25" customHeight="1" thickBot="1">
      <c r="B479" s="415" t="s">
        <v>312</v>
      </c>
      <c r="C479" s="416"/>
      <c r="D479" s="416"/>
      <c r="E479" s="416"/>
      <c r="F479" s="416"/>
      <c r="G479" s="416"/>
      <c r="H479" s="416"/>
      <c r="I479" s="416"/>
      <c r="J479" s="416"/>
      <c r="K479" s="416"/>
      <c r="L479" s="416"/>
      <c r="M479" s="416"/>
      <c r="N479" s="416"/>
      <c r="O479" s="416"/>
      <c r="P479" s="416"/>
      <c r="Q479" s="416"/>
      <c r="R479" s="417"/>
    </row>
    <row r="480" spans="2:19" ht="24">
      <c r="B480" s="237"/>
      <c r="C480" s="452" t="s">
        <v>70</v>
      </c>
      <c r="D480" s="453"/>
      <c r="E480" s="454"/>
      <c r="F480" s="240"/>
      <c r="G480" s="254"/>
      <c r="H480" s="239"/>
      <c r="I480" s="452" t="s">
        <v>29</v>
      </c>
      <c r="J480" s="453"/>
      <c r="K480" s="454"/>
      <c r="L480" s="240"/>
      <c r="M480" s="254"/>
      <c r="N480" s="237"/>
      <c r="O480" s="452" t="s">
        <v>84</v>
      </c>
      <c r="P480" s="453"/>
      <c r="Q480" s="454"/>
      <c r="R480" s="240"/>
    </row>
    <row r="481" spans="2:19" ht="33" thickBot="1">
      <c r="B481" s="241" t="s">
        <v>313</v>
      </c>
      <c r="C481" s="242" t="s">
        <v>6</v>
      </c>
      <c r="D481" s="243" t="s">
        <v>25</v>
      </c>
      <c r="E481" s="244" t="s">
        <v>314</v>
      </c>
      <c r="F481" s="245" t="s">
        <v>315</v>
      </c>
      <c r="H481" s="241" t="s">
        <v>313</v>
      </c>
      <c r="I481" s="242" t="s">
        <v>6</v>
      </c>
      <c r="J481" s="243" t="s">
        <v>25</v>
      </c>
      <c r="K481" s="244" t="s">
        <v>314</v>
      </c>
      <c r="L481" s="245" t="s">
        <v>315</v>
      </c>
      <c r="N481" s="241" t="s">
        <v>313</v>
      </c>
      <c r="O481" s="242" t="s">
        <v>6</v>
      </c>
      <c r="P481" s="243" t="s">
        <v>25</v>
      </c>
      <c r="Q481" s="244" t="s">
        <v>314</v>
      </c>
      <c r="R481" s="245" t="s">
        <v>315</v>
      </c>
    </row>
    <row r="482" spans="2:19">
      <c r="B482" s="170" t="s">
        <v>182</v>
      </c>
      <c r="C482" s="171">
        <f>VLOOKUP(B482,'RESUMEN RENDIMIENTOS'!$V$6:$W$158,2,FALSE)</f>
        <v>1400</v>
      </c>
      <c r="D482" s="177" t="s">
        <v>20</v>
      </c>
      <c r="E482" s="172">
        <v>247</v>
      </c>
      <c r="F482" s="175">
        <f t="shared" ref="F482:F497" si="57">IF(C482=0,0,(100/C482)*E482/$E$37)</f>
        <v>7.1428571428571425E-2</v>
      </c>
      <c r="G482" s="164">
        <f>+F482/F498</f>
        <v>0.10069523443959356</v>
      </c>
      <c r="H482" s="170" t="s">
        <v>179</v>
      </c>
      <c r="I482" s="171">
        <f>VLOOKUP(H482,'RESUMEN RENDIMIENTOS'!$V$6:$W$158,2,FALSE)</f>
        <v>400</v>
      </c>
      <c r="J482" s="177" t="s">
        <v>20</v>
      </c>
      <c r="K482" s="172">
        <v>247</v>
      </c>
      <c r="L482" s="175">
        <f t="shared" ref="L482:L497" si="58">IF(I482=0,0,(100/I482)*K482/$E$37)</f>
        <v>0.25</v>
      </c>
      <c r="M482" s="164">
        <f>+L482/L498</f>
        <v>0.45357704850052466</v>
      </c>
      <c r="N482" s="170" t="s">
        <v>181</v>
      </c>
      <c r="O482" s="171">
        <f>VLOOKUP(N482,'RESUMEN RENDIMIENTOS'!$V$6:$W$158,2,FALSE)</f>
        <v>900</v>
      </c>
      <c r="P482" s="177" t="s">
        <v>20</v>
      </c>
      <c r="Q482" s="172">
        <v>247</v>
      </c>
      <c r="R482" s="175">
        <f t="shared" ref="R482:R497" si="59">IF(O482=0,0,(100/O482)*Q482/$E$37)</f>
        <v>0.1111111111111111</v>
      </c>
      <c r="S482" s="164">
        <f>+R482/R498</f>
        <v>0.27642276422764223</v>
      </c>
    </row>
    <row r="483" spans="2:19">
      <c r="B483" s="170" t="s">
        <v>202</v>
      </c>
      <c r="C483" s="171">
        <f>VLOOKUP(B483,'RESUMEN RENDIMIENTOS'!$V$6:$W$158,2,FALSE)</f>
        <v>550</v>
      </c>
      <c r="D483" s="177" t="s">
        <v>20</v>
      </c>
      <c r="E483" s="172">
        <v>247</v>
      </c>
      <c r="F483" s="175">
        <f t="shared" si="57"/>
        <v>0.18181818181818182</v>
      </c>
      <c r="G483" s="174">
        <f>+F483/F498</f>
        <v>0.25631514220987456</v>
      </c>
      <c r="H483" s="170" t="s">
        <v>202</v>
      </c>
      <c r="I483" s="171">
        <f>VLOOKUP(H483,'RESUMEN RENDIMIENTOS'!$V$6:$W$158,2,FALSE)</f>
        <v>550</v>
      </c>
      <c r="J483" s="177" t="s">
        <v>53</v>
      </c>
      <c r="K483" s="172">
        <v>123.5</v>
      </c>
      <c r="L483" s="175">
        <f t="shared" si="58"/>
        <v>9.0909090909090912E-2</v>
      </c>
      <c r="M483" s="174">
        <f>+L483/L498</f>
        <v>0.16493710854564533</v>
      </c>
      <c r="N483" s="170" t="s">
        <v>200</v>
      </c>
      <c r="O483" s="171">
        <f>VLOOKUP(N483,'RESUMEN RENDIMIENTOS'!$V$6:$W$158,2,FALSE)</f>
        <v>425</v>
      </c>
      <c r="P483" s="177" t="s">
        <v>20</v>
      </c>
      <c r="Q483" s="172">
        <v>247</v>
      </c>
      <c r="R483" s="175">
        <f t="shared" si="59"/>
        <v>0.23529411764705882</v>
      </c>
      <c r="S483" s="174">
        <f>+R483/R498</f>
        <v>0.58536585365853655</v>
      </c>
    </row>
    <row r="484" spans="2:19">
      <c r="B484" s="170" t="s">
        <v>191</v>
      </c>
      <c r="C484" s="171">
        <f>VLOOKUP(B484,'RESUMEN RENDIMIENTOS'!$V$6:$W$158,2,FALSE)</f>
        <v>800</v>
      </c>
      <c r="D484" s="177" t="s">
        <v>53</v>
      </c>
      <c r="E484" s="172">
        <v>123.5</v>
      </c>
      <c r="F484" s="175">
        <f t="shared" si="57"/>
        <v>6.25E-2</v>
      </c>
      <c r="G484" s="174">
        <f>+F484/F498</f>
        <v>8.8108330134644378E-2</v>
      </c>
      <c r="H484" s="170" t="s">
        <v>191</v>
      </c>
      <c r="I484" s="171">
        <f>VLOOKUP(H484,'RESUMEN RENDIMIENTOS'!$V$6:$W$158,2,FALSE)</f>
        <v>800</v>
      </c>
      <c r="J484" s="177" t="s">
        <v>53</v>
      </c>
      <c r="K484" s="172">
        <v>123.5</v>
      </c>
      <c r="L484" s="175">
        <f t="shared" si="58"/>
        <v>6.25E-2</v>
      </c>
      <c r="M484" s="174">
        <f>+L484/L498</f>
        <v>0.11339426212513116</v>
      </c>
      <c r="N484" s="170" t="s">
        <v>259</v>
      </c>
      <c r="O484" s="171">
        <f>VLOOKUP(N484,'RESUMEN RENDIMIENTOS'!$V$6:$W$158,2,FALSE)</f>
        <v>1800</v>
      </c>
      <c r="P484" s="177" t="s">
        <v>20</v>
      </c>
      <c r="Q484" s="172">
        <v>247</v>
      </c>
      <c r="R484" s="175">
        <f t="shared" si="59"/>
        <v>5.5555555555555552E-2</v>
      </c>
      <c r="S484" s="174">
        <f>+R484/R498</f>
        <v>0.13821138211382111</v>
      </c>
    </row>
    <row r="485" spans="2:19">
      <c r="B485" s="170" t="s">
        <v>194</v>
      </c>
      <c r="C485" s="171">
        <f>VLOOKUP(B485,'RESUMEN RENDIMIENTOS'!$V$6:$W$158,2,FALSE)</f>
        <v>2000</v>
      </c>
      <c r="D485" s="177" t="s">
        <v>52</v>
      </c>
      <c r="E485" s="172">
        <v>156.42000000000002</v>
      </c>
      <c r="F485" s="175">
        <f t="shared" si="57"/>
        <v>3.1663967611336039E-2</v>
      </c>
      <c r="G485" s="174">
        <f>+F485/F498</f>
        <v>4.4637748986756522E-2</v>
      </c>
      <c r="H485" s="170" t="s">
        <v>215</v>
      </c>
      <c r="I485" s="171">
        <f>VLOOKUP(H485,'RESUMEN RENDIMIENTOS'!$V$6:$W$158,2,FALSE)</f>
        <v>250</v>
      </c>
      <c r="J485" s="177" t="s">
        <v>56</v>
      </c>
      <c r="K485" s="172">
        <v>52.14</v>
      </c>
      <c r="L485" s="175">
        <f t="shared" si="58"/>
        <v>8.4437246963562765E-2</v>
      </c>
      <c r="M485" s="174">
        <f>+L485/L498</f>
        <v>0.15319518904497076</v>
      </c>
      <c r="N485" s="170">
        <v>0</v>
      </c>
      <c r="O485" s="171">
        <f>VLOOKUP(N485,'RESUMEN RENDIMIENTOS'!$V$6:$W$158,2,FALSE)</f>
        <v>0</v>
      </c>
      <c r="P485" s="177"/>
      <c r="Q485" s="172" t="s">
        <v>337</v>
      </c>
      <c r="R485" s="175">
        <f t="shared" si="59"/>
        <v>0</v>
      </c>
      <c r="S485" s="174">
        <f>+R485/R498</f>
        <v>0</v>
      </c>
    </row>
    <row r="486" spans="2:19">
      <c r="B486" s="170" t="s">
        <v>198</v>
      </c>
      <c r="C486" s="171">
        <f>VLOOKUP(B486,'RESUMEN RENDIMIENTOS'!$V$6:$W$158,2,FALSE)</f>
        <v>30</v>
      </c>
      <c r="D486" s="177" t="s">
        <v>58</v>
      </c>
      <c r="E486" s="172">
        <v>12</v>
      </c>
      <c r="F486" s="175">
        <f t="shared" si="57"/>
        <v>0.16194331983805668</v>
      </c>
      <c r="G486" s="174">
        <f>+F486/F498</f>
        <v>0.22829688779826884</v>
      </c>
      <c r="H486" s="170" t="s">
        <v>240</v>
      </c>
      <c r="I486" s="171">
        <f>VLOOKUP(H486,'RESUMEN RENDIMIENTOS'!$V$6:$W$158,2,FALSE)</f>
        <v>1000</v>
      </c>
      <c r="J486" s="177" t="s">
        <v>52</v>
      </c>
      <c r="K486" s="172">
        <v>156.42000000000002</v>
      </c>
      <c r="L486" s="175">
        <f t="shared" si="58"/>
        <v>6.3327935222672077E-2</v>
      </c>
      <c r="M486" s="174">
        <f>+L486/L498</f>
        <v>0.11489639178372807</v>
      </c>
      <c r="N486" s="170">
        <v>0</v>
      </c>
      <c r="O486" s="171">
        <f>VLOOKUP(N486,'RESUMEN RENDIMIENTOS'!$V$6:$W$158,2,FALSE)</f>
        <v>0</v>
      </c>
      <c r="P486" s="177"/>
      <c r="Q486" s="172" t="s">
        <v>337</v>
      </c>
      <c r="R486" s="175">
        <f t="shared" si="59"/>
        <v>0</v>
      </c>
      <c r="S486" s="174">
        <f>+R486/R498</f>
        <v>0</v>
      </c>
    </row>
    <row r="487" spans="2:19">
      <c r="B487" s="170" t="s">
        <v>221</v>
      </c>
      <c r="C487" s="171">
        <f>VLOOKUP(B487,'RESUMEN RENDIMIENTOS'!$V$6:$W$158,2,FALSE)</f>
        <v>500</v>
      </c>
      <c r="D487" s="177" t="s">
        <v>20</v>
      </c>
      <c r="E487" s="172">
        <v>247</v>
      </c>
      <c r="F487" s="175">
        <f t="shared" si="57"/>
        <v>0.2</v>
      </c>
      <c r="G487" s="174">
        <f>+F487/F498</f>
        <v>0.28194665643086203</v>
      </c>
      <c r="H487" s="170">
        <v>0</v>
      </c>
      <c r="I487" s="171">
        <f>VLOOKUP(H487,'RESUMEN RENDIMIENTOS'!$V$6:$W$158,2,FALSE)</f>
        <v>0</v>
      </c>
      <c r="J487" s="177"/>
      <c r="K487" s="172" t="s">
        <v>337</v>
      </c>
      <c r="L487" s="173">
        <f t="shared" si="58"/>
        <v>0</v>
      </c>
      <c r="M487" s="174">
        <f>+L487/L498</f>
        <v>0</v>
      </c>
      <c r="N487" s="170">
        <v>0</v>
      </c>
      <c r="O487" s="171">
        <f>VLOOKUP(N487,'RESUMEN RENDIMIENTOS'!$V$6:$W$158,2,FALSE)</f>
        <v>0</v>
      </c>
      <c r="P487" s="177"/>
      <c r="Q487" s="172" t="s">
        <v>337</v>
      </c>
      <c r="R487" s="175">
        <f t="shared" si="59"/>
        <v>0</v>
      </c>
      <c r="S487" s="174">
        <f>+R487/R498</f>
        <v>0</v>
      </c>
    </row>
    <row r="488" spans="2:19">
      <c r="B488" s="170">
        <v>0</v>
      </c>
      <c r="C488" s="171">
        <f>VLOOKUP(B488,'RESUMEN RENDIMIENTOS'!$V$6:$W$158,2,FALSE)</f>
        <v>0</v>
      </c>
      <c r="D488" s="177"/>
      <c r="E488" s="172" t="s">
        <v>337</v>
      </c>
      <c r="F488" s="175">
        <f t="shared" si="57"/>
        <v>0</v>
      </c>
      <c r="G488" s="174">
        <f>+F488/F498</f>
        <v>0</v>
      </c>
      <c r="H488" s="170">
        <v>0</v>
      </c>
      <c r="I488" s="171">
        <f>VLOOKUP(H488,'RESUMEN RENDIMIENTOS'!$V$6:$W$158,2,FALSE)</f>
        <v>0</v>
      </c>
      <c r="J488" s="177"/>
      <c r="K488" s="172" t="s">
        <v>337</v>
      </c>
      <c r="L488" s="173">
        <f t="shared" si="58"/>
        <v>0</v>
      </c>
      <c r="M488" s="174">
        <f>+L488/L498</f>
        <v>0</v>
      </c>
      <c r="N488" s="170">
        <v>0</v>
      </c>
      <c r="O488" s="171">
        <f>VLOOKUP(N488,'RESUMEN RENDIMIENTOS'!$V$6:$W$158,2,FALSE)</f>
        <v>0</v>
      </c>
      <c r="P488" s="177"/>
      <c r="Q488" s="172" t="s">
        <v>337</v>
      </c>
      <c r="R488" s="175">
        <f t="shared" si="59"/>
        <v>0</v>
      </c>
      <c r="S488" s="174">
        <f>+R488/R498</f>
        <v>0</v>
      </c>
    </row>
    <row r="489" spans="2:19">
      <c r="B489" s="170">
        <v>0</v>
      </c>
      <c r="C489" s="171">
        <f>VLOOKUP(B489,'RESUMEN RENDIMIENTOS'!$V$6:$W$158,2,FALSE)</f>
        <v>0</v>
      </c>
      <c r="D489" s="177"/>
      <c r="E489" s="172" t="s">
        <v>337</v>
      </c>
      <c r="F489" s="175">
        <f t="shared" si="57"/>
        <v>0</v>
      </c>
      <c r="G489" s="174">
        <f>+F489/F498</f>
        <v>0</v>
      </c>
      <c r="H489" s="170">
        <v>0</v>
      </c>
      <c r="I489" s="171">
        <f>VLOOKUP(H489,'RESUMEN RENDIMIENTOS'!$V$6:$W$158,2,FALSE)</f>
        <v>0</v>
      </c>
      <c r="J489" s="177"/>
      <c r="K489" s="172" t="s">
        <v>337</v>
      </c>
      <c r="L489" s="173">
        <f t="shared" si="58"/>
        <v>0</v>
      </c>
      <c r="M489" s="174">
        <f>+L489/L498</f>
        <v>0</v>
      </c>
      <c r="N489" s="170">
        <v>0</v>
      </c>
      <c r="O489" s="171">
        <f>VLOOKUP(N489,'RESUMEN RENDIMIENTOS'!$V$6:$W$158,2,FALSE)</f>
        <v>0</v>
      </c>
      <c r="P489" s="177"/>
      <c r="Q489" s="172" t="s">
        <v>337</v>
      </c>
      <c r="R489" s="175">
        <f t="shared" si="59"/>
        <v>0</v>
      </c>
      <c r="S489" s="174">
        <f>+R489/R498</f>
        <v>0</v>
      </c>
    </row>
    <row r="490" spans="2:19">
      <c r="B490" s="170">
        <v>0</v>
      </c>
      <c r="C490" s="171">
        <f>VLOOKUP(B490,'RESUMEN RENDIMIENTOS'!$V$6:$W$158,2,FALSE)</f>
        <v>0</v>
      </c>
      <c r="D490" s="177"/>
      <c r="E490" s="172" t="s">
        <v>337</v>
      </c>
      <c r="F490" s="175">
        <f t="shared" si="57"/>
        <v>0</v>
      </c>
      <c r="G490" s="174">
        <f>+F490/F498</f>
        <v>0</v>
      </c>
      <c r="H490" s="170">
        <v>0</v>
      </c>
      <c r="I490" s="171">
        <f>VLOOKUP(H490,'RESUMEN RENDIMIENTOS'!$V$6:$W$158,2,FALSE)</f>
        <v>0</v>
      </c>
      <c r="J490" s="177"/>
      <c r="K490" s="172" t="s">
        <v>337</v>
      </c>
      <c r="L490" s="173">
        <f t="shared" si="58"/>
        <v>0</v>
      </c>
      <c r="M490" s="174">
        <f>+L490/L498</f>
        <v>0</v>
      </c>
      <c r="N490" s="170">
        <v>0</v>
      </c>
      <c r="O490" s="171">
        <f>VLOOKUP(N490,'RESUMEN RENDIMIENTOS'!$V$6:$W$158,2,FALSE)</f>
        <v>0</v>
      </c>
      <c r="P490" s="177"/>
      <c r="Q490" s="172" t="s">
        <v>337</v>
      </c>
      <c r="R490" s="175">
        <f t="shared" si="59"/>
        <v>0</v>
      </c>
      <c r="S490" s="174">
        <f>+R490/R498</f>
        <v>0</v>
      </c>
    </row>
    <row r="491" spans="2:19">
      <c r="B491" s="170">
        <v>0</v>
      </c>
      <c r="C491" s="171">
        <f>VLOOKUP(B491,'RESUMEN RENDIMIENTOS'!$V$6:$W$158,2,FALSE)</f>
        <v>0</v>
      </c>
      <c r="D491" s="177"/>
      <c r="E491" s="172" t="s">
        <v>337</v>
      </c>
      <c r="F491" s="175">
        <f t="shared" si="57"/>
        <v>0</v>
      </c>
      <c r="G491" s="174">
        <f>+F491/F498</f>
        <v>0</v>
      </c>
      <c r="H491" s="170">
        <v>0</v>
      </c>
      <c r="I491" s="171">
        <f>VLOOKUP(H491,'RESUMEN RENDIMIENTOS'!$V$6:$W$158,2,FALSE)</f>
        <v>0</v>
      </c>
      <c r="J491" s="177"/>
      <c r="K491" s="172" t="s">
        <v>337</v>
      </c>
      <c r="L491" s="173">
        <f t="shared" si="58"/>
        <v>0</v>
      </c>
      <c r="M491" s="174">
        <f>+L491/L498</f>
        <v>0</v>
      </c>
      <c r="N491" s="170">
        <v>0</v>
      </c>
      <c r="O491" s="171">
        <f>VLOOKUP(N491,'RESUMEN RENDIMIENTOS'!$V$6:$W$158,2,FALSE)</f>
        <v>0</v>
      </c>
      <c r="P491" s="177"/>
      <c r="Q491" s="172" t="s">
        <v>337</v>
      </c>
      <c r="R491" s="175">
        <f t="shared" si="59"/>
        <v>0</v>
      </c>
      <c r="S491" s="174">
        <f>+R491/R498</f>
        <v>0</v>
      </c>
    </row>
    <row r="492" spans="2:19">
      <c r="B492" s="170">
        <v>0</v>
      </c>
      <c r="C492" s="171">
        <f>VLOOKUP(B492,'RESUMEN RENDIMIENTOS'!$V$6:$W$158,2,FALSE)</f>
        <v>0</v>
      </c>
      <c r="D492" s="177"/>
      <c r="E492" s="172" t="s">
        <v>337</v>
      </c>
      <c r="F492" s="175">
        <f t="shared" si="57"/>
        <v>0</v>
      </c>
      <c r="G492" s="174">
        <f>+F492/F498</f>
        <v>0</v>
      </c>
      <c r="H492" s="170">
        <v>0</v>
      </c>
      <c r="I492" s="171">
        <f>VLOOKUP(H492,'RESUMEN RENDIMIENTOS'!$V$6:$W$158,2,FALSE)</f>
        <v>0</v>
      </c>
      <c r="J492" s="177"/>
      <c r="K492" s="172" t="s">
        <v>337</v>
      </c>
      <c r="L492" s="173">
        <f t="shared" si="58"/>
        <v>0</v>
      </c>
      <c r="M492" s="174">
        <f>+L492/L498</f>
        <v>0</v>
      </c>
      <c r="N492" s="170">
        <v>0</v>
      </c>
      <c r="O492" s="171">
        <f>VLOOKUP(N492,'RESUMEN RENDIMIENTOS'!$V$6:$W$158,2,FALSE)</f>
        <v>0</v>
      </c>
      <c r="P492" s="177"/>
      <c r="Q492" s="172" t="s">
        <v>337</v>
      </c>
      <c r="R492" s="175">
        <f t="shared" si="59"/>
        <v>0</v>
      </c>
      <c r="S492" s="174">
        <f>+R492/R498</f>
        <v>0</v>
      </c>
    </row>
    <row r="493" spans="2:19">
      <c r="B493" s="170">
        <v>0</v>
      </c>
      <c r="C493" s="171">
        <f>VLOOKUP(B493,'RESUMEN RENDIMIENTOS'!$V$6:$W$158,2,FALSE)</f>
        <v>0</v>
      </c>
      <c r="D493" s="177"/>
      <c r="E493" s="172" t="s">
        <v>337</v>
      </c>
      <c r="F493" s="175">
        <f t="shared" si="57"/>
        <v>0</v>
      </c>
      <c r="G493" s="174">
        <f>+F493/F498</f>
        <v>0</v>
      </c>
      <c r="H493" s="170">
        <v>0</v>
      </c>
      <c r="I493" s="171">
        <f>VLOOKUP(H493,'RESUMEN RENDIMIENTOS'!$V$6:$W$158,2,FALSE)</f>
        <v>0</v>
      </c>
      <c r="J493" s="177"/>
      <c r="K493" s="172" t="s">
        <v>337</v>
      </c>
      <c r="L493" s="173">
        <f t="shared" si="58"/>
        <v>0</v>
      </c>
      <c r="M493" s="174">
        <f>+L493/L498</f>
        <v>0</v>
      </c>
      <c r="N493" s="170">
        <v>0</v>
      </c>
      <c r="O493" s="171">
        <f>VLOOKUP(N493,'RESUMEN RENDIMIENTOS'!$V$6:$W$158,2,FALSE)</f>
        <v>0</v>
      </c>
      <c r="P493" s="177"/>
      <c r="Q493" s="172" t="s">
        <v>337</v>
      </c>
      <c r="R493" s="175">
        <f t="shared" si="59"/>
        <v>0</v>
      </c>
      <c r="S493" s="174">
        <f>+R493/R498</f>
        <v>0</v>
      </c>
    </row>
    <row r="494" spans="2:19">
      <c r="B494" s="170">
        <v>0</v>
      </c>
      <c r="C494" s="171">
        <f>VLOOKUP(B494,'RESUMEN RENDIMIENTOS'!$V$6:$W$158,2,FALSE)</f>
        <v>0</v>
      </c>
      <c r="D494" s="177"/>
      <c r="E494" s="172" t="s">
        <v>337</v>
      </c>
      <c r="F494" s="175">
        <f t="shared" si="57"/>
        <v>0</v>
      </c>
      <c r="G494" s="174">
        <f>+F494/F498</f>
        <v>0</v>
      </c>
      <c r="H494" s="170">
        <v>0</v>
      </c>
      <c r="I494" s="171">
        <f>VLOOKUP(H494,'RESUMEN RENDIMIENTOS'!$V$6:$W$158,2,FALSE)</f>
        <v>0</v>
      </c>
      <c r="J494" s="177"/>
      <c r="K494" s="172" t="s">
        <v>337</v>
      </c>
      <c r="L494" s="173">
        <f t="shared" si="58"/>
        <v>0</v>
      </c>
      <c r="M494" s="174">
        <f>+L494/L498</f>
        <v>0</v>
      </c>
      <c r="N494" s="170">
        <v>0</v>
      </c>
      <c r="O494" s="171">
        <f>VLOOKUP(N494,'RESUMEN RENDIMIENTOS'!$V$6:$W$158,2,FALSE)</f>
        <v>0</v>
      </c>
      <c r="P494" s="177"/>
      <c r="Q494" s="172" t="s">
        <v>337</v>
      </c>
      <c r="R494" s="175">
        <f t="shared" si="59"/>
        <v>0</v>
      </c>
      <c r="S494" s="174">
        <f>+R494/R498</f>
        <v>0</v>
      </c>
    </row>
    <row r="495" spans="2:19">
      <c r="B495" s="170">
        <v>0</v>
      </c>
      <c r="C495" s="171">
        <f>VLOOKUP(B495,'RESUMEN RENDIMIENTOS'!$V$6:$W$158,2,FALSE)</f>
        <v>0</v>
      </c>
      <c r="D495" s="177"/>
      <c r="E495" s="172" t="s">
        <v>337</v>
      </c>
      <c r="F495" s="175">
        <f t="shared" si="57"/>
        <v>0</v>
      </c>
      <c r="G495" s="174">
        <f>+F495/F498</f>
        <v>0</v>
      </c>
      <c r="H495" s="170">
        <v>0</v>
      </c>
      <c r="I495" s="171">
        <f>VLOOKUP(H495,'RESUMEN RENDIMIENTOS'!$V$6:$W$158,2,FALSE)</f>
        <v>0</v>
      </c>
      <c r="J495" s="177"/>
      <c r="K495" s="172" t="s">
        <v>337</v>
      </c>
      <c r="L495" s="173">
        <f t="shared" si="58"/>
        <v>0</v>
      </c>
      <c r="M495" s="174">
        <f>+L495/L498</f>
        <v>0</v>
      </c>
      <c r="N495" s="170">
        <v>0</v>
      </c>
      <c r="O495" s="171">
        <f>VLOOKUP(N495,'RESUMEN RENDIMIENTOS'!$V$6:$W$158,2,FALSE)</f>
        <v>0</v>
      </c>
      <c r="P495" s="177"/>
      <c r="Q495" s="172" t="s">
        <v>337</v>
      </c>
      <c r="R495" s="175">
        <f t="shared" si="59"/>
        <v>0</v>
      </c>
      <c r="S495" s="174">
        <f>+R495/R498</f>
        <v>0</v>
      </c>
    </row>
    <row r="496" spans="2:19">
      <c r="B496" s="170">
        <v>0</v>
      </c>
      <c r="C496" s="171">
        <f>VLOOKUP(B496,'RESUMEN RENDIMIENTOS'!$V$6:$W$158,2,FALSE)</f>
        <v>0</v>
      </c>
      <c r="D496" s="177"/>
      <c r="E496" s="172" t="s">
        <v>337</v>
      </c>
      <c r="F496" s="173">
        <f t="shared" si="57"/>
        <v>0</v>
      </c>
      <c r="G496" s="174">
        <f>+F496/F498</f>
        <v>0</v>
      </c>
      <c r="H496" s="170">
        <v>0</v>
      </c>
      <c r="I496" s="171">
        <f>VLOOKUP(H496,'RESUMEN RENDIMIENTOS'!$V$6:$W$158,2,FALSE)</f>
        <v>0</v>
      </c>
      <c r="J496" s="177"/>
      <c r="K496" s="172" t="s">
        <v>337</v>
      </c>
      <c r="L496" s="173">
        <f t="shared" si="58"/>
        <v>0</v>
      </c>
      <c r="M496" s="174">
        <f>+L496/L498</f>
        <v>0</v>
      </c>
      <c r="N496" s="170">
        <v>0</v>
      </c>
      <c r="O496" s="171">
        <f>VLOOKUP(N496,'RESUMEN RENDIMIENTOS'!$V$6:$W$158,2,FALSE)</f>
        <v>0</v>
      </c>
      <c r="P496" s="177"/>
      <c r="Q496" s="172" t="s">
        <v>337</v>
      </c>
      <c r="R496" s="175">
        <f t="shared" si="59"/>
        <v>0</v>
      </c>
      <c r="S496" s="174">
        <f>+R496/R498</f>
        <v>0</v>
      </c>
    </row>
    <row r="497" spans="2:19">
      <c r="B497" s="170">
        <v>0</v>
      </c>
      <c r="C497" s="171">
        <f>VLOOKUP(B497,'RESUMEN RENDIMIENTOS'!$V$6:$W$158,2,FALSE)</f>
        <v>0</v>
      </c>
      <c r="D497" s="177"/>
      <c r="E497" s="172" t="s">
        <v>337</v>
      </c>
      <c r="F497" s="173">
        <f t="shared" si="57"/>
        <v>0</v>
      </c>
      <c r="G497" s="174">
        <f>+F497/F498</f>
        <v>0</v>
      </c>
      <c r="H497" s="170">
        <v>0</v>
      </c>
      <c r="I497" s="171">
        <f>VLOOKUP(H497,'RESUMEN RENDIMIENTOS'!$V$6:$W$158,2,FALSE)</f>
        <v>0</v>
      </c>
      <c r="J497" s="177"/>
      <c r="K497" s="172" t="s">
        <v>337</v>
      </c>
      <c r="L497" s="173">
        <f t="shared" si="58"/>
        <v>0</v>
      </c>
      <c r="M497" s="174">
        <f>+L497/L498</f>
        <v>0</v>
      </c>
      <c r="N497" s="170">
        <v>0</v>
      </c>
      <c r="O497" s="171">
        <f>VLOOKUP(N497,'RESUMEN RENDIMIENTOS'!$V$6:$W$158,2,FALSE)</f>
        <v>0</v>
      </c>
      <c r="P497" s="177"/>
      <c r="Q497" s="172" t="s">
        <v>337</v>
      </c>
      <c r="R497" s="175">
        <f t="shared" si="59"/>
        <v>0</v>
      </c>
      <c r="S497" s="174">
        <f>+R497/R498</f>
        <v>0</v>
      </c>
    </row>
    <row r="498" spans="2:19" ht="25" thickBot="1">
      <c r="B498" s="178"/>
      <c r="E498" s="90"/>
      <c r="F498" s="173">
        <f>SUM(F482:F497)</f>
        <v>0.70935404069614605</v>
      </c>
      <c r="G498" s="181">
        <f>+F498/F498</f>
        <v>1</v>
      </c>
      <c r="H498" s="178"/>
      <c r="I498" s="179"/>
      <c r="J498" s="182" t="s">
        <v>24</v>
      </c>
      <c r="K498" s="90"/>
      <c r="L498" s="173">
        <f>SUM(L482:L497)</f>
        <v>0.55117427309532574</v>
      </c>
      <c r="M498" s="181">
        <f>+L498/L498</f>
        <v>1</v>
      </c>
      <c r="N498" s="178"/>
      <c r="O498" s="179"/>
      <c r="Q498" s="90"/>
      <c r="R498" s="175">
        <f>SUM(R482:R497)</f>
        <v>0.40196078431372551</v>
      </c>
      <c r="S498" s="181">
        <f>+R498/R498</f>
        <v>1</v>
      </c>
    </row>
    <row r="499" spans="2:19" ht="27.75" customHeight="1">
      <c r="B499" s="427" t="s">
        <v>317</v>
      </c>
      <c r="C499" s="428"/>
      <c r="D499" s="429"/>
      <c r="E499" s="185">
        <v>0.12</v>
      </c>
      <c r="F499" s="173">
        <f>+F498*E499</f>
        <v>8.5122484883537519E-2</v>
      </c>
      <c r="H499" s="427" t="s">
        <v>317</v>
      </c>
      <c r="I499" s="428"/>
      <c r="J499" s="429"/>
      <c r="K499" s="185">
        <v>0.12</v>
      </c>
      <c r="L499" s="173">
        <f>+L498*K499</f>
        <v>6.6140912771439089E-2</v>
      </c>
      <c r="N499" s="427" t="s">
        <v>317</v>
      </c>
      <c r="O499" s="428"/>
      <c r="P499" s="429"/>
      <c r="Q499" s="185">
        <v>0.12</v>
      </c>
      <c r="R499" s="175">
        <f>+R498*Q499</f>
        <v>4.8235294117647057E-2</v>
      </c>
    </row>
    <row r="500" spans="2:19" ht="18" customHeight="1">
      <c r="B500" s="178"/>
      <c r="F500" s="173">
        <f>+F499+F498</f>
        <v>0.79447652557968351</v>
      </c>
      <c r="G500" s="187">
        <f>+F500/24</f>
        <v>3.3103188565820146E-2</v>
      </c>
      <c r="H500" s="178"/>
      <c r="I500" s="179"/>
      <c r="K500" s="88"/>
      <c r="L500" s="173">
        <f>+L499+L498</f>
        <v>0.61731518586676482</v>
      </c>
      <c r="M500" s="187">
        <f>+L500/24</f>
        <v>2.5721466077781866E-2</v>
      </c>
      <c r="N500" s="178"/>
      <c r="O500" s="179"/>
      <c r="R500" s="175">
        <f>+R499+R498</f>
        <v>0.45019607843137255</v>
      </c>
      <c r="S500" s="187">
        <f>+R500/24</f>
        <v>1.8758169934640523E-2</v>
      </c>
    </row>
    <row r="501" spans="2:19">
      <c r="B501" s="178"/>
      <c r="D501" s="188"/>
      <c r="F501" s="189"/>
      <c r="H501" s="178"/>
      <c r="I501" s="179"/>
      <c r="J501" s="188"/>
      <c r="K501" s="88"/>
      <c r="L501" s="189"/>
      <c r="N501" s="178"/>
      <c r="O501" s="179"/>
      <c r="P501" s="188"/>
      <c r="R501" s="189"/>
    </row>
    <row r="502" spans="2:19" ht="21">
      <c r="B502" s="191" t="s">
        <v>318</v>
      </c>
      <c r="C502" s="192"/>
      <c r="D502" s="192"/>
      <c r="E502" s="444">
        <f>IF(F500=0,0,(100/F500))</f>
        <v>125.86904304949198</v>
      </c>
      <c r="F502" s="445"/>
      <c r="H502" s="191" t="s">
        <v>318</v>
      </c>
      <c r="I502" s="192"/>
      <c r="J502" s="192"/>
      <c r="K502" s="444">
        <f>IF(L500=0,0,(100/L500))</f>
        <v>161.99180303590168</v>
      </c>
      <c r="L502" s="445"/>
      <c r="N502" s="191" t="s">
        <v>318</v>
      </c>
      <c r="O502" s="192"/>
      <c r="P502" s="192"/>
      <c r="Q502" s="444">
        <f>IF(R500=0,0,(100/R500))</f>
        <v>222.12543554006967</v>
      </c>
      <c r="R502" s="445"/>
    </row>
    <row r="503" spans="2:19">
      <c r="B503" s="178"/>
      <c r="F503" s="189"/>
      <c r="H503" s="178"/>
      <c r="I503" s="179"/>
      <c r="K503" s="88"/>
      <c r="L503" s="189"/>
      <c r="N503" s="178"/>
      <c r="O503" s="179"/>
      <c r="R503" s="189"/>
    </row>
    <row r="504" spans="2:19" ht="21">
      <c r="B504" s="446" t="s">
        <v>319</v>
      </c>
      <c r="C504" s="447"/>
      <c r="D504" s="447"/>
      <c r="E504" s="447"/>
      <c r="F504" s="448"/>
      <c r="H504" s="446" t="s">
        <v>319</v>
      </c>
      <c r="I504" s="447"/>
      <c r="J504" s="447"/>
      <c r="K504" s="447"/>
      <c r="L504" s="448"/>
      <c r="N504" s="446" t="s">
        <v>319</v>
      </c>
      <c r="O504" s="447"/>
      <c r="P504" s="447"/>
      <c r="Q504" s="447"/>
      <c r="R504" s="448"/>
    </row>
    <row r="505" spans="2:19" ht="18" customHeight="1">
      <c r="B505" s="194" t="s">
        <v>320</v>
      </c>
      <c r="C505" s="195"/>
      <c r="D505" s="435" t="s">
        <v>321</v>
      </c>
      <c r="E505" s="435"/>
      <c r="F505" s="196" t="s">
        <v>322</v>
      </c>
      <c r="H505" s="194" t="s">
        <v>320</v>
      </c>
      <c r="I505" s="195"/>
      <c r="J505" s="435" t="s">
        <v>321</v>
      </c>
      <c r="K505" s="435"/>
      <c r="L505" s="196" t="s">
        <v>322</v>
      </c>
      <c r="N505" s="194" t="s">
        <v>320</v>
      </c>
      <c r="O505" s="195"/>
      <c r="P505" s="435" t="s">
        <v>321</v>
      </c>
      <c r="Q505" s="435"/>
      <c r="R505" s="196" t="s">
        <v>322</v>
      </c>
    </row>
    <row r="506" spans="2:19">
      <c r="B506" s="197" t="s">
        <v>278</v>
      </c>
      <c r="C506" s="201">
        <v>1</v>
      </c>
      <c r="E506" s="199">
        <f>IF(C506=0,0,(VLOOKUP(B506,'RESUMEN RENDIMIENTOS'!$AB$6:$AO$64,13,FALSE)))*C506</f>
        <v>0.75</v>
      </c>
      <c r="F506" s="200">
        <f>IF(C506=0,0,(VLOOKUP(B506,'RESUMEN RENDIMIENTOS'!$AB$6:$AO$64,14,FALSE)))*C506</f>
        <v>1.0285714285714287E-2</v>
      </c>
      <c r="H506" s="197" t="s">
        <v>278</v>
      </c>
      <c r="I506" s="201">
        <v>1</v>
      </c>
      <c r="K506" s="199">
        <f>IF(I506=0,0,(VLOOKUP(H506,'RESUMEN RENDIMIENTOS'!$AB$6:$AO$64,13,FALSE)))*I506</f>
        <v>0.75</v>
      </c>
      <c r="L506" s="200">
        <f>IF(I506=0,0,(VLOOKUP(H506,'RESUMEN RENDIMIENTOS'!$AB$6:$AO$64,14,FALSE)))*I506</f>
        <v>1.0285714285714287E-2</v>
      </c>
      <c r="N506" s="197" t="s">
        <v>278</v>
      </c>
      <c r="O506" s="201">
        <v>1</v>
      </c>
      <c r="Q506" s="199">
        <f>IF(O506=0,0,(VLOOKUP(N506,'RESUMEN RENDIMIENTOS'!$AB$6:$AO$64,13,FALSE)))*O506</f>
        <v>0.75</v>
      </c>
      <c r="R506" s="200">
        <f>IF(O506=0,0,(VLOOKUP(N506,'RESUMEN RENDIMIENTOS'!$AB$6:$AO$64,14,FALSE)))*O506</f>
        <v>1.0285714285714287E-2</v>
      </c>
    </row>
    <row r="507" spans="2:19">
      <c r="B507" s="197" t="s">
        <v>279</v>
      </c>
      <c r="C507" s="201">
        <v>1</v>
      </c>
      <c r="E507" s="199">
        <f>IF(C507=0,0,(VLOOKUP(B507,'RESUMEN RENDIMIENTOS'!$AB$6:$AO$64,13,FALSE)))*C507</f>
        <v>2</v>
      </c>
      <c r="F507" s="200">
        <f>IF(C507=0,0,(VLOOKUP(B507,'RESUMEN RENDIMIENTOS'!$AB$6:$AO$64,14,FALSE)))*C507</f>
        <v>9.5999999999999988E-2</v>
      </c>
      <c r="H507" s="197" t="s">
        <v>279</v>
      </c>
      <c r="I507" s="201">
        <v>1</v>
      </c>
      <c r="K507" s="199">
        <f>IF(I507=0,0,(VLOOKUP(H507,'RESUMEN RENDIMIENTOS'!$AB$6:$AO$64,13,FALSE)))*I507</f>
        <v>2</v>
      </c>
      <c r="L507" s="200">
        <f>IF(I507=0,0,(VLOOKUP(H507,'RESUMEN RENDIMIENTOS'!$AB$6:$AO$64,14,FALSE)))*I507</f>
        <v>9.5999999999999988E-2</v>
      </c>
      <c r="N507" s="197" t="s">
        <v>279</v>
      </c>
      <c r="O507" s="201">
        <v>1</v>
      </c>
      <c r="Q507" s="199">
        <f>IF(O507=0,0,(VLOOKUP(N507,'RESUMEN RENDIMIENTOS'!$AB$6:$AO$64,13,FALSE)))*O507</f>
        <v>2</v>
      </c>
      <c r="R507" s="200">
        <f>IF(O507=0,0,(VLOOKUP(N507,'RESUMEN RENDIMIENTOS'!$AB$6:$AO$64,14,FALSE)))*O507</f>
        <v>9.5999999999999988E-2</v>
      </c>
    </row>
    <row r="508" spans="2:19">
      <c r="B508" s="197" t="s">
        <v>284</v>
      </c>
      <c r="C508" s="201">
        <v>0.25</v>
      </c>
      <c r="E508" s="199">
        <f>IF(C508=0,0,(VLOOKUP(B508,'RESUMEN RENDIMIENTOS'!$AB$6:$AO$64,13,FALSE)))*C508</f>
        <v>0.52500000000000002</v>
      </c>
      <c r="F508" s="200">
        <f>IF(C508=0,0,(VLOOKUP(B508,'RESUMEN RENDIMIENTOS'!$AB$6:$AO$64,14,FALSE)))*C508</f>
        <v>4.2000000000000003E-2</v>
      </c>
      <c r="H508" s="197" t="s">
        <v>284</v>
      </c>
      <c r="I508" s="201">
        <v>0.25</v>
      </c>
      <c r="K508" s="199">
        <f>IF(I508=0,0,(VLOOKUP(H508,'RESUMEN RENDIMIENTOS'!$AB$6:$AO$64,13,FALSE)))*I508</f>
        <v>0.52500000000000002</v>
      </c>
      <c r="L508" s="200">
        <f>IF(I508=0,0,(VLOOKUP(H508,'RESUMEN RENDIMIENTOS'!$AB$6:$AO$64,14,FALSE)))*I508</f>
        <v>4.2000000000000003E-2</v>
      </c>
      <c r="N508" s="197" t="s">
        <v>284</v>
      </c>
      <c r="O508" s="201">
        <v>0.25</v>
      </c>
      <c r="Q508" s="199">
        <f>IF(O508=0,0,(VLOOKUP(N508,'RESUMEN RENDIMIENTOS'!$AB$6:$AO$64,13,FALSE)))*O508</f>
        <v>0.52500000000000002</v>
      </c>
      <c r="R508" s="200">
        <f>IF(O508=0,0,(VLOOKUP(N508,'RESUMEN RENDIMIENTOS'!$AB$6:$AO$64,14,FALSE)))*O508</f>
        <v>4.2000000000000003E-2</v>
      </c>
    </row>
    <row r="509" spans="2:19">
      <c r="B509" s="197" t="s">
        <v>283</v>
      </c>
      <c r="C509" s="201">
        <v>1</v>
      </c>
      <c r="E509" s="199">
        <f>IF(C509=0,0,(VLOOKUP(B509,'RESUMEN RENDIMIENTOS'!$AB$6:$AO$64,13,FALSE)))*C509</f>
        <v>1.59</v>
      </c>
      <c r="F509" s="200">
        <f>IF(C509=0,0,(VLOOKUP(B509,'RESUMEN RENDIMIENTOS'!$AB$6:$AO$64,14,FALSE)))*C509</f>
        <v>0.12720000000000001</v>
      </c>
      <c r="H509" s="197" t="s">
        <v>283</v>
      </c>
      <c r="I509" s="201">
        <v>1</v>
      </c>
      <c r="K509" s="199">
        <f>IF(I509=0,0,(VLOOKUP(H509,'RESUMEN RENDIMIENTOS'!$AB$6:$AO$64,13,FALSE)))*I509</f>
        <v>1.59</v>
      </c>
      <c r="L509" s="200">
        <f>IF(I509=0,0,(VLOOKUP(H509,'RESUMEN RENDIMIENTOS'!$AB$6:$AO$64,14,FALSE)))*I509</f>
        <v>0.12720000000000001</v>
      </c>
      <c r="N509" s="197" t="s">
        <v>283</v>
      </c>
      <c r="O509" s="201">
        <v>1</v>
      </c>
      <c r="Q509" s="199">
        <f>IF(O509=0,0,(VLOOKUP(N509,'RESUMEN RENDIMIENTOS'!$AB$6:$AO$64,13,FALSE)))*O509</f>
        <v>1.59</v>
      </c>
      <c r="R509" s="200">
        <f>IF(O509=0,0,(VLOOKUP(N509,'RESUMEN RENDIMIENTOS'!$AB$6:$AO$64,14,FALSE)))*O509</f>
        <v>0.12720000000000001</v>
      </c>
    </row>
    <row r="510" spans="2:19">
      <c r="B510" s="197" t="s">
        <v>282</v>
      </c>
      <c r="C510" s="201">
        <v>1</v>
      </c>
      <c r="E510" s="199">
        <f>IF(C510=0,0,(VLOOKUP(B510,'RESUMEN RENDIMIENTOS'!$AB$6:$AO$64,13,FALSE)))*C510</f>
        <v>2.62</v>
      </c>
      <c r="F510" s="200">
        <f>IF(C510=0,0,(VLOOKUP(B510,'RESUMEN RENDIMIENTOS'!$AB$6:$AO$64,14,FALSE)))*C510</f>
        <v>6.986666666666666E-2</v>
      </c>
      <c r="H510" s="197" t="s">
        <v>282</v>
      </c>
      <c r="I510" s="201">
        <v>1</v>
      </c>
      <c r="K510" s="199">
        <f>IF(I510=0,0,(VLOOKUP(H510,'RESUMEN RENDIMIENTOS'!$AB$6:$AO$64,13,FALSE)))*I510</f>
        <v>2.62</v>
      </c>
      <c r="L510" s="200">
        <f>IF(I510=0,0,(VLOOKUP(H510,'RESUMEN RENDIMIENTOS'!$AB$6:$AO$64,14,FALSE)))*I510</f>
        <v>6.986666666666666E-2</v>
      </c>
      <c r="N510" s="197" t="s">
        <v>282</v>
      </c>
      <c r="O510" s="201">
        <v>1</v>
      </c>
      <c r="Q510" s="199">
        <f>IF(O510=0,0,(VLOOKUP(N510,'RESUMEN RENDIMIENTOS'!$AB$6:$AO$64,13,FALSE)))*O510</f>
        <v>2.62</v>
      </c>
      <c r="R510" s="200">
        <f>IF(O510=0,0,(VLOOKUP(N510,'RESUMEN RENDIMIENTOS'!$AB$6:$AO$64,14,FALSE)))*O510</f>
        <v>6.986666666666666E-2</v>
      </c>
    </row>
    <row r="511" spans="2:19">
      <c r="B511" s="197" t="s">
        <v>302</v>
      </c>
      <c r="C511" s="201">
        <v>1</v>
      </c>
      <c r="E511" s="199">
        <f>IF(C511=0,0,(VLOOKUP(B511,'RESUMEN RENDIMIENTOS'!$AB$6:$AO$64,13,FALSE)))*C511</f>
        <v>1</v>
      </c>
      <c r="F511" s="200">
        <f>IF(C511=0,0,(VLOOKUP(B511,'RESUMEN RENDIMIENTOS'!$AB$6:$AO$64,14,FALSE)))*C511</f>
        <v>0.2</v>
      </c>
      <c r="H511" s="197" t="s">
        <v>302</v>
      </c>
      <c r="I511" s="201">
        <v>1</v>
      </c>
      <c r="K511" s="199">
        <f>IF(I511=0,0,(VLOOKUP(H511,'RESUMEN RENDIMIENTOS'!$AB$6:$AO$64,13,FALSE)))*I511</f>
        <v>1</v>
      </c>
      <c r="L511" s="200">
        <f>IF(I511=0,0,(VLOOKUP(H511,'RESUMEN RENDIMIENTOS'!$AB$6:$AO$64,14,FALSE)))*I511</f>
        <v>0.2</v>
      </c>
      <c r="N511" s="197" t="s">
        <v>302</v>
      </c>
      <c r="O511" s="201">
        <v>1</v>
      </c>
      <c r="Q511" s="199">
        <f>IF(O511=0,0,(VLOOKUP(N511,'RESUMEN RENDIMIENTOS'!$AB$6:$AO$64,13,FALSE)))*O511</f>
        <v>1</v>
      </c>
      <c r="R511" s="200">
        <f>IF(O511=0,0,(VLOOKUP(N511,'RESUMEN RENDIMIENTOS'!$AB$6:$AO$64,14,FALSE)))*O511</f>
        <v>0.2</v>
      </c>
    </row>
    <row r="512" spans="2:19">
      <c r="B512" s="202"/>
      <c r="F512" s="206">
        <f>SUM(F506:F511)</f>
        <v>0.54535238095238103</v>
      </c>
      <c r="G512" s="205">
        <f>+F512</f>
        <v>0.54535238095238103</v>
      </c>
      <c r="H512" s="202"/>
      <c r="I512" s="179"/>
      <c r="K512" s="88"/>
      <c r="L512" s="206">
        <f>SUM(L506:L511)</f>
        <v>0.54535238095238103</v>
      </c>
      <c r="M512" s="205">
        <f>+L512</f>
        <v>0.54535238095238103</v>
      </c>
      <c r="N512" s="202"/>
      <c r="O512" s="179"/>
      <c r="R512" s="206">
        <f>SUM(R506:R511)</f>
        <v>0.54535238095238103</v>
      </c>
      <c r="S512" s="205">
        <f>+R512</f>
        <v>0.54535238095238103</v>
      </c>
    </row>
    <row r="513" spans="2:19">
      <c r="B513" s="436" t="s">
        <v>324</v>
      </c>
      <c r="C513" s="437"/>
      <c r="D513" s="437"/>
      <c r="E513" s="437"/>
      <c r="F513" s="455"/>
      <c r="G513" s="205"/>
      <c r="H513" s="436" t="s">
        <v>324</v>
      </c>
      <c r="I513" s="437"/>
      <c r="J513" s="437"/>
      <c r="K513" s="437"/>
      <c r="L513" s="455"/>
      <c r="M513" s="205"/>
      <c r="N513" s="436" t="s">
        <v>324</v>
      </c>
      <c r="O513" s="437"/>
      <c r="P513" s="437"/>
      <c r="Q513" s="437"/>
      <c r="R513" s="455"/>
      <c r="S513" s="205"/>
    </row>
    <row r="514" spans="2:19">
      <c r="B514" s="210" t="s">
        <v>325</v>
      </c>
      <c r="C514" s="211">
        <v>1</v>
      </c>
      <c r="D514" s="212">
        <v>21.712335174960327</v>
      </c>
      <c r="E514" s="213">
        <f>F500</f>
        <v>0.79447652557968351</v>
      </c>
      <c r="F514" s="214">
        <f>+IF(C514&gt;="",0,(D514*E514))</f>
        <v>17.24994061202403</v>
      </c>
      <c r="G514" s="215"/>
      <c r="H514" s="210" t="s">
        <v>325</v>
      </c>
      <c r="I514" s="211">
        <v>1</v>
      </c>
      <c r="J514" s="212">
        <v>21.712335174960327</v>
      </c>
      <c r="K514" s="213">
        <f>L500</f>
        <v>0.61731518586676482</v>
      </c>
      <c r="L514" s="216">
        <f>+IF(I514&gt;="",0,(J514*K514))</f>
        <v>13.40335422413213</v>
      </c>
      <c r="M514" s="215"/>
      <c r="N514" s="210" t="s">
        <v>325</v>
      </c>
      <c r="O514" s="211">
        <v>1</v>
      </c>
      <c r="P514" s="212">
        <v>21.712335174960327</v>
      </c>
      <c r="Q514" s="213">
        <f>R500</f>
        <v>0.45019607843137255</v>
      </c>
      <c r="R514" s="214">
        <f>+IF(O514&gt;="",0,(P514*Q514))</f>
        <v>9.7748081493546888</v>
      </c>
      <c r="S514" s="215"/>
    </row>
    <row r="515" spans="2:19">
      <c r="B515" s="210" t="s">
        <v>326</v>
      </c>
      <c r="C515" s="211"/>
      <c r="D515" s="212">
        <f>+D514*25%</f>
        <v>5.4280837937400817</v>
      </c>
      <c r="E515" s="213">
        <f>F500</f>
        <v>0.79447652557968351</v>
      </c>
      <c r="F515" s="214">
        <f>+IF(C515= "",0,(D515*E515))</f>
        <v>0</v>
      </c>
      <c r="G515" s="215"/>
      <c r="H515" s="210" t="s">
        <v>326</v>
      </c>
      <c r="I515" s="211"/>
      <c r="J515" s="212">
        <f>+J514*25%</f>
        <v>5.4280837937400817</v>
      </c>
      <c r="K515" s="213">
        <f>L500</f>
        <v>0.61731518586676482</v>
      </c>
      <c r="L515" s="216">
        <f>+IF(I515= "",0,(J515*K515))</f>
        <v>0</v>
      </c>
      <c r="M515" s="215"/>
      <c r="N515" s="210" t="s">
        <v>326</v>
      </c>
      <c r="O515" s="211"/>
      <c r="P515" s="212">
        <f>+P514*25%</f>
        <v>5.4280837937400817</v>
      </c>
      <c r="Q515" s="213">
        <f>R500</f>
        <v>0.45019607843137255</v>
      </c>
      <c r="R515" s="214">
        <f>+IF(O515= "",0,(P515*Q515))</f>
        <v>0</v>
      </c>
      <c r="S515" s="215"/>
    </row>
    <row r="516" spans="2:19">
      <c r="B516" s="210" t="s">
        <v>327</v>
      </c>
      <c r="C516" s="211"/>
      <c r="D516" s="212">
        <f>+D514*50%</f>
        <v>10.856167587480163</v>
      </c>
      <c r="E516" s="213">
        <f>F500</f>
        <v>0.79447652557968351</v>
      </c>
      <c r="F516" s="214">
        <f>+IF(C516= "",0,(D516*E516))</f>
        <v>0</v>
      </c>
      <c r="G516" s="215"/>
      <c r="H516" s="210" t="s">
        <v>327</v>
      </c>
      <c r="I516" s="211"/>
      <c r="J516" s="212">
        <f>+J514*50%</f>
        <v>10.856167587480163</v>
      </c>
      <c r="K516" s="213">
        <f>L500</f>
        <v>0.61731518586676482</v>
      </c>
      <c r="L516" s="216">
        <f>+IF(I516= "",0,(J516*K516))</f>
        <v>0</v>
      </c>
      <c r="M516" s="215"/>
      <c r="N516" s="210" t="s">
        <v>327</v>
      </c>
      <c r="O516" s="211"/>
      <c r="P516" s="212">
        <f>+P514*50%</f>
        <v>10.856167587480163</v>
      </c>
      <c r="Q516" s="213">
        <f>R500</f>
        <v>0.45019607843137255</v>
      </c>
      <c r="R516" s="214">
        <f>+IF(O516= "",0,(P516*Q516))</f>
        <v>0</v>
      </c>
      <c r="S516" s="215"/>
    </row>
    <row r="517" spans="2:19">
      <c r="B517" s="202"/>
      <c r="F517" s="217">
        <f>SUM(F514:F516)</f>
        <v>17.24994061202403</v>
      </c>
      <c r="G517" s="218"/>
      <c r="H517" s="202"/>
      <c r="I517" s="179"/>
      <c r="K517" s="88"/>
      <c r="L517" s="219">
        <f>SUM(L514:L516)</f>
        <v>13.40335422413213</v>
      </c>
      <c r="M517" s="218"/>
      <c r="N517" s="202"/>
      <c r="O517" s="179"/>
      <c r="R517" s="217">
        <f>SUM(R514:R516)</f>
        <v>9.7748081493546888</v>
      </c>
      <c r="S517" s="218"/>
    </row>
    <row r="518" spans="2:19">
      <c r="B518" s="202"/>
      <c r="F518" s="189"/>
      <c r="G518" s="220"/>
      <c r="H518" s="202"/>
      <c r="I518" s="179"/>
      <c r="K518" s="88"/>
      <c r="M518" s="220"/>
      <c r="N518" s="202"/>
      <c r="O518" s="179"/>
      <c r="R518" s="189"/>
      <c r="S518" s="220"/>
    </row>
    <row r="519" spans="2:19" ht="21">
      <c r="B519" s="438" t="s">
        <v>328</v>
      </c>
      <c r="C519" s="439"/>
      <c r="D519" s="439"/>
      <c r="E519" s="440"/>
      <c r="F519" s="225">
        <f>+F512+F517</f>
        <v>17.79529299297641</v>
      </c>
      <c r="G519" s="205">
        <f>+F519</f>
        <v>17.79529299297641</v>
      </c>
      <c r="H519" s="438" t="s">
        <v>328</v>
      </c>
      <c r="I519" s="439"/>
      <c r="J519" s="439"/>
      <c r="K519" s="440"/>
      <c r="L519" s="225">
        <f>+L512+L517</f>
        <v>13.94870660508451</v>
      </c>
      <c r="M519" s="205">
        <f>+L519</f>
        <v>13.94870660508451</v>
      </c>
      <c r="N519" s="438" t="s">
        <v>328</v>
      </c>
      <c r="O519" s="439"/>
      <c r="P519" s="439"/>
      <c r="Q519" s="440"/>
      <c r="R519" s="225">
        <f>+R512+R517</f>
        <v>10.320160530307071</v>
      </c>
      <c r="S519" s="205">
        <f>+R519</f>
        <v>10.320160530307071</v>
      </c>
    </row>
    <row r="520" spans="2:19">
      <c r="B520" s="202"/>
      <c r="F520" s="189"/>
      <c r="G520" s="205"/>
      <c r="H520" s="202"/>
      <c r="I520" s="179"/>
      <c r="K520" s="88"/>
      <c r="L520" s="189"/>
      <c r="M520" s="205"/>
      <c r="N520" s="202"/>
      <c r="O520" s="179"/>
      <c r="R520" s="189"/>
      <c r="S520" s="205"/>
    </row>
    <row r="521" spans="2:19" ht="19">
      <c r="B521" s="441" t="s">
        <v>329</v>
      </c>
      <c r="C521" s="442"/>
      <c r="D521" s="442"/>
      <c r="E521" s="443"/>
      <c r="F521" s="230">
        <f>+F519/$C$37</f>
        <v>0.17795292992976411</v>
      </c>
      <c r="G521" s="205"/>
      <c r="H521" s="441" t="s">
        <v>329</v>
      </c>
      <c r="I521" s="442"/>
      <c r="J521" s="442"/>
      <c r="K521" s="443"/>
      <c r="L521" s="230">
        <f>+L519/$C$37</f>
        <v>0.1394870660508451</v>
      </c>
      <c r="M521" s="205"/>
      <c r="N521" s="441" t="s">
        <v>329</v>
      </c>
      <c r="O521" s="442"/>
      <c r="P521" s="442"/>
      <c r="Q521" s="443"/>
      <c r="R521" s="230">
        <f>+R519/$C$37</f>
        <v>0.10320160530307071</v>
      </c>
      <c r="S521" s="205"/>
    </row>
    <row r="522" spans="2:19" ht="17" thickBot="1">
      <c r="B522" s="231"/>
      <c r="C522" s="232"/>
      <c r="D522" s="233"/>
      <c r="E522" s="233"/>
      <c r="F522" s="234"/>
      <c r="G522" s="205"/>
      <c r="H522" s="231"/>
      <c r="I522" s="232"/>
      <c r="J522" s="233"/>
      <c r="K522" s="233"/>
      <c r="L522" s="234"/>
      <c r="M522" s="205"/>
      <c r="N522" s="231"/>
      <c r="O522" s="232"/>
      <c r="P522" s="233"/>
      <c r="Q522" s="233"/>
      <c r="R522" s="234"/>
      <c r="S522" s="205"/>
    </row>
    <row r="523" spans="2:19" ht="23.25" customHeight="1" thickBot="1">
      <c r="B523" s="415" t="s">
        <v>312</v>
      </c>
      <c r="C523" s="416"/>
      <c r="D523" s="416"/>
      <c r="E523" s="416"/>
      <c r="F523" s="416"/>
      <c r="G523" s="416"/>
      <c r="H523" s="416"/>
      <c r="I523" s="416"/>
      <c r="J523" s="416"/>
      <c r="K523" s="416"/>
      <c r="L523" s="416"/>
      <c r="M523" s="416"/>
      <c r="N523" s="416"/>
      <c r="O523" s="416"/>
      <c r="P523" s="416"/>
      <c r="Q523" s="416"/>
      <c r="R523" s="417"/>
    </row>
    <row r="524" spans="2:19" ht="25">
      <c r="B524" s="239" t="s">
        <v>16</v>
      </c>
      <c r="C524" s="452" t="s">
        <v>83</v>
      </c>
      <c r="D524" s="453"/>
      <c r="E524" s="454"/>
      <c r="F524" s="240"/>
      <c r="G524" s="272"/>
      <c r="H524" s="256" t="s">
        <v>16</v>
      </c>
      <c r="I524" s="462" t="s">
        <v>82</v>
      </c>
      <c r="J524" s="463"/>
      <c r="K524" s="464"/>
      <c r="L524" s="273"/>
      <c r="M524" s="274"/>
      <c r="N524" s="239" t="s">
        <v>16</v>
      </c>
      <c r="O524" s="452" t="s">
        <v>81</v>
      </c>
      <c r="P524" s="453"/>
      <c r="Q524" s="454"/>
      <c r="R524" s="240"/>
    </row>
    <row r="525" spans="2:19" ht="33" thickBot="1">
      <c r="B525" s="241" t="s">
        <v>313</v>
      </c>
      <c r="C525" s="242" t="s">
        <v>6</v>
      </c>
      <c r="D525" s="243" t="s">
        <v>25</v>
      </c>
      <c r="E525" s="244" t="s">
        <v>314</v>
      </c>
      <c r="F525" s="245" t="s">
        <v>315</v>
      </c>
      <c r="H525" s="241" t="s">
        <v>313</v>
      </c>
      <c r="I525" s="242" t="s">
        <v>6</v>
      </c>
      <c r="J525" s="243" t="s">
        <v>25</v>
      </c>
      <c r="K525" s="244" t="s">
        <v>314</v>
      </c>
      <c r="L525" s="245" t="s">
        <v>315</v>
      </c>
      <c r="N525" s="241" t="s">
        <v>313</v>
      </c>
      <c r="O525" s="242" t="s">
        <v>6</v>
      </c>
      <c r="P525" s="243" t="s">
        <v>25</v>
      </c>
      <c r="Q525" s="244" t="s">
        <v>314</v>
      </c>
      <c r="R525" s="245" t="s">
        <v>315</v>
      </c>
    </row>
    <row r="526" spans="2:19">
      <c r="B526" s="170" t="s">
        <v>182</v>
      </c>
      <c r="C526" s="171">
        <f>VLOOKUP(B526,'RESUMEN RENDIMIENTOS'!$V$6:$W$158,2,FALSE)</f>
        <v>1400</v>
      </c>
      <c r="D526" s="177" t="s">
        <v>20</v>
      </c>
      <c r="E526" s="172">
        <v>247</v>
      </c>
      <c r="F526" s="175">
        <f t="shared" ref="F526:F541" si="60">IF(C526=0,0,(100/C526)*E526/$E$37)</f>
        <v>7.1428571428571425E-2</v>
      </c>
      <c r="G526" s="164">
        <f>+F526/F542</f>
        <v>0.10968250008672929</v>
      </c>
      <c r="H526" s="170" t="s">
        <v>179</v>
      </c>
      <c r="I526" s="171">
        <f>VLOOKUP(H526,'RESUMEN RENDIMIENTOS'!$V$6:$W$158,2,FALSE)</f>
        <v>400</v>
      </c>
      <c r="J526" s="177" t="s">
        <v>20</v>
      </c>
      <c r="K526" s="172">
        <v>247</v>
      </c>
      <c r="L526" s="175">
        <f t="shared" ref="L526:L541" si="61">IF(I526=0,0,(100/I526)*K526/$E$37)</f>
        <v>0.25</v>
      </c>
      <c r="M526" s="164">
        <f>+L526/L542</f>
        <v>0.22021203754481508</v>
      </c>
      <c r="N526" s="170" t="s">
        <v>179</v>
      </c>
      <c r="O526" s="171">
        <f>VLOOKUP(N526,'RESUMEN RENDIMIENTOS'!$V$6:$W$158,2,FALSE)</f>
        <v>400</v>
      </c>
      <c r="P526" s="177" t="s">
        <v>20</v>
      </c>
      <c r="Q526" s="172">
        <v>247</v>
      </c>
      <c r="R526" s="175">
        <f t="shared" ref="R526:R541" si="62">IF(O526=0,0,(100/O526)*Q526/$E$37)</f>
        <v>0.25</v>
      </c>
      <c r="S526" s="164">
        <f>+R526/R542</f>
        <v>0.14462863686045904</v>
      </c>
    </row>
    <row r="527" spans="2:19">
      <c r="B527" s="170" t="s">
        <v>200</v>
      </c>
      <c r="C527" s="171">
        <f>VLOOKUP(B527,'RESUMEN RENDIMIENTOS'!$V$6:$W$158,2,FALSE)</f>
        <v>425</v>
      </c>
      <c r="D527" s="177" t="s">
        <v>20</v>
      </c>
      <c r="E527" s="172">
        <v>247</v>
      </c>
      <c r="F527" s="175">
        <f t="shared" si="60"/>
        <v>0.23529411764705882</v>
      </c>
      <c r="G527" s="174">
        <f>+F527/F542</f>
        <v>0.36130705910922589</v>
      </c>
      <c r="H527" s="170" t="s">
        <v>199</v>
      </c>
      <c r="I527" s="171">
        <f>VLOOKUP(H527,'RESUMEN RENDIMIENTOS'!$V$6:$W$158,2,FALSE)</f>
        <v>300</v>
      </c>
      <c r="J527" s="177" t="s">
        <v>20</v>
      </c>
      <c r="K527" s="172">
        <v>247</v>
      </c>
      <c r="L527" s="175">
        <f t="shared" si="61"/>
        <v>0.33333333333333331</v>
      </c>
      <c r="M527" s="174">
        <f>+L527/L542</f>
        <v>0.29361605005975344</v>
      </c>
      <c r="N527" s="170" t="s">
        <v>199</v>
      </c>
      <c r="O527" s="171">
        <f>VLOOKUP(N527,'RESUMEN RENDIMIENTOS'!$V$6:$W$158,2,FALSE)</f>
        <v>300</v>
      </c>
      <c r="P527" s="177" t="s">
        <v>20</v>
      </c>
      <c r="Q527" s="172">
        <v>247</v>
      </c>
      <c r="R527" s="175">
        <f t="shared" si="62"/>
        <v>0.33333333333333331</v>
      </c>
      <c r="S527" s="174">
        <f>+R527/R542</f>
        <v>0.19283818248061205</v>
      </c>
    </row>
    <row r="528" spans="2:19">
      <c r="B528" s="170" t="s">
        <v>259</v>
      </c>
      <c r="C528" s="171">
        <f>VLOOKUP(B528,'RESUMEN RENDIMIENTOS'!$V$6:$W$158,2,FALSE)</f>
        <v>1800</v>
      </c>
      <c r="D528" s="177" t="s">
        <v>20</v>
      </c>
      <c r="E528" s="172">
        <v>247</v>
      </c>
      <c r="F528" s="175">
        <f t="shared" si="60"/>
        <v>5.5555555555555552E-2</v>
      </c>
      <c r="G528" s="174">
        <f>+F528/F542</f>
        <v>8.5308611178567223E-2</v>
      </c>
      <c r="H528" s="170" t="s">
        <v>259</v>
      </c>
      <c r="I528" s="171">
        <f>VLOOKUP(H528,'RESUMEN RENDIMIENTOS'!$V$6:$W$158,2,FALSE)</f>
        <v>1800</v>
      </c>
      <c r="J528" s="177" t="s">
        <v>20</v>
      </c>
      <c r="K528" s="172">
        <v>247</v>
      </c>
      <c r="L528" s="175">
        <f t="shared" si="61"/>
        <v>5.5555555555555552E-2</v>
      </c>
      <c r="M528" s="174">
        <f>+L528/L542</f>
        <v>4.8936008343292238E-2</v>
      </c>
      <c r="N528" s="170" t="s">
        <v>259</v>
      </c>
      <c r="O528" s="171">
        <f>VLOOKUP(N528,'RESUMEN RENDIMIENTOS'!$V$6:$W$158,2,FALSE)</f>
        <v>1800</v>
      </c>
      <c r="P528" s="177" t="s">
        <v>20</v>
      </c>
      <c r="Q528" s="172">
        <v>247</v>
      </c>
      <c r="R528" s="175">
        <f t="shared" si="62"/>
        <v>5.5555555555555552E-2</v>
      </c>
      <c r="S528" s="174">
        <f>+R528/R542</f>
        <v>3.213969708010201E-2</v>
      </c>
    </row>
    <row r="529" spans="2:19">
      <c r="B529" s="170" t="s">
        <v>190</v>
      </c>
      <c r="C529" s="171">
        <f>VLOOKUP(B529,'RESUMEN RENDIMIENTOS'!$V$6:$W$158,2,FALSE)</f>
        <v>960</v>
      </c>
      <c r="D529" s="177" t="s">
        <v>20</v>
      </c>
      <c r="E529" s="172">
        <v>247</v>
      </c>
      <c r="F529" s="175">
        <f t="shared" si="60"/>
        <v>0.10416666666666667</v>
      </c>
      <c r="G529" s="174">
        <f>+F529/F542</f>
        <v>0.15995364595981357</v>
      </c>
      <c r="H529" s="170" t="s">
        <v>226</v>
      </c>
      <c r="I529" s="171">
        <f>VLOOKUP(H529,'RESUMEN RENDIMIENTOS'!$V$6:$W$158,2,FALSE)</f>
        <v>400</v>
      </c>
      <c r="J529" s="177" t="s">
        <v>20</v>
      </c>
      <c r="K529" s="172">
        <v>247</v>
      </c>
      <c r="L529" s="173">
        <f t="shared" si="61"/>
        <v>0.25</v>
      </c>
      <c r="M529" s="174">
        <f>+L529/L542</f>
        <v>0.22021203754481508</v>
      </c>
      <c r="N529" s="170" t="s">
        <v>226</v>
      </c>
      <c r="O529" s="171">
        <f>VLOOKUP(N529,'RESUMEN RENDIMIENTOS'!$V$6:$W$158,2,FALSE)</f>
        <v>400</v>
      </c>
      <c r="P529" s="177" t="s">
        <v>20</v>
      </c>
      <c r="Q529" s="172">
        <v>247</v>
      </c>
      <c r="R529" s="175">
        <f t="shared" si="62"/>
        <v>0.25</v>
      </c>
      <c r="S529" s="174">
        <f>+R529/R542</f>
        <v>0.14462863686045904</v>
      </c>
    </row>
    <row r="530" spans="2:19">
      <c r="B530" s="170" t="s">
        <v>210</v>
      </c>
      <c r="C530" s="171">
        <f>VLOOKUP(B530,'RESUMEN RENDIMIENTOS'!$V$6:$W$158,2,FALSE)</f>
        <v>80</v>
      </c>
      <c r="D530" s="177" t="s">
        <v>30</v>
      </c>
      <c r="E530" s="172">
        <v>24</v>
      </c>
      <c r="F530" s="175">
        <f t="shared" si="60"/>
        <v>0.1214574898785425</v>
      </c>
      <c r="G530" s="174">
        <f>+F530/F542</f>
        <v>0.18650465601792024</v>
      </c>
      <c r="H530" s="170" t="s">
        <v>194</v>
      </c>
      <c r="I530" s="171">
        <f>VLOOKUP(H530,'RESUMEN RENDIMIENTOS'!$V$6:$W$158,2,FALSE)</f>
        <v>2000</v>
      </c>
      <c r="J530" s="177" t="s">
        <v>31</v>
      </c>
      <c r="K530" s="172">
        <v>104.28</v>
      </c>
      <c r="L530" s="173">
        <f t="shared" si="61"/>
        <v>2.1109311740890691E-2</v>
      </c>
      <c r="M530" s="174">
        <f>+L530/L542</f>
        <v>1.8594098198520908E-2</v>
      </c>
      <c r="N530" s="170" t="s">
        <v>194</v>
      </c>
      <c r="O530" s="171">
        <f>VLOOKUP(N530,'RESUMEN RENDIMIENTOS'!$V$6:$W$158,2,FALSE)</f>
        <v>2000</v>
      </c>
      <c r="P530" s="177" t="s">
        <v>20</v>
      </c>
      <c r="Q530" s="172">
        <v>247</v>
      </c>
      <c r="R530" s="175">
        <f t="shared" si="62"/>
        <v>0.05</v>
      </c>
      <c r="S530" s="174">
        <f>+R530/R542</f>
        <v>2.8925727372091811E-2</v>
      </c>
    </row>
    <row r="531" spans="2:19">
      <c r="B531" s="170" t="s">
        <v>240</v>
      </c>
      <c r="C531" s="171">
        <f>VLOOKUP(B531,'RESUMEN RENDIMIENTOS'!$V$6:$W$158,2,FALSE)</f>
        <v>1000</v>
      </c>
      <c r="D531" s="177" t="s">
        <v>52</v>
      </c>
      <c r="E531" s="172">
        <v>156.42000000000002</v>
      </c>
      <c r="F531" s="173">
        <f t="shared" si="60"/>
        <v>6.3327935222672077E-2</v>
      </c>
      <c r="G531" s="174">
        <f>+F531/F542</f>
        <v>9.7243527647743647E-2</v>
      </c>
      <c r="H531" s="170" t="s">
        <v>240</v>
      </c>
      <c r="I531" s="171">
        <f>VLOOKUP(H531,'RESUMEN RENDIMIENTOS'!$V$6:$W$158,2,FALSE)</f>
        <v>1000</v>
      </c>
      <c r="J531" s="177" t="s">
        <v>52</v>
      </c>
      <c r="K531" s="172">
        <v>156.42000000000002</v>
      </c>
      <c r="L531" s="173">
        <f t="shared" si="61"/>
        <v>6.3327935222672077E-2</v>
      </c>
      <c r="M531" s="174">
        <f>+L531/L542</f>
        <v>5.5782294595562727E-2</v>
      </c>
      <c r="N531" s="170" t="s">
        <v>240</v>
      </c>
      <c r="O531" s="171">
        <f>VLOOKUP(N531,'RESUMEN RENDIMIENTOS'!$V$6:$W$158,2,FALSE)</f>
        <v>1000</v>
      </c>
      <c r="P531" s="177" t="s">
        <v>20</v>
      </c>
      <c r="Q531" s="172">
        <v>247</v>
      </c>
      <c r="R531" s="175">
        <f t="shared" si="62"/>
        <v>0.1</v>
      </c>
      <c r="S531" s="174">
        <f>+R531/R542</f>
        <v>5.7851454744183621E-2</v>
      </c>
    </row>
    <row r="532" spans="2:19">
      <c r="B532" s="170">
        <v>0</v>
      </c>
      <c r="C532" s="171">
        <f>VLOOKUP(B532,'RESUMEN RENDIMIENTOS'!$V$6:$W$158,2,FALSE)</f>
        <v>0</v>
      </c>
      <c r="D532" s="177"/>
      <c r="E532" s="172" t="s">
        <v>337</v>
      </c>
      <c r="F532" s="173">
        <f t="shared" si="60"/>
        <v>0</v>
      </c>
      <c r="G532" s="174">
        <f>+F532/F542</f>
        <v>0</v>
      </c>
      <c r="H532" s="170" t="s">
        <v>214</v>
      </c>
      <c r="I532" s="171">
        <f>VLOOKUP(H532,'RESUMEN RENDIMIENTOS'!$V$6:$W$158,2,FALSE)</f>
        <v>60</v>
      </c>
      <c r="J532" s="177" t="s">
        <v>30</v>
      </c>
      <c r="K532" s="172">
        <v>24</v>
      </c>
      <c r="L532" s="173">
        <f t="shared" si="61"/>
        <v>0.16194331983805668</v>
      </c>
      <c r="M532" s="174">
        <f>+L532/L542</f>
        <v>0.14264747371324055</v>
      </c>
      <c r="N532" s="170" t="s">
        <v>236</v>
      </c>
      <c r="O532" s="171">
        <f>VLOOKUP(N532,'RESUMEN RENDIMIENTOS'!$V$6:$W$158,2,FALSE)</f>
        <v>600</v>
      </c>
      <c r="P532" s="177" t="s">
        <v>52</v>
      </c>
      <c r="Q532" s="172">
        <v>156.42000000000002</v>
      </c>
      <c r="R532" s="175">
        <f t="shared" si="62"/>
        <v>0.10554655870445344</v>
      </c>
      <c r="S532" s="174">
        <f>+R532/R542</f>
        <v>6.1060219642950081E-2</v>
      </c>
    </row>
    <row r="533" spans="2:19">
      <c r="B533" s="170">
        <v>0</v>
      </c>
      <c r="C533" s="171">
        <f>VLOOKUP(B533,'RESUMEN RENDIMIENTOS'!$V$6:$W$158,2,FALSE)</f>
        <v>0</v>
      </c>
      <c r="D533" s="177"/>
      <c r="E533" s="172" t="s">
        <v>337</v>
      </c>
      <c r="F533" s="173">
        <f t="shared" si="60"/>
        <v>0</v>
      </c>
      <c r="G533" s="174">
        <f>+F533/F542</f>
        <v>0</v>
      </c>
      <c r="H533" s="170">
        <v>0</v>
      </c>
      <c r="I533" s="171"/>
      <c r="J533" s="177"/>
      <c r="K533" s="172" t="s">
        <v>337</v>
      </c>
      <c r="L533" s="173">
        <f t="shared" si="61"/>
        <v>0</v>
      </c>
      <c r="M533" s="174">
        <f>+L533/L542</f>
        <v>0</v>
      </c>
      <c r="N533" s="170" t="s">
        <v>214</v>
      </c>
      <c r="O533" s="171">
        <f>VLOOKUP(N533,'RESUMEN RENDIMIENTOS'!$V$6:$W$158,2,FALSE)</f>
        <v>60</v>
      </c>
      <c r="P533" s="177" t="s">
        <v>30</v>
      </c>
      <c r="Q533" s="172">
        <v>24</v>
      </c>
      <c r="R533" s="175">
        <f t="shared" si="62"/>
        <v>0.16194331983805668</v>
      </c>
      <c r="S533" s="174">
        <f>+R533/R542</f>
        <v>9.3686566387341894E-2</v>
      </c>
    </row>
    <row r="534" spans="2:19">
      <c r="B534" s="170">
        <v>0</v>
      </c>
      <c r="C534" s="171">
        <f>VLOOKUP(B534,'RESUMEN RENDIMIENTOS'!$V$6:$W$158,2,FALSE)</f>
        <v>0</v>
      </c>
      <c r="D534" s="177"/>
      <c r="E534" s="172" t="s">
        <v>337</v>
      </c>
      <c r="F534" s="173">
        <f t="shared" si="60"/>
        <v>0</v>
      </c>
      <c r="G534" s="174">
        <f>+F534/F542</f>
        <v>0</v>
      </c>
      <c r="H534" s="170">
        <v>0</v>
      </c>
      <c r="I534" s="171"/>
      <c r="J534" s="177"/>
      <c r="K534" s="172" t="s">
        <v>337</v>
      </c>
      <c r="L534" s="173">
        <f t="shared" si="61"/>
        <v>0</v>
      </c>
      <c r="M534" s="174">
        <f>+L534/L542</f>
        <v>0</v>
      </c>
      <c r="N534" s="170" t="s">
        <v>216</v>
      </c>
      <c r="O534" s="171">
        <f>VLOOKUP(N534,'RESUMEN RENDIMIENTOS'!$V$6:$W$158,2,FALSE)</f>
        <v>50</v>
      </c>
      <c r="P534" s="177" t="s">
        <v>56</v>
      </c>
      <c r="Q534" s="172">
        <v>52.14</v>
      </c>
      <c r="R534" s="175">
        <f t="shared" si="62"/>
        <v>0.42218623481781375</v>
      </c>
      <c r="S534" s="174">
        <f>+R534/R542</f>
        <v>0.24424087857180032</v>
      </c>
    </row>
    <row r="535" spans="2:19">
      <c r="B535" s="170">
        <v>0</v>
      </c>
      <c r="C535" s="171">
        <f>VLOOKUP(B535,'RESUMEN RENDIMIENTOS'!$V$6:$W$158,2,FALSE)</f>
        <v>0</v>
      </c>
      <c r="D535" s="177"/>
      <c r="E535" s="172" t="s">
        <v>337</v>
      </c>
      <c r="F535" s="173">
        <f t="shared" si="60"/>
        <v>0</v>
      </c>
      <c r="G535" s="174">
        <f>+F535/F542</f>
        <v>0</v>
      </c>
      <c r="H535" s="170">
        <v>0</v>
      </c>
      <c r="I535" s="171">
        <f>VLOOKUP(H535,'RESUMEN RENDIMIENTOS'!$V$6:$W$158,2,FALSE)</f>
        <v>0</v>
      </c>
      <c r="J535" s="177"/>
      <c r="K535" s="172" t="s">
        <v>337</v>
      </c>
      <c r="L535" s="173">
        <f t="shared" si="61"/>
        <v>0</v>
      </c>
      <c r="M535" s="174">
        <f>+L535/L542</f>
        <v>0</v>
      </c>
      <c r="N535" s="170">
        <v>0</v>
      </c>
      <c r="O535" s="171">
        <f>VLOOKUP(N535,'RESUMEN RENDIMIENTOS'!$V$6:$W$158,2,FALSE)</f>
        <v>0</v>
      </c>
      <c r="P535" s="177"/>
      <c r="Q535" s="172" t="s">
        <v>337</v>
      </c>
      <c r="R535" s="175">
        <f t="shared" si="62"/>
        <v>0</v>
      </c>
      <c r="S535" s="174">
        <f>+R535/R542</f>
        <v>0</v>
      </c>
    </row>
    <row r="536" spans="2:19">
      <c r="B536" s="170">
        <v>0</v>
      </c>
      <c r="C536" s="171">
        <f>VLOOKUP(B536,'RESUMEN RENDIMIENTOS'!$V$6:$W$158,2,FALSE)</f>
        <v>0</v>
      </c>
      <c r="D536" s="177"/>
      <c r="E536" s="172" t="s">
        <v>337</v>
      </c>
      <c r="F536" s="173">
        <f t="shared" si="60"/>
        <v>0</v>
      </c>
      <c r="G536" s="174">
        <f>+F536/F542</f>
        <v>0</v>
      </c>
      <c r="H536" s="170">
        <v>0</v>
      </c>
      <c r="I536" s="171">
        <f>VLOOKUP(H536,'RESUMEN RENDIMIENTOS'!$V$6:$W$158,2,FALSE)</f>
        <v>0</v>
      </c>
      <c r="J536" s="177"/>
      <c r="K536" s="172" t="s">
        <v>337</v>
      </c>
      <c r="L536" s="173">
        <f t="shared" si="61"/>
        <v>0</v>
      </c>
      <c r="M536" s="174">
        <f>+L536/L542</f>
        <v>0</v>
      </c>
      <c r="N536" s="170">
        <v>0</v>
      </c>
      <c r="O536" s="171">
        <f>VLOOKUP(N536,'RESUMEN RENDIMIENTOS'!$V$6:$W$158,2,FALSE)</f>
        <v>0</v>
      </c>
      <c r="P536" s="177"/>
      <c r="Q536" s="172" t="s">
        <v>337</v>
      </c>
      <c r="R536" s="175">
        <f t="shared" si="62"/>
        <v>0</v>
      </c>
      <c r="S536" s="174">
        <f>+R536/R542</f>
        <v>0</v>
      </c>
    </row>
    <row r="537" spans="2:19">
      <c r="B537" s="170">
        <v>0</v>
      </c>
      <c r="C537" s="171">
        <f>VLOOKUP(B537,'RESUMEN RENDIMIENTOS'!$V$6:$W$158,2,FALSE)</f>
        <v>0</v>
      </c>
      <c r="D537" s="177"/>
      <c r="E537" s="172" t="s">
        <v>337</v>
      </c>
      <c r="F537" s="173">
        <f t="shared" si="60"/>
        <v>0</v>
      </c>
      <c r="G537" s="174">
        <f>+F537/F542</f>
        <v>0</v>
      </c>
      <c r="H537" s="170">
        <v>0</v>
      </c>
      <c r="I537" s="171">
        <f>VLOOKUP(H537,'RESUMEN RENDIMIENTOS'!$V$6:$W$158,2,FALSE)</f>
        <v>0</v>
      </c>
      <c r="J537" s="177"/>
      <c r="K537" s="172" t="s">
        <v>337</v>
      </c>
      <c r="L537" s="173">
        <f t="shared" si="61"/>
        <v>0</v>
      </c>
      <c r="M537" s="174">
        <f>+L537/L542</f>
        <v>0</v>
      </c>
      <c r="N537" s="170">
        <v>0</v>
      </c>
      <c r="O537" s="171">
        <f>VLOOKUP(N537,'RESUMEN RENDIMIENTOS'!$V$6:$W$158,2,FALSE)</f>
        <v>0</v>
      </c>
      <c r="P537" s="177"/>
      <c r="Q537" s="172" t="s">
        <v>337</v>
      </c>
      <c r="R537" s="175">
        <f t="shared" si="62"/>
        <v>0</v>
      </c>
      <c r="S537" s="174">
        <f>+R537/R542</f>
        <v>0</v>
      </c>
    </row>
    <row r="538" spans="2:19">
      <c r="B538" s="170">
        <v>0</v>
      </c>
      <c r="C538" s="171">
        <f>VLOOKUP(B538,'RESUMEN RENDIMIENTOS'!$V$6:$W$158,2,FALSE)</f>
        <v>0</v>
      </c>
      <c r="D538" s="177"/>
      <c r="E538" s="172" t="s">
        <v>337</v>
      </c>
      <c r="F538" s="173">
        <f t="shared" si="60"/>
        <v>0</v>
      </c>
      <c r="G538" s="174">
        <f>+F538/F542</f>
        <v>0</v>
      </c>
      <c r="H538" s="170">
        <v>0</v>
      </c>
      <c r="I538" s="171">
        <f>VLOOKUP(H538,'RESUMEN RENDIMIENTOS'!$V$6:$W$158,2,FALSE)</f>
        <v>0</v>
      </c>
      <c r="J538" s="177"/>
      <c r="K538" s="172" t="s">
        <v>337</v>
      </c>
      <c r="L538" s="173">
        <f t="shared" si="61"/>
        <v>0</v>
      </c>
      <c r="M538" s="174">
        <f>+L538/L542</f>
        <v>0</v>
      </c>
      <c r="N538" s="170">
        <v>0</v>
      </c>
      <c r="O538" s="171">
        <f>VLOOKUP(N538,'RESUMEN RENDIMIENTOS'!$V$6:$W$158,2,FALSE)</f>
        <v>0</v>
      </c>
      <c r="P538" s="177"/>
      <c r="Q538" s="172" t="s">
        <v>337</v>
      </c>
      <c r="R538" s="175">
        <f t="shared" si="62"/>
        <v>0</v>
      </c>
      <c r="S538" s="174">
        <f>+R538/R542</f>
        <v>0</v>
      </c>
    </row>
    <row r="539" spans="2:19">
      <c r="B539" s="170">
        <v>0</v>
      </c>
      <c r="C539" s="171">
        <f>VLOOKUP(B539,'RESUMEN RENDIMIENTOS'!$V$6:$W$158,2,FALSE)</f>
        <v>0</v>
      </c>
      <c r="D539" s="177"/>
      <c r="E539" s="172" t="s">
        <v>337</v>
      </c>
      <c r="F539" s="173">
        <f t="shared" si="60"/>
        <v>0</v>
      </c>
      <c r="G539" s="174">
        <f>+F539/F542</f>
        <v>0</v>
      </c>
      <c r="H539" s="170">
        <v>0</v>
      </c>
      <c r="I539" s="171">
        <f>VLOOKUP(H539,'RESUMEN RENDIMIENTOS'!$V$6:$W$158,2,FALSE)</f>
        <v>0</v>
      </c>
      <c r="J539" s="177"/>
      <c r="K539" s="172" t="s">
        <v>337</v>
      </c>
      <c r="L539" s="173">
        <f t="shared" si="61"/>
        <v>0</v>
      </c>
      <c r="M539" s="174">
        <f>+L539/L542</f>
        <v>0</v>
      </c>
      <c r="N539" s="170">
        <v>0</v>
      </c>
      <c r="O539" s="171">
        <f>VLOOKUP(N539,'RESUMEN RENDIMIENTOS'!$V$6:$W$158,2,FALSE)</f>
        <v>0</v>
      </c>
      <c r="P539" s="177"/>
      <c r="Q539" s="172" t="s">
        <v>337</v>
      </c>
      <c r="R539" s="175">
        <f t="shared" si="62"/>
        <v>0</v>
      </c>
      <c r="S539" s="174">
        <f>+R539/R542</f>
        <v>0</v>
      </c>
    </row>
    <row r="540" spans="2:19">
      <c r="B540" s="170">
        <v>0</v>
      </c>
      <c r="C540" s="171">
        <f>VLOOKUP(B540,'RESUMEN RENDIMIENTOS'!$V$6:$W$158,2,FALSE)</f>
        <v>0</v>
      </c>
      <c r="D540" s="177"/>
      <c r="E540" s="172" t="s">
        <v>337</v>
      </c>
      <c r="F540" s="173">
        <f t="shared" si="60"/>
        <v>0</v>
      </c>
      <c r="G540" s="174">
        <f>+F540/F542</f>
        <v>0</v>
      </c>
      <c r="H540" s="170">
        <v>0</v>
      </c>
      <c r="I540" s="171">
        <f>VLOOKUP(H540,'RESUMEN RENDIMIENTOS'!$V$6:$W$158,2,FALSE)</f>
        <v>0</v>
      </c>
      <c r="J540" s="177"/>
      <c r="K540" s="172" t="s">
        <v>337</v>
      </c>
      <c r="L540" s="173">
        <f t="shared" si="61"/>
        <v>0</v>
      </c>
      <c r="M540" s="174">
        <f>+L540/L542</f>
        <v>0</v>
      </c>
      <c r="N540" s="170">
        <v>0</v>
      </c>
      <c r="O540" s="171">
        <f>VLOOKUP(N540,'RESUMEN RENDIMIENTOS'!$V$6:$W$158,2,FALSE)</f>
        <v>0</v>
      </c>
      <c r="P540" s="177"/>
      <c r="Q540" s="172" t="s">
        <v>337</v>
      </c>
      <c r="R540" s="175">
        <f t="shared" si="62"/>
        <v>0</v>
      </c>
      <c r="S540" s="174">
        <f>+R540/R542</f>
        <v>0</v>
      </c>
    </row>
    <row r="541" spans="2:19">
      <c r="B541" s="170">
        <v>0</v>
      </c>
      <c r="C541" s="171">
        <f>VLOOKUP(B541,'RESUMEN RENDIMIENTOS'!$V$6:$W$158,2,FALSE)</f>
        <v>0</v>
      </c>
      <c r="D541" s="177"/>
      <c r="E541" s="172" t="s">
        <v>337</v>
      </c>
      <c r="F541" s="173">
        <f t="shared" si="60"/>
        <v>0</v>
      </c>
      <c r="G541" s="174">
        <f>+F541/F542</f>
        <v>0</v>
      </c>
      <c r="H541" s="170">
        <v>0</v>
      </c>
      <c r="I541" s="171">
        <f>VLOOKUP(H541,'RESUMEN RENDIMIENTOS'!$V$6:$W$158,2,FALSE)</f>
        <v>0</v>
      </c>
      <c r="J541" s="177"/>
      <c r="K541" s="172" t="s">
        <v>337</v>
      </c>
      <c r="L541" s="173">
        <f t="shared" si="61"/>
        <v>0</v>
      </c>
      <c r="M541" s="174">
        <f>+L541/L542</f>
        <v>0</v>
      </c>
      <c r="N541" s="170">
        <v>0</v>
      </c>
      <c r="O541" s="171">
        <f>VLOOKUP(N541,'RESUMEN RENDIMIENTOS'!$V$6:$W$158,2,FALSE)</f>
        <v>0</v>
      </c>
      <c r="P541" s="177"/>
      <c r="Q541" s="172" t="s">
        <v>337</v>
      </c>
      <c r="R541" s="175">
        <f t="shared" si="62"/>
        <v>0</v>
      </c>
      <c r="S541" s="174">
        <f>+R541/R542</f>
        <v>0</v>
      </c>
    </row>
    <row r="542" spans="2:19" ht="25" thickBot="1">
      <c r="B542" s="178"/>
      <c r="E542" s="90"/>
      <c r="F542" s="173">
        <f>SUM(F526:F541)</f>
        <v>0.65123033639906713</v>
      </c>
      <c r="G542" s="181">
        <f>+F542/F542</f>
        <v>1</v>
      </c>
      <c r="H542" s="178"/>
      <c r="I542" s="179"/>
      <c r="J542" s="182" t="s">
        <v>24</v>
      </c>
      <c r="K542" s="90"/>
      <c r="L542" s="173">
        <f>SUM(L526:L541)</f>
        <v>1.1352694556905083</v>
      </c>
      <c r="M542" s="181">
        <f>+L542/L542</f>
        <v>1</v>
      </c>
      <c r="N542" s="178"/>
      <c r="O542" s="179"/>
      <c r="Q542" s="90"/>
      <c r="R542" s="175">
        <f>SUM(R526:R541)</f>
        <v>1.7285650022492129</v>
      </c>
      <c r="S542" s="181">
        <f>+R542/R542</f>
        <v>1</v>
      </c>
    </row>
    <row r="543" spans="2:19" ht="29.25" customHeight="1">
      <c r="B543" s="427" t="s">
        <v>317</v>
      </c>
      <c r="C543" s="428"/>
      <c r="D543" s="429"/>
      <c r="E543" s="185">
        <v>0.12</v>
      </c>
      <c r="F543" s="173">
        <f>+F542*E543</f>
        <v>7.8147640367888058E-2</v>
      </c>
      <c r="H543" s="427" t="s">
        <v>317</v>
      </c>
      <c r="I543" s="428"/>
      <c r="J543" s="429"/>
      <c r="K543" s="185">
        <v>0.12</v>
      </c>
      <c r="L543" s="173">
        <f>+L542*K543</f>
        <v>0.136232334682861</v>
      </c>
      <c r="N543" s="427" t="s">
        <v>317</v>
      </c>
      <c r="O543" s="428"/>
      <c r="P543" s="429"/>
      <c r="Q543" s="185">
        <v>0.12</v>
      </c>
      <c r="R543" s="175">
        <f>+R542*Q543</f>
        <v>0.20742780026990554</v>
      </c>
    </row>
    <row r="544" spans="2:19" ht="18" customHeight="1">
      <c r="B544" s="178"/>
      <c r="F544" s="173">
        <f>+F543+F542</f>
        <v>0.72937797676695515</v>
      </c>
      <c r="G544" s="187">
        <f>+F544/24</f>
        <v>3.0390749031956463E-2</v>
      </c>
      <c r="H544" s="178"/>
      <c r="I544" s="179"/>
      <c r="K544" s="88"/>
      <c r="L544" s="173">
        <f>+L543+L542</f>
        <v>1.2715017903733692</v>
      </c>
      <c r="M544" s="187">
        <f>+L544/24</f>
        <v>5.2979241265557052E-2</v>
      </c>
      <c r="N544" s="178"/>
      <c r="O544" s="179"/>
      <c r="R544" s="175">
        <f>+R543+R542</f>
        <v>1.9359928025191184</v>
      </c>
      <c r="S544" s="187">
        <f>+R544/24</f>
        <v>8.066636677162993E-2</v>
      </c>
    </row>
    <row r="545" spans="2:19">
      <c r="B545" s="178"/>
      <c r="D545" s="188"/>
      <c r="F545" s="189"/>
      <c r="H545" s="178"/>
      <c r="I545" s="179"/>
      <c r="J545" s="188"/>
      <c r="K545" s="88"/>
      <c r="L545" s="189"/>
      <c r="N545" s="178"/>
      <c r="O545" s="179"/>
      <c r="P545" s="188"/>
      <c r="R545" s="189"/>
    </row>
    <row r="546" spans="2:19" ht="21">
      <c r="B546" s="191" t="s">
        <v>318</v>
      </c>
      <c r="C546" s="192"/>
      <c r="D546" s="192"/>
      <c r="E546" s="444">
        <f>IF(F544=0,0,(100/F544))</f>
        <v>137.10312510841163</v>
      </c>
      <c r="F546" s="445"/>
      <c r="H546" s="191" t="s">
        <v>318</v>
      </c>
      <c r="I546" s="192"/>
      <c r="J546" s="192"/>
      <c r="K546" s="444">
        <f>IF(L544=0,0,(100/L544))</f>
        <v>78.647156266005396</v>
      </c>
      <c r="L546" s="445"/>
      <c r="N546" s="191" t="s">
        <v>318</v>
      </c>
      <c r="O546" s="192"/>
      <c r="P546" s="192"/>
      <c r="Q546" s="444">
        <f>IF(R544=0,0,(100/R544))</f>
        <v>51.653084593021092</v>
      </c>
      <c r="R546" s="445"/>
    </row>
    <row r="547" spans="2:19">
      <c r="B547" s="178"/>
      <c r="F547" s="189"/>
      <c r="H547" s="178"/>
      <c r="I547" s="179"/>
      <c r="K547" s="88"/>
      <c r="N547" s="178"/>
      <c r="O547" s="179"/>
      <c r="R547" s="189"/>
    </row>
    <row r="548" spans="2:19" ht="21">
      <c r="B548" s="446" t="s">
        <v>319</v>
      </c>
      <c r="C548" s="447"/>
      <c r="D548" s="447"/>
      <c r="E548" s="447"/>
      <c r="F548" s="448"/>
      <c r="H548" s="446" t="s">
        <v>319</v>
      </c>
      <c r="I548" s="447"/>
      <c r="J548" s="447"/>
      <c r="K548" s="447"/>
      <c r="L548" s="448"/>
      <c r="N548" s="446" t="s">
        <v>319</v>
      </c>
      <c r="O548" s="447"/>
      <c r="P548" s="447"/>
      <c r="Q548" s="447"/>
      <c r="R548" s="448"/>
    </row>
    <row r="549" spans="2:19" ht="18" customHeight="1">
      <c r="B549" s="194" t="s">
        <v>320</v>
      </c>
      <c r="C549" s="195"/>
      <c r="D549" s="435" t="s">
        <v>321</v>
      </c>
      <c r="E549" s="435"/>
      <c r="F549" s="196" t="s">
        <v>322</v>
      </c>
      <c r="H549" s="194" t="s">
        <v>320</v>
      </c>
      <c r="I549" s="195"/>
      <c r="J549" s="435" t="s">
        <v>321</v>
      </c>
      <c r="K549" s="435"/>
      <c r="L549" s="196" t="s">
        <v>322</v>
      </c>
      <c r="N549" s="194" t="s">
        <v>320</v>
      </c>
      <c r="O549" s="195"/>
      <c r="P549" s="435" t="s">
        <v>321</v>
      </c>
      <c r="Q549" s="435"/>
      <c r="R549" s="196" t="s">
        <v>322</v>
      </c>
    </row>
    <row r="550" spans="2:19">
      <c r="B550" s="197" t="s">
        <v>278</v>
      </c>
      <c r="C550" s="201">
        <v>1</v>
      </c>
      <c r="E550" s="199">
        <f>IF(C550=0,0,(VLOOKUP(B550,'RESUMEN RENDIMIENTOS'!$AB$6:$AO$64,13,FALSE)))*C550</f>
        <v>0.75</v>
      </c>
      <c r="F550" s="200">
        <f>IF(C550=0,0,(VLOOKUP(B550,'RESUMEN RENDIMIENTOS'!$AB$6:$AO$64,14,FALSE)))*C550</f>
        <v>1.0285714285714287E-2</v>
      </c>
      <c r="H550" s="197" t="s">
        <v>278</v>
      </c>
      <c r="I550" s="201">
        <v>1</v>
      </c>
      <c r="K550" s="199">
        <f>IF(I550=0,0,(VLOOKUP(H550,'RESUMEN RENDIMIENTOS'!$AB$6:$AO$64,13,FALSE)))*I550</f>
        <v>0.75</v>
      </c>
      <c r="L550" s="200">
        <f>IF(I550=0,0,(VLOOKUP(H550,'RESUMEN RENDIMIENTOS'!$AB$6:$AO$64,14,FALSE)))*I550</f>
        <v>1.0285714285714287E-2</v>
      </c>
      <c r="N550" s="197" t="s">
        <v>278</v>
      </c>
      <c r="O550" s="201">
        <v>1</v>
      </c>
      <c r="Q550" s="199">
        <f>IF(O550=0,0,(VLOOKUP(N550,'RESUMEN RENDIMIENTOS'!$AB$6:$AO$64,13,FALSE)))*O550</f>
        <v>0.75</v>
      </c>
      <c r="R550" s="200">
        <f>IF(O550=0,0,(VLOOKUP(N550,'RESUMEN RENDIMIENTOS'!$AB$6:$AO$64,14,FALSE)))*O550</f>
        <v>1.0285714285714287E-2</v>
      </c>
    </row>
    <row r="551" spans="2:19">
      <c r="B551" s="197" t="s">
        <v>279</v>
      </c>
      <c r="C551" s="201">
        <v>1</v>
      </c>
      <c r="E551" s="199">
        <f>IF(C551=0,0,(VLOOKUP(B551,'RESUMEN RENDIMIENTOS'!$AB$6:$AO$64,13,FALSE)))*C551</f>
        <v>2</v>
      </c>
      <c r="F551" s="200">
        <f>IF(C551=0,0,(VLOOKUP(B551,'RESUMEN RENDIMIENTOS'!$AB$6:$AO$64,14,FALSE)))*C551</f>
        <v>9.5999999999999988E-2</v>
      </c>
      <c r="H551" s="197" t="s">
        <v>279</v>
      </c>
      <c r="I551" s="201">
        <v>1</v>
      </c>
      <c r="K551" s="199">
        <f>IF(I551=0,0,(VLOOKUP(H551,'RESUMEN RENDIMIENTOS'!$AB$6:$AO$64,13,FALSE)))*I551</f>
        <v>2</v>
      </c>
      <c r="L551" s="200">
        <f>IF(I551=0,0,(VLOOKUP(H551,'RESUMEN RENDIMIENTOS'!$AB$6:$AO$64,14,FALSE)))*I551</f>
        <v>9.5999999999999988E-2</v>
      </c>
      <c r="N551" s="197" t="s">
        <v>279</v>
      </c>
      <c r="O551" s="201"/>
      <c r="Q551" s="199">
        <f>IF(O551=0,0,(VLOOKUP(N551,'RESUMEN RENDIMIENTOS'!$AB$6:$AO$64,13,FALSE)))*O551</f>
        <v>0</v>
      </c>
      <c r="R551" s="200">
        <f>IF(O551=0,0,(VLOOKUP(N551,'RESUMEN RENDIMIENTOS'!$AB$6:$AO$64,14,FALSE)))*O551</f>
        <v>0</v>
      </c>
    </row>
    <row r="552" spans="2:19">
      <c r="B552" s="197" t="s">
        <v>284</v>
      </c>
      <c r="C552" s="201">
        <v>0.25</v>
      </c>
      <c r="E552" s="199">
        <f>IF(C552=0,0,(VLOOKUP(B552,'RESUMEN RENDIMIENTOS'!$AB$6:$AO$64,13,FALSE)))*C552</f>
        <v>0.52500000000000002</v>
      </c>
      <c r="F552" s="200">
        <f>IF(C552=0,0,(VLOOKUP(B552,'RESUMEN RENDIMIENTOS'!$AB$6:$AO$64,14,FALSE)))*C552</f>
        <v>4.2000000000000003E-2</v>
      </c>
      <c r="H552" s="197" t="s">
        <v>284</v>
      </c>
      <c r="I552" s="201">
        <v>0.25</v>
      </c>
      <c r="K552" s="199">
        <f>IF(I552=0,0,(VLOOKUP(H552,'RESUMEN RENDIMIENTOS'!$AB$6:$AO$64,13,FALSE)))*I552</f>
        <v>0.52500000000000002</v>
      </c>
      <c r="L552" s="200">
        <f>IF(I552=0,0,(VLOOKUP(H552,'RESUMEN RENDIMIENTOS'!$AB$6:$AO$64,14,FALSE)))*I552</f>
        <v>4.2000000000000003E-2</v>
      </c>
      <c r="N552" s="197" t="s">
        <v>284</v>
      </c>
      <c r="O552" s="201">
        <v>1</v>
      </c>
      <c r="Q552" s="199">
        <f>IF(O552=0,0,(VLOOKUP(N552,'RESUMEN RENDIMIENTOS'!$AB$6:$AO$64,13,FALSE)))*O552</f>
        <v>2.1</v>
      </c>
      <c r="R552" s="200">
        <f>IF(O552=0,0,(VLOOKUP(N552,'RESUMEN RENDIMIENTOS'!$AB$6:$AO$64,14,FALSE)))*O552</f>
        <v>0.16800000000000001</v>
      </c>
    </row>
    <row r="553" spans="2:19">
      <c r="B553" s="197" t="s">
        <v>283</v>
      </c>
      <c r="C553" s="201">
        <v>1</v>
      </c>
      <c r="E553" s="199">
        <f>IF(C553=0,0,(VLOOKUP(B553,'RESUMEN RENDIMIENTOS'!$AB$6:$AO$64,13,FALSE)))*C553</f>
        <v>1.59</v>
      </c>
      <c r="F553" s="200">
        <f>IF(C553=0,0,(VLOOKUP(B553,'RESUMEN RENDIMIENTOS'!$AB$6:$AO$64,14,FALSE)))*C553</f>
        <v>0.12720000000000001</v>
      </c>
      <c r="H553" s="197" t="s">
        <v>283</v>
      </c>
      <c r="I553" s="201">
        <v>1</v>
      </c>
      <c r="K553" s="199">
        <f>IF(I553=0,0,(VLOOKUP(H553,'RESUMEN RENDIMIENTOS'!$AB$6:$AO$64,13,FALSE)))*I553</f>
        <v>1.59</v>
      </c>
      <c r="L553" s="200">
        <f>IF(I553=0,0,(VLOOKUP(H553,'RESUMEN RENDIMIENTOS'!$AB$6:$AO$64,14,FALSE)))*I553</f>
        <v>0.12720000000000001</v>
      </c>
      <c r="N553" s="197" t="s">
        <v>283</v>
      </c>
      <c r="O553" s="201">
        <v>1</v>
      </c>
      <c r="Q553" s="199">
        <f>IF(O553=0,0,(VLOOKUP(N553,'RESUMEN RENDIMIENTOS'!$AB$6:$AO$64,13,FALSE)))*O553</f>
        <v>1.59</v>
      </c>
      <c r="R553" s="200">
        <f>IF(O553=0,0,(VLOOKUP(N553,'RESUMEN RENDIMIENTOS'!$AB$6:$AO$64,14,FALSE)))*O553</f>
        <v>0.12720000000000001</v>
      </c>
    </row>
    <row r="554" spans="2:19">
      <c r="B554" s="197" t="s">
        <v>282</v>
      </c>
      <c r="C554" s="201">
        <v>1</v>
      </c>
      <c r="E554" s="199">
        <f>IF(C554=0,0,(VLOOKUP(B554,'RESUMEN RENDIMIENTOS'!$AB$6:$AO$64,13,FALSE)))*C554</f>
        <v>2.62</v>
      </c>
      <c r="F554" s="200">
        <f>IF(C554=0,0,(VLOOKUP(B554,'RESUMEN RENDIMIENTOS'!$AB$6:$AO$64,14,FALSE)))*C554</f>
        <v>6.986666666666666E-2</v>
      </c>
      <c r="H554" s="197" t="s">
        <v>282</v>
      </c>
      <c r="I554" s="201">
        <v>1</v>
      </c>
      <c r="K554" s="199">
        <f>IF(I554=0,0,(VLOOKUP(H554,'RESUMEN RENDIMIENTOS'!$AB$6:$AO$64,13,FALSE)))*I554</f>
        <v>2.62</v>
      </c>
      <c r="L554" s="200">
        <f>IF(I554=0,0,(VLOOKUP(H554,'RESUMEN RENDIMIENTOS'!$AB$6:$AO$64,14,FALSE)))*I554</f>
        <v>6.986666666666666E-2</v>
      </c>
      <c r="N554" s="197" t="s">
        <v>282</v>
      </c>
      <c r="O554" s="201"/>
      <c r="Q554" s="199">
        <f>IF(O554=0,0,(VLOOKUP(N554,'RESUMEN RENDIMIENTOS'!$AB$6:$AO$64,13,FALSE)))*O554</f>
        <v>0</v>
      </c>
      <c r="R554" s="200">
        <f>IF(O554=0,0,(VLOOKUP(N554,'RESUMEN RENDIMIENTOS'!$AB$6:$AO$64,14,FALSE)))*O554</f>
        <v>0</v>
      </c>
    </row>
    <row r="555" spans="2:19">
      <c r="B555" s="197" t="s">
        <v>302</v>
      </c>
      <c r="C555" s="201">
        <v>1</v>
      </c>
      <c r="E555" s="199">
        <f>IF(C555=0,0,(VLOOKUP(B555,'RESUMEN RENDIMIENTOS'!$AB$6:$AO$64,13,FALSE)))*C555</f>
        <v>1</v>
      </c>
      <c r="F555" s="200">
        <f>IF(C555=0,0,(VLOOKUP(B555,'RESUMEN RENDIMIENTOS'!$AB$6:$AO$64,14,FALSE)))*C555</f>
        <v>0.2</v>
      </c>
      <c r="H555" s="197" t="s">
        <v>302</v>
      </c>
      <c r="I555" s="201">
        <v>1</v>
      </c>
      <c r="K555" s="199">
        <f>IF(I555=0,0,(VLOOKUP(H555,'RESUMEN RENDIMIENTOS'!$AB$6:$AO$64,13,FALSE)))*I555</f>
        <v>1</v>
      </c>
      <c r="L555" s="200">
        <f>IF(I555=0,0,(VLOOKUP(H555,'RESUMEN RENDIMIENTOS'!$AB$6:$AO$64,14,FALSE)))*I555</f>
        <v>0.2</v>
      </c>
      <c r="N555" s="197" t="s">
        <v>302</v>
      </c>
      <c r="O555" s="201">
        <v>1</v>
      </c>
      <c r="Q555" s="199">
        <f>IF(O555=0,0,(VLOOKUP(N555,'RESUMEN RENDIMIENTOS'!$AB$6:$AO$64,13,FALSE)))*O555</f>
        <v>1</v>
      </c>
      <c r="R555" s="200">
        <f>IF(O555=0,0,(VLOOKUP(N555,'RESUMEN RENDIMIENTOS'!$AB$6:$AO$64,14,FALSE)))*O555</f>
        <v>0.2</v>
      </c>
    </row>
    <row r="556" spans="2:19">
      <c r="B556" s="202"/>
      <c r="F556" s="206">
        <f>SUM(F550:F555)</f>
        <v>0.54535238095238103</v>
      </c>
      <c r="G556" s="205">
        <f>+F556</f>
        <v>0.54535238095238103</v>
      </c>
      <c r="H556" s="202"/>
      <c r="I556" s="179"/>
      <c r="K556" s="88"/>
      <c r="L556" s="204">
        <f>SUM(L550:L555)</f>
        <v>0.54535238095238103</v>
      </c>
      <c r="M556" s="205">
        <f>+L556</f>
        <v>0.54535238095238103</v>
      </c>
      <c r="N556" s="202"/>
      <c r="O556" s="179"/>
      <c r="R556" s="206">
        <f>SUM(R550:R555)</f>
        <v>0.50548571428571432</v>
      </c>
      <c r="S556" s="205">
        <f>+R556</f>
        <v>0.50548571428571432</v>
      </c>
    </row>
    <row r="557" spans="2:19">
      <c r="B557" s="436" t="s">
        <v>324</v>
      </c>
      <c r="C557" s="437"/>
      <c r="D557" s="437"/>
      <c r="E557" s="437"/>
      <c r="F557" s="455"/>
      <c r="G557" s="205"/>
      <c r="H557" s="436" t="s">
        <v>324</v>
      </c>
      <c r="I557" s="437"/>
      <c r="J557" s="437"/>
      <c r="K557" s="437"/>
      <c r="L557" s="437"/>
      <c r="M557" s="205"/>
      <c r="N557" s="436" t="s">
        <v>324</v>
      </c>
      <c r="O557" s="437"/>
      <c r="P557" s="437"/>
      <c r="Q557" s="437"/>
      <c r="R557" s="455"/>
      <c r="S557" s="205"/>
    </row>
    <row r="558" spans="2:19">
      <c r="B558" s="210" t="s">
        <v>325</v>
      </c>
      <c r="C558" s="211">
        <v>1</v>
      </c>
      <c r="D558" s="212">
        <v>21.712335174960327</v>
      </c>
      <c r="E558" s="213">
        <f>F544</f>
        <v>0.72937797676695515</v>
      </c>
      <c r="F558" s="214">
        <f>+IF(C558&gt;="",0,(D558*E558))</f>
        <v>15.836499100798557</v>
      </c>
      <c r="G558" s="215"/>
      <c r="H558" s="210" t="s">
        <v>325</v>
      </c>
      <c r="I558" s="211">
        <v>1</v>
      </c>
      <c r="J558" s="212">
        <v>21.712335174960327</v>
      </c>
      <c r="K558" s="213">
        <f>L544</f>
        <v>1.2715017903733692</v>
      </c>
      <c r="L558" s="216">
        <f>+IF(I558&gt;="",0,(J558*K558))</f>
        <v>27.607273048148734</v>
      </c>
      <c r="M558" s="215"/>
      <c r="N558" s="210" t="s">
        <v>325</v>
      </c>
      <c r="O558" s="211">
        <v>1</v>
      </c>
      <c r="P558" s="212">
        <v>21.712335174960327</v>
      </c>
      <c r="Q558" s="213">
        <f>R544</f>
        <v>1.9359928025191184</v>
      </c>
      <c r="R558" s="214">
        <f>+IF(O558&gt;="",0,(P558*Q558))</f>
        <v>42.034924624605878</v>
      </c>
      <c r="S558" s="215"/>
    </row>
    <row r="559" spans="2:19">
      <c r="B559" s="210" t="s">
        <v>326</v>
      </c>
      <c r="C559" s="211"/>
      <c r="D559" s="212">
        <f>+D558*25%</f>
        <v>5.4280837937400817</v>
      </c>
      <c r="E559" s="213">
        <f>F544</f>
        <v>0.72937797676695515</v>
      </c>
      <c r="F559" s="214">
        <f>+IF(C559= "",0,(D559*E559))</f>
        <v>0</v>
      </c>
      <c r="G559" s="215"/>
      <c r="H559" s="210" t="s">
        <v>326</v>
      </c>
      <c r="I559" s="211"/>
      <c r="J559" s="212">
        <f>+J558*25%</f>
        <v>5.4280837937400817</v>
      </c>
      <c r="K559" s="213">
        <f>L544</f>
        <v>1.2715017903733692</v>
      </c>
      <c r="L559" s="216">
        <f>+IF(I559= "",0,(J559*K559))</f>
        <v>0</v>
      </c>
      <c r="M559" s="215"/>
      <c r="N559" s="210" t="s">
        <v>326</v>
      </c>
      <c r="O559" s="211"/>
      <c r="P559" s="212">
        <f>+P558*25%</f>
        <v>5.4280837937400817</v>
      </c>
      <c r="Q559" s="213">
        <f>R544</f>
        <v>1.9359928025191184</v>
      </c>
      <c r="R559" s="214">
        <f>+IF(O559= "",0,(P559*Q559))</f>
        <v>0</v>
      </c>
      <c r="S559" s="215"/>
    </row>
    <row r="560" spans="2:19">
      <c r="B560" s="210" t="s">
        <v>327</v>
      </c>
      <c r="C560" s="211"/>
      <c r="D560" s="212">
        <f>+D558*50%</f>
        <v>10.856167587480163</v>
      </c>
      <c r="E560" s="213">
        <f>F544</f>
        <v>0.72937797676695515</v>
      </c>
      <c r="F560" s="214">
        <f>+IF(C560= "",0,(D560*E560))</f>
        <v>0</v>
      </c>
      <c r="G560" s="215"/>
      <c r="H560" s="210" t="s">
        <v>327</v>
      </c>
      <c r="I560" s="211"/>
      <c r="J560" s="212">
        <f>+J558*50%</f>
        <v>10.856167587480163</v>
      </c>
      <c r="K560" s="213">
        <f>L544</f>
        <v>1.2715017903733692</v>
      </c>
      <c r="L560" s="216">
        <f>+IF(I560= "",0,(J560*K560))</f>
        <v>0</v>
      </c>
      <c r="M560" s="215"/>
      <c r="N560" s="210" t="s">
        <v>327</v>
      </c>
      <c r="O560" s="211"/>
      <c r="P560" s="212">
        <f>+P558*50%</f>
        <v>10.856167587480163</v>
      </c>
      <c r="Q560" s="213">
        <f>R544</f>
        <v>1.9359928025191184</v>
      </c>
      <c r="R560" s="214">
        <f>+IF(O560= "",0,(P560*Q560))</f>
        <v>0</v>
      </c>
      <c r="S560" s="215"/>
    </row>
    <row r="561" spans="2:19">
      <c r="B561" s="202"/>
      <c r="F561" s="217">
        <f>SUM(F558:F560)</f>
        <v>15.836499100798557</v>
      </c>
      <c r="G561" s="218"/>
      <c r="H561" s="202"/>
      <c r="I561" s="179"/>
      <c r="K561" s="88"/>
      <c r="L561" s="219">
        <f>SUM(L558:L560)</f>
        <v>27.607273048148734</v>
      </c>
      <c r="M561" s="218"/>
      <c r="N561" s="202"/>
      <c r="O561" s="179"/>
      <c r="R561" s="217">
        <f>SUM(R558:R560)</f>
        <v>42.034924624605878</v>
      </c>
      <c r="S561" s="218"/>
    </row>
    <row r="562" spans="2:19">
      <c r="B562" s="202"/>
      <c r="F562" s="189"/>
      <c r="G562" s="220"/>
      <c r="H562" s="202"/>
      <c r="I562" s="179"/>
      <c r="K562" s="88"/>
      <c r="M562" s="220"/>
      <c r="N562" s="202"/>
      <c r="O562" s="179"/>
      <c r="R562" s="189"/>
      <c r="S562" s="220"/>
    </row>
    <row r="563" spans="2:19" ht="21">
      <c r="B563" s="438" t="s">
        <v>328</v>
      </c>
      <c r="C563" s="439"/>
      <c r="D563" s="439"/>
      <c r="E563" s="440"/>
      <c r="F563" s="225">
        <f>+F556+F561</f>
        <v>16.381851481750939</v>
      </c>
      <c r="G563" s="205">
        <f>+F563</f>
        <v>16.381851481750939</v>
      </c>
      <c r="H563" s="438" t="s">
        <v>328</v>
      </c>
      <c r="I563" s="439"/>
      <c r="J563" s="439"/>
      <c r="K563" s="440"/>
      <c r="L563" s="221">
        <f>+L556+L561</f>
        <v>28.152625429101114</v>
      </c>
      <c r="M563" s="205">
        <f>+L563</f>
        <v>28.152625429101114</v>
      </c>
      <c r="N563" s="438" t="s">
        <v>328</v>
      </c>
      <c r="O563" s="439"/>
      <c r="P563" s="439"/>
      <c r="Q563" s="440"/>
      <c r="R563" s="225">
        <f>+R556+R561</f>
        <v>42.54041033889159</v>
      </c>
      <c r="S563" s="205">
        <f>+R563</f>
        <v>42.54041033889159</v>
      </c>
    </row>
    <row r="564" spans="2:19">
      <c r="B564" s="202"/>
      <c r="F564" s="189"/>
      <c r="G564" s="205"/>
      <c r="H564" s="202"/>
      <c r="I564" s="179"/>
      <c r="K564" s="88"/>
      <c r="M564" s="205"/>
      <c r="N564" s="202"/>
      <c r="O564" s="179"/>
      <c r="R564" s="189"/>
      <c r="S564" s="205"/>
    </row>
    <row r="565" spans="2:19" ht="19">
      <c r="B565" s="441" t="s">
        <v>329</v>
      </c>
      <c r="C565" s="442"/>
      <c r="D565" s="442"/>
      <c r="E565" s="443"/>
      <c r="F565" s="230">
        <f>+F563/$C$37</f>
        <v>0.16381851481750939</v>
      </c>
      <c r="G565" s="205"/>
      <c r="H565" s="441" t="s">
        <v>329</v>
      </c>
      <c r="I565" s="442"/>
      <c r="J565" s="442"/>
      <c r="K565" s="443"/>
      <c r="L565" s="226">
        <f>+L563/$C$37</f>
        <v>0.28152625429101114</v>
      </c>
      <c r="M565" s="205"/>
      <c r="N565" s="441" t="s">
        <v>329</v>
      </c>
      <c r="O565" s="442"/>
      <c r="P565" s="442"/>
      <c r="Q565" s="443"/>
      <c r="R565" s="230">
        <f>+R563/$C$37</f>
        <v>0.42540410338891588</v>
      </c>
      <c r="S565" s="205"/>
    </row>
    <row r="566" spans="2:19" ht="17" thickBot="1">
      <c r="B566" s="231"/>
      <c r="C566" s="232"/>
      <c r="D566" s="233"/>
      <c r="E566" s="233"/>
      <c r="F566" s="234"/>
      <c r="G566" s="205"/>
      <c r="H566" s="231"/>
      <c r="I566" s="232"/>
      <c r="J566" s="233"/>
      <c r="K566" s="233"/>
      <c r="L566" s="233"/>
      <c r="M566" s="205"/>
      <c r="N566" s="231"/>
      <c r="O566" s="232"/>
      <c r="P566" s="233"/>
      <c r="Q566" s="233"/>
      <c r="R566" s="234"/>
      <c r="S566" s="205"/>
    </row>
    <row r="567" spans="2:19" ht="23.25" customHeight="1" thickBot="1">
      <c r="B567" s="415" t="s">
        <v>312</v>
      </c>
      <c r="C567" s="416"/>
      <c r="D567" s="416"/>
      <c r="E567" s="416"/>
      <c r="F567" s="416"/>
      <c r="G567" s="416"/>
      <c r="H567" s="416"/>
      <c r="I567" s="416"/>
      <c r="J567" s="416"/>
      <c r="K567" s="416"/>
      <c r="L567" s="416"/>
      <c r="M567" s="416"/>
      <c r="N567" s="416"/>
      <c r="O567" s="416"/>
      <c r="P567" s="416"/>
      <c r="Q567" s="416"/>
      <c r="R567" s="417"/>
    </row>
    <row r="568" spans="2:19" ht="25">
      <c r="B568" s="237" t="s">
        <v>16</v>
      </c>
      <c r="C568" s="459" t="s">
        <v>123</v>
      </c>
      <c r="D568" s="460"/>
      <c r="E568" s="461"/>
      <c r="F568" s="255"/>
      <c r="G568" s="258"/>
      <c r="H568" s="239" t="s">
        <v>16</v>
      </c>
      <c r="I568" s="459" t="s">
        <v>134</v>
      </c>
      <c r="J568" s="460"/>
      <c r="K568" s="461"/>
      <c r="L568" s="255"/>
      <c r="M568" s="258"/>
      <c r="N568" s="237" t="s">
        <v>16</v>
      </c>
      <c r="O568" s="459" t="s">
        <v>136</v>
      </c>
      <c r="P568" s="460"/>
      <c r="Q568" s="461"/>
      <c r="R568" s="240"/>
    </row>
    <row r="569" spans="2:19" ht="33" thickBot="1">
      <c r="B569" s="241" t="s">
        <v>313</v>
      </c>
      <c r="C569" s="242" t="s">
        <v>6</v>
      </c>
      <c r="D569" s="243" t="s">
        <v>25</v>
      </c>
      <c r="E569" s="244" t="s">
        <v>314</v>
      </c>
      <c r="F569" s="245" t="s">
        <v>315</v>
      </c>
      <c r="H569" s="241" t="s">
        <v>313</v>
      </c>
      <c r="I569" s="242" t="s">
        <v>6</v>
      </c>
      <c r="J569" s="243" t="s">
        <v>25</v>
      </c>
      <c r="K569" s="244" t="s">
        <v>314</v>
      </c>
      <c r="L569" s="245" t="s">
        <v>315</v>
      </c>
      <c r="N569" s="241" t="s">
        <v>313</v>
      </c>
      <c r="O569" s="242" t="s">
        <v>6</v>
      </c>
      <c r="P569" s="243" t="s">
        <v>25</v>
      </c>
      <c r="Q569" s="244" t="s">
        <v>314</v>
      </c>
      <c r="R569" s="245" t="s">
        <v>315</v>
      </c>
    </row>
    <row r="570" spans="2:19">
      <c r="B570" s="170" t="s">
        <v>180</v>
      </c>
      <c r="C570" s="171">
        <f>VLOOKUP(B570,'RESUMEN RENDIMIENTOS'!$V$6:$W$158,2,FALSE)</f>
        <v>1800</v>
      </c>
      <c r="D570" s="177" t="s">
        <v>20</v>
      </c>
      <c r="E570" s="172">
        <v>247</v>
      </c>
      <c r="F570" s="175">
        <f t="shared" ref="F570:F585" si="63">IF(C570=0,0,(100/C570)*E570/$E$37)</f>
        <v>5.5555555555555552E-2</v>
      </c>
      <c r="G570" s="164">
        <f>+F570/F586</f>
        <v>0.52353682584982009</v>
      </c>
      <c r="H570" s="170" t="s">
        <v>182</v>
      </c>
      <c r="I570" s="171">
        <f>VLOOKUP(H570,'RESUMEN RENDIMIENTOS'!$V$6:$W$158,2,FALSE)</f>
        <v>1400</v>
      </c>
      <c r="J570" s="177" t="s">
        <v>20</v>
      </c>
      <c r="K570" s="172">
        <v>247</v>
      </c>
      <c r="L570" s="175">
        <f t="shared" ref="L570:L585" si="64">IF(I570=0,0,(100/I570)*K570/$E$37)</f>
        <v>7.1428571428571425E-2</v>
      </c>
      <c r="M570" s="164">
        <f>+L570/L586</f>
        <v>0.18310705238912692</v>
      </c>
      <c r="N570" s="170" t="s">
        <v>182</v>
      </c>
      <c r="O570" s="171">
        <f>VLOOKUP(N570,'RESUMEN RENDIMIENTOS'!$V$6:$W$158,2,FALSE)</f>
        <v>1400</v>
      </c>
      <c r="P570" s="177" t="s">
        <v>20</v>
      </c>
      <c r="Q570" s="172">
        <v>247</v>
      </c>
      <c r="R570" s="175">
        <f t="shared" ref="R570:R585" si="65">IF(O570=0,0,(100/O570)*Q570/$E$37)</f>
        <v>7.1428571428571425E-2</v>
      </c>
      <c r="S570" s="164">
        <f>+R570/R586</f>
        <v>0.25603404757580212</v>
      </c>
    </row>
    <row r="571" spans="2:19">
      <c r="B571" s="170" t="s">
        <v>207</v>
      </c>
      <c r="C571" s="171">
        <f>VLOOKUP(B571,'RESUMEN RENDIMIENTOS'!$V$6:$W$158,2,FALSE)</f>
        <v>3500</v>
      </c>
      <c r="D571" s="177" t="s">
        <v>20</v>
      </c>
      <c r="E571" s="172">
        <v>247</v>
      </c>
      <c r="F571" s="175">
        <f t="shared" si="63"/>
        <v>2.8571428571428571E-2</v>
      </c>
      <c r="G571" s="174">
        <f>+F571/F586</f>
        <v>0.26924751043705031</v>
      </c>
      <c r="H571" s="170" t="s">
        <v>206</v>
      </c>
      <c r="I571" s="171">
        <f>VLOOKUP(H571,'RESUMEN RENDIMIENTOS'!$V$6:$W$158,2,FALSE)</f>
        <v>600</v>
      </c>
      <c r="J571" s="177" t="s">
        <v>20</v>
      </c>
      <c r="K571" s="172">
        <v>247</v>
      </c>
      <c r="L571" s="175">
        <f t="shared" si="64"/>
        <v>0.16666666666666666</v>
      </c>
      <c r="M571" s="174">
        <f>+L571/L586</f>
        <v>0.42724978890796284</v>
      </c>
      <c r="N571" s="170" t="s">
        <v>204</v>
      </c>
      <c r="O571" s="171">
        <f>VLOOKUP(N571,'RESUMEN RENDIMIENTOS'!$V$6:$W$158,2,FALSE)</f>
        <v>1800</v>
      </c>
      <c r="P571" s="177" t="s">
        <v>20</v>
      </c>
      <c r="Q571" s="172">
        <v>247</v>
      </c>
      <c r="R571" s="175">
        <f t="shared" si="65"/>
        <v>5.5555555555555552E-2</v>
      </c>
      <c r="S571" s="174">
        <f>+R571/R586</f>
        <v>0.19913759255895719</v>
      </c>
    </row>
    <row r="572" spans="2:19">
      <c r="B572" s="170" t="s">
        <v>190</v>
      </c>
      <c r="C572" s="171">
        <f>VLOOKUP(B572,'RESUMEN RENDIMIENTOS'!$V$6:$W$158,2,FALSE)</f>
        <v>960</v>
      </c>
      <c r="D572" s="177" t="s">
        <v>56</v>
      </c>
      <c r="E572" s="172">
        <v>52.14</v>
      </c>
      <c r="F572" s="175">
        <f t="shared" si="63"/>
        <v>2.1988866396761134E-2</v>
      </c>
      <c r="G572" s="174">
        <f>+F572/F586</f>
        <v>0.20721566371312969</v>
      </c>
      <c r="H572" s="170" t="s">
        <v>190</v>
      </c>
      <c r="I572" s="171">
        <f>VLOOKUP(H572,'RESUMEN RENDIMIENTOS'!$V$6:$W$158,2,FALSE)</f>
        <v>960</v>
      </c>
      <c r="J572" s="177" t="s">
        <v>20</v>
      </c>
      <c r="K572" s="172">
        <v>247</v>
      </c>
      <c r="L572" s="175">
        <f t="shared" si="64"/>
        <v>0.10416666666666667</v>
      </c>
      <c r="M572" s="174">
        <f>+L572/L586</f>
        <v>0.26703111806747681</v>
      </c>
      <c r="N572" s="170" t="s">
        <v>190</v>
      </c>
      <c r="O572" s="171">
        <f>VLOOKUP(N572,'RESUMEN RENDIMIENTOS'!$V$6:$W$158,2,FALSE)</f>
        <v>960</v>
      </c>
      <c r="P572" s="177" t="s">
        <v>20</v>
      </c>
      <c r="Q572" s="172">
        <v>247</v>
      </c>
      <c r="R572" s="175">
        <f t="shared" si="65"/>
        <v>0.10416666666666667</v>
      </c>
      <c r="S572" s="174">
        <f>+R572/R586</f>
        <v>0.37338298604804476</v>
      </c>
    </row>
    <row r="573" spans="2:19">
      <c r="B573" s="170">
        <v>0</v>
      </c>
      <c r="C573" s="171">
        <f>VLOOKUP(B573,'RESUMEN RENDIMIENTOS'!$V$6:$W$158,2,FALSE)</f>
        <v>0</v>
      </c>
      <c r="D573" s="177"/>
      <c r="E573" s="172" t="s">
        <v>337</v>
      </c>
      <c r="F573" s="175">
        <f t="shared" si="63"/>
        <v>0</v>
      </c>
      <c r="G573" s="174">
        <f>+F573/F586</f>
        <v>0</v>
      </c>
      <c r="H573" s="170" t="s">
        <v>210</v>
      </c>
      <c r="I573" s="171">
        <f>VLOOKUP(H573,'RESUMEN RENDIMIENTOS'!$V$6:$W$158,2,FALSE)</f>
        <v>80</v>
      </c>
      <c r="J573" s="177" t="s">
        <v>62</v>
      </c>
      <c r="K573" s="172">
        <v>4</v>
      </c>
      <c r="L573" s="175">
        <f t="shared" si="64"/>
        <v>2.0242914979757085E-2</v>
      </c>
      <c r="M573" s="174">
        <f>+L573/L586</f>
        <v>5.1892686911898321E-2</v>
      </c>
      <c r="N573" s="170" t="s">
        <v>210</v>
      </c>
      <c r="O573" s="171">
        <f>VLOOKUP(N573,'RESUMEN RENDIMIENTOS'!$V$6:$W$158,2,FALSE)</f>
        <v>80</v>
      </c>
      <c r="P573" s="177" t="s">
        <v>62</v>
      </c>
      <c r="Q573" s="172">
        <v>4</v>
      </c>
      <c r="R573" s="175">
        <f t="shared" si="65"/>
        <v>2.0242914979757085E-2</v>
      </c>
      <c r="S573" s="174">
        <f>+R573/R586</f>
        <v>7.2560256398000594E-2</v>
      </c>
    </row>
    <row r="574" spans="2:19">
      <c r="B574" s="170">
        <v>0</v>
      </c>
      <c r="C574" s="171">
        <f>VLOOKUP(B574,'RESUMEN RENDIMIENTOS'!$V$6:$W$158,2,FALSE)</f>
        <v>0</v>
      </c>
      <c r="D574" s="177"/>
      <c r="E574" s="172" t="s">
        <v>337</v>
      </c>
      <c r="F574" s="175">
        <f t="shared" si="63"/>
        <v>0</v>
      </c>
      <c r="G574" s="174">
        <f>+F574/F586</f>
        <v>0</v>
      </c>
      <c r="H574" s="170" t="s">
        <v>240</v>
      </c>
      <c r="I574" s="171">
        <f>VLOOKUP(H574,'RESUMEN RENDIMIENTOS'!$V$6:$W$158,2,FALSE)</f>
        <v>1000</v>
      </c>
      <c r="J574" s="177" t="s">
        <v>56</v>
      </c>
      <c r="K574" s="172">
        <v>52.14</v>
      </c>
      <c r="L574" s="173">
        <f t="shared" si="64"/>
        <v>2.1109311740890691E-2</v>
      </c>
      <c r="M574" s="174">
        <f>+L574/L586</f>
        <v>5.411369391172758E-2</v>
      </c>
      <c r="N574" s="170" t="s">
        <v>240</v>
      </c>
      <c r="O574" s="171">
        <f>VLOOKUP(N574,'RESUMEN RENDIMIENTOS'!$V$6:$W$158,2,FALSE)</f>
        <v>1000</v>
      </c>
      <c r="P574" s="177" t="s">
        <v>56</v>
      </c>
      <c r="Q574" s="172">
        <v>52.14</v>
      </c>
      <c r="R574" s="175">
        <f t="shared" si="65"/>
        <v>2.1109311740890691E-2</v>
      </c>
      <c r="S574" s="174">
        <f>+R574/R586</f>
        <v>7.5665835371835036E-2</v>
      </c>
    </row>
    <row r="575" spans="2:19">
      <c r="B575" s="170">
        <v>0</v>
      </c>
      <c r="C575" s="171">
        <f>VLOOKUP(B575,'RESUMEN RENDIMIENTOS'!$V$6:$W$158,2,FALSE)</f>
        <v>0</v>
      </c>
      <c r="D575" s="177"/>
      <c r="E575" s="172" t="s">
        <v>337</v>
      </c>
      <c r="F575" s="175">
        <f t="shared" si="63"/>
        <v>0</v>
      </c>
      <c r="G575" s="174">
        <f>+F575/F586</f>
        <v>0</v>
      </c>
      <c r="H575" s="170" t="s">
        <v>237</v>
      </c>
      <c r="I575" s="171">
        <f>VLOOKUP(H575,'RESUMEN RENDIMIENTOS'!$V$6:$W$158,2,FALSE)</f>
        <v>250</v>
      </c>
      <c r="J575" s="177" t="s">
        <v>62</v>
      </c>
      <c r="K575" s="172">
        <v>4</v>
      </c>
      <c r="L575" s="173">
        <f t="shared" si="64"/>
        <v>6.4777327935222678E-3</v>
      </c>
      <c r="M575" s="174">
        <f>+L575/L586</f>
        <v>1.6605659811807463E-2</v>
      </c>
      <c r="N575" s="170" t="s">
        <v>237</v>
      </c>
      <c r="O575" s="171">
        <f>VLOOKUP(N575,'RESUMEN RENDIMIENTOS'!$V$6:$W$158,2,FALSE)</f>
        <v>250</v>
      </c>
      <c r="P575" s="177" t="s">
        <v>62</v>
      </c>
      <c r="Q575" s="172">
        <v>4</v>
      </c>
      <c r="R575" s="175">
        <f t="shared" si="65"/>
        <v>6.4777327935222678E-3</v>
      </c>
      <c r="S575" s="174">
        <f>+R575/R586</f>
        <v>2.3219282047360193E-2</v>
      </c>
    </row>
    <row r="576" spans="2:19">
      <c r="B576" s="170">
        <v>0</v>
      </c>
      <c r="C576" s="171">
        <f>VLOOKUP(B576,'RESUMEN RENDIMIENTOS'!$V$6:$W$158,2,FALSE)</f>
        <v>0</v>
      </c>
      <c r="D576" s="177"/>
      <c r="E576" s="172" t="s">
        <v>337</v>
      </c>
      <c r="F576" s="175">
        <f t="shared" si="63"/>
        <v>0</v>
      </c>
      <c r="G576" s="174">
        <f>+F576/F586</f>
        <v>0</v>
      </c>
      <c r="H576" s="170">
        <v>0</v>
      </c>
      <c r="I576" s="171">
        <f>VLOOKUP(H576,'RESUMEN RENDIMIENTOS'!$V$6:$W$158,2,FALSE)</f>
        <v>0</v>
      </c>
      <c r="J576" s="177"/>
      <c r="K576" s="172" t="s">
        <v>337</v>
      </c>
      <c r="L576" s="173">
        <f t="shared" si="64"/>
        <v>0</v>
      </c>
      <c r="M576" s="174">
        <f>+L576/L586</f>
        <v>0</v>
      </c>
      <c r="N576" s="170">
        <v>0</v>
      </c>
      <c r="O576" s="171">
        <f>VLOOKUP(N576,'RESUMEN RENDIMIENTOS'!$V$6:$W$158,2,FALSE)</f>
        <v>0</v>
      </c>
      <c r="P576" s="177"/>
      <c r="Q576" s="172" t="s">
        <v>337</v>
      </c>
      <c r="R576" s="175">
        <f t="shared" si="65"/>
        <v>0</v>
      </c>
      <c r="S576" s="174">
        <f>+R576/R586</f>
        <v>0</v>
      </c>
    </row>
    <row r="577" spans="2:19">
      <c r="B577" s="170">
        <v>0</v>
      </c>
      <c r="C577" s="171">
        <f>VLOOKUP(B577,'RESUMEN RENDIMIENTOS'!$V$6:$W$158,2,FALSE)</f>
        <v>0</v>
      </c>
      <c r="D577" s="177"/>
      <c r="E577" s="172" t="s">
        <v>337</v>
      </c>
      <c r="F577" s="175">
        <f t="shared" si="63"/>
        <v>0</v>
      </c>
      <c r="G577" s="174">
        <f>+F577/F586</f>
        <v>0</v>
      </c>
      <c r="H577" s="170">
        <v>0</v>
      </c>
      <c r="I577" s="171">
        <f>VLOOKUP(H577,'RESUMEN RENDIMIENTOS'!$V$6:$W$158,2,FALSE)</f>
        <v>0</v>
      </c>
      <c r="J577" s="177"/>
      <c r="K577" s="172" t="s">
        <v>337</v>
      </c>
      <c r="L577" s="173">
        <f t="shared" si="64"/>
        <v>0</v>
      </c>
      <c r="M577" s="174">
        <f>+L577/L586</f>
        <v>0</v>
      </c>
      <c r="N577" s="170">
        <v>0</v>
      </c>
      <c r="O577" s="171">
        <f>VLOOKUP(N577,'RESUMEN RENDIMIENTOS'!$V$6:$W$158,2,FALSE)</f>
        <v>0</v>
      </c>
      <c r="P577" s="177"/>
      <c r="Q577" s="172" t="s">
        <v>337</v>
      </c>
      <c r="R577" s="175">
        <f t="shared" si="65"/>
        <v>0</v>
      </c>
      <c r="S577" s="174">
        <f>+R577/R586</f>
        <v>0</v>
      </c>
    </row>
    <row r="578" spans="2:19">
      <c r="B578" s="170">
        <v>0</v>
      </c>
      <c r="C578" s="171">
        <f>VLOOKUP(B578,'RESUMEN RENDIMIENTOS'!$V$6:$W$158,2,FALSE)</f>
        <v>0</v>
      </c>
      <c r="D578" s="177"/>
      <c r="E578" s="172" t="s">
        <v>337</v>
      </c>
      <c r="F578" s="175">
        <f t="shared" si="63"/>
        <v>0</v>
      </c>
      <c r="G578" s="174">
        <f>+F578/F586</f>
        <v>0</v>
      </c>
      <c r="H578" s="170">
        <v>0</v>
      </c>
      <c r="I578" s="171">
        <f>VLOOKUP(H578,'RESUMEN RENDIMIENTOS'!$V$6:$W$158,2,FALSE)</f>
        <v>0</v>
      </c>
      <c r="J578" s="177"/>
      <c r="K578" s="172" t="s">
        <v>337</v>
      </c>
      <c r="L578" s="173">
        <f t="shared" si="64"/>
        <v>0</v>
      </c>
      <c r="M578" s="174">
        <f>+L578/L586</f>
        <v>0</v>
      </c>
      <c r="N578" s="170">
        <v>0</v>
      </c>
      <c r="O578" s="171">
        <f>VLOOKUP(N578,'RESUMEN RENDIMIENTOS'!$V$6:$W$158,2,FALSE)</f>
        <v>0</v>
      </c>
      <c r="P578" s="177"/>
      <c r="Q578" s="172" t="s">
        <v>337</v>
      </c>
      <c r="R578" s="175">
        <f t="shared" si="65"/>
        <v>0</v>
      </c>
      <c r="S578" s="174">
        <f>+R578/R586</f>
        <v>0</v>
      </c>
    </row>
    <row r="579" spans="2:19">
      <c r="B579" s="170">
        <v>0</v>
      </c>
      <c r="C579" s="171">
        <f>VLOOKUP(B579,'RESUMEN RENDIMIENTOS'!$V$6:$W$158,2,FALSE)</f>
        <v>0</v>
      </c>
      <c r="D579" s="177"/>
      <c r="E579" s="172" t="s">
        <v>337</v>
      </c>
      <c r="F579" s="175">
        <f t="shared" si="63"/>
        <v>0</v>
      </c>
      <c r="G579" s="174">
        <f>+F579/F586</f>
        <v>0</v>
      </c>
      <c r="H579" s="170">
        <v>0</v>
      </c>
      <c r="I579" s="171">
        <f>VLOOKUP(H579,'RESUMEN RENDIMIENTOS'!$V$6:$W$158,2,FALSE)</f>
        <v>0</v>
      </c>
      <c r="J579" s="177"/>
      <c r="K579" s="172" t="s">
        <v>337</v>
      </c>
      <c r="L579" s="173">
        <f t="shared" si="64"/>
        <v>0</v>
      </c>
      <c r="M579" s="174">
        <f>+L579/L586</f>
        <v>0</v>
      </c>
      <c r="N579" s="170">
        <v>0</v>
      </c>
      <c r="O579" s="171">
        <f>VLOOKUP(N579,'RESUMEN RENDIMIENTOS'!$V$6:$W$158,2,FALSE)</f>
        <v>0</v>
      </c>
      <c r="P579" s="177"/>
      <c r="Q579" s="172" t="s">
        <v>337</v>
      </c>
      <c r="R579" s="175">
        <f t="shared" si="65"/>
        <v>0</v>
      </c>
      <c r="S579" s="174">
        <f>+R579/R586</f>
        <v>0</v>
      </c>
    </row>
    <row r="580" spans="2:19">
      <c r="B580" s="170">
        <v>0</v>
      </c>
      <c r="C580" s="171">
        <f>VLOOKUP(B580,'RESUMEN RENDIMIENTOS'!$V$6:$W$158,2,FALSE)</f>
        <v>0</v>
      </c>
      <c r="D580" s="177"/>
      <c r="E580" s="172" t="s">
        <v>337</v>
      </c>
      <c r="F580" s="175">
        <f t="shared" si="63"/>
        <v>0</v>
      </c>
      <c r="G580" s="174">
        <f>+F580/F586</f>
        <v>0</v>
      </c>
      <c r="H580" s="170">
        <v>0</v>
      </c>
      <c r="I580" s="171">
        <f>VLOOKUP(H580,'RESUMEN RENDIMIENTOS'!$V$6:$W$158,2,FALSE)</f>
        <v>0</v>
      </c>
      <c r="J580" s="177"/>
      <c r="K580" s="172" t="s">
        <v>337</v>
      </c>
      <c r="L580" s="173">
        <f t="shared" si="64"/>
        <v>0</v>
      </c>
      <c r="M580" s="174">
        <f>+L580/L586</f>
        <v>0</v>
      </c>
      <c r="N580" s="170">
        <v>0</v>
      </c>
      <c r="O580" s="171">
        <f>VLOOKUP(N580,'RESUMEN RENDIMIENTOS'!$V$6:$W$158,2,FALSE)</f>
        <v>0</v>
      </c>
      <c r="P580" s="177"/>
      <c r="Q580" s="172" t="s">
        <v>337</v>
      </c>
      <c r="R580" s="175">
        <f t="shared" si="65"/>
        <v>0</v>
      </c>
      <c r="S580" s="174">
        <f>+R580/R586</f>
        <v>0</v>
      </c>
    </row>
    <row r="581" spans="2:19">
      <c r="B581" s="170">
        <v>0</v>
      </c>
      <c r="C581" s="171">
        <f>VLOOKUP(B581,'RESUMEN RENDIMIENTOS'!$V$6:$W$158,2,FALSE)</f>
        <v>0</v>
      </c>
      <c r="D581" s="177"/>
      <c r="E581" s="172" t="s">
        <v>337</v>
      </c>
      <c r="F581" s="175">
        <f t="shared" si="63"/>
        <v>0</v>
      </c>
      <c r="G581" s="174">
        <f>+F581/F586</f>
        <v>0</v>
      </c>
      <c r="H581" s="170">
        <v>0</v>
      </c>
      <c r="I581" s="171">
        <f>VLOOKUP(H581,'RESUMEN RENDIMIENTOS'!$V$6:$W$158,2,FALSE)</f>
        <v>0</v>
      </c>
      <c r="J581" s="177"/>
      <c r="K581" s="172" t="s">
        <v>337</v>
      </c>
      <c r="L581" s="173">
        <f t="shared" si="64"/>
        <v>0</v>
      </c>
      <c r="M581" s="174">
        <f>+L581/L586</f>
        <v>0</v>
      </c>
      <c r="N581" s="170">
        <v>0</v>
      </c>
      <c r="O581" s="171">
        <f>VLOOKUP(N581,'RESUMEN RENDIMIENTOS'!$V$6:$W$158,2,FALSE)</f>
        <v>0</v>
      </c>
      <c r="P581" s="177"/>
      <c r="Q581" s="172" t="s">
        <v>337</v>
      </c>
      <c r="R581" s="175">
        <f t="shared" si="65"/>
        <v>0</v>
      </c>
      <c r="S581" s="174">
        <f>+R581/R586</f>
        <v>0</v>
      </c>
    </row>
    <row r="582" spans="2:19">
      <c r="B582" s="170">
        <v>0</v>
      </c>
      <c r="C582" s="171">
        <f>VLOOKUP(B582,'RESUMEN RENDIMIENTOS'!$V$6:$W$158,2,FALSE)</f>
        <v>0</v>
      </c>
      <c r="D582" s="177"/>
      <c r="E582" s="172" t="s">
        <v>337</v>
      </c>
      <c r="F582" s="175">
        <f t="shared" si="63"/>
        <v>0</v>
      </c>
      <c r="G582" s="174">
        <f>+F582/F586</f>
        <v>0</v>
      </c>
      <c r="H582" s="170">
        <v>0</v>
      </c>
      <c r="I582" s="171">
        <f>VLOOKUP(H582,'RESUMEN RENDIMIENTOS'!$V$6:$W$158,2,FALSE)</f>
        <v>0</v>
      </c>
      <c r="J582" s="177"/>
      <c r="K582" s="172" t="s">
        <v>337</v>
      </c>
      <c r="L582" s="173">
        <f t="shared" si="64"/>
        <v>0</v>
      </c>
      <c r="M582" s="174">
        <f>+L582/L586</f>
        <v>0</v>
      </c>
      <c r="N582" s="170">
        <v>0</v>
      </c>
      <c r="O582" s="171">
        <f>VLOOKUP(N582,'RESUMEN RENDIMIENTOS'!$V$6:$W$158,2,FALSE)</f>
        <v>0</v>
      </c>
      <c r="P582" s="177"/>
      <c r="Q582" s="172" t="s">
        <v>337</v>
      </c>
      <c r="R582" s="175">
        <f t="shared" si="65"/>
        <v>0</v>
      </c>
      <c r="S582" s="174">
        <f>+R582/R586</f>
        <v>0</v>
      </c>
    </row>
    <row r="583" spans="2:19">
      <c r="B583" s="170">
        <v>0</v>
      </c>
      <c r="C583" s="171">
        <f>VLOOKUP(B583,'RESUMEN RENDIMIENTOS'!$V$6:$W$158,2,FALSE)</f>
        <v>0</v>
      </c>
      <c r="D583" s="177"/>
      <c r="E583" s="172" t="s">
        <v>337</v>
      </c>
      <c r="F583" s="175">
        <f t="shared" si="63"/>
        <v>0</v>
      </c>
      <c r="G583" s="174">
        <f>+F583/F586</f>
        <v>0</v>
      </c>
      <c r="H583" s="170">
        <v>0</v>
      </c>
      <c r="I583" s="171">
        <f>VLOOKUP(H583,'RESUMEN RENDIMIENTOS'!$V$6:$W$158,2,FALSE)</f>
        <v>0</v>
      </c>
      <c r="J583" s="177"/>
      <c r="K583" s="172" t="s">
        <v>337</v>
      </c>
      <c r="L583" s="173">
        <f t="shared" si="64"/>
        <v>0</v>
      </c>
      <c r="M583" s="174">
        <f>+L583/L586</f>
        <v>0</v>
      </c>
      <c r="N583" s="170">
        <v>0</v>
      </c>
      <c r="O583" s="171">
        <f>VLOOKUP(N583,'RESUMEN RENDIMIENTOS'!$V$6:$W$158,2,FALSE)</f>
        <v>0</v>
      </c>
      <c r="P583" s="177"/>
      <c r="Q583" s="172" t="s">
        <v>337</v>
      </c>
      <c r="R583" s="175">
        <f t="shared" si="65"/>
        <v>0</v>
      </c>
      <c r="S583" s="174">
        <f>+R583/R586</f>
        <v>0</v>
      </c>
    </row>
    <row r="584" spans="2:19">
      <c r="B584" s="170">
        <v>0</v>
      </c>
      <c r="C584" s="171">
        <f>VLOOKUP(B584,'RESUMEN RENDIMIENTOS'!$V$6:$W$158,2,FALSE)</f>
        <v>0</v>
      </c>
      <c r="D584" s="177"/>
      <c r="E584" s="172" t="s">
        <v>337</v>
      </c>
      <c r="F584" s="175">
        <f t="shared" si="63"/>
        <v>0</v>
      </c>
      <c r="G584" s="174">
        <f>+F584/F586</f>
        <v>0</v>
      </c>
      <c r="H584" s="170">
        <v>0</v>
      </c>
      <c r="I584" s="171">
        <f>VLOOKUP(H584,'RESUMEN RENDIMIENTOS'!$V$6:$W$158,2,FALSE)</f>
        <v>0</v>
      </c>
      <c r="J584" s="177"/>
      <c r="K584" s="172" t="s">
        <v>337</v>
      </c>
      <c r="L584" s="173">
        <f t="shared" si="64"/>
        <v>0</v>
      </c>
      <c r="M584" s="174">
        <f>+L584/L586</f>
        <v>0</v>
      </c>
      <c r="N584" s="170">
        <v>0</v>
      </c>
      <c r="O584" s="171">
        <f>VLOOKUP(N584,'RESUMEN RENDIMIENTOS'!$V$6:$W$158,2,FALSE)</f>
        <v>0</v>
      </c>
      <c r="P584" s="177"/>
      <c r="Q584" s="172" t="s">
        <v>337</v>
      </c>
      <c r="R584" s="175">
        <f t="shared" si="65"/>
        <v>0</v>
      </c>
      <c r="S584" s="174">
        <f>+R584/R586</f>
        <v>0</v>
      </c>
    </row>
    <row r="585" spans="2:19">
      <c r="B585" s="170">
        <v>0</v>
      </c>
      <c r="C585" s="171">
        <f>VLOOKUP(B585,'RESUMEN RENDIMIENTOS'!$V$6:$W$158,2,FALSE)</f>
        <v>0</v>
      </c>
      <c r="D585" s="177"/>
      <c r="E585" s="172" t="s">
        <v>337</v>
      </c>
      <c r="F585" s="175">
        <f t="shared" si="63"/>
        <v>0</v>
      </c>
      <c r="G585" s="174">
        <f>+F585/F586</f>
        <v>0</v>
      </c>
      <c r="H585" s="170">
        <v>0</v>
      </c>
      <c r="I585" s="171">
        <f>VLOOKUP(H585,'RESUMEN RENDIMIENTOS'!$V$6:$W$158,2,FALSE)</f>
        <v>0</v>
      </c>
      <c r="J585" s="177"/>
      <c r="K585" s="172" t="s">
        <v>337</v>
      </c>
      <c r="L585" s="173">
        <f t="shared" si="64"/>
        <v>0</v>
      </c>
      <c r="M585" s="174">
        <f>+L585/L586</f>
        <v>0</v>
      </c>
      <c r="N585" s="170">
        <v>0</v>
      </c>
      <c r="O585" s="171">
        <f>VLOOKUP(N585,'RESUMEN RENDIMIENTOS'!$V$6:$W$158,2,FALSE)</f>
        <v>0</v>
      </c>
      <c r="P585" s="177"/>
      <c r="Q585" s="172" t="s">
        <v>337</v>
      </c>
      <c r="R585" s="175">
        <f t="shared" si="65"/>
        <v>0</v>
      </c>
      <c r="S585" s="174">
        <f>+R585/R586</f>
        <v>0</v>
      </c>
    </row>
    <row r="586" spans="2:19" ht="25" thickBot="1">
      <c r="B586" s="178"/>
      <c r="E586" s="90"/>
      <c r="F586" s="173">
        <f>SUM(F570:F585)</f>
        <v>0.10611585052374525</v>
      </c>
      <c r="G586" s="181">
        <f>+F586/F586</f>
        <v>1</v>
      </c>
      <c r="H586" s="178"/>
      <c r="I586" s="179"/>
      <c r="J586" s="182" t="s">
        <v>24</v>
      </c>
      <c r="K586" s="90"/>
      <c r="L586" s="173">
        <f>SUM(L570:L585)</f>
        <v>0.39009186427607484</v>
      </c>
      <c r="M586" s="181">
        <f>+L586/L586</f>
        <v>1</v>
      </c>
      <c r="N586" s="178"/>
      <c r="O586" s="179"/>
      <c r="Q586" s="90"/>
      <c r="R586" s="175">
        <f>SUM(R570:R585)</f>
        <v>0.27898075316496374</v>
      </c>
      <c r="S586" s="181">
        <f>+R586/R586</f>
        <v>1</v>
      </c>
    </row>
    <row r="587" spans="2:19" ht="18" customHeight="1">
      <c r="B587" s="427" t="s">
        <v>317</v>
      </c>
      <c r="C587" s="428"/>
      <c r="D587" s="429"/>
      <c r="E587" s="185">
        <v>0.12</v>
      </c>
      <c r="F587" s="173">
        <f>+F586*E587</f>
        <v>1.2733902062849431E-2</v>
      </c>
      <c r="H587" s="427" t="s">
        <v>317</v>
      </c>
      <c r="I587" s="428"/>
      <c r="J587" s="429"/>
      <c r="K587" s="185">
        <v>0.12</v>
      </c>
      <c r="L587" s="173">
        <f>+L586*K587</f>
        <v>4.681102371312898E-2</v>
      </c>
      <c r="N587" s="427" t="s">
        <v>317</v>
      </c>
      <c r="O587" s="428"/>
      <c r="P587" s="429"/>
      <c r="Q587" s="185">
        <v>0.12</v>
      </c>
      <c r="R587" s="175">
        <f>+R586*Q587</f>
        <v>3.3477690379795644E-2</v>
      </c>
    </row>
    <row r="588" spans="2:19" ht="18" customHeight="1">
      <c r="B588" s="178"/>
      <c r="F588" s="173">
        <f>+F587+F586</f>
        <v>0.11884975258659468</v>
      </c>
      <c r="G588" s="187">
        <f>+F588/24</f>
        <v>4.9520730244414449E-3</v>
      </c>
      <c r="H588" s="178"/>
      <c r="I588" s="179"/>
      <c r="K588" s="88"/>
      <c r="L588" s="173">
        <f>+L587+L586</f>
        <v>0.43690288798920385</v>
      </c>
      <c r="M588" s="187">
        <f>+L588/24</f>
        <v>1.8204286999550161E-2</v>
      </c>
      <c r="N588" s="178"/>
      <c r="O588" s="179"/>
      <c r="R588" s="175">
        <f>+R587+R586</f>
        <v>0.31245844354475938</v>
      </c>
      <c r="S588" s="187">
        <f>+R588/24</f>
        <v>1.3019101814364975E-2</v>
      </c>
    </row>
    <row r="589" spans="2:19">
      <c r="B589" s="178"/>
      <c r="D589" s="188"/>
      <c r="F589" s="189"/>
      <c r="H589" s="178"/>
      <c r="I589" s="179"/>
      <c r="J589" s="188"/>
      <c r="K589" s="88"/>
      <c r="L589" s="189"/>
      <c r="N589" s="178"/>
      <c r="O589" s="179"/>
      <c r="P589" s="188"/>
      <c r="R589" s="189"/>
    </row>
    <row r="590" spans="2:19" ht="21">
      <c r="B590" s="191" t="s">
        <v>318</v>
      </c>
      <c r="C590" s="192"/>
      <c r="D590" s="192"/>
      <c r="E590" s="444">
        <f>IF(F588=0,0,(100/F588))</f>
        <v>841.39847011578229</v>
      </c>
      <c r="F590" s="445"/>
      <c r="H590" s="191" t="s">
        <v>318</v>
      </c>
      <c r="I590" s="192"/>
      <c r="J590" s="192"/>
      <c r="K590" s="444">
        <f>IF(L588=0,0,(100/L588))</f>
        <v>228.88381548640865</v>
      </c>
      <c r="L590" s="445"/>
      <c r="N590" s="191" t="s">
        <v>318</v>
      </c>
      <c r="O590" s="192"/>
      <c r="P590" s="192"/>
      <c r="Q590" s="444">
        <f>IF(R588=0,0,(100/R588))</f>
        <v>320.04255946975263</v>
      </c>
      <c r="R590" s="445"/>
    </row>
    <row r="591" spans="2:19">
      <c r="B591" s="178"/>
      <c r="F591" s="189"/>
      <c r="H591" s="178"/>
      <c r="I591" s="179"/>
      <c r="K591" s="88"/>
      <c r="L591" s="189"/>
      <c r="N591" s="178"/>
      <c r="O591" s="179"/>
      <c r="R591" s="189"/>
    </row>
    <row r="592" spans="2:19" ht="21">
      <c r="B592" s="446" t="s">
        <v>319</v>
      </c>
      <c r="C592" s="447"/>
      <c r="D592" s="447"/>
      <c r="E592" s="447"/>
      <c r="F592" s="448"/>
      <c r="H592" s="446" t="s">
        <v>319</v>
      </c>
      <c r="I592" s="447"/>
      <c r="J592" s="447"/>
      <c r="K592" s="447"/>
      <c r="L592" s="448"/>
      <c r="N592" s="446" t="s">
        <v>319</v>
      </c>
      <c r="O592" s="447"/>
      <c r="P592" s="447"/>
      <c r="Q592" s="447"/>
      <c r="R592" s="448"/>
    </row>
    <row r="593" spans="2:19" ht="18" customHeight="1">
      <c r="B593" s="194" t="s">
        <v>320</v>
      </c>
      <c r="C593" s="195"/>
      <c r="D593" s="435" t="s">
        <v>321</v>
      </c>
      <c r="E593" s="435"/>
      <c r="F593" s="196" t="s">
        <v>322</v>
      </c>
      <c r="H593" s="194" t="s">
        <v>320</v>
      </c>
      <c r="I593" s="195"/>
      <c r="J593" s="435" t="s">
        <v>321</v>
      </c>
      <c r="K593" s="435"/>
      <c r="L593" s="196" t="s">
        <v>322</v>
      </c>
      <c r="N593" s="194" t="s">
        <v>320</v>
      </c>
      <c r="O593" s="195"/>
      <c r="P593" s="435" t="s">
        <v>321</v>
      </c>
      <c r="Q593" s="435"/>
      <c r="R593" s="196" t="s">
        <v>322</v>
      </c>
    </row>
    <row r="594" spans="2:19">
      <c r="B594" s="197" t="s">
        <v>278</v>
      </c>
      <c r="C594" s="201">
        <v>1</v>
      </c>
      <c r="E594" s="199">
        <f>IF(C594=0,0,(VLOOKUP(B594,'RESUMEN RENDIMIENTOS'!$AB$6:$AO$64,13,FALSE)))*C594</f>
        <v>0.75</v>
      </c>
      <c r="F594" s="200">
        <f>IF(C594=0,0,(VLOOKUP(B594,'RESUMEN RENDIMIENTOS'!$AB$6:$AO$64,14,FALSE)))*C594</f>
        <v>1.0285714285714287E-2</v>
      </c>
      <c r="H594" s="197" t="s">
        <v>278</v>
      </c>
      <c r="I594" s="201">
        <v>1</v>
      </c>
      <c r="K594" s="199">
        <f>IF(I594=0,0,(VLOOKUP(H594,'RESUMEN RENDIMIENTOS'!$AB$6:$AO$64,13,FALSE)))*I594</f>
        <v>0.75</v>
      </c>
      <c r="L594" s="200">
        <f>IF(I594=0,0,(VLOOKUP(H594,'RESUMEN RENDIMIENTOS'!$AB$6:$AO$64,14,FALSE)))*I594</f>
        <v>1.0285714285714287E-2</v>
      </c>
      <c r="N594" s="197" t="s">
        <v>278</v>
      </c>
      <c r="O594" s="201">
        <v>1</v>
      </c>
      <c r="Q594" s="199">
        <f>IF(O594=0,0,(VLOOKUP(N594,'RESUMEN RENDIMIENTOS'!$AB$6:$AO$64,13,FALSE)))*O594</f>
        <v>0.75</v>
      </c>
      <c r="R594" s="200">
        <f>IF(O594=0,0,(VLOOKUP(N594,'RESUMEN RENDIMIENTOS'!$AB$6:$AO$64,14,FALSE)))*O594</f>
        <v>1.0285714285714287E-2</v>
      </c>
    </row>
    <row r="595" spans="2:19">
      <c r="B595" s="197" t="s">
        <v>279</v>
      </c>
      <c r="C595" s="201">
        <v>1</v>
      </c>
      <c r="E595" s="199">
        <f>IF(C595=0,0,(VLOOKUP(B595,'RESUMEN RENDIMIENTOS'!$AB$6:$AO$64,13,FALSE)))*C595</f>
        <v>2</v>
      </c>
      <c r="F595" s="200">
        <f>IF(C595=0,0,(VLOOKUP(B595,'RESUMEN RENDIMIENTOS'!$AB$6:$AO$64,14,FALSE)))*C595</f>
        <v>9.5999999999999988E-2</v>
      </c>
      <c r="H595" s="197" t="s">
        <v>279</v>
      </c>
      <c r="I595" s="201">
        <v>1</v>
      </c>
      <c r="K595" s="199">
        <f>IF(I595=0,0,(VLOOKUP(H595,'RESUMEN RENDIMIENTOS'!$AB$6:$AO$64,13,FALSE)))*I595</f>
        <v>2</v>
      </c>
      <c r="L595" s="200">
        <f>IF(I595=0,0,(VLOOKUP(H595,'RESUMEN RENDIMIENTOS'!$AB$6:$AO$64,14,FALSE)))*I595</f>
        <v>9.5999999999999988E-2</v>
      </c>
      <c r="N595" s="197" t="s">
        <v>279</v>
      </c>
      <c r="O595" s="201">
        <v>1</v>
      </c>
      <c r="Q595" s="199">
        <f>IF(O595=0,0,(VLOOKUP(N595,'RESUMEN RENDIMIENTOS'!$AB$6:$AO$64,13,FALSE)))*O595</f>
        <v>2</v>
      </c>
      <c r="R595" s="200">
        <f>IF(O595=0,0,(VLOOKUP(N595,'RESUMEN RENDIMIENTOS'!$AB$6:$AO$64,14,FALSE)))*O595</f>
        <v>9.5999999999999988E-2</v>
      </c>
    </row>
    <row r="596" spans="2:19">
      <c r="B596" s="197" t="s">
        <v>284</v>
      </c>
      <c r="C596" s="201">
        <v>0.25</v>
      </c>
      <c r="E596" s="199">
        <f>IF(C596=0,0,(VLOOKUP(B596,'RESUMEN RENDIMIENTOS'!$AB$6:$AO$64,13,FALSE)))*C596</f>
        <v>0.52500000000000002</v>
      </c>
      <c r="F596" s="200">
        <f>IF(C596=0,0,(VLOOKUP(B596,'RESUMEN RENDIMIENTOS'!$AB$6:$AO$64,14,FALSE)))*C596</f>
        <v>4.2000000000000003E-2</v>
      </c>
      <c r="H596" s="197" t="s">
        <v>284</v>
      </c>
      <c r="I596" s="201">
        <v>0.25</v>
      </c>
      <c r="K596" s="199">
        <f>IF(I596=0,0,(VLOOKUP(H596,'RESUMEN RENDIMIENTOS'!$AB$6:$AO$64,13,FALSE)))*I596</f>
        <v>0.52500000000000002</v>
      </c>
      <c r="L596" s="200">
        <f>IF(I596=0,0,(VLOOKUP(H596,'RESUMEN RENDIMIENTOS'!$AB$6:$AO$64,14,FALSE)))*I596</f>
        <v>4.2000000000000003E-2</v>
      </c>
      <c r="N596" s="197" t="s">
        <v>284</v>
      </c>
      <c r="O596" s="201">
        <v>0.25</v>
      </c>
      <c r="Q596" s="199">
        <f>IF(O596=0,0,(VLOOKUP(N596,'RESUMEN RENDIMIENTOS'!$AB$6:$AO$64,13,FALSE)))*O596</f>
        <v>0.52500000000000002</v>
      </c>
      <c r="R596" s="200">
        <f>IF(O596=0,0,(VLOOKUP(N596,'RESUMEN RENDIMIENTOS'!$AB$6:$AO$64,14,FALSE)))*O596</f>
        <v>4.2000000000000003E-2</v>
      </c>
    </row>
    <row r="597" spans="2:19">
      <c r="B597" s="197" t="s">
        <v>283</v>
      </c>
      <c r="C597" s="201">
        <v>1</v>
      </c>
      <c r="E597" s="199">
        <f>IF(C597=0,0,(VLOOKUP(B597,'RESUMEN RENDIMIENTOS'!$AB$6:$AO$64,13,FALSE)))*C597</f>
        <v>1.59</v>
      </c>
      <c r="F597" s="200">
        <f>IF(C597=0,0,(VLOOKUP(B597,'RESUMEN RENDIMIENTOS'!$AB$6:$AO$64,14,FALSE)))*C597</f>
        <v>0.12720000000000001</v>
      </c>
      <c r="H597" s="197" t="s">
        <v>283</v>
      </c>
      <c r="I597" s="201">
        <v>1</v>
      </c>
      <c r="K597" s="199">
        <f>IF(I597=0,0,(VLOOKUP(H597,'RESUMEN RENDIMIENTOS'!$AB$6:$AO$64,13,FALSE)))*I597</f>
        <v>1.59</v>
      </c>
      <c r="L597" s="200">
        <f>IF(I597=0,0,(VLOOKUP(H597,'RESUMEN RENDIMIENTOS'!$AB$6:$AO$64,14,FALSE)))*I597</f>
        <v>0.12720000000000001</v>
      </c>
      <c r="N597" s="197" t="s">
        <v>283</v>
      </c>
      <c r="O597" s="201">
        <v>1</v>
      </c>
      <c r="Q597" s="199">
        <f>IF(O597=0,0,(VLOOKUP(N597,'RESUMEN RENDIMIENTOS'!$AB$6:$AO$64,13,FALSE)))*O597</f>
        <v>1.59</v>
      </c>
      <c r="R597" s="200">
        <f>IF(O597=0,0,(VLOOKUP(N597,'RESUMEN RENDIMIENTOS'!$AB$6:$AO$64,14,FALSE)))*O597</f>
        <v>0.12720000000000001</v>
      </c>
    </row>
    <row r="598" spans="2:19">
      <c r="B598" s="197" t="s">
        <v>282</v>
      </c>
      <c r="C598" s="201">
        <v>1</v>
      </c>
      <c r="E598" s="199">
        <f>IF(C598=0,0,(VLOOKUP(B598,'RESUMEN RENDIMIENTOS'!$AB$6:$AO$64,13,FALSE)))*C598</f>
        <v>2.62</v>
      </c>
      <c r="F598" s="200">
        <f>IF(C598=0,0,(VLOOKUP(B598,'RESUMEN RENDIMIENTOS'!$AB$6:$AO$64,14,FALSE)))*C598</f>
        <v>6.986666666666666E-2</v>
      </c>
      <c r="H598" s="197" t="s">
        <v>282</v>
      </c>
      <c r="I598" s="201">
        <v>1</v>
      </c>
      <c r="K598" s="199">
        <f>IF(I598=0,0,(VLOOKUP(H598,'RESUMEN RENDIMIENTOS'!$AB$6:$AO$64,13,FALSE)))*I598</f>
        <v>2.62</v>
      </c>
      <c r="L598" s="200">
        <f>IF(I598=0,0,(VLOOKUP(H598,'RESUMEN RENDIMIENTOS'!$AB$6:$AO$64,14,FALSE)))*I598</f>
        <v>6.986666666666666E-2</v>
      </c>
      <c r="N598" s="197" t="s">
        <v>282</v>
      </c>
      <c r="O598" s="201">
        <v>1</v>
      </c>
      <c r="Q598" s="199">
        <f>IF(O598=0,0,(VLOOKUP(N598,'RESUMEN RENDIMIENTOS'!$AB$6:$AO$64,13,FALSE)))*O598</f>
        <v>2.62</v>
      </c>
      <c r="R598" s="200">
        <f>IF(O598=0,0,(VLOOKUP(N598,'RESUMEN RENDIMIENTOS'!$AB$6:$AO$64,14,FALSE)))*O598</f>
        <v>6.986666666666666E-2</v>
      </c>
    </row>
    <row r="599" spans="2:19">
      <c r="B599" s="197" t="s">
        <v>302</v>
      </c>
      <c r="C599" s="201">
        <v>1</v>
      </c>
      <c r="E599" s="199">
        <f>IF(C599=0,0,(VLOOKUP(B599,'RESUMEN RENDIMIENTOS'!$AB$6:$AO$64,13,FALSE)))*C599</f>
        <v>1</v>
      </c>
      <c r="F599" s="200">
        <f>IF(C599=0,0,(VLOOKUP(B599,'RESUMEN RENDIMIENTOS'!$AB$6:$AO$64,14,FALSE)))*C599</f>
        <v>0.2</v>
      </c>
      <c r="H599" s="197" t="s">
        <v>302</v>
      </c>
      <c r="I599" s="201">
        <v>1</v>
      </c>
      <c r="K599" s="199">
        <f>IF(I599=0,0,(VLOOKUP(H599,'RESUMEN RENDIMIENTOS'!$AB$6:$AO$64,13,FALSE)))*I599</f>
        <v>1</v>
      </c>
      <c r="L599" s="200">
        <f>IF(I599=0,0,(VLOOKUP(H599,'RESUMEN RENDIMIENTOS'!$AB$6:$AO$64,14,FALSE)))*I599</f>
        <v>0.2</v>
      </c>
      <c r="N599" s="197" t="s">
        <v>302</v>
      </c>
      <c r="O599" s="201">
        <v>1</v>
      </c>
      <c r="Q599" s="199">
        <f>IF(O599=0,0,(VLOOKUP(N599,'RESUMEN RENDIMIENTOS'!$AB$6:$AO$64,13,FALSE)))*O599</f>
        <v>1</v>
      </c>
      <c r="R599" s="200">
        <f>IF(O599=0,0,(VLOOKUP(N599,'RESUMEN RENDIMIENTOS'!$AB$6:$AO$64,14,FALSE)))*O599</f>
        <v>0.2</v>
      </c>
    </row>
    <row r="600" spans="2:19">
      <c r="B600" s="202"/>
      <c r="F600" s="206">
        <f>SUM(F594:F599)</f>
        <v>0.54535238095238103</v>
      </c>
      <c r="G600" s="205">
        <f>+F600</f>
        <v>0.54535238095238103</v>
      </c>
      <c r="H600" s="202"/>
      <c r="I600" s="179"/>
      <c r="K600" s="88"/>
      <c r="L600" s="206">
        <f>SUM(L594:L599)</f>
        <v>0.54535238095238103</v>
      </c>
      <c r="M600" s="205">
        <f>+L600</f>
        <v>0.54535238095238103</v>
      </c>
      <c r="N600" s="202"/>
      <c r="O600" s="179"/>
      <c r="R600" s="206">
        <f>SUM(R594:R599)</f>
        <v>0.54535238095238103</v>
      </c>
      <c r="S600" s="205">
        <f>+R600</f>
        <v>0.54535238095238103</v>
      </c>
    </row>
    <row r="601" spans="2:19">
      <c r="B601" s="436" t="s">
        <v>324</v>
      </c>
      <c r="C601" s="437"/>
      <c r="D601" s="437"/>
      <c r="E601" s="437"/>
      <c r="F601" s="455"/>
      <c r="G601" s="205"/>
      <c r="H601" s="436" t="s">
        <v>324</v>
      </c>
      <c r="I601" s="437"/>
      <c r="J601" s="437"/>
      <c r="K601" s="437"/>
      <c r="L601" s="455"/>
      <c r="M601" s="205"/>
      <c r="N601" s="436" t="s">
        <v>324</v>
      </c>
      <c r="O601" s="437"/>
      <c r="P601" s="437"/>
      <c r="Q601" s="437"/>
      <c r="R601" s="455"/>
      <c r="S601" s="205"/>
    </row>
    <row r="602" spans="2:19">
      <c r="B602" s="210" t="s">
        <v>325</v>
      </c>
      <c r="C602" s="211">
        <v>1</v>
      </c>
      <c r="D602" s="212">
        <v>21.712335174960327</v>
      </c>
      <c r="E602" s="213">
        <f>F588</f>
        <v>0.11884975258659468</v>
      </c>
      <c r="F602" s="214">
        <f>+IF(C602&gt;="",0,(D602*E602))</f>
        <v>2.5805056636212518</v>
      </c>
      <c r="G602" s="215"/>
      <c r="H602" s="210" t="s">
        <v>325</v>
      </c>
      <c r="I602" s="211">
        <v>1</v>
      </c>
      <c r="J602" s="212">
        <v>21.712335174960327</v>
      </c>
      <c r="K602" s="213">
        <f>L588</f>
        <v>0.43690288798920385</v>
      </c>
      <c r="L602" s="216">
        <f>+IF(I602&gt;="",0,(J602*K602))</f>
        <v>9.4861819429297416</v>
      </c>
      <c r="M602" s="215"/>
      <c r="N602" s="210" t="s">
        <v>325</v>
      </c>
      <c r="O602" s="211">
        <v>1</v>
      </c>
      <c r="P602" s="212">
        <v>21.712335174960327</v>
      </c>
      <c r="Q602" s="213">
        <f>R588</f>
        <v>0.31245844354475938</v>
      </c>
      <c r="R602" s="214">
        <f>+IF(O602&gt;="",0,(P602*Q602))</f>
        <v>6.7842024544902344</v>
      </c>
      <c r="S602" s="215"/>
    </row>
    <row r="603" spans="2:19">
      <c r="B603" s="210" t="s">
        <v>326</v>
      </c>
      <c r="C603" s="211"/>
      <c r="D603" s="212">
        <f>+D602*25%</f>
        <v>5.4280837937400817</v>
      </c>
      <c r="E603" s="213">
        <f>F588</f>
        <v>0.11884975258659468</v>
      </c>
      <c r="F603" s="214">
        <f>+IF(C603= "",0,(D603*E603))</f>
        <v>0</v>
      </c>
      <c r="G603" s="215"/>
      <c r="H603" s="210" t="s">
        <v>326</v>
      </c>
      <c r="I603" s="211"/>
      <c r="J603" s="212">
        <f>+J602*25%</f>
        <v>5.4280837937400817</v>
      </c>
      <c r="K603" s="213">
        <f>L588</f>
        <v>0.43690288798920385</v>
      </c>
      <c r="L603" s="216">
        <f>+IF(I603= "",0,(J603*K603))</f>
        <v>0</v>
      </c>
      <c r="M603" s="215"/>
      <c r="N603" s="210" t="s">
        <v>326</v>
      </c>
      <c r="O603" s="211"/>
      <c r="P603" s="212">
        <f>+P602*25%</f>
        <v>5.4280837937400817</v>
      </c>
      <c r="Q603" s="213">
        <f>R588</f>
        <v>0.31245844354475938</v>
      </c>
      <c r="R603" s="214">
        <f>+IF(O603= "",0,(P603*Q603))</f>
        <v>0</v>
      </c>
      <c r="S603" s="215"/>
    </row>
    <row r="604" spans="2:19">
      <c r="B604" s="210" t="s">
        <v>327</v>
      </c>
      <c r="C604" s="211"/>
      <c r="D604" s="212">
        <f>+D602*50%</f>
        <v>10.856167587480163</v>
      </c>
      <c r="E604" s="213">
        <f>F588</f>
        <v>0.11884975258659468</v>
      </c>
      <c r="F604" s="214">
        <f>+IF(C604= "",0,(D604*E604))</f>
        <v>0</v>
      </c>
      <c r="G604" s="215"/>
      <c r="H604" s="210" t="s">
        <v>327</v>
      </c>
      <c r="I604" s="211"/>
      <c r="J604" s="212">
        <f>+J602*50%</f>
        <v>10.856167587480163</v>
      </c>
      <c r="K604" s="213">
        <f>L588</f>
        <v>0.43690288798920385</v>
      </c>
      <c r="L604" s="216">
        <f>+IF(I604= "",0,(J604*K604))</f>
        <v>0</v>
      </c>
      <c r="M604" s="215"/>
      <c r="N604" s="210" t="s">
        <v>327</v>
      </c>
      <c r="O604" s="211"/>
      <c r="P604" s="212">
        <f>+P602*50%</f>
        <v>10.856167587480163</v>
      </c>
      <c r="Q604" s="213">
        <f>R588</f>
        <v>0.31245844354475938</v>
      </c>
      <c r="R604" s="214">
        <f>+IF(O604= "",0,(P604*Q604))</f>
        <v>0</v>
      </c>
      <c r="S604" s="215"/>
    </row>
    <row r="605" spans="2:19">
      <c r="B605" s="202"/>
      <c r="F605" s="217">
        <f>SUM(F602:F604)</f>
        <v>2.5805056636212518</v>
      </c>
      <c r="G605" s="218"/>
      <c r="H605" s="202"/>
      <c r="I605" s="179"/>
      <c r="K605" s="88"/>
      <c r="L605" s="219">
        <f>SUM(L602:L604)</f>
        <v>9.4861819429297416</v>
      </c>
      <c r="M605" s="218"/>
      <c r="N605" s="202"/>
      <c r="O605" s="179"/>
      <c r="R605" s="217">
        <f>SUM(R602:R604)</f>
        <v>6.7842024544902344</v>
      </c>
      <c r="S605" s="218"/>
    </row>
    <row r="606" spans="2:19">
      <c r="B606" s="202"/>
      <c r="F606" s="189"/>
      <c r="G606" s="220"/>
      <c r="H606" s="202"/>
      <c r="I606" s="179"/>
      <c r="K606" s="88"/>
      <c r="M606" s="220"/>
      <c r="N606" s="202"/>
      <c r="O606" s="179"/>
      <c r="R606" s="189"/>
      <c r="S606" s="220"/>
    </row>
    <row r="607" spans="2:19" ht="21">
      <c r="B607" s="438" t="s">
        <v>328</v>
      </c>
      <c r="C607" s="439"/>
      <c r="D607" s="439"/>
      <c r="E607" s="440"/>
      <c r="F607" s="225">
        <f>+F600+F605</f>
        <v>3.1258580445736328</v>
      </c>
      <c r="G607" s="205">
        <f>+F607</f>
        <v>3.1258580445736328</v>
      </c>
      <c r="H607" s="438" t="s">
        <v>328</v>
      </c>
      <c r="I607" s="439"/>
      <c r="J607" s="439"/>
      <c r="K607" s="440"/>
      <c r="L607" s="225">
        <f>+L600+L605</f>
        <v>10.031534323882124</v>
      </c>
      <c r="M607" s="205">
        <f>+L607</f>
        <v>10.031534323882124</v>
      </c>
      <c r="N607" s="438" t="s">
        <v>328</v>
      </c>
      <c r="O607" s="439"/>
      <c r="P607" s="439"/>
      <c r="Q607" s="440"/>
      <c r="R607" s="225">
        <f>+R600+R605</f>
        <v>7.3295548354426154</v>
      </c>
      <c r="S607" s="205">
        <f>+R607</f>
        <v>7.3295548354426154</v>
      </c>
    </row>
    <row r="608" spans="2:19">
      <c r="B608" s="202"/>
      <c r="F608" s="189"/>
      <c r="G608" s="205"/>
      <c r="H608" s="202"/>
      <c r="I608" s="179"/>
      <c r="K608" s="88"/>
      <c r="L608" s="189"/>
      <c r="M608" s="205"/>
      <c r="N608" s="202"/>
      <c r="O608" s="179"/>
      <c r="R608" s="189"/>
      <c r="S608" s="205"/>
    </row>
    <row r="609" spans="2:19" ht="19">
      <c r="B609" s="441" t="s">
        <v>329</v>
      </c>
      <c r="C609" s="442"/>
      <c r="D609" s="442"/>
      <c r="E609" s="443"/>
      <c r="F609" s="230">
        <f>+F607/$C$37</f>
        <v>3.1258580445736331E-2</v>
      </c>
      <c r="G609" s="205"/>
      <c r="H609" s="441" t="s">
        <v>329</v>
      </c>
      <c r="I609" s="442"/>
      <c r="J609" s="442"/>
      <c r="K609" s="443"/>
      <c r="L609" s="230">
        <f>+L607/$C$37</f>
        <v>0.10031534323882124</v>
      </c>
      <c r="M609" s="205"/>
      <c r="N609" s="441" t="s">
        <v>329</v>
      </c>
      <c r="O609" s="442"/>
      <c r="P609" s="442"/>
      <c r="Q609" s="443"/>
      <c r="R609" s="230">
        <f>+R607/$C$37</f>
        <v>7.3295548354426157E-2</v>
      </c>
      <c r="S609" s="205"/>
    </row>
    <row r="610" spans="2:19" ht="17" thickBot="1">
      <c r="B610" s="231"/>
      <c r="C610" s="232"/>
      <c r="D610" s="233"/>
      <c r="E610" s="233"/>
      <c r="F610" s="234"/>
      <c r="G610" s="205"/>
      <c r="H610" s="231"/>
      <c r="I610" s="232"/>
      <c r="J610" s="233"/>
      <c r="K610" s="233"/>
      <c r="L610" s="234"/>
      <c r="M610" s="205"/>
      <c r="N610" s="231"/>
      <c r="O610" s="232"/>
      <c r="P610" s="233"/>
      <c r="Q610" s="233"/>
      <c r="R610" s="234"/>
      <c r="S610" s="205"/>
    </row>
    <row r="611" spans="2:19" ht="23.25" customHeight="1" thickBot="1">
      <c r="B611" s="415" t="s">
        <v>312</v>
      </c>
      <c r="C611" s="416"/>
      <c r="D611" s="416"/>
      <c r="E611" s="416"/>
      <c r="F611" s="416"/>
      <c r="G611" s="416"/>
      <c r="H611" s="416"/>
      <c r="I611" s="416"/>
      <c r="J611" s="416"/>
      <c r="K611" s="416"/>
      <c r="L611" s="416"/>
      <c r="M611" s="416"/>
      <c r="N611" s="416"/>
      <c r="O611" s="416"/>
      <c r="P611" s="416"/>
      <c r="Q611" s="416"/>
      <c r="R611" s="417"/>
    </row>
    <row r="612" spans="2:19" ht="25">
      <c r="B612" s="239" t="s">
        <v>16</v>
      </c>
      <c r="C612" s="459" t="s">
        <v>335</v>
      </c>
      <c r="D612" s="460"/>
      <c r="E612" s="461"/>
      <c r="F612" s="255"/>
      <c r="G612" s="258"/>
      <c r="H612" s="237" t="s">
        <v>16</v>
      </c>
      <c r="I612" s="452" t="str">
        <f>+D10</f>
        <v>Parking exterior P</v>
      </c>
      <c r="J612" s="453"/>
      <c r="K612" s="453"/>
      <c r="L612" s="465"/>
      <c r="M612" s="254"/>
      <c r="N612" s="239" t="s">
        <v>16</v>
      </c>
      <c r="O612" s="459" t="str">
        <f>D11</f>
        <v>Parking exterior M</v>
      </c>
      <c r="P612" s="460"/>
      <c r="Q612" s="460"/>
      <c r="R612" s="466"/>
    </row>
    <row r="613" spans="2:19" ht="33" thickBot="1">
      <c r="B613" s="241" t="s">
        <v>313</v>
      </c>
      <c r="C613" s="242" t="s">
        <v>6</v>
      </c>
      <c r="D613" s="243" t="s">
        <v>25</v>
      </c>
      <c r="E613" s="244" t="s">
        <v>314</v>
      </c>
      <c r="F613" s="245" t="s">
        <v>315</v>
      </c>
      <c r="H613" s="241" t="s">
        <v>313</v>
      </c>
      <c r="I613" s="242" t="s">
        <v>6</v>
      </c>
      <c r="J613" s="243" t="s">
        <v>25</v>
      </c>
      <c r="K613" s="244" t="s">
        <v>314</v>
      </c>
      <c r="L613" s="245" t="s">
        <v>315</v>
      </c>
      <c r="N613" s="241" t="s">
        <v>313</v>
      </c>
      <c r="O613" s="242" t="s">
        <v>6</v>
      </c>
      <c r="P613" s="243" t="s">
        <v>25</v>
      </c>
      <c r="Q613" s="244" t="s">
        <v>314</v>
      </c>
      <c r="R613" s="245" t="s">
        <v>315</v>
      </c>
    </row>
    <row r="614" spans="2:19">
      <c r="B614" s="170" t="s">
        <v>182</v>
      </c>
      <c r="C614" s="171">
        <f>VLOOKUP(B614,'RESUMEN RENDIMIENTOS'!$V$6:$W$158,2,FALSE)</f>
        <v>1400</v>
      </c>
      <c r="D614" s="177" t="s">
        <v>20</v>
      </c>
      <c r="E614" s="172">
        <v>247</v>
      </c>
      <c r="F614" s="175">
        <f t="shared" ref="F614:F629" si="66">IF(C614=0,0,(100/C614)*E614/$E$37)</f>
        <v>7.1428571428571425E-2</v>
      </c>
      <c r="G614" s="164">
        <f>+F614/F630</f>
        <v>0.25025547104559392</v>
      </c>
      <c r="H614" s="170" t="s">
        <v>185</v>
      </c>
      <c r="I614" s="171">
        <f>VLOOKUP(H614,'RESUMEN RENDIMIENTOS'!$V$6:$W$158,2,FALSE)</f>
        <v>1100</v>
      </c>
      <c r="J614" s="177" t="s">
        <v>20</v>
      </c>
      <c r="K614" s="172">
        <v>247</v>
      </c>
      <c r="L614" s="175">
        <f t="shared" ref="L614:L629" si="67">IF(I614=0,0,(100/I614)*K614/$E$37)</f>
        <v>9.0909090909090912E-2</v>
      </c>
      <c r="M614" s="164">
        <f>+L614/L630</f>
        <v>0.73170731707317083</v>
      </c>
      <c r="N614" s="170" t="s">
        <v>183</v>
      </c>
      <c r="O614" s="171">
        <f>VLOOKUP(N614,'RESUMEN RENDIMIENTOS'!$V$6:$W$158,2,FALSE)</f>
        <v>3600</v>
      </c>
      <c r="P614" s="177" t="s">
        <v>20</v>
      </c>
      <c r="Q614" s="172">
        <v>247</v>
      </c>
      <c r="R614" s="175">
        <f t="shared" ref="R614:R629" si="68">IF(O614=0,0,(100/O614)*Q614/$E$37)</f>
        <v>2.7777777777777776E-2</v>
      </c>
      <c r="S614" s="164">
        <f>+R614/R630</f>
        <v>0.45454545454545453</v>
      </c>
    </row>
    <row r="615" spans="2:19">
      <c r="B615" s="170" t="s">
        <v>207</v>
      </c>
      <c r="C615" s="171">
        <f>VLOOKUP(B615,'RESUMEN RENDIMIENTOS'!$V$6:$W$158,2,FALSE)</f>
        <v>3500</v>
      </c>
      <c r="D615" s="177" t="s">
        <v>20</v>
      </c>
      <c r="E615" s="172">
        <v>247</v>
      </c>
      <c r="F615" s="175">
        <f t="shared" si="66"/>
        <v>2.8571428571428571E-2</v>
      </c>
      <c r="G615" s="174">
        <f>+F615/F630</f>
        <v>0.10010218841823758</v>
      </c>
      <c r="H615" s="170" t="s">
        <v>260</v>
      </c>
      <c r="I615" s="171">
        <f>VLOOKUP(H615,'RESUMEN RENDIMIENTOS'!$V$6:$W$158,2,FALSE)</f>
        <v>3000</v>
      </c>
      <c r="J615" s="177" t="s">
        <v>20</v>
      </c>
      <c r="K615" s="172">
        <v>247</v>
      </c>
      <c r="L615" s="175">
        <f t="shared" si="67"/>
        <v>3.3333333333333333E-2</v>
      </c>
      <c r="M615" s="174">
        <f>+L615/L630</f>
        <v>0.26829268292682928</v>
      </c>
      <c r="N615" s="170" t="s">
        <v>260</v>
      </c>
      <c r="O615" s="171">
        <f>VLOOKUP(N615,'RESUMEN RENDIMIENTOS'!$V$6:$W$158,2,FALSE)</f>
        <v>3000</v>
      </c>
      <c r="P615" s="177" t="s">
        <v>20</v>
      </c>
      <c r="Q615" s="172">
        <v>247</v>
      </c>
      <c r="R615" s="175">
        <f t="shared" si="68"/>
        <v>3.3333333333333333E-2</v>
      </c>
      <c r="S615" s="174">
        <f>+R615/R630</f>
        <v>0.54545454545454541</v>
      </c>
    </row>
    <row r="616" spans="2:19">
      <c r="B616" s="170" t="s">
        <v>190</v>
      </c>
      <c r="C616" s="171">
        <f>VLOOKUP(B616,'RESUMEN RENDIMIENTOS'!$V$6:$W$158,2,FALSE)</f>
        <v>960</v>
      </c>
      <c r="D616" s="177" t="s">
        <v>52</v>
      </c>
      <c r="E616" s="172">
        <v>156.42000000000002</v>
      </c>
      <c r="F616" s="173">
        <f t="shared" si="66"/>
        <v>6.5966599190283415E-2</v>
      </c>
      <c r="G616" s="174">
        <f>+F616/F630</f>
        <v>0.23111903295096381</v>
      </c>
      <c r="H616" s="170">
        <v>0</v>
      </c>
      <c r="I616" s="171">
        <f>VLOOKUP(H616,'RESUMEN RENDIMIENTOS'!$V$6:$W$158,2,FALSE)</f>
        <v>0</v>
      </c>
      <c r="J616" s="177"/>
      <c r="K616" s="172" t="s">
        <v>337</v>
      </c>
      <c r="L616" s="175">
        <f t="shared" si="67"/>
        <v>0</v>
      </c>
      <c r="M616" s="174">
        <f>+L616/L630</f>
        <v>0</v>
      </c>
      <c r="N616" s="170">
        <v>0</v>
      </c>
      <c r="O616" s="171">
        <f>VLOOKUP(N616,'RESUMEN RENDIMIENTOS'!$V$6:$W$158,2,FALSE)</f>
        <v>0</v>
      </c>
      <c r="P616" s="177"/>
      <c r="Q616" s="172" t="s">
        <v>337</v>
      </c>
      <c r="R616" s="175">
        <f t="shared" si="68"/>
        <v>0</v>
      </c>
      <c r="S616" s="174">
        <f>+R616/R630</f>
        <v>0</v>
      </c>
    </row>
    <row r="617" spans="2:19">
      <c r="B617" s="170" t="s">
        <v>210</v>
      </c>
      <c r="C617" s="171">
        <f>VLOOKUP(B617,'RESUMEN RENDIMIENTOS'!$V$6:$W$158,2,FALSE)</f>
        <v>80</v>
      </c>
      <c r="D617" s="177" t="s">
        <v>60</v>
      </c>
      <c r="E617" s="172">
        <v>6</v>
      </c>
      <c r="F617" s="173">
        <f t="shared" si="66"/>
        <v>3.0364372469635626E-2</v>
      </c>
      <c r="G617" s="174">
        <f>+F617/F630</f>
        <v>0.1063839046954954</v>
      </c>
      <c r="H617" s="170">
        <v>0</v>
      </c>
      <c r="I617" s="171">
        <f>VLOOKUP(H617,'RESUMEN RENDIMIENTOS'!$V$6:$W$158,2,FALSE)</f>
        <v>0</v>
      </c>
      <c r="J617" s="177"/>
      <c r="K617" s="172" t="s">
        <v>337</v>
      </c>
      <c r="L617" s="175">
        <f t="shared" si="67"/>
        <v>0</v>
      </c>
      <c r="M617" s="174">
        <f>+L617/L630</f>
        <v>0</v>
      </c>
      <c r="N617" s="170">
        <v>0</v>
      </c>
      <c r="O617" s="171">
        <f>VLOOKUP(N617,'RESUMEN RENDIMIENTOS'!$V$6:$W$158,2,FALSE)</f>
        <v>0</v>
      </c>
      <c r="P617" s="177"/>
      <c r="Q617" s="172" t="s">
        <v>337</v>
      </c>
      <c r="R617" s="175">
        <f t="shared" si="68"/>
        <v>0</v>
      </c>
      <c r="S617" s="174">
        <f>+R617/R630</f>
        <v>0</v>
      </c>
    </row>
    <row r="618" spans="2:19">
      <c r="B618" s="170" t="s">
        <v>240</v>
      </c>
      <c r="C618" s="171">
        <f>VLOOKUP(B618,'RESUMEN RENDIMIENTOS'!$V$6:$W$158,2,FALSE)</f>
        <v>1000</v>
      </c>
      <c r="D618" s="177" t="s">
        <v>52</v>
      </c>
      <c r="E618" s="172">
        <v>156.42000000000002</v>
      </c>
      <c r="F618" s="173">
        <f t="shared" si="66"/>
        <v>6.3327935222672077E-2</v>
      </c>
      <c r="G618" s="174">
        <f>+F618/F630</f>
        <v>0.22187427163292525</v>
      </c>
      <c r="H618" s="170">
        <v>0</v>
      </c>
      <c r="I618" s="171">
        <f>VLOOKUP(H618,'RESUMEN RENDIMIENTOS'!$V$6:$W$158,2,FALSE)</f>
        <v>0</v>
      </c>
      <c r="J618" s="177"/>
      <c r="K618" s="172" t="s">
        <v>337</v>
      </c>
      <c r="L618" s="175">
        <f t="shared" si="67"/>
        <v>0</v>
      </c>
      <c r="M618" s="174">
        <f>+L618/L630</f>
        <v>0</v>
      </c>
      <c r="N618" s="170">
        <v>0</v>
      </c>
      <c r="O618" s="171">
        <f>VLOOKUP(N618,'RESUMEN RENDIMIENTOS'!$V$6:$W$158,2,FALSE)</f>
        <v>0</v>
      </c>
      <c r="P618" s="177"/>
      <c r="Q618" s="172" t="s">
        <v>337</v>
      </c>
      <c r="R618" s="175">
        <f t="shared" si="68"/>
        <v>0</v>
      </c>
      <c r="S618" s="174">
        <f>+R618/R630</f>
        <v>0</v>
      </c>
    </row>
    <row r="619" spans="2:19">
      <c r="B619" s="170" t="s">
        <v>196</v>
      </c>
      <c r="C619" s="171">
        <f>VLOOKUP(B619,'RESUMEN RENDIMIENTOS'!$V$6:$W$158,2,FALSE)</f>
        <v>550</v>
      </c>
      <c r="D619" s="177" t="s">
        <v>30</v>
      </c>
      <c r="E619" s="172">
        <v>24</v>
      </c>
      <c r="F619" s="173">
        <f t="shared" si="66"/>
        <v>1.7666543982333454E-2</v>
      </c>
      <c r="G619" s="174">
        <f>+F619/F630</f>
        <v>6.1896090004651863E-2</v>
      </c>
      <c r="H619" s="170">
        <v>0</v>
      </c>
      <c r="I619" s="171">
        <f>VLOOKUP(H619,'RESUMEN RENDIMIENTOS'!$V$6:$W$158,2,FALSE)</f>
        <v>0</v>
      </c>
      <c r="J619" s="177"/>
      <c r="K619" s="172" t="s">
        <v>337</v>
      </c>
      <c r="L619" s="175">
        <f t="shared" si="67"/>
        <v>0</v>
      </c>
      <c r="M619" s="174">
        <f>+L619/L630</f>
        <v>0</v>
      </c>
      <c r="N619" s="170">
        <v>0</v>
      </c>
      <c r="O619" s="171">
        <f>VLOOKUP(N619,'RESUMEN RENDIMIENTOS'!$V$6:$W$158,2,FALSE)</f>
        <v>0</v>
      </c>
      <c r="P619" s="177"/>
      <c r="Q619" s="172" t="s">
        <v>337</v>
      </c>
      <c r="R619" s="175">
        <f t="shared" si="68"/>
        <v>0</v>
      </c>
      <c r="S619" s="174">
        <f>+R619/R630</f>
        <v>0</v>
      </c>
    </row>
    <row r="620" spans="2:19">
      <c r="B620" s="170" t="s">
        <v>197</v>
      </c>
      <c r="C620" s="171">
        <f>VLOOKUP(B620,'RESUMEN RENDIMIENTOS'!$V$6:$W$158,2,FALSE)</f>
        <v>600</v>
      </c>
      <c r="D620" s="177" t="s">
        <v>58</v>
      </c>
      <c r="E620" s="172">
        <v>12</v>
      </c>
      <c r="F620" s="173">
        <f t="shared" si="66"/>
        <v>8.0971659919028341E-3</v>
      </c>
      <c r="G620" s="174">
        <f>+F620/F630</f>
        <v>2.8369041252132108E-2</v>
      </c>
      <c r="H620" s="170">
        <v>0</v>
      </c>
      <c r="I620" s="171">
        <f>VLOOKUP(H620,'RESUMEN RENDIMIENTOS'!$V$6:$W$158,2,FALSE)</f>
        <v>0</v>
      </c>
      <c r="J620" s="177"/>
      <c r="K620" s="172" t="s">
        <v>337</v>
      </c>
      <c r="L620" s="175">
        <f t="shared" si="67"/>
        <v>0</v>
      </c>
      <c r="M620" s="174">
        <f>+L620/L630</f>
        <v>0</v>
      </c>
      <c r="N620" s="170">
        <v>0</v>
      </c>
      <c r="O620" s="171">
        <f>VLOOKUP(N620,'RESUMEN RENDIMIENTOS'!$V$6:$W$158,2,FALSE)</f>
        <v>0</v>
      </c>
      <c r="P620" s="177"/>
      <c r="Q620" s="172" t="s">
        <v>337</v>
      </c>
      <c r="R620" s="175">
        <f t="shared" si="68"/>
        <v>0</v>
      </c>
      <c r="S620" s="174">
        <f>+R620/R630</f>
        <v>0</v>
      </c>
    </row>
    <row r="621" spans="2:19">
      <c r="B621" s="170">
        <v>0</v>
      </c>
      <c r="C621" s="171">
        <f>VLOOKUP(B621,'RESUMEN RENDIMIENTOS'!$V$6:$W$158,2,FALSE)</f>
        <v>0</v>
      </c>
      <c r="D621" s="177"/>
      <c r="E621" s="172" t="s">
        <v>337</v>
      </c>
      <c r="F621" s="173">
        <f t="shared" si="66"/>
        <v>0</v>
      </c>
      <c r="G621" s="174">
        <f>+F621/F630</f>
        <v>0</v>
      </c>
      <c r="H621" s="170">
        <v>0</v>
      </c>
      <c r="I621" s="171">
        <f>VLOOKUP(H621,'RESUMEN RENDIMIENTOS'!$V$6:$W$158,2,FALSE)</f>
        <v>0</v>
      </c>
      <c r="J621" s="177"/>
      <c r="K621" s="172" t="s">
        <v>337</v>
      </c>
      <c r="L621" s="175">
        <f t="shared" si="67"/>
        <v>0</v>
      </c>
      <c r="M621" s="174">
        <f>+L621/L630</f>
        <v>0</v>
      </c>
      <c r="N621" s="170">
        <v>0</v>
      </c>
      <c r="O621" s="171">
        <f>VLOOKUP(N621,'RESUMEN RENDIMIENTOS'!$V$6:$W$158,2,FALSE)</f>
        <v>0</v>
      </c>
      <c r="P621" s="177"/>
      <c r="Q621" s="172" t="s">
        <v>337</v>
      </c>
      <c r="R621" s="175">
        <f t="shared" si="68"/>
        <v>0</v>
      </c>
      <c r="S621" s="174">
        <f>+R621/R630</f>
        <v>0</v>
      </c>
    </row>
    <row r="622" spans="2:19">
      <c r="B622" s="170">
        <v>0</v>
      </c>
      <c r="C622" s="171">
        <f>VLOOKUP(B622,'RESUMEN RENDIMIENTOS'!$V$6:$W$158,2,FALSE)</f>
        <v>0</v>
      </c>
      <c r="D622" s="177"/>
      <c r="E622" s="172" t="s">
        <v>337</v>
      </c>
      <c r="F622" s="173">
        <f t="shared" si="66"/>
        <v>0</v>
      </c>
      <c r="G622" s="174">
        <f>+F622/F630</f>
        <v>0</v>
      </c>
      <c r="H622" s="170">
        <v>0</v>
      </c>
      <c r="I622" s="171">
        <f>VLOOKUP(H622,'RESUMEN RENDIMIENTOS'!$V$6:$W$158,2,FALSE)</f>
        <v>0</v>
      </c>
      <c r="J622" s="177"/>
      <c r="K622" s="172" t="s">
        <v>337</v>
      </c>
      <c r="L622" s="175">
        <f t="shared" si="67"/>
        <v>0</v>
      </c>
      <c r="M622" s="174">
        <f>+L622/L630</f>
        <v>0</v>
      </c>
      <c r="N622" s="170">
        <v>0</v>
      </c>
      <c r="O622" s="171">
        <f>VLOOKUP(N622,'RESUMEN RENDIMIENTOS'!$V$6:$W$158,2,FALSE)</f>
        <v>0</v>
      </c>
      <c r="P622" s="177"/>
      <c r="Q622" s="172" t="s">
        <v>337</v>
      </c>
      <c r="R622" s="175">
        <f t="shared" si="68"/>
        <v>0</v>
      </c>
      <c r="S622" s="174">
        <f>+R622/R630</f>
        <v>0</v>
      </c>
    </row>
    <row r="623" spans="2:19">
      <c r="B623" s="170">
        <v>0</v>
      </c>
      <c r="C623" s="171">
        <f>VLOOKUP(B623,'RESUMEN RENDIMIENTOS'!$V$6:$W$158,2,FALSE)</f>
        <v>0</v>
      </c>
      <c r="D623" s="177"/>
      <c r="E623" s="172" t="s">
        <v>337</v>
      </c>
      <c r="F623" s="173">
        <f t="shared" si="66"/>
        <v>0</v>
      </c>
      <c r="G623" s="174">
        <f>+F623/F630</f>
        <v>0</v>
      </c>
      <c r="H623" s="170">
        <v>0</v>
      </c>
      <c r="I623" s="171">
        <f>VLOOKUP(H623,'RESUMEN RENDIMIENTOS'!$V$6:$W$158,2,FALSE)</f>
        <v>0</v>
      </c>
      <c r="J623" s="177"/>
      <c r="K623" s="172" t="s">
        <v>337</v>
      </c>
      <c r="L623" s="175">
        <f t="shared" si="67"/>
        <v>0</v>
      </c>
      <c r="M623" s="174">
        <f>+L623/L630</f>
        <v>0</v>
      </c>
      <c r="N623" s="170">
        <v>0</v>
      </c>
      <c r="O623" s="171">
        <f>VLOOKUP(N623,'RESUMEN RENDIMIENTOS'!$V$6:$W$158,2,FALSE)</f>
        <v>0</v>
      </c>
      <c r="P623" s="177"/>
      <c r="Q623" s="172" t="s">
        <v>337</v>
      </c>
      <c r="R623" s="175">
        <f t="shared" si="68"/>
        <v>0</v>
      </c>
      <c r="S623" s="174">
        <f>+R623/R630</f>
        <v>0</v>
      </c>
    </row>
    <row r="624" spans="2:19">
      <c r="B624" s="170">
        <v>0</v>
      </c>
      <c r="C624" s="171">
        <f>VLOOKUP(B624,'RESUMEN RENDIMIENTOS'!$V$6:$W$158,2,FALSE)</f>
        <v>0</v>
      </c>
      <c r="D624" s="177"/>
      <c r="E624" s="172" t="s">
        <v>337</v>
      </c>
      <c r="F624" s="173">
        <f t="shared" si="66"/>
        <v>0</v>
      </c>
      <c r="G624" s="174">
        <f>+F624/F630</f>
        <v>0</v>
      </c>
      <c r="H624" s="170">
        <v>0</v>
      </c>
      <c r="I624" s="171">
        <f>VLOOKUP(H624,'RESUMEN RENDIMIENTOS'!$V$6:$W$158,2,FALSE)</f>
        <v>0</v>
      </c>
      <c r="J624" s="177"/>
      <c r="K624" s="172" t="s">
        <v>337</v>
      </c>
      <c r="L624" s="175">
        <f t="shared" si="67"/>
        <v>0</v>
      </c>
      <c r="M624" s="174">
        <f>+L624/L630</f>
        <v>0</v>
      </c>
      <c r="N624" s="170">
        <v>0</v>
      </c>
      <c r="O624" s="171">
        <f>VLOOKUP(N624,'RESUMEN RENDIMIENTOS'!$V$6:$W$158,2,FALSE)</f>
        <v>0</v>
      </c>
      <c r="P624" s="177"/>
      <c r="Q624" s="172" t="s">
        <v>337</v>
      </c>
      <c r="R624" s="175">
        <f t="shared" si="68"/>
        <v>0</v>
      </c>
      <c r="S624" s="174">
        <f>+R624/R630</f>
        <v>0</v>
      </c>
    </row>
    <row r="625" spans="2:19">
      <c r="B625" s="170">
        <v>0</v>
      </c>
      <c r="C625" s="171">
        <f>VLOOKUP(B625,'RESUMEN RENDIMIENTOS'!$V$6:$W$158,2,FALSE)</f>
        <v>0</v>
      </c>
      <c r="D625" s="177"/>
      <c r="E625" s="172" t="s">
        <v>337</v>
      </c>
      <c r="F625" s="173">
        <f t="shared" si="66"/>
        <v>0</v>
      </c>
      <c r="G625" s="174">
        <f>+F625/F630</f>
        <v>0</v>
      </c>
      <c r="H625" s="170">
        <v>0</v>
      </c>
      <c r="I625" s="171">
        <f>VLOOKUP(H625,'RESUMEN RENDIMIENTOS'!$V$6:$W$158,2,FALSE)</f>
        <v>0</v>
      </c>
      <c r="J625" s="177"/>
      <c r="K625" s="172" t="s">
        <v>337</v>
      </c>
      <c r="L625" s="175">
        <f t="shared" si="67"/>
        <v>0</v>
      </c>
      <c r="M625" s="174">
        <f>+L625/L630</f>
        <v>0</v>
      </c>
      <c r="N625" s="170">
        <v>0</v>
      </c>
      <c r="O625" s="171">
        <f>VLOOKUP(N625,'RESUMEN RENDIMIENTOS'!$V$6:$W$158,2,FALSE)</f>
        <v>0</v>
      </c>
      <c r="P625" s="177"/>
      <c r="Q625" s="172" t="s">
        <v>337</v>
      </c>
      <c r="R625" s="175">
        <f t="shared" si="68"/>
        <v>0</v>
      </c>
      <c r="S625" s="174">
        <f>+R625/R630</f>
        <v>0</v>
      </c>
    </row>
    <row r="626" spans="2:19">
      <c r="B626" s="170">
        <v>0</v>
      </c>
      <c r="C626" s="171">
        <f>VLOOKUP(B626,'RESUMEN RENDIMIENTOS'!$V$6:$W$158,2,FALSE)</f>
        <v>0</v>
      </c>
      <c r="D626" s="177"/>
      <c r="E626" s="172" t="s">
        <v>337</v>
      </c>
      <c r="F626" s="175">
        <f t="shared" si="66"/>
        <v>0</v>
      </c>
      <c r="G626" s="174">
        <f>+F626/F630</f>
        <v>0</v>
      </c>
      <c r="H626" s="170">
        <v>0</v>
      </c>
      <c r="I626" s="171">
        <f>VLOOKUP(H626,'RESUMEN RENDIMIENTOS'!$V$6:$W$158,2,FALSE)</f>
        <v>0</v>
      </c>
      <c r="J626" s="177"/>
      <c r="K626" s="172" t="s">
        <v>337</v>
      </c>
      <c r="L626" s="175">
        <f t="shared" si="67"/>
        <v>0</v>
      </c>
      <c r="M626" s="174">
        <f>+L626/L630</f>
        <v>0</v>
      </c>
      <c r="N626" s="170">
        <v>0</v>
      </c>
      <c r="O626" s="171">
        <f>VLOOKUP(N626,'RESUMEN RENDIMIENTOS'!$V$6:$W$158,2,FALSE)</f>
        <v>0</v>
      </c>
      <c r="P626" s="177"/>
      <c r="Q626" s="172" t="s">
        <v>337</v>
      </c>
      <c r="R626" s="175">
        <f t="shared" si="68"/>
        <v>0</v>
      </c>
      <c r="S626" s="174">
        <f>+R626/R630</f>
        <v>0</v>
      </c>
    </row>
    <row r="627" spans="2:19">
      <c r="B627" s="170">
        <v>0</v>
      </c>
      <c r="C627" s="171">
        <f>VLOOKUP(B627,'RESUMEN RENDIMIENTOS'!$V$6:$W$158,2,FALSE)</f>
        <v>0</v>
      </c>
      <c r="D627" s="177"/>
      <c r="E627" s="172" t="s">
        <v>337</v>
      </c>
      <c r="F627" s="175">
        <f t="shared" si="66"/>
        <v>0</v>
      </c>
      <c r="G627" s="174">
        <f>+F627/F630</f>
        <v>0</v>
      </c>
      <c r="H627" s="170">
        <v>0</v>
      </c>
      <c r="I627" s="171">
        <f>VLOOKUP(H627,'RESUMEN RENDIMIENTOS'!$V$6:$W$158,2,FALSE)</f>
        <v>0</v>
      </c>
      <c r="J627" s="177"/>
      <c r="K627" s="172" t="s">
        <v>337</v>
      </c>
      <c r="L627" s="175">
        <f t="shared" si="67"/>
        <v>0</v>
      </c>
      <c r="M627" s="174">
        <f>+L627/L630</f>
        <v>0</v>
      </c>
      <c r="N627" s="170">
        <v>0</v>
      </c>
      <c r="O627" s="171">
        <f>VLOOKUP(N627,'RESUMEN RENDIMIENTOS'!$V$6:$W$158,2,FALSE)</f>
        <v>0</v>
      </c>
      <c r="P627" s="177"/>
      <c r="Q627" s="172" t="s">
        <v>337</v>
      </c>
      <c r="R627" s="175">
        <f t="shared" si="68"/>
        <v>0</v>
      </c>
      <c r="S627" s="174">
        <f>+R627/R630</f>
        <v>0</v>
      </c>
    </row>
    <row r="628" spans="2:19">
      <c r="B628" s="170">
        <v>0</v>
      </c>
      <c r="C628" s="171">
        <f>VLOOKUP(B628,'RESUMEN RENDIMIENTOS'!$V$6:$W$158,2,FALSE)</f>
        <v>0</v>
      </c>
      <c r="D628" s="177"/>
      <c r="E628" s="172" t="s">
        <v>337</v>
      </c>
      <c r="F628" s="175">
        <f t="shared" si="66"/>
        <v>0</v>
      </c>
      <c r="G628" s="174">
        <f>+F628/F630</f>
        <v>0</v>
      </c>
      <c r="H628" s="170">
        <v>0</v>
      </c>
      <c r="I628" s="171">
        <f>VLOOKUP(H628,'RESUMEN RENDIMIENTOS'!$V$6:$W$158,2,FALSE)</f>
        <v>0</v>
      </c>
      <c r="J628" s="177"/>
      <c r="K628" s="172" t="s">
        <v>337</v>
      </c>
      <c r="L628" s="175">
        <f t="shared" si="67"/>
        <v>0</v>
      </c>
      <c r="M628" s="174">
        <f>+L628/L630</f>
        <v>0</v>
      </c>
      <c r="N628" s="170">
        <v>0</v>
      </c>
      <c r="O628" s="171">
        <f>VLOOKUP(N628,'RESUMEN RENDIMIENTOS'!$V$6:$W$158,2,FALSE)</f>
        <v>0</v>
      </c>
      <c r="P628" s="177"/>
      <c r="Q628" s="172" t="s">
        <v>337</v>
      </c>
      <c r="R628" s="175">
        <f t="shared" si="68"/>
        <v>0</v>
      </c>
      <c r="S628" s="174">
        <f>+R628/R630</f>
        <v>0</v>
      </c>
    </row>
    <row r="629" spans="2:19">
      <c r="B629" s="170">
        <v>0</v>
      </c>
      <c r="C629" s="171">
        <f>VLOOKUP(B629,'RESUMEN RENDIMIENTOS'!$V$6:$W$158,2,FALSE)</f>
        <v>0</v>
      </c>
      <c r="D629" s="177"/>
      <c r="E629" s="172" t="s">
        <v>337</v>
      </c>
      <c r="F629" s="173">
        <f t="shared" si="66"/>
        <v>0</v>
      </c>
      <c r="G629" s="174">
        <f>+F629/F630</f>
        <v>0</v>
      </c>
      <c r="H629" s="170">
        <v>0</v>
      </c>
      <c r="I629" s="171">
        <f>VLOOKUP(H629,'RESUMEN RENDIMIENTOS'!$V$6:$W$158,2,FALSE)</f>
        <v>0</v>
      </c>
      <c r="J629" s="177"/>
      <c r="K629" s="172" t="s">
        <v>337</v>
      </c>
      <c r="L629" s="175">
        <f t="shared" si="67"/>
        <v>0</v>
      </c>
      <c r="M629" s="174">
        <f>+L629/L630</f>
        <v>0</v>
      </c>
      <c r="N629" s="170">
        <v>0</v>
      </c>
      <c r="O629" s="171">
        <f>VLOOKUP(N629,'RESUMEN RENDIMIENTOS'!$V$6:$W$158,2,FALSE)</f>
        <v>0</v>
      </c>
      <c r="P629" s="177"/>
      <c r="Q629" s="172" t="s">
        <v>337</v>
      </c>
      <c r="R629" s="175">
        <f t="shared" si="68"/>
        <v>0</v>
      </c>
      <c r="S629" s="174">
        <f>+R629/R630</f>
        <v>0</v>
      </c>
    </row>
    <row r="630" spans="2:19" ht="25" thickBot="1">
      <c r="B630" s="178"/>
      <c r="E630" s="90"/>
      <c r="F630" s="173">
        <f>SUM(F614:F629)</f>
        <v>0.2854226168568274</v>
      </c>
      <c r="G630" s="181">
        <f>+F630/F630</f>
        <v>1</v>
      </c>
      <c r="H630" s="178"/>
      <c r="I630" s="179"/>
      <c r="J630" s="182" t="s">
        <v>24</v>
      </c>
      <c r="K630" s="90"/>
      <c r="L630" s="173">
        <f>SUM(L614:L629)</f>
        <v>0.12424242424242424</v>
      </c>
      <c r="M630" s="181">
        <f>+L630/L630</f>
        <v>1</v>
      </c>
      <c r="N630" s="178"/>
      <c r="O630" s="179"/>
      <c r="Q630" s="90"/>
      <c r="R630" s="175">
        <f>SUM(R614:R629)</f>
        <v>6.1111111111111109E-2</v>
      </c>
      <c r="S630" s="181">
        <f>+R630/R630</f>
        <v>1</v>
      </c>
    </row>
    <row r="631" spans="2:19" ht="18" customHeight="1">
      <c r="B631" s="427" t="s">
        <v>317</v>
      </c>
      <c r="C631" s="428"/>
      <c r="D631" s="429"/>
      <c r="E631" s="185">
        <v>0.12</v>
      </c>
      <c r="F631" s="173">
        <f>+F630*E631</f>
        <v>3.425071402281929E-2</v>
      </c>
      <c r="H631" s="427" t="s">
        <v>317</v>
      </c>
      <c r="I631" s="428"/>
      <c r="J631" s="429"/>
      <c r="K631" s="185">
        <v>0.12</v>
      </c>
      <c r="L631" s="173">
        <f>+L630*K631</f>
        <v>1.4909090909090908E-2</v>
      </c>
      <c r="N631" s="427" t="s">
        <v>317</v>
      </c>
      <c r="O631" s="428"/>
      <c r="P631" s="429"/>
      <c r="Q631" s="185">
        <v>0.12</v>
      </c>
      <c r="R631" s="175">
        <f>+R630*Q631</f>
        <v>7.3333333333333332E-3</v>
      </c>
    </row>
    <row r="632" spans="2:19" ht="18" customHeight="1">
      <c r="B632" s="178"/>
      <c r="F632" s="173">
        <f>+F631+F630</f>
        <v>0.31967333087964667</v>
      </c>
      <c r="G632" s="187">
        <f>+F632/24</f>
        <v>1.3319722119985278E-2</v>
      </c>
      <c r="H632" s="178"/>
      <c r="I632" s="179"/>
      <c r="K632" s="88"/>
      <c r="L632" s="173">
        <f>+L631+L630</f>
        <v>0.13915151515151514</v>
      </c>
      <c r="M632" s="187">
        <f>+L632/24</f>
        <v>5.7979797979797977E-3</v>
      </c>
      <c r="N632" s="178"/>
      <c r="O632" s="179"/>
      <c r="R632" s="175">
        <f>+R631+R630</f>
        <v>6.8444444444444447E-2</v>
      </c>
      <c r="S632" s="187">
        <f>+R632/24</f>
        <v>2.8518518518518519E-3</v>
      </c>
    </row>
    <row r="633" spans="2:19">
      <c r="B633" s="178"/>
      <c r="D633" s="188"/>
      <c r="F633" s="189"/>
      <c r="H633" s="178"/>
      <c r="I633" s="179"/>
      <c r="J633" s="188"/>
      <c r="K633" s="88"/>
      <c r="L633" s="189"/>
      <c r="N633" s="178"/>
      <c r="O633" s="179"/>
      <c r="P633" s="188"/>
      <c r="R633" s="189"/>
    </row>
    <row r="634" spans="2:19" ht="21">
      <c r="B634" s="191" t="s">
        <v>318</v>
      </c>
      <c r="C634" s="192"/>
      <c r="D634" s="192"/>
      <c r="E634" s="444">
        <f>IF(F632=0,0,(100/F632))</f>
        <v>312.81933880699245</v>
      </c>
      <c r="F634" s="445"/>
      <c r="H634" s="191" t="s">
        <v>318</v>
      </c>
      <c r="I634" s="192"/>
      <c r="J634" s="192"/>
      <c r="K634" s="444">
        <f>IF(L632=0,0,(100/L632))</f>
        <v>718.64111498257842</v>
      </c>
      <c r="L634" s="445"/>
      <c r="N634" s="191" t="s">
        <v>318</v>
      </c>
      <c r="O634" s="192"/>
      <c r="P634" s="192"/>
      <c r="Q634" s="444">
        <f>IF(R632=0,0,(100/R632))</f>
        <v>1461.0389610389609</v>
      </c>
      <c r="R634" s="445"/>
    </row>
    <row r="635" spans="2:19">
      <c r="B635" s="178"/>
      <c r="F635" s="189"/>
      <c r="H635" s="178"/>
      <c r="I635" s="179"/>
      <c r="K635" s="88"/>
      <c r="L635" s="189"/>
      <c r="N635" s="178"/>
      <c r="O635" s="179"/>
      <c r="R635" s="189"/>
    </row>
    <row r="636" spans="2:19" ht="21">
      <c r="B636" s="446" t="s">
        <v>319</v>
      </c>
      <c r="C636" s="447"/>
      <c r="D636" s="447"/>
      <c r="E636" s="447"/>
      <c r="F636" s="448"/>
      <c r="H636" s="446" t="s">
        <v>319</v>
      </c>
      <c r="I636" s="447"/>
      <c r="J636" s="447"/>
      <c r="K636" s="447"/>
      <c r="L636" s="448"/>
      <c r="N636" s="446" t="s">
        <v>319</v>
      </c>
      <c r="O636" s="447"/>
      <c r="P636" s="447"/>
      <c r="Q636" s="447"/>
      <c r="R636" s="448"/>
    </row>
    <row r="637" spans="2:19" ht="18" customHeight="1">
      <c r="B637" s="194" t="s">
        <v>320</v>
      </c>
      <c r="C637" s="195"/>
      <c r="D637" s="435" t="s">
        <v>321</v>
      </c>
      <c r="E637" s="435"/>
      <c r="F637" s="196" t="s">
        <v>322</v>
      </c>
      <c r="H637" s="194" t="s">
        <v>320</v>
      </c>
      <c r="I637" s="195"/>
      <c r="J637" s="435" t="s">
        <v>321</v>
      </c>
      <c r="K637" s="435"/>
      <c r="L637" s="196" t="s">
        <v>322</v>
      </c>
      <c r="N637" s="194" t="s">
        <v>320</v>
      </c>
      <c r="O637" s="195"/>
      <c r="P637" s="435" t="s">
        <v>321</v>
      </c>
      <c r="Q637" s="435"/>
      <c r="R637" s="196" t="s">
        <v>322</v>
      </c>
    </row>
    <row r="638" spans="2:19">
      <c r="B638" s="197" t="s">
        <v>278</v>
      </c>
      <c r="C638" s="201">
        <v>1</v>
      </c>
      <c r="E638" s="199">
        <f>IF(C638=0,0,(VLOOKUP(B638,'RESUMEN RENDIMIENTOS'!$AB$6:$AO$64,13,FALSE)))*C638</f>
        <v>0.75</v>
      </c>
      <c r="F638" s="200">
        <f>IF(C638=0,0,(VLOOKUP(B638,'RESUMEN RENDIMIENTOS'!$AB$6:$AO$64,14,FALSE)))*C638</f>
        <v>1.0285714285714287E-2</v>
      </c>
      <c r="H638" s="197" t="s">
        <v>278</v>
      </c>
      <c r="I638" s="201">
        <v>1</v>
      </c>
      <c r="K638" s="199">
        <f>IF(I638=0,0,(VLOOKUP(H638,'RESUMEN RENDIMIENTOS'!$AB$6:$AO$64,13,FALSE)))*I638</f>
        <v>0.75</v>
      </c>
      <c r="L638" s="200">
        <f>IF(I638=0,0,(VLOOKUP(H638,'RESUMEN RENDIMIENTOS'!$AB$6:$AO$64,14,FALSE)))*I638</f>
        <v>1.0285714285714287E-2</v>
      </c>
      <c r="N638" s="197" t="s">
        <v>278</v>
      </c>
      <c r="O638" s="201">
        <v>1</v>
      </c>
      <c r="Q638" s="199">
        <f>IF(O638=0,0,(VLOOKUP(N638,'RESUMEN RENDIMIENTOS'!$AB$6:$AO$64,13,FALSE)))*O638</f>
        <v>0.75</v>
      </c>
      <c r="R638" s="200">
        <f>IF(O638=0,0,(VLOOKUP(N638,'RESUMEN RENDIMIENTOS'!$AB$6:$AO$64,14,FALSE)))*O638</f>
        <v>1.0285714285714287E-2</v>
      </c>
    </row>
    <row r="639" spans="2:19">
      <c r="B639" s="197" t="s">
        <v>279</v>
      </c>
      <c r="C639" s="201">
        <v>1</v>
      </c>
      <c r="E639" s="199">
        <f>IF(C639=0,0,(VLOOKUP(B639,'RESUMEN RENDIMIENTOS'!$AB$6:$AO$64,13,FALSE)))*C639</f>
        <v>2</v>
      </c>
      <c r="F639" s="200">
        <f>IF(C639=0,0,(VLOOKUP(B639,'RESUMEN RENDIMIENTOS'!$AB$6:$AO$64,14,FALSE)))*C639</f>
        <v>9.5999999999999988E-2</v>
      </c>
      <c r="H639" s="197" t="s">
        <v>279</v>
      </c>
      <c r="I639" s="201">
        <v>1</v>
      </c>
      <c r="K639" s="199">
        <f>IF(I639=0,0,(VLOOKUP(H639,'RESUMEN RENDIMIENTOS'!$AB$6:$AO$64,13,FALSE)))*I639</f>
        <v>2</v>
      </c>
      <c r="L639" s="200">
        <f>IF(I639=0,0,(VLOOKUP(H639,'RESUMEN RENDIMIENTOS'!$AB$6:$AO$64,14,FALSE)))*I639</f>
        <v>9.5999999999999988E-2</v>
      </c>
      <c r="N639" s="197" t="s">
        <v>279</v>
      </c>
      <c r="O639" s="201">
        <v>1</v>
      </c>
      <c r="Q639" s="199">
        <f>IF(O639=0,0,(VLOOKUP(N639,'RESUMEN RENDIMIENTOS'!$AB$6:$AO$64,13,FALSE)))*O639</f>
        <v>2</v>
      </c>
      <c r="R639" s="200">
        <f>IF(O639=0,0,(VLOOKUP(N639,'RESUMEN RENDIMIENTOS'!$AB$6:$AO$64,14,FALSE)))*O639</f>
        <v>9.5999999999999988E-2</v>
      </c>
    </row>
    <row r="640" spans="2:19">
      <c r="B640" s="197" t="s">
        <v>284</v>
      </c>
      <c r="C640" s="201">
        <v>0.25</v>
      </c>
      <c r="E640" s="199">
        <f>IF(C640=0,0,(VLOOKUP(B640,'RESUMEN RENDIMIENTOS'!$AB$6:$AO$64,13,FALSE)))*C640</f>
        <v>0.52500000000000002</v>
      </c>
      <c r="F640" s="200">
        <f>IF(C640=0,0,(VLOOKUP(B640,'RESUMEN RENDIMIENTOS'!$AB$6:$AO$64,14,FALSE)))*C640</f>
        <v>4.2000000000000003E-2</v>
      </c>
      <c r="H640" s="197" t="s">
        <v>284</v>
      </c>
      <c r="I640" s="201">
        <v>0.25</v>
      </c>
      <c r="K640" s="199">
        <f>IF(I640=0,0,(VLOOKUP(H640,'RESUMEN RENDIMIENTOS'!$AB$6:$AO$64,13,FALSE)))*I640</f>
        <v>0.52500000000000002</v>
      </c>
      <c r="L640" s="200">
        <f>IF(I640=0,0,(VLOOKUP(H640,'RESUMEN RENDIMIENTOS'!$AB$6:$AO$64,14,FALSE)))*I640</f>
        <v>4.2000000000000003E-2</v>
      </c>
      <c r="N640" s="197" t="s">
        <v>284</v>
      </c>
      <c r="O640" s="201">
        <v>0.25</v>
      </c>
      <c r="Q640" s="199">
        <f>IF(O640=0,0,(VLOOKUP(N640,'RESUMEN RENDIMIENTOS'!$AB$6:$AO$64,13,FALSE)))*O640</f>
        <v>0.52500000000000002</v>
      </c>
      <c r="R640" s="200">
        <f>IF(O640=0,0,(VLOOKUP(N640,'RESUMEN RENDIMIENTOS'!$AB$6:$AO$64,14,FALSE)))*O640</f>
        <v>4.2000000000000003E-2</v>
      </c>
    </row>
    <row r="641" spans="2:19">
      <c r="B641" s="197" t="s">
        <v>283</v>
      </c>
      <c r="C641" s="201">
        <v>1</v>
      </c>
      <c r="E641" s="199">
        <f>IF(C641=0,0,(VLOOKUP(B641,'RESUMEN RENDIMIENTOS'!$AB$6:$AO$64,13,FALSE)))*C641</f>
        <v>1.59</v>
      </c>
      <c r="F641" s="200">
        <f>IF(C641=0,0,(VLOOKUP(B641,'RESUMEN RENDIMIENTOS'!$AB$6:$AO$64,14,FALSE)))*C641</f>
        <v>0.12720000000000001</v>
      </c>
      <c r="H641" s="197" t="s">
        <v>283</v>
      </c>
      <c r="I641" s="201">
        <v>1</v>
      </c>
      <c r="K641" s="199">
        <f>IF(I641=0,0,(VLOOKUP(H641,'RESUMEN RENDIMIENTOS'!$AB$6:$AO$64,13,FALSE)))*I641</f>
        <v>1.59</v>
      </c>
      <c r="L641" s="200">
        <f>IF(I641=0,0,(VLOOKUP(H641,'RESUMEN RENDIMIENTOS'!$AB$6:$AO$64,14,FALSE)))*I641</f>
        <v>0.12720000000000001</v>
      </c>
      <c r="N641" s="197" t="s">
        <v>283</v>
      </c>
      <c r="O641" s="201">
        <v>1</v>
      </c>
      <c r="Q641" s="199">
        <f>IF(O641=0,0,(VLOOKUP(N641,'RESUMEN RENDIMIENTOS'!$AB$6:$AO$64,13,FALSE)))*O641</f>
        <v>1.59</v>
      </c>
      <c r="R641" s="200">
        <f>IF(O641=0,0,(VLOOKUP(N641,'RESUMEN RENDIMIENTOS'!$AB$6:$AO$64,14,FALSE)))*O641</f>
        <v>0.12720000000000001</v>
      </c>
    </row>
    <row r="642" spans="2:19">
      <c r="B642" s="197" t="s">
        <v>282</v>
      </c>
      <c r="C642" s="201">
        <v>1</v>
      </c>
      <c r="E642" s="199">
        <f>IF(C642=0,0,(VLOOKUP(B642,'RESUMEN RENDIMIENTOS'!$AB$6:$AO$64,13,FALSE)))*C642</f>
        <v>2.62</v>
      </c>
      <c r="F642" s="200">
        <f>IF(C642=0,0,(VLOOKUP(B642,'RESUMEN RENDIMIENTOS'!$AB$6:$AO$64,14,FALSE)))*C642</f>
        <v>6.986666666666666E-2</v>
      </c>
      <c r="H642" s="197" t="s">
        <v>282</v>
      </c>
      <c r="I642" s="201">
        <v>1</v>
      </c>
      <c r="K642" s="199">
        <f>IF(I642=0,0,(VLOOKUP(H642,'RESUMEN RENDIMIENTOS'!$AB$6:$AO$64,13,FALSE)))*I642</f>
        <v>2.62</v>
      </c>
      <c r="L642" s="200">
        <f>IF(I642=0,0,(VLOOKUP(H642,'RESUMEN RENDIMIENTOS'!$AB$6:$AO$64,14,FALSE)))*I642</f>
        <v>6.986666666666666E-2</v>
      </c>
      <c r="N642" s="197" t="s">
        <v>282</v>
      </c>
      <c r="O642" s="201">
        <v>1</v>
      </c>
      <c r="Q642" s="199">
        <f>IF(O642=0,0,(VLOOKUP(N642,'RESUMEN RENDIMIENTOS'!$AB$6:$AO$64,13,FALSE)))*O642</f>
        <v>2.62</v>
      </c>
      <c r="R642" s="200">
        <f>IF(O642=0,0,(VLOOKUP(N642,'RESUMEN RENDIMIENTOS'!$AB$6:$AO$64,14,FALSE)))*O642</f>
        <v>6.986666666666666E-2</v>
      </c>
    </row>
    <row r="643" spans="2:19">
      <c r="B643" s="197" t="s">
        <v>302</v>
      </c>
      <c r="C643" s="201">
        <v>1</v>
      </c>
      <c r="E643" s="199">
        <f>IF(C643=0,0,(VLOOKUP(B643,'RESUMEN RENDIMIENTOS'!$AB$6:$AO$64,13,FALSE)))*C643</f>
        <v>1</v>
      </c>
      <c r="F643" s="200">
        <f>IF(C643=0,0,(VLOOKUP(B643,'RESUMEN RENDIMIENTOS'!$AB$6:$AO$64,14,FALSE)))*C643</f>
        <v>0.2</v>
      </c>
      <c r="H643" s="197" t="s">
        <v>302</v>
      </c>
      <c r="I643" s="201">
        <v>1</v>
      </c>
      <c r="K643" s="199">
        <f>IF(I643=0,0,(VLOOKUP(H643,'RESUMEN RENDIMIENTOS'!$AB$6:$AO$64,13,FALSE)))*I643</f>
        <v>1</v>
      </c>
      <c r="L643" s="200">
        <f>IF(I643=0,0,(VLOOKUP(H643,'RESUMEN RENDIMIENTOS'!$AB$6:$AO$64,14,FALSE)))*I643</f>
        <v>0.2</v>
      </c>
      <c r="N643" s="197" t="s">
        <v>302</v>
      </c>
      <c r="O643" s="201">
        <v>1</v>
      </c>
      <c r="Q643" s="199">
        <f>IF(O643=0,0,(VLOOKUP(N643,'RESUMEN RENDIMIENTOS'!$AB$6:$AO$64,13,FALSE)))*O643</f>
        <v>1</v>
      </c>
      <c r="R643" s="200">
        <f>IF(O643=0,0,(VLOOKUP(N643,'RESUMEN RENDIMIENTOS'!$AB$6:$AO$64,14,FALSE)))*O643</f>
        <v>0.2</v>
      </c>
    </row>
    <row r="644" spans="2:19">
      <c r="B644" s="202"/>
      <c r="F644" s="206">
        <f>SUM(F638:F643)</f>
        <v>0.54535238095238103</v>
      </c>
      <c r="G644" s="205">
        <f>+F644</f>
        <v>0.54535238095238103</v>
      </c>
      <c r="H644" s="202"/>
      <c r="I644" s="179"/>
      <c r="K644" s="88"/>
      <c r="L644" s="206">
        <f>SUM(L638:L643)</f>
        <v>0.54535238095238103</v>
      </c>
      <c r="M644" s="205">
        <f>+L644</f>
        <v>0.54535238095238103</v>
      </c>
      <c r="N644" s="202"/>
      <c r="O644" s="179"/>
      <c r="R644" s="206">
        <f>SUM(R638:R643)</f>
        <v>0.54535238095238103</v>
      </c>
      <c r="S644" s="205">
        <f>+R644</f>
        <v>0.54535238095238103</v>
      </c>
    </row>
    <row r="645" spans="2:19">
      <c r="B645" s="436" t="s">
        <v>324</v>
      </c>
      <c r="C645" s="437"/>
      <c r="D645" s="437"/>
      <c r="E645" s="437"/>
      <c r="F645" s="455"/>
      <c r="G645" s="205"/>
      <c r="H645" s="436" t="s">
        <v>324</v>
      </c>
      <c r="I645" s="437"/>
      <c r="J645" s="437"/>
      <c r="K645" s="437"/>
      <c r="L645" s="455"/>
      <c r="M645" s="205"/>
      <c r="N645" s="436" t="s">
        <v>324</v>
      </c>
      <c r="O645" s="437"/>
      <c r="P645" s="437"/>
      <c r="Q645" s="437"/>
      <c r="R645" s="455"/>
      <c r="S645" s="205"/>
    </row>
    <row r="646" spans="2:19">
      <c r="B646" s="210" t="s">
        <v>325</v>
      </c>
      <c r="C646" s="211">
        <v>1</v>
      </c>
      <c r="D646" s="212">
        <v>21.712335174960327</v>
      </c>
      <c r="E646" s="213">
        <f>F632</f>
        <v>0.31967333087964667</v>
      </c>
      <c r="F646" s="214">
        <f>+IF(C646&gt;="",0,(D646*E646))</f>
        <v>6.9408545065548832</v>
      </c>
      <c r="G646" s="215"/>
      <c r="H646" s="210" t="s">
        <v>325</v>
      </c>
      <c r="I646" s="211">
        <v>1</v>
      </c>
      <c r="J646" s="212">
        <v>21.712335174960327</v>
      </c>
      <c r="K646" s="213">
        <f>L632</f>
        <v>0.13915151515151514</v>
      </c>
      <c r="L646" s="216">
        <f>+IF(I646&gt;="",0,(J646*K646))</f>
        <v>3.0213043370732668</v>
      </c>
      <c r="M646" s="215"/>
      <c r="N646" s="210" t="s">
        <v>325</v>
      </c>
      <c r="O646" s="211">
        <v>1</v>
      </c>
      <c r="P646" s="212">
        <v>21.712335174960327</v>
      </c>
      <c r="Q646" s="213">
        <f>R632</f>
        <v>6.8444444444444447E-2</v>
      </c>
      <c r="R646" s="214">
        <f>+IF(O646&gt;="",0,(P646*Q646))</f>
        <v>1.4860887186417291</v>
      </c>
      <c r="S646" s="215"/>
    </row>
    <row r="647" spans="2:19">
      <c r="B647" s="210" t="s">
        <v>326</v>
      </c>
      <c r="C647" s="211"/>
      <c r="D647" s="212">
        <f>+D646*25%</f>
        <v>5.4280837937400817</v>
      </c>
      <c r="E647" s="213">
        <f>F632</f>
        <v>0.31967333087964667</v>
      </c>
      <c r="F647" s="214">
        <f>+IF(C647= "",0,(D647*E647))</f>
        <v>0</v>
      </c>
      <c r="G647" s="215"/>
      <c r="H647" s="210" t="s">
        <v>326</v>
      </c>
      <c r="I647" s="211"/>
      <c r="J647" s="212">
        <f>+J646*25%</f>
        <v>5.4280837937400817</v>
      </c>
      <c r="K647" s="213">
        <f>L632</f>
        <v>0.13915151515151514</v>
      </c>
      <c r="L647" s="216">
        <f>+IF(I647= "",0,(J647*K647))</f>
        <v>0</v>
      </c>
      <c r="M647" s="215"/>
      <c r="N647" s="210" t="s">
        <v>326</v>
      </c>
      <c r="O647" s="211"/>
      <c r="P647" s="212">
        <f>+P646*25%</f>
        <v>5.4280837937400817</v>
      </c>
      <c r="Q647" s="213">
        <f>R632</f>
        <v>6.8444444444444447E-2</v>
      </c>
      <c r="R647" s="214">
        <f>+IF(O647= "",0,(P647*Q647))</f>
        <v>0</v>
      </c>
      <c r="S647" s="215"/>
    </row>
    <row r="648" spans="2:19">
      <c r="B648" s="210" t="s">
        <v>327</v>
      </c>
      <c r="C648" s="211"/>
      <c r="D648" s="212">
        <f>+D646*50%</f>
        <v>10.856167587480163</v>
      </c>
      <c r="E648" s="213">
        <f>F632</f>
        <v>0.31967333087964667</v>
      </c>
      <c r="F648" s="214">
        <f>+IF(C648= "",0,(D648*E648))</f>
        <v>0</v>
      </c>
      <c r="G648" s="215"/>
      <c r="H648" s="210" t="s">
        <v>327</v>
      </c>
      <c r="I648" s="211"/>
      <c r="J648" s="212">
        <f>+J646*50%</f>
        <v>10.856167587480163</v>
      </c>
      <c r="K648" s="213">
        <f>L632</f>
        <v>0.13915151515151514</v>
      </c>
      <c r="L648" s="216">
        <f>+IF(I648= "",0,(J648*K648))</f>
        <v>0</v>
      </c>
      <c r="M648" s="215"/>
      <c r="N648" s="210" t="s">
        <v>327</v>
      </c>
      <c r="O648" s="211"/>
      <c r="P648" s="212">
        <f>+P646*50%</f>
        <v>10.856167587480163</v>
      </c>
      <c r="Q648" s="213">
        <f>R632</f>
        <v>6.8444444444444447E-2</v>
      </c>
      <c r="R648" s="214">
        <f>+IF(O648= "",0,(P648*Q648))</f>
        <v>0</v>
      </c>
      <c r="S648" s="215"/>
    </row>
    <row r="649" spans="2:19">
      <c r="B649" s="202"/>
      <c r="F649" s="217">
        <f>SUM(F646:F648)</f>
        <v>6.9408545065548832</v>
      </c>
      <c r="G649" s="218"/>
      <c r="H649" s="202"/>
      <c r="I649" s="179"/>
      <c r="K649" s="88"/>
      <c r="L649" s="219">
        <f>SUM(L646:L648)</f>
        <v>3.0213043370732668</v>
      </c>
      <c r="M649" s="218"/>
      <c r="N649" s="202"/>
      <c r="O649" s="179"/>
      <c r="R649" s="217">
        <f>SUM(R646:R648)</f>
        <v>1.4860887186417291</v>
      </c>
      <c r="S649" s="218"/>
    </row>
    <row r="650" spans="2:19">
      <c r="B650" s="202"/>
      <c r="F650" s="189"/>
      <c r="G650" s="220"/>
      <c r="H650" s="202"/>
      <c r="I650" s="179"/>
      <c r="K650" s="88"/>
      <c r="M650" s="220"/>
      <c r="N650" s="202"/>
      <c r="O650" s="179"/>
      <c r="R650" s="189"/>
      <c r="S650" s="220"/>
    </row>
    <row r="651" spans="2:19" ht="21">
      <c r="B651" s="438" t="s">
        <v>328</v>
      </c>
      <c r="C651" s="439"/>
      <c r="D651" s="439"/>
      <c r="E651" s="440"/>
      <c r="F651" s="225">
        <f>+F644+F649</f>
        <v>7.4862068875072643</v>
      </c>
      <c r="G651" s="205">
        <f>+F651</f>
        <v>7.4862068875072643</v>
      </c>
      <c r="H651" s="438" t="s">
        <v>328</v>
      </c>
      <c r="I651" s="439"/>
      <c r="J651" s="439"/>
      <c r="K651" s="440"/>
      <c r="L651" s="225">
        <f>+L644+L649</f>
        <v>3.5666567180256479</v>
      </c>
      <c r="M651" s="205">
        <f>+L651</f>
        <v>3.5666567180256479</v>
      </c>
      <c r="N651" s="438" t="s">
        <v>328</v>
      </c>
      <c r="O651" s="439"/>
      <c r="P651" s="439"/>
      <c r="Q651" s="440"/>
      <c r="R651" s="225">
        <f>+R644+R649</f>
        <v>2.0314410995941099</v>
      </c>
      <c r="S651" s="205">
        <f>+R651</f>
        <v>2.0314410995941099</v>
      </c>
    </row>
    <row r="652" spans="2:19">
      <c r="B652" s="202"/>
      <c r="F652" s="189"/>
      <c r="G652" s="205"/>
      <c r="H652" s="202"/>
      <c r="I652" s="179"/>
      <c r="K652" s="88"/>
      <c r="L652" s="189"/>
      <c r="M652" s="205"/>
      <c r="N652" s="202"/>
      <c r="O652" s="179"/>
      <c r="R652" s="189"/>
      <c r="S652" s="205"/>
    </row>
    <row r="653" spans="2:19" ht="19">
      <c r="B653" s="441" t="s">
        <v>329</v>
      </c>
      <c r="C653" s="442"/>
      <c r="D653" s="442"/>
      <c r="E653" s="443"/>
      <c r="F653" s="230">
        <f>+F651/$C$37</f>
        <v>7.4862068875072643E-2</v>
      </c>
      <c r="G653" s="205"/>
      <c r="H653" s="441" t="s">
        <v>329</v>
      </c>
      <c r="I653" s="442"/>
      <c r="J653" s="442"/>
      <c r="K653" s="443"/>
      <c r="L653" s="230">
        <f>+L651/$C$37</f>
        <v>3.566656718025648E-2</v>
      </c>
      <c r="M653" s="205"/>
      <c r="N653" s="441" t="s">
        <v>329</v>
      </c>
      <c r="O653" s="442"/>
      <c r="P653" s="442"/>
      <c r="Q653" s="443"/>
      <c r="R653" s="230">
        <f>+R651/$C$37</f>
        <v>2.0314410995941098E-2</v>
      </c>
      <c r="S653" s="205"/>
    </row>
    <row r="654" spans="2:19" ht="17" thickBot="1">
      <c r="B654" s="231"/>
      <c r="C654" s="232"/>
      <c r="D654" s="233"/>
      <c r="E654" s="233"/>
      <c r="F654" s="234"/>
      <c r="G654" s="205"/>
      <c r="H654" s="231"/>
      <c r="I654" s="232"/>
      <c r="J654" s="233"/>
      <c r="K654" s="233"/>
      <c r="L654" s="234"/>
      <c r="M654" s="205"/>
      <c r="N654" s="231"/>
      <c r="O654" s="232"/>
      <c r="P654" s="233"/>
      <c r="Q654" s="233"/>
      <c r="R654" s="234"/>
      <c r="S654" s="205"/>
    </row>
    <row r="655" spans="2:19" ht="23.25" customHeight="1" thickBot="1">
      <c r="B655" s="415" t="s">
        <v>312</v>
      </c>
      <c r="C655" s="416"/>
      <c r="D655" s="416"/>
      <c r="E655" s="416"/>
      <c r="F655" s="416"/>
      <c r="G655" s="416"/>
      <c r="H655" s="416"/>
      <c r="I655" s="416"/>
      <c r="J655" s="416"/>
      <c r="K655" s="416"/>
      <c r="L655" s="416"/>
      <c r="M655" s="416"/>
      <c r="N655" s="416"/>
      <c r="O655" s="416"/>
      <c r="P655" s="416"/>
      <c r="Q655" s="416"/>
      <c r="R655" s="417"/>
    </row>
    <row r="656" spans="2:19" ht="25">
      <c r="B656" s="237" t="s">
        <v>16</v>
      </c>
      <c r="C656" s="452" t="s">
        <v>99</v>
      </c>
      <c r="D656" s="453"/>
      <c r="E656" s="453"/>
      <c r="F656" s="465"/>
      <c r="G656" s="254"/>
      <c r="H656" s="239" t="s">
        <v>16</v>
      </c>
      <c r="I656" s="452" t="s">
        <v>101</v>
      </c>
      <c r="J656" s="453"/>
      <c r="K656" s="453"/>
      <c r="L656" s="465"/>
      <c r="M656" s="254"/>
      <c r="N656" s="237" t="s">
        <v>16</v>
      </c>
      <c r="O656" s="452" t="s">
        <v>102</v>
      </c>
      <c r="P656" s="453"/>
      <c r="Q656" s="453"/>
      <c r="R656" s="465"/>
    </row>
    <row r="657" spans="2:19" ht="33" thickBot="1">
      <c r="B657" s="241" t="s">
        <v>313</v>
      </c>
      <c r="C657" s="242" t="s">
        <v>6</v>
      </c>
      <c r="D657" s="243" t="s">
        <v>25</v>
      </c>
      <c r="E657" s="244" t="s">
        <v>314</v>
      </c>
      <c r="F657" s="245" t="s">
        <v>315</v>
      </c>
      <c r="H657" s="241" t="s">
        <v>313</v>
      </c>
      <c r="I657" s="242" t="s">
        <v>6</v>
      </c>
      <c r="J657" s="243" t="s">
        <v>25</v>
      </c>
      <c r="K657" s="244" t="s">
        <v>314</v>
      </c>
      <c r="L657" s="245" t="s">
        <v>315</v>
      </c>
      <c r="N657" s="241" t="s">
        <v>313</v>
      </c>
      <c r="O657" s="242" t="s">
        <v>6</v>
      </c>
      <c r="P657" s="243" t="s">
        <v>25</v>
      </c>
      <c r="Q657" s="244" t="s">
        <v>314</v>
      </c>
      <c r="R657" s="245" t="s">
        <v>315</v>
      </c>
    </row>
    <row r="658" spans="2:19">
      <c r="B658" s="170" t="s">
        <v>183</v>
      </c>
      <c r="C658" s="171">
        <f>VLOOKUP(B658,'RESUMEN RENDIMIENTOS'!$V$6:$W$158,2,FALSE)</f>
        <v>3600</v>
      </c>
      <c r="D658" s="177" t="s">
        <v>54</v>
      </c>
      <c r="E658" s="172">
        <v>149.5</v>
      </c>
      <c r="F658" s="175">
        <f t="shared" ref="F658:F673" si="69">IF(C658=0,0,(100/C658)*E658/$E$37)</f>
        <v>1.6812865497076022E-2</v>
      </c>
      <c r="G658" s="164">
        <f>+F658/F674</f>
        <v>0.33527696793002915</v>
      </c>
      <c r="H658" s="170" t="s">
        <v>185</v>
      </c>
      <c r="I658" s="171">
        <f>VLOOKUP(H658,'RESUMEN RENDIMIENTOS'!$V$6:$W$158,2,FALSE)</f>
        <v>1100</v>
      </c>
      <c r="J658" s="177" t="s">
        <v>20</v>
      </c>
      <c r="K658" s="172">
        <v>247</v>
      </c>
      <c r="L658" s="175">
        <f t="shared" ref="L658:L673" si="70">IF(I658=0,0,(100/I658)*K658/$E$37)</f>
        <v>9.0909090909090912E-2</v>
      </c>
      <c r="M658" s="164">
        <f>+L658/L674</f>
        <v>0.33557715647949221</v>
      </c>
      <c r="N658" s="170" t="s">
        <v>184</v>
      </c>
      <c r="O658" s="171">
        <f>VLOOKUP(N658,'RESUMEN RENDIMIENTOS'!$V$6:$W$158,2,FALSE)</f>
        <v>1800</v>
      </c>
      <c r="P658" s="177" t="s">
        <v>20</v>
      </c>
      <c r="Q658" s="172">
        <v>247</v>
      </c>
      <c r="R658" s="175">
        <f t="shared" ref="R658:R673" si="71">IF(O658=0,0,(100/O658)*Q658/$E$37)</f>
        <v>5.5555555555555552E-2</v>
      </c>
      <c r="S658" s="164">
        <f>+R658/R674</f>
        <v>0.28735899631435913</v>
      </c>
    </row>
    <row r="659" spans="2:19">
      <c r="B659" s="170" t="s">
        <v>260</v>
      </c>
      <c r="C659" s="171">
        <f>VLOOKUP(B659,'RESUMEN RENDIMIENTOS'!$V$6:$W$158,2,FALSE)</f>
        <v>3000</v>
      </c>
      <c r="D659" s="177" t="s">
        <v>20</v>
      </c>
      <c r="E659" s="172">
        <v>247</v>
      </c>
      <c r="F659" s="175">
        <f t="shared" si="69"/>
        <v>3.3333333333333333E-2</v>
      </c>
      <c r="G659" s="174">
        <f>+F659/F674</f>
        <v>0.66472303206997085</v>
      </c>
      <c r="H659" s="170" t="s">
        <v>260</v>
      </c>
      <c r="I659" s="171">
        <f>VLOOKUP(H659,'RESUMEN RENDIMIENTOS'!$V$6:$W$158,2,FALSE)</f>
        <v>3000</v>
      </c>
      <c r="J659" s="177" t="s">
        <v>20</v>
      </c>
      <c r="K659" s="172">
        <v>247</v>
      </c>
      <c r="L659" s="175">
        <f t="shared" si="70"/>
        <v>3.3333333333333333E-2</v>
      </c>
      <c r="M659" s="174">
        <f>+L659/L674</f>
        <v>0.12304495737581381</v>
      </c>
      <c r="N659" s="170" t="s">
        <v>260</v>
      </c>
      <c r="O659" s="171">
        <f>VLOOKUP(N659,'RESUMEN RENDIMIENTOS'!$V$6:$W$158,2,FALSE)</f>
        <v>3000</v>
      </c>
      <c r="P659" s="177" t="s">
        <v>20</v>
      </c>
      <c r="Q659" s="172">
        <v>247</v>
      </c>
      <c r="R659" s="175">
        <f t="shared" si="71"/>
        <v>3.3333333333333333E-2</v>
      </c>
      <c r="S659" s="174">
        <f>+R659/R674</f>
        <v>0.17241539778861548</v>
      </c>
    </row>
    <row r="660" spans="2:19">
      <c r="B660" s="170">
        <v>0</v>
      </c>
      <c r="C660" s="171">
        <f>VLOOKUP(B660,'RESUMEN RENDIMIENTOS'!$V$6:$W$158,2,FALSE)</f>
        <v>0</v>
      </c>
      <c r="D660" s="177"/>
      <c r="E660" s="172" t="s">
        <v>337</v>
      </c>
      <c r="F660" s="175">
        <f t="shared" si="69"/>
        <v>0</v>
      </c>
      <c r="G660" s="174">
        <f>+F660/F674</f>
        <v>0</v>
      </c>
      <c r="H660" s="170" t="s">
        <v>240</v>
      </c>
      <c r="I660" s="171">
        <f>VLOOKUP(H660,'RESUMEN RENDIMIENTOS'!$V$6:$W$158,2,FALSE)</f>
        <v>1000</v>
      </c>
      <c r="J660" s="177" t="s">
        <v>52</v>
      </c>
      <c r="K660" s="172">
        <v>156.42000000000002</v>
      </c>
      <c r="L660" s="173">
        <f t="shared" si="70"/>
        <v>6.3327935222672077E-2</v>
      </c>
      <c r="M660" s="174">
        <f>+L660/L674</f>
        <v>0.23376549270515953</v>
      </c>
      <c r="N660" s="170" t="s">
        <v>240</v>
      </c>
      <c r="O660" s="171">
        <f>VLOOKUP(N660,'RESUMEN RENDIMIENTOS'!$V$6:$W$158,2,FALSE)</f>
        <v>1000</v>
      </c>
      <c r="P660" s="177" t="s">
        <v>56</v>
      </c>
      <c r="Q660" s="172">
        <v>52.14</v>
      </c>
      <c r="R660" s="175">
        <f t="shared" si="71"/>
        <v>2.1109311740890691E-2</v>
      </c>
      <c r="S660" s="174">
        <f>+R660/R674</f>
        <v>0.10918711142548679</v>
      </c>
    </row>
    <row r="661" spans="2:19">
      <c r="B661" s="170">
        <v>0</v>
      </c>
      <c r="C661" s="171">
        <f>VLOOKUP(B661,'RESUMEN RENDIMIENTOS'!$V$6:$W$158,2,FALSE)</f>
        <v>0</v>
      </c>
      <c r="D661" s="177"/>
      <c r="E661" s="172" t="s">
        <v>337</v>
      </c>
      <c r="F661" s="175">
        <f t="shared" si="69"/>
        <v>0</v>
      </c>
      <c r="G661" s="174">
        <f>+F661/F674</f>
        <v>0</v>
      </c>
      <c r="H661" s="170" t="s">
        <v>205</v>
      </c>
      <c r="I661" s="171">
        <f>VLOOKUP(H661,'RESUMEN RENDIMIENTOS'!$V$6:$W$158,2,FALSE)</f>
        <v>1200</v>
      </c>
      <c r="J661" s="177" t="s">
        <v>20</v>
      </c>
      <c r="K661" s="172">
        <v>247</v>
      </c>
      <c r="L661" s="173">
        <f t="shared" si="70"/>
        <v>8.3333333333333329E-2</v>
      </c>
      <c r="M661" s="174">
        <f>+L661/L674</f>
        <v>0.3076123934395345</v>
      </c>
      <c r="N661" s="170" t="s">
        <v>205</v>
      </c>
      <c r="O661" s="171">
        <f>VLOOKUP(N661,'RESUMEN RENDIMIENTOS'!$V$6:$W$158,2,FALSE)</f>
        <v>1200</v>
      </c>
      <c r="P661" s="177" t="s">
        <v>20</v>
      </c>
      <c r="Q661" s="172">
        <v>247</v>
      </c>
      <c r="R661" s="175">
        <f t="shared" si="71"/>
        <v>8.3333333333333329E-2</v>
      </c>
      <c r="S661" s="174">
        <f>+R661/R674</f>
        <v>0.43103849447153869</v>
      </c>
    </row>
    <row r="662" spans="2:19">
      <c r="B662" s="170">
        <v>0</v>
      </c>
      <c r="C662" s="171">
        <f>VLOOKUP(B662,'RESUMEN RENDIMIENTOS'!$V$6:$W$158,2,FALSE)</f>
        <v>0</v>
      </c>
      <c r="D662" s="177"/>
      <c r="E662" s="172" t="s">
        <v>337</v>
      </c>
      <c r="F662" s="175">
        <f t="shared" si="69"/>
        <v>0</v>
      </c>
      <c r="G662" s="174">
        <f>+F662/F674</f>
        <v>0</v>
      </c>
      <c r="H662" s="170">
        <v>0</v>
      </c>
      <c r="I662" s="171">
        <f>VLOOKUP(H662,'RESUMEN RENDIMIENTOS'!$V$6:$W$158,2,FALSE)</f>
        <v>0</v>
      </c>
      <c r="J662" s="177"/>
      <c r="K662" s="172" t="s">
        <v>337</v>
      </c>
      <c r="L662" s="173">
        <f t="shared" si="70"/>
        <v>0</v>
      </c>
      <c r="M662" s="174">
        <f>+L662/L674</f>
        <v>0</v>
      </c>
      <c r="N662" s="170">
        <v>0</v>
      </c>
      <c r="O662" s="171">
        <f>VLOOKUP(N662,'RESUMEN RENDIMIENTOS'!$V$6:$W$158,2,FALSE)</f>
        <v>0</v>
      </c>
      <c r="P662" s="177"/>
      <c r="Q662" s="172" t="s">
        <v>337</v>
      </c>
      <c r="R662" s="175">
        <f t="shared" si="71"/>
        <v>0</v>
      </c>
      <c r="S662" s="174">
        <f>+R662/R674</f>
        <v>0</v>
      </c>
    </row>
    <row r="663" spans="2:19">
      <c r="B663" s="170">
        <v>0</v>
      </c>
      <c r="C663" s="171">
        <f>VLOOKUP(B663,'RESUMEN RENDIMIENTOS'!$V$6:$W$158,2,FALSE)</f>
        <v>0</v>
      </c>
      <c r="D663" s="177"/>
      <c r="E663" s="172" t="s">
        <v>337</v>
      </c>
      <c r="F663" s="175">
        <f t="shared" si="69"/>
        <v>0</v>
      </c>
      <c r="G663" s="174">
        <f>+F663/F674</f>
        <v>0</v>
      </c>
      <c r="H663" s="170">
        <v>0</v>
      </c>
      <c r="I663" s="171">
        <f>VLOOKUP(H663,'RESUMEN RENDIMIENTOS'!$V$6:$W$158,2,FALSE)</f>
        <v>0</v>
      </c>
      <c r="J663" s="177"/>
      <c r="K663" s="172" t="s">
        <v>337</v>
      </c>
      <c r="L663" s="173">
        <f t="shared" si="70"/>
        <v>0</v>
      </c>
      <c r="M663" s="174">
        <f>+L663/L674</f>
        <v>0</v>
      </c>
      <c r="N663" s="170">
        <v>0</v>
      </c>
      <c r="O663" s="171">
        <f>VLOOKUP(N663,'RESUMEN RENDIMIENTOS'!$V$6:$W$158,2,FALSE)</f>
        <v>0</v>
      </c>
      <c r="P663" s="177"/>
      <c r="Q663" s="172" t="s">
        <v>337</v>
      </c>
      <c r="R663" s="175">
        <f t="shared" si="71"/>
        <v>0</v>
      </c>
      <c r="S663" s="174">
        <f>+R663/R674</f>
        <v>0</v>
      </c>
    </row>
    <row r="664" spans="2:19">
      <c r="B664" s="170">
        <v>0</v>
      </c>
      <c r="C664" s="171">
        <f>VLOOKUP(B664,'RESUMEN RENDIMIENTOS'!$V$6:$W$158,2,FALSE)</f>
        <v>0</v>
      </c>
      <c r="D664" s="177"/>
      <c r="E664" s="172" t="s">
        <v>337</v>
      </c>
      <c r="F664" s="175">
        <f t="shared" si="69"/>
        <v>0</v>
      </c>
      <c r="G664" s="174">
        <f>+F664/F674</f>
        <v>0</v>
      </c>
      <c r="H664" s="170">
        <v>0</v>
      </c>
      <c r="I664" s="171">
        <f>VLOOKUP(H664,'RESUMEN RENDIMIENTOS'!$V$6:$W$158,2,FALSE)</f>
        <v>0</v>
      </c>
      <c r="J664" s="177"/>
      <c r="K664" s="172" t="s">
        <v>337</v>
      </c>
      <c r="L664" s="173">
        <f t="shared" si="70"/>
        <v>0</v>
      </c>
      <c r="M664" s="174">
        <f>+L664/L674</f>
        <v>0</v>
      </c>
      <c r="N664" s="170">
        <v>0</v>
      </c>
      <c r="O664" s="171">
        <f>VLOOKUP(N664,'RESUMEN RENDIMIENTOS'!$V$6:$W$158,2,FALSE)</f>
        <v>0</v>
      </c>
      <c r="P664" s="177"/>
      <c r="Q664" s="172" t="s">
        <v>337</v>
      </c>
      <c r="R664" s="175">
        <f t="shared" si="71"/>
        <v>0</v>
      </c>
      <c r="S664" s="174">
        <f>+R664/R674</f>
        <v>0</v>
      </c>
    </row>
    <row r="665" spans="2:19">
      <c r="B665" s="170">
        <v>0</v>
      </c>
      <c r="C665" s="171">
        <f>VLOOKUP(B665,'RESUMEN RENDIMIENTOS'!$V$6:$W$158,2,FALSE)</f>
        <v>0</v>
      </c>
      <c r="D665" s="177"/>
      <c r="E665" s="172" t="s">
        <v>337</v>
      </c>
      <c r="F665" s="175">
        <f t="shared" si="69"/>
        <v>0</v>
      </c>
      <c r="G665" s="174">
        <f>+F665/F674</f>
        <v>0</v>
      </c>
      <c r="H665" s="170">
        <v>0</v>
      </c>
      <c r="I665" s="171">
        <f>VLOOKUP(H665,'RESUMEN RENDIMIENTOS'!$V$6:$W$158,2,FALSE)</f>
        <v>0</v>
      </c>
      <c r="J665" s="177"/>
      <c r="K665" s="172" t="s">
        <v>337</v>
      </c>
      <c r="L665" s="173">
        <f t="shared" si="70"/>
        <v>0</v>
      </c>
      <c r="M665" s="174">
        <f>+L665/L674</f>
        <v>0</v>
      </c>
      <c r="N665" s="170">
        <v>0</v>
      </c>
      <c r="O665" s="171">
        <f>VLOOKUP(N665,'RESUMEN RENDIMIENTOS'!$V$6:$W$158,2,FALSE)</f>
        <v>0</v>
      </c>
      <c r="P665" s="177"/>
      <c r="Q665" s="172" t="s">
        <v>337</v>
      </c>
      <c r="R665" s="175">
        <f t="shared" si="71"/>
        <v>0</v>
      </c>
      <c r="S665" s="174">
        <f>+R665/R674</f>
        <v>0</v>
      </c>
    </row>
    <row r="666" spans="2:19">
      <c r="B666" s="170">
        <v>0</v>
      </c>
      <c r="C666" s="171">
        <f>VLOOKUP(B666,'RESUMEN RENDIMIENTOS'!$V$6:$W$158,2,FALSE)</f>
        <v>0</v>
      </c>
      <c r="D666" s="177"/>
      <c r="E666" s="172" t="s">
        <v>337</v>
      </c>
      <c r="F666" s="175">
        <f t="shared" si="69"/>
        <v>0</v>
      </c>
      <c r="G666" s="174">
        <f>+F666/F674</f>
        <v>0</v>
      </c>
      <c r="H666" s="170">
        <v>0</v>
      </c>
      <c r="I666" s="171">
        <f>VLOOKUP(H666,'RESUMEN RENDIMIENTOS'!$V$6:$W$158,2,FALSE)</f>
        <v>0</v>
      </c>
      <c r="J666" s="177"/>
      <c r="K666" s="172" t="s">
        <v>337</v>
      </c>
      <c r="L666" s="173">
        <f t="shared" si="70"/>
        <v>0</v>
      </c>
      <c r="M666" s="174">
        <f>+L666/L674</f>
        <v>0</v>
      </c>
      <c r="N666" s="170">
        <v>0</v>
      </c>
      <c r="O666" s="171">
        <f>VLOOKUP(N666,'RESUMEN RENDIMIENTOS'!$V$6:$W$158,2,FALSE)</f>
        <v>0</v>
      </c>
      <c r="P666" s="177"/>
      <c r="Q666" s="172" t="s">
        <v>337</v>
      </c>
      <c r="R666" s="175">
        <f t="shared" si="71"/>
        <v>0</v>
      </c>
      <c r="S666" s="174">
        <f>+R666/R674</f>
        <v>0</v>
      </c>
    </row>
    <row r="667" spans="2:19">
      <c r="B667" s="170">
        <v>0</v>
      </c>
      <c r="C667" s="171">
        <f>VLOOKUP(B667,'RESUMEN RENDIMIENTOS'!$V$6:$W$158,2,FALSE)</f>
        <v>0</v>
      </c>
      <c r="D667" s="177"/>
      <c r="E667" s="172" t="s">
        <v>337</v>
      </c>
      <c r="F667" s="175">
        <f t="shared" si="69"/>
        <v>0</v>
      </c>
      <c r="G667" s="174">
        <f>+F667/F674</f>
        <v>0</v>
      </c>
      <c r="H667" s="170">
        <v>0</v>
      </c>
      <c r="I667" s="171">
        <f>VLOOKUP(H667,'RESUMEN RENDIMIENTOS'!$V$6:$W$158,2,FALSE)</f>
        <v>0</v>
      </c>
      <c r="J667" s="177"/>
      <c r="K667" s="172" t="s">
        <v>337</v>
      </c>
      <c r="L667" s="173">
        <f t="shared" si="70"/>
        <v>0</v>
      </c>
      <c r="M667" s="174">
        <f>+L667/L674</f>
        <v>0</v>
      </c>
      <c r="N667" s="170">
        <v>0</v>
      </c>
      <c r="O667" s="171">
        <f>VLOOKUP(N667,'RESUMEN RENDIMIENTOS'!$V$6:$W$158,2,FALSE)</f>
        <v>0</v>
      </c>
      <c r="P667" s="177"/>
      <c r="Q667" s="172" t="s">
        <v>337</v>
      </c>
      <c r="R667" s="175">
        <f t="shared" si="71"/>
        <v>0</v>
      </c>
      <c r="S667" s="174">
        <f>+R667/R674</f>
        <v>0</v>
      </c>
    </row>
    <row r="668" spans="2:19">
      <c r="B668" s="170">
        <v>0</v>
      </c>
      <c r="C668" s="171">
        <f>VLOOKUP(B668,'RESUMEN RENDIMIENTOS'!$V$6:$W$158,2,FALSE)</f>
        <v>0</v>
      </c>
      <c r="D668" s="177"/>
      <c r="E668" s="172" t="s">
        <v>337</v>
      </c>
      <c r="F668" s="175">
        <f t="shared" si="69"/>
        <v>0</v>
      </c>
      <c r="G668" s="174">
        <f>+F668/F674</f>
        <v>0</v>
      </c>
      <c r="H668" s="170">
        <v>0</v>
      </c>
      <c r="I668" s="171">
        <f>VLOOKUP(H668,'RESUMEN RENDIMIENTOS'!$V$6:$W$158,2,FALSE)</f>
        <v>0</v>
      </c>
      <c r="J668" s="177"/>
      <c r="K668" s="172" t="s">
        <v>337</v>
      </c>
      <c r="L668" s="173">
        <f t="shared" si="70"/>
        <v>0</v>
      </c>
      <c r="M668" s="174">
        <f>+L668/L674</f>
        <v>0</v>
      </c>
      <c r="N668" s="170">
        <v>0</v>
      </c>
      <c r="O668" s="171">
        <f>VLOOKUP(N668,'RESUMEN RENDIMIENTOS'!$V$6:$W$158,2,FALSE)</f>
        <v>0</v>
      </c>
      <c r="P668" s="177"/>
      <c r="Q668" s="172" t="s">
        <v>337</v>
      </c>
      <c r="R668" s="175">
        <f t="shared" si="71"/>
        <v>0</v>
      </c>
      <c r="S668" s="174">
        <f>+R668/R674</f>
        <v>0</v>
      </c>
    </row>
    <row r="669" spans="2:19">
      <c r="B669" s="170">
        <v>0</v>
      </c>
      <c r="C669" s="171">
        <f>VLOOKUP(B669,'RESUMEN RENDIMIENTOS'!$V$6:$W$158,2,FALSE)</f>
        <v>0</v>
      </c>
      <c r="D669" s="177"/>
      <c r="E669" s="172" t="s">
        <v>337</v>
      </c>
      <c r="F669" s="175">
        <f t="shared" si="69"/>
        <v>0</v>
      </c>
      <c r="G669" s="174">
        <f>+F669/F674</f>
        <v>0</v>
      </c>
      <c r="H669" s="170">
        <v>0</v>
      </c>
      <c r="I669" s="171">
        <f>VLOOKUP(H669,'RESUMEN RENDIMIENTOS'!$V$6:$W$158,2,FALSE)</f>
        <v>0</v>
      </c>
      <c r="J669" s="177"/>
      <c r="K669" s="172" t="s">
        <v>337</v>
      </c>
      <c r="L669" s="173">
        <f t="shared" si="70"/>
        <v>0</v>
      </c>
      <c r="M669" s="174">
        <f>+L669/L674</f>
        <v>0</v>
      </c>
      <c r="N669" s="170">
        <v>0</v>
      </c>
      <c r="O669" s="171">
        <f>VLOOKUP(N669,'RESUMEN RENDIMIENTOS'!$V$6:$W$158,2,FALSE)</f>
        <v>0</v>
      </c>
      <c r="P669" s="177"/>
      <c r="Q669" s="172" t="s">
        <v>337</v>
      </c>
      <c r="R669" s="175">
        <f t="shared" si="71"/>
        <v>0</v>
      </c>
      <c r="S669" s="174">
        <f>+R669/R674</f>
        <v>0</v>
      </c>
    </row>
    <row r="670" spans="2:19">
      <c r="B670" s="170">
        <v>0</v>
      </c>
      <c r="C670" s="171">
        <f>VLOOKUP(B670,'RESUMEN RENDIMIENTOS'!$V$6:$W$158,2,FALSE)</f>
        <v>0</v>
      </c>
      <c r="D670" s="177"/>
      <c r="E670" s="172" t="s">
        <v>337</v>
      </c>
      <c r="F670" s="175">
        <f t="shared" si="69"/>
        <v>0</v>
      </c>
      <c r="G670" s="174">
        <f>+F670/F674</f>
        <v>0</v>
      </c>
      <c r="H670" s="170">
        <v>0</v>
      </c>
      <c r="I670" s="171">
        <f>VLOOKUP(H670,'RESUMEN RENDIMIENTOS'!$V$6:$W$158,2,FALSE)</f>
        <v>0</v>
      </c>
      <c r="J670" s="177"/>
      <c r="K670" s="172" t="s">
        <v>337</v>
      </c>
      <c r="L670" s="173">
        <f t="shared" si="70"/>
        <v>0</v>
      </c>
      <c r="M670" s="174">
        <f>+L670/L674</f>
        <v>0</v>
      </c>
      <c r="N670" s="170">
        <v>0</v>
      </c>
      <c r="O670" s="171">
        <f>VLOOKUP(N670,'RESUMEN RENDIMIENTOS'!$V$6:$W$158,2,FALSE)</f>
        <v>0</v>
      </c>
      <c r="P670" s="177"/>
      <c r="Q670" s="172" t="s">
        <v>337</v>
      </c>
      <c r="R670" s="175">
        <f t="shared" si="71"/>
        <v>0</v>
      </c>
      <c r="S670" s="174">
        <f>+R670/R674</f>
        <v>0</v>
      </c>
    </row>
    <row r="671" spans="2:19">
      <c r="B671" s="170">
        <v>0</v>
      </c>
      <c r="C671" s="171">
        <f>VLOOKUP(B671,'RESUMEN RENDIMIENTOS'!$V$6:$W$158,2,FALSE)</f>
        <v>0</v>
      </c>
      <c r="D671" s="177"/>
      <c r="E671" s="172" t="s">
        <v>337</v>
      </c>
      <c r="F671" s="175">
        <f t="shared" si="69"/>
        <v>0</v>
      </c>
      <c r="G671" s="174">
        <f>+F671/F674</f>
        <v>0</v>
      </c>
      <c r="H671" s="170">
        <v>0</v>
      </c>
      <c r="I671" s="171">
        <f>VLOOKUP(H671,'RESUMEN RENDIMIENTOS'!$V$6:$W$158,2,FALSE)</f>
        <v>0</v>
      </c>
      <c r="J671" s="177"/>
      <c r="K671" s="172" t="s">
        <v>337</v>
      </c>
      <c r="L671" s="173">
        <f t="shared" si="70"/>
        <v>0</v>
      </c>
      <c r="M671" s="174">
        <f>+L671/L674</f>
        <v>0</v>
      </c>
      <c r="N671" s="170">
        <v>0</v>
      </c>
      <c r="O671" s="171">
        <f>VLOOKUP(N671,'RESUMEN RENDIMIENTOS'!$V$6:$W$158,2,FALSE)</f>
        <v>0</v>
      </c>
      <c r="P671" s="177"/>
      <c r="Q671" s="172" t="s">
        <v>337</v>
      </c>
      <c r="R671" s="175">
        <f t="shared" si="71"/>
        <v>0</v>
      </c>
      <c r="S671" s="174">
        <f>+R671/R674</f>
        <v>0</v>
      </c>
    </row>
    <row r="672" spans="2:19">
      <c r="B672" s="170">
        <v>0</v>
      </c>
      <c r="C672" s="171">
        <f>VLOOKUP(B672,'RESUMEN RENDIMIENTOS'!$V$6:$W$158,2,FALSE)</f>
        <v>0</v>
      </c>
      <c r="D672" s="177"/>
      <c r="E672" s="172" t="s">
        <v>337</v>
      </c>
      <c r="F672" s="175">
        <f t="shared" si="69"/>
        <v>0</v>
      </c>
      <c r="G672" s="174">
        <f>+F672/F674</f>
        <v>0</v>
      </c>
      <c r="H672" s="170">
        <v>0</v>
      </c>
      <c r="I672" s="171">
        <f>VLOOKUP(H672,'RESUMEN RENDIMIENTOS'!$V$6:$W$158,2,FALSE)</f>
        <v>0</v>
      </c>
      <c r="J672" s="177"/>
      <c r="K672" s="172" t="s">
        <v>337</v>
      </c>
      <c r="L672" s="173">
        <f t="shared" si="70"/>
        <v>0</v>
      </c>
      <c r="M672" s="174">
        <f>+L672/L674</f>
        <v>0</v>
      </c>
      <c r="N672" s="170">
        <v>0</v>
      </c>
      <c r="O672" s="171">
        <f>VLOOKUP(N672,'RESUMEN RENDIMIENTOS'!$V$6:$W$158,2,FALSE)</f>
        <v>0</v>
      </c>
      <c r="P672" s="177"/>
      <c r="Q672" s="172" t="s">
        <v>337</v>
      </c>
      <c r="R672" s="175">
        <f t="shared" si="71"/>
        <v>0</v>
      </c>
      <c r="S672" s="174">
        <f>+R672/R674</f>
        <v>0</v>
      </c>
    </row>
    <row r="673" spans="2:19">
      <c r="B673" s="170">
        <v>0</v>
      </c>
      <c r="C673" s="171">
        <f>VLOOKUP(B673,'RESUMEN RENDIMIENTOS'!$V$6:$W$158,2,FALSE)</f>
        <v>0</v>
      </c>
      <c r="D673" s="177"/>
      <c r="E673" s="172" t="s">
        <v>337</v>
      </c>
      <c r="F673" s="175">
        <f t="shared" si="69"/>
        <v>0</v>
      </c>
      <c r="G673" s="174">
        <f>+F673/F674</f>
        <v>0</v>
      </c>
      <c r="H673" s="170">
        <v>0</v>
      </c>
      <c r="I673" s="171">
        <f>VLOOKUP(H673,'RESUMEN RENDIMIENTOS'!$V$6:$W$158,2,FALSE)</f>
        <v>0</v>
      </c>
      <c r="J673" s="177"/>
      <c r="K673" s="172" t="s">
        <v>337</v>
      </c>
      <c r="L673" s="173">
        <f t="shared" si="70"/>
        <v>0</v>
      </c>
      <c r="M673" s="174">
        <f>+L673/L674</f>
        <v>0</v>
      </c>
      <c r="N673" s="170">
        <v>0</v>
      </c>
      <c r="O673" s="171">
        <f>VLOOKUP(N673,'RESUMEN RENDIMIENTOS'!$V$6:$W$158,2,FALSE)</f>
        <v>0</v>
      </c>
      <c r="P673" s="177"/>
      <c r="Q673" s="172" t="s">
        <v>337</v>
      </c>
      <c r="R673" s="175">
        <f t="shared" si="71"/>
        <v>0</v>
      </c>
      <c r="S673" s="174">
        <f>+R673/R674</f>
        <v>0</v>
      </c>
    </row>
    <row r="674" spans="2:19" ht="25" thickBot="1">
      <c r="B674" s="178"/>
      <c r="E674" s="90"/>
      <c r="F674" s="173">
        <f>SUM(F658:F673)</f>
        <v>5.0146198830409355E-2</v>
      </c>
      <c r="G674" s="181">
        <f>+F674/F674</f>
        <v>1</v>
      </c>
      <c r="H674" s="178"/>
      <c r="I674" s="179"/>
      <c r="J674" s="182" t="s">
        <v>24</v>
      </c>
      <c r="K674" s="90"/>
      <c r="L674" s="173">
        <f>SUM(L658:L673)</f>
        <v>0.27090369279842963</v>
      </c>
      <c r="M674" s="181">
        <f>+L674/L674</f>
        <v>1</v>
      </c>
      <c r="N674" s="178"/>
      <c r="O674" s="179"/>
      <c r="Q674" s="90"/>
      <c r="R674" s="175">
        <f>SUM(R658:R673)</f>
        <v>0.19333153396311289</v>
      </c>
      <c r="S674" s="181">
        <f>+R674/R674</f>
        <v>1</v>
      </c>
    </row>
    <row r="675" spans="2:19" ht="18" customHeight="1">
      <c r="B675" s="427" t="s">
        <v>317</v>
      </c>
      <c r="C675" s="428"/>
      <c r="D675" s="429"/>
      <c r="E675" s="185">
        <v>0.12</v>
      </c>
      <c r="F675" s="173">
        <f>+F674*E675</f>
        <v>6.017543859649122E-3</v>
      </c>
      <c r="H675" s="427" t="s">
        <v>317</v>
      </c>
      <c r="I675" s="428"/>
      <c r="J675" s="429"/>
      <c r="K675" s="185">
        <v>0.12</v>
      </c>
      <c r="L675" s="173">
        <f>+L674*K675</f>
        <v>3.2508443135811554E-2</v>
      </c>
      <c r="N675" s="427" t="s">
        <v>317</v>
      </c>
      <c r="O675" s="428"/>
      <c r="P675" s="429"/>
      <c r="Q675" s="185">
        <v>0.12</v>
      </c>
      <c r="R675" s="175">
        <f>+R674*Q675</f>
        <v>2.3199784075573545E-2</v>
      </c>
    </row>
    <row r="676" spans="2:19" ht="18" customHeight="1">
      <c r="B676" s="178"/>
      <c r="F676" s="173">
        <f>+F675+F674</f>
        <v>5.6163742690058478E-2</v>
      </c>
      <c r="G676" s="187">
        <f>+F676/24</f>
        <v>2.3401559454191033E-3</v>
      </c>
      <c r="H676" s="178"/>
      <c r="I676" s="179"/>
      <c r="K676" s="88"/>
      <c r="L676" s="173">
        <f>+L675+L674</f>
        <v>0.30341213593424121</v>
      </c>
      <c r="M676" s="187">
        <f>+L676/24</f>
        <v>1.2642172330593384E-2</v>
      </c>
      <c r="N676" s="178"/>
      <c r="O676" s="179"/>
      <c r="R676" s="175">
        <f>+R675+R674</f>
        <v>0.21653131803868644</v>
      </c>
      <c r="S676" s="187">
        <f>+R676/24</f>
        <v>9.0221382516119351E-3</v>
      </c>
    </row>
    <row r="677" spans="2:19">
      <c r="B677" s="178"/>
      <c r="D677" s="188"/>
      <c r="F677" s="189"/>
      <c r="H677" s="178"/>
      <c r="I677" s="179"/>
      <c r="J677" s="188"/>
      <c r="K677" s="88"/>
      <c r="L677" s="189"/>
      <c r="N677" s="178"/>
      <c r="O677" s="179"/>
      <c r="P677" s="188"/>
      <c r="R677" s="189"/>
    </row>
    <row r="678" spans="2:19" ht="21">
      <c r="B678" s="191" t="s">
        <v>318</v>
      </c>
      <c r="C678" s="192"/>
      <c r="D678" s="192"/>
      <c r="E678" s="444">
        <f>IF(F676=0,0,(100/F676))</f>
        <v>1780.5081216159933</v>
      </c>
      <c r="F678" s="445"/>
      <c r="H678" s="191" t="s">
        <v>318</v>
      </c>
      <c r="I678" s="192"/>
      <c r="J678" s="192"/>
      <c r="K678" s="444">
        <f>IF(L676=0,0,(100/L676))</f>
        <v>329.58470725664409</v>
      </c>
      <c r="L678" s="445"/>
      <c r="N678" s="191" t="s">
        <v>318</v>
      </c>
      <c r="O678" s="192"/>
      <c r="P678" s="192"/>
      <c r="Q678" s="444">
        <f>IF(R676=0,0,(100/R676))</f>
        <v>461.82695836236286</v>
      </c>
      <c r="R678" s="445"/>
    </row>
    <row r="679" spans="2:19">
      <c r="B679" s="178"/>
      <c r="F679" s="189"/>
      <c r="H679" s="178"/>
      <c r="I679" s="179"/>
      <c r="K679" s="88"/>
      <c r="L679" s="189"/>
      <c r="N679" s="178"/>
      <c r="O679" s="179"/>
      <c r="R679" s="189"/>
    </row>
    <row r="680" spans="2:19" ht="21">
      <c r="B680" s="446" t="s">
        <v>319</v>
      </c>
      <c r="C680" s="447"/>
      <c r="D680" s="447"/>
      <c r="E680" s="447"/>
      <c r="F680" s="448"/>
      <c r="H680" s="446" t="s">
        <v>319</v>
      </c>
      <c r="I680" s="447"/>
      <c r="J680" s="447"/>
      <c r="K680" s="447"/>
      <c r="L680" s="448"/>
      <c r="N680" s="446" t="s">
        <v>319</v>
      </c>
      <c r="O680" s="447"/>
      <c r="P680" s="447"/>
      <c r="Q680" s="447"/>
      <c r="R680" s="448"/>
    </row>
    <row r="681" spans="2:19" ht="18" customHeight="1">
      <c r="B681" s="194" t="s">
        <v>320</v>
      </c>
      <c r="C681" s="195"/>
      <c r="D681" s="435" t="s">
        <v>321</v>
      </c>
      <c r="E681" s="435"/>
      <c r="F681" s="196" t="s">
        <v>322</v>
      </c>
      <c r="H681" s="194" t="s">
        <v>320</v>
      </c>
      <c r="I681" s="195"/>
      <c r="J681" s="435" t="s">
        <v>321</v>
      </c>
      <c r="K681" s="435"/>
      <c r="L681" s="196" t="s">
        <v>322</v>
      </c>
      <c r="N681" s="194" t="s">
        <v>320</v>
      </c>
      <c r="O681" s="195"/>
      <c r="P681" s="435" t="s">
        <v>321</v>
      </c>
      <c r="Q681" s="435"/>
      <c r="R681" s="196" t="s">
        <v>322</v>
      </c>
    </row>
    <row r="682" spans="2:19">
      <c r="B682" s="197"/>
      <c r="C682" s="201"/>
      <c r="E682" s="199">
        <f>IF(C682=0,0,(VLOOKUP(B682,'RESUMEN RENDIMIENTOS'!$AB$6:$AO$64,13,FALSE)))*C682</f>
        <v>0</v>
      </c>
      <c r="F682" s="200">
        <f>IF(C682=0,0,(VLOOKUP(B682,'RESUMEN RENDIMIENTOS'!$AB$6:$AO$64,14,FALSE)))*C682</f>
        <v>0</v>
      </c>
      <c r="H682" s="197" t="s">
        <v>278</v>
      </c>
      <c r="I682" s="201">
        <v>1</v>
      </c>
      <c r="K682" s="199">
        <f>IF(I682=0,0,(VLOOKUP(H682,'RESUMEN RENDIMIENTOS'!$AB$6:$AO$64,13,FALSE)))*I682</f>
        <v>0.75</v>
      </c>
      <c r="L682" s="200">
        <f>IF(I682=0,0,(VLOOKUP(H682,'RESUMEN RENDIMIENTOS'!$AB$6:$AO$64,14,FALSE)))*I682</f>
        <v>1.0285714285714287E-2</v>
      </c>
      <c r="N682" s="197" t="s">
        <v>278</v>
      </c>
      <c r="O682" s="201">
        <v>1</v>
      </c>
      <c r="Q682" s="199">
        <f>IF(O682=0,0,(VLOOKUP(N682,'RESUMEN RENDIMIENTOS'!$AB$6:$AO$64,13,FALSE)))*O682</f>
        <v>0.75</v>
      </c>
      <c r="R682" s="200">
        <f>IF(O682=0,0,(VLOOKUP(N682,'RESUMEN RENDIMIENTOS'!$AB$6:$AO$64,14,FALSE)))*O682</f>
        <v>1.0285714285714287E-2</v>
      </c>
    </row>
    <row r="683" spans="2:19">
      <c r="B683" s="197"/>
      <c r="C683" s="201"/>
      <c r="E683" s="199">
        <f>IF(C683=0,0,(VLOOKUP(B683,'RESUMEN RENDIMIENTOS'!$AB$6:$AO$64,13,FALSE)))*C683</f>
        <v>0</v>
      </c>
      <c r="F683" s="200">
        <f>IF(C683=0,0,(VLOOKUP(B683,'RESUMEN RENDIMIENTOS'!$AB$6:$AO$64,14,FALSE)))*C683</f>
        <v>0</v>
      </c>
      <c r="H683" s="197" t="s">
        <v>279</v>
      </c>
      <c r="I683" s="201">
        <v>1</v>
      </c>
      <c r="K683" s="199">
        <f>IF(I683=0,0,(VLOOKUP(H683,'RESUMEN RENDIMIENTOS'!$AB$6:$AO$64,13,FALSE)))*I683</f>
        <v>2</v>
      </c>
      <c r="L683" s="200">
        <f>IF(I683=0,0,(VLOOKUP(H683,'RESUMEN RENDIMIENTOS'!$AB$6:$AO$64,14,FALSE)))*I683</f>
        <v>9.5999999999999988E-2</v>
      </c>
      <c r="N683" s="197" t="s">
        <v>279</v>
      </c>
      <c r="O683" s="201">
        <v>1</v>
      </c>
      <c r="Q683" s="199">
        <f>IF(O683=0,0,(VLOOKUP(N683,'RESUMEN RENDIMIENTOS'!$AB$6:$AO$64,13,FALSE)))*O683</f>
        <v>2</v>
      </c>
      <c r="R683" s="200">
        <f>IF(O683=0,0,(VLOOKUP(N683,'RESUMEN RENDIMIENTOS'!$AB$6:$AO$64,14,FALSE)))*O683</f>
        <v>9.5999999999999988E-2</v>
      </c>
    </row>
    <row r="684" spans="2:19">
      <c r="B684" s="197"/>
      <c r="C684" s="201"/>
      <c r="E684" s="199">
        <f>IF(C684=0,0,(VLOOKUP(B684,'RESUMEN RENDIMIENTOS'!$AB$6:$AO$64,13,FALSE)))*C684</f>
        <v>0</v>
      </c>
      <c r="F684" s="200">
        <f>IF(C684=0,0,(VLOOKUP(B684,'RESUMEN RENDIMIENTOS'!$AB$6:$AO$64,14,FALSE)))*C684</f>
        <v>0</v>
      </c>
      <c r="H684" s="197" t="s">
        <v>284</v>
      </c>
      <c r="I684" s="201">
        <v>0.25</v>
      </c>
      <c r="K684" s="199">
        <f>IF(I684=0,0,(VLOOKUP(H684,'RESUMEN RENDIMIENTOS'!$AB$6:$AO$64,13,FALSE)))*I684</f>
        <v>0.52500000000000002</v>
      </c>
      <c r="L684" s="200">
        <f>IF(I684=0,0,(VLOOKUP(H684,'RESUMEN RENDIMIENTOS'!$AB$6:$AO$64,14,FALSE)))*I684</f>
        <v>4.2000000000000003E-2</v>
      </c>
      <c r="N684" s="197" t="s">
        <v>284</v>
      </c>
      <c r="O684" s="201">
        <v>0.25</v>
      </c>
      <c r="Q684" s="199">
        <f>IF(O684=0,0,(VLOOKUP(N684,'RESUMEN RENDIMIENTOS'!$AB$6:$AO$64,13,FALSE)))*O684</f>
        <v>0.52500000000000002</v>
      </c>
      <c r="R684" s="200">
        <f>IF(O684=0,0,(VLOOKUP(N684,'RESUMEN RENDIMIENTOS'!$AB$6:$AO$64,14,FALSE)))*O684</f>
        <v>4.2000000000000003E-2</v>
      </c>
    </row>
    <row r="685" spans="2:19">
      <c r="B685" s="197"/>
      <c r="C685" s="201"/>
      <c r="E685" s="199">
        <f>IF(C685=0,0,(VLOOKUP(B685,'RESUMEN RENDIMIENTOS'!$AB$6:$AO$64,13,FALSE)))*C685</f>
        <v>0</v>
      </c>
      <c r="F685" s="200">
        <f>IF(C685=0,0,(VLOOKUP(B685,'RESUMEN RENDIMIENTOS'!$AB$6:$AO$64,14,FALSE)))*C685</f>
        <v>0</v>
      </c>
      <c r="H685" s="197" t="s">
        <v>283</v>
      </c>
      <c r="I685" s="201">
        <v>1</v>
      </c>
      <c r="K685" s="199">
        <f>IF(I685=0,0,(VLOOKUP(H685,'RESUMEN RENDIMIENTOS'!$AB$6:$AO$64,13,FALSE)))*I685</f>
        <v>1.59</v>
      </c>
      <c r="L685" s="200">
        <f>IF(I685=0,0,(VLOOKUP(H685,'RESUMEN RENDIMIENTOS'!$AB$6:$AO$64,14,FALSE)))*I685</f>
        <v>0.12720000000000001</v>
      </c>
      <c r="N685" s="197" t="s">
        <v>283</v>
      </c>
      <c r="O685" s="201">
        <v>1</v>
      </c>
      <c r="Q685" s="199">
        <f>IF(O685=0,0,(VLOOKUP(N685,'RESUMEN RENDIMIENTOS'!$AB$6:$AO$64,13,FALSE)))*O685</f>
        <v>1.59</v>
      </c>
      <c r="R685" s="200">
        <f>IF(O685=0,0,(VLOOKUP(N685,'RESUMEN RENDIMIENTOS'!$AB$6:$AO$64,14,FALSE)))*O685</f>
        <v>0.12720000000000001</v>
      </c>
    </row>
    <row r="686" spans="2:19">
      <c r="B686" s="197"/>
      <c r="C686" s="201"/>
      <c r="E686" s="199">
        <f>IF(C686=0,0,(VLOOKUP(B686,'RESUMEN RENDIMIENTOS'!$AB$6:$AO$64,13,FALSE)))*C686</f>
        <v>0</v>
      </c>
      <c r="F686" s="200">
        <f>IF(C686=0,0,(VLOOKUP(B686,'RESUMEN RENDIMIENTOS'!$AB$6:$AO$64,14,FALSE)))*C686</f>
        <v>0</v>
      </c>
      <c r="H686" s="197" t="s">
        <v>282</v>
      </c>
      <c r="I686" s="201">
        <v>1</v>
      </c>
      <c r="K686" s="199">
        <f>IF(I686=0,0,(VLOOKUP(H686,'RESUMEN RENDIMIENTOS'!$AB$6:$AO$64,13,FALSE)))*I686</f>
        <v>2.62</v>
      </c>
      <c r="L686" s="200">
        <f>IF(I686=0,0,(VLOOKUP(H686,'RESUMEN RENDIMIENTOS'!$AB$6:$AO$64,14,FALSE)))*I686</f>
        <v>6.986666666666666E-2</v>
      </c>
      <c r="N686" s="197" t="s">
        <v>282</v>
      </c>
      <c r="O686" s="201">
        <v>1</v>
      </c>
      <c r="Q686" s="199">
        <f>IF(O686=0,0,(VLOOKUP(N686,'RESUMEN RENDIMIENTOS'!$AB$6:$AO$64,13,FALSE)))*O686</f>
        <v>2.62</v>
      </c>
      <c r="R686" s="200">
        <f>IF(O686=0,0,(VLOOKUP(N686,'RESUMEN RENDIMIENTOS'!$AB$6:$AO$64,14,FALSE)))*O686</f>
        <v>6.986666666666666E-2</v>
      </c>
    </row>
    <row r="687" spans="2:19">
      <c r="B687" s="197"/>
      <c r="C687" s="201"/>
      <c r="E687" s="199">
        <f>IF(C687=0,0,(VLOOKUP(B687,'RESUMEN RENDIMIENTOS'!$AB$6:$AO$64,13,FALSE)))*C687</f>
        <v>0</v>
      </c>
      <c r="F687" s="200">
        <f>IF(C687=0,0,(VLOOKUP(B687,'RESUMEN RENDIMIENTOS'!$AB$6:$AO$64,14,FALSE)))*C687</f>
        <v>0</v>
      </c>
      <c r="H687" s="197" t="s">
        <v>302</v>
      </c>
      <c r="I687" s="201">
        <v>1</v>
      </c>
      <c r="K687" s="199">
        <f>IF(I687=0,0,(VLOOKUP(H687,'RESUMEN RENDIMIENTOS'!$AB$6:$AO$64,13,FALSE)))*I687</f>
        <v>1</v>
      </c>
      <c r="L687" s="200">
        <f>IF(I687=0,0,(VLOOKUP(H687,'RESUMEN RENDIMIENTOS'!$AB$6:$AO$64,14,FALSE)))*I687</f>
        <v>0.2</v>
      </c>
      <c r="N687" s="197" t="s">
        <v>302</v>
      </c>
      <c r="O687" s="201">
        <v>1</v>
      </c>
      <c r="Q687" s="199">
        <f>IF(O687=0,0,(VLOOKUP(N687,'RESUMEN RENDIMIENTOS'!$AB$6:$AO$64,13,FALSE)))*O687</f>
        <v>1</v>
      </c>
      <c r="R687" s="200">
        <f>IF(O687=0,0,(VLOOKUP(N687,'RESUMEN RENDIMIENTOS'!$AB$6:$AO$64,14,FALSE)))*O687</f>
        <v>0.2</v>
      </c>
    </row>
    <row r="688" spans="2:19">
      <c r="B688" s="202"/>
      <c r="F688" s="206">
        <f>SUM(F682:F687)</f>
        <v>0</v>
      </c>
      <c r="G688" s="205">
        <f>+F688</f>
        <v>0</v>
      </c>
      <c r="H688" s="202"/>
      <c r="I688" s="179"/>
      <c r="K688" s="88"/>
      <c r="L688" s="206">
        <f>SUM(L682:L687)</f>
        <v>0.54535238095238103</v>
      </c>
      <c r="M688" s="205">
        <f>+L688</f>
        <v>0.54535238095238103</v>
      </c>
      <c r="N688" s="202"/>
      <c r="O688" s="179"/>
      <c r="R688" s="206">
        <f>SUM(R682:R687)</f>
        <v>0.54535238095238103</v>
      </c>
      <c r="S688" s="205">
        <f>+R688</f>
        <v>0.54535238095238103</v>
      </c>
    </row>
    <row r="689" spans="2:19">
      <c r="B689" s="436" t="s">
        <v>324</v>
      </c>
      <c r="C689" s="437"/>
      <c r="D689" s="437"/>
      <c r="E689" s="437"/>
      <c r="F689" s="455"/>
      <c r="G689" s="205"/>
      <c r="H689" s="436" t="s">
        <v>324</v>
      </c>
      <c r="I689" s="437"/>
      <c r="J689" s="437"/>
      <c r="K689" s="437"/>
      <c r="L689" s="455"/>
      <c r="M689" s="205"/>
      <c r="N689" s="436" t="s">
        <v>324</v>
      </c>
      <c r="O689" s="437"/>
      <c r="P689" s="437"/>
      <c r="Q689" s="437"/>
      <c r="R689" s="455"/>
      <c r="S689" s="205"/>
    </row>
    <row r="690" spans="2:19">
      <c r="B690" s="210" t="s">
        <v>325</v>
      </c>
      <c r="C690" s="211">
        <v>1</v>
      </c>
      <c r="D690" s="212">
        <v>21.712335174960327</v>
      </c>
      <c r="E690" s="213">
        <f>F676</f>
        <v>5.6163742690058478E-2</v>
      </c>
      <c r="F690" s="214">
        <f>+IF(C690&gt;="",0,(D690*E690))</f>
        <v>1.2194460059667775</v>
      </c>
      <c r="G690" s="215"/>
      <c r="H690" s="210" t="s">
        <v>325</v>
      </c>
      <c r="I690" s="211">
        <v>1</v>
      </c>
      <c r="J690" s="212">
        <v>21.712335174960327</v>
      </c>
      <c r="K690" s="213">
        <f>L676</f>
        <v>0.30341213593424121</v>
      </c>
      <c r="L690" s="216">
        <f>+IF(I690&gt;="",0,(J690*K690))</f>
        <v>6.5877859915548695</v>
      </c>
      <c r="M690" s="215"/>
      <c r="N690" s="210" t="s">
        <v>325</v>
      </c>
      <c r="O690" s="211">
        <v>1</v>
      </c>
      <c r="P690" s="212">
        <v>21.712335174960327</v>
      </c>
      <c r="Q690" s="213">
        <f>R676</f>
        <v>0.21653131803868644</v>
      </c>
      <c r="R690" s="214">
        <f>+IF(O690&gt;="",0,(P690*Q690))</f>
        <v>4.7014005531318928</v>
      </c>
      <c r="S690" s="215"/>
    </row>
    <row r="691" spans="2:19">
      <c r="B691" s="210" t="s">
        <v>326</v>
      </c>
      <c r="C691" s="211"/>
      <c r="D691" s="212">
        <f>+D690*25%</f>
        <v>5.4280837937400817</v>
      </c>
      <c r="E691" s="213">
        <f>F676</f>
        <v>5.6163742690058478E-2</v>
      </c>
      <c r="F691" s="214">
        <f>+IF(C691= "",0,(D691*E691))</f>
        <v>0</v>
      </c>
      <c r="G691" s="215"/>
      <c r="H691" s="210" t="s">
        <v>326</v>
      </c>
      <c r="I691" s="211"/>
      <c r="J691" s="212">
        <f>+J690*25%</f>
        <v>5.4280837937400817</v>
      </c>
      <c r="K691" s="213">
        <f>L676</f>
        <v>0.30341213593424121</v>
      </c>
      <c r="L691" s="216">
        <f>+IF(I691= "",0,(J691*K691))</f>
        <v>0</v>
      </c>
      <c r="M691" s="215"/>
      <c r="N691" s="210" t="s">
        <v>326</v>
      </c>
      <c r="O691" s="211"/>
      <c r="P691" s="212">
        <f>+P690*25%</f>
        <v>5.4280837937400817</v>
      </c>
      <c r="Q691" s="213">
        <f>R676</f>
        <v>0.21653131803868644</v>
      </c>
      <c r="R691" s="214">
        <f>+IF(O691= "",0,(P691*Q691))</f>
        <v>0</v>
      </c>
      <c r="S691" s="215"/>
    </row>
    <row r="692" spans="2:19">
      <c r="B692" s="210" t="s">
        <v>327</v>
      </c>
      <c r="C692" s="211"/>
      <c r="D692" s="212">
        <f>+D690*50%</f>
        <v>10.856167587480163</v>
      </c>
      <c r="E692" s="213">
        <f>F676</f>
        <v>5.6163742690058478E-2</v>
      </c>
      <c r="F692" s="214">
        <f>+IF(C692= "",0,(D692*E692))</f>
        <v>0</v>
      </c>
      <c r="G692" s="215"/>
      <c r="H692" s="210" t="s">
        <v>327</v>
      </c>
      <c r="I692" s="211"/>
      <c r="J692" s="212">
        <f>+J690*50%</f>
        <v>10.856167587480163</v>
      </c>
      <c r="K692" s="213">
        <f>L676</f>
        <v>0.30341213593424121</v>
      </c>
      <c r="L692" s="216">
        <f>+IF(I692= "",0,(J692*K692))</f>
        <v>0</v>
      </c>
      <c r="M692" s="215"/>
      <c r="N692" s="210" t="s">
        <v>327</v>
      </c>
      <c r="O692" s="211"/>
      <c r="P692" s="212">
        <f>+P690*50%</f>
        <v>10.856167587480163</v>
      </c>
      <c r="Q692" s="213">
        <f>R676</f>
        <v>0.21653131803868644</v>
      </c>
      <c r="R692" s="214">
        <f>+IF(O692= "",0,(P692*Q692))</f>
        <v>0</v>
      </c>
      <c r="S692" s="215"/>
    </row>
    <row r="693" spans="2:19">
      <c r="B693" s="202"/>
      <c r="F693" s="217">
        <f>SUM(F690:F692)</f>
        <v>1.2194460059667775</v>
      </c>
      <c r="G693" s="218"/>
      <c r="H693" s="202"/>
      <c r="I693" s="179"/>
      <c r="K693" s="88"/>
      <c r="L693" s="219">
        <f>SUM(L690:L692)</f>
        <v>6.5877859915548695</v>
      </c>
      <c r="M693" s="218"/>
      <c r="N693" s="202"/>
      <c r="O693" s="179"/>
      <c r="R693" s="217">
        <f>SUM(R690:R692)</f>
        <v>4.7014005531318928</v>
      </c>
      <c r="S693" s="218"/>
    </row>
    <row r="694" spans="2:19">
      <c r="B694" s="202"/>
      <c r="F694" s="189"/>
      <c r="G694" s="220"/>
      <c r="H694" s="202"/>
      <c r="I694" s="179"/>
      <c r="K694" s="88"/>
      <c r="M694" s="220"/>
      <c r="N694" s="202"/>
      <c r="O694" s="179"/>
      <c r="R694" s="189"/>
      <c r="S694" s="220"/>
    </row>
    <row r="695" spans="2:19" ht="21">
      <c r="B695" s="438" t="s">
        <v>328</v>
      </c>
      <c r="C695" s="439"/>
      <c r="D695" s="439"/>
      <c r="E695" s="440"/>
      <c r="F695" s="225">
        <f>+F688+F693</f>
        <v>1.2194460059667775</v>
      </c>
      <c r="G695" s="205">
        <f>+F695</f>
        <v>1.2194460059667775</v>
      </c>
      <c r="H695" s="438" t="s">
        <v>328</v>
      </c>
      <c r="I695" s="439"/>
      <c r="J695" s="439"/>
      <c r="K695" s="440"/>
      <c r="L695" s="225">
        <f>+L688+L693</f>
        <v>7.1331383725072506</v>
      </c>
      <c r="M695" s="205">
        <f>+L695</f>
        <v>7.1331383725072506</v>
      </c>
      <c r="N695" s="438" t="s">
        <v>328</v>
      </c>
      <c r="O695" s="439"/>
      <c r="P695" s="439"/>
      <c r="Q695" s="440"/>
      <c r="R695" s="225">
        <f>+R688+R693</f>
        <v>5.2467529340842738</v>
      </c>
      <c r="S695" s="205">
        <f>+R695</f>
        <v>5.2467529340842738</v>
      </c>
    </row>
    <row r="696" spans="2:19">
      <c r="B696" s="202"/>
      <c r="F696" s="189"/>
      <c r="G696" s="205"/>
      <c r="H696" s="202"/>
      <c r="I696" s="179"/>
      <c r="K696" s="88"/>
      <c r="L696" s="189"/>
      <c r="M696" s="205"/>
      <c r="N696" s="202"/>
      <c r="O696" s="179"/>
      <c r="R696" s="189"/>
      <c r="S696" s="205"/>
    </row>
    <row r="697" spans="2:19" ht="19">
      <c r="B697" s="441" t="s">
        <v>329</v>
      </c>
      <c r="C697" s="442"/>
      <c r="D697" s="442"/>
      <c r="E697" s="443"/>
      <c r="F697" s="230">
        <f>+F695/$C$37</f>
        <v>1.2194460059667775E-2</v>
      </c>
      <c r="G697" s="205"/>
      <c r="H697" s="441" t="s">
        <v>329</v>
      </c>
      <c r="I697" s="442"/>
      <c r="J697" s="442"/>
      <c r="K697" s="443"/>
      <c r="L697" s="230">
        <f>+L695/$C$37</f>
        <v>7.13313837250725E-2</v>
      </c>
      <c r="M697" s="205"/>
      <c r="N697" s="441" t="s">
        <v>329</v>
      </c>
      <c r="O697" s="442"/>
      <c r="P697" s="442"/>
      <c r="Q697" s="443"/>
      <c r="R697" s="230">
        <f>+R695/$C$37</f>
        <v>5.2467529340842735E-2</v>
      </c>
      <c r="S697" s="205"/>
    </row>
    <row r="698" spans="2:19" ht="17" thickBot="1">
      <c r="B698" s="231"/>
      <c r="C698" s="232"/>
      <c r="D698" s="233"/>
      <c r="E698" s="233"/>
      <c r="F698" s="234"/>
      <c r="G698" s="205"/>
      <c r="H698" s="231"/>
      <c r="I698" s="232"/>
      <c r="J698" s="233"/>
      <c r="K698" s="233"/>
      <c r="L698" s="234"/>
      <c r="M698" s="205"/>
      <c r="N698" s="231"/>
      <c r="O698" s="232"/>
      <c r="P698" s="233"/>
      <c r="Q698" s="233"/>
      <c r="R698" s="234"/>
      <c r="S698" s="205"/>
    </row>
    <row r="699" spans="2:19" ht="23.25" customHeight="1" thickBot="1">
      <c r="B699" s="415" t="s">
        <v>312</v>
      </c>
      <c r="C699" s="416"/>
      <c r="D699" s="416"/>
      <c r="E699" s="416"/>
      <c r="F699" s="416"/>
      <c r="G699" s="416"/>
      <c r="H699" s="416"/>
      <c r="I699" s="416"/>
      <c r="J699" s="416"/>
      <c r="K699" s="416"/>
      <c r="L699" s="416"/>
      <c r="M699" s="416"/>
      <c r="N699" s="416"/>
      <c r="O699" s="416"/>
      <c r="P699" s="416"/>
      <c r="Q699" s="416"/>
      <c r="R699" s="417"/>
    </row>
    <row r="700" spans="2:19" ht="25">
      <c r="B700" s="239" t="s">
        <v>16</v>
      </c>
      <c r="C700" s="459" t="s">
        <v>104</v>
      </c>
      <c r="D700" s="460"/>
      <c r="E700" s="460"/>
      <c r="F700" s="466"/>
      <c r="G700" s="258"/>
      <c r="H700" s="237" t="s">
        <v>16</v>
      </c>
      <c r="I700" s="452" t="s">
        <v>110</v>
      </c>
      <c r="J700" s="453"/>
      <c r="K700" s="453"/>
      <c r="L700" s="465"/>
      <c r="M700" s="272"/>
      <c r="N700" s="275" t="s">
        <v>16</v>
      </c>
      <c r="O700" s="462" t="s">
        <v>80</v>
      </c>
      <c r="P700" s="463"/>
      <c r="Q700" s="463"/>
      <c r="R700" s="467"/>
    </row>
    <row r="701" spans="2:19" ht="33" thickBot="1">
      <c r="B701" s="241" t="s">
        <v>313</v>
      </c>
      <c r="C701" s="242" t="s">
        <v>6</v>
      </c>
      <c r="D701" s="243" t="s">
        <v>25</v>
      </c>
      <c r="E701" s="244" t="s">
        <v>314</v>
      </c>
      <c r="F701" s="245" t="s">
        <v>315</v>
      </c>
      <c r="H701" s="241" t="s">
        <v>313</v>
      </c>
      <c r="I701" s="242" t="s">
        <v>6</v>
      </c>
      <c r="J701" s="243" t="s">
        <v>25</v>
      </c>
      <c r="K701" s="244" t="s">
        <v>314</v>
      </c>
      <c r="L701" s="245" t="s">
        <v>315</v>
      </c>
      <c r="N701" s="241" t="s">
        <v>313</v>
      </c>
      <c r="O701" s="242" t="s">
        <v>6</v>
      </c>
      <c r="P701" s="243" t="s">
        <v>25</v>
      </c>
      <c r="Q701" s="244" t="s">
        <v>314</v>
      </c>
      <c r="R701" s="245" t="s">
        <v>315</v>
      </c>
    </row>
    <row r="702" spans="2:19">
      <c r="B702" s="170" t="s">
        <v>186</v>
      </c>
      <c r="C702" s="171">
        <f>VLOOKUP(B702,'RESUMEN RENDIMIENTOS'!$V$6:$W$158,2,FALSE)</f>
        <v>5000</v>
      </c>
      <c r="D702" s="177" t="s">
        <v>20</v>
      </c>
      <c r="E702" s="172">
        <v>247</v>
      </c>
      <c r="F702" s="175">
        <f t="shared" ref="F702:F717" si="72">IF(C702=0,0,(100/C702)*E702/$E$37)</f>
        <v>0.02</v>
      </c>
      <c r="G702" s="164">
        <f>+F702/F718</f>
        <v>0.16141128291940637</v>
      </c>
      <c r="H702" s="170" t="s">
        <v>260</v>
      </c>
      <c r="I702" s="171">
        <f>VLOOKUP(H702,'RESUMEN RENDIMIENTOS'!$V$6:$W$158,2,FALSE)</f>
        <v>3000</v>
      </c>
      <c r="J702" s="177" t="s">
        <v>20</v>
      </c>
      <c r="K702" s="172">
        <v>247</v>
      </c>
      <c r="L702" s="175">
        <f t="shared" ref="L702:L717" si="73">IF(I702=0,0,(100/I702)*K702/$E$37)</f>
        <v>3.3333333333333333E-2</v>
      </c>
      <c r="M702" s="164">
        <f>+L702/L718</f>
        <v>0.32728236385318665</v>
      </c>
      <c r="N702" s="170" t="s">
        <v>181</v>
      </c>
      <c r="O702" s="171">
        <f>VLOOKUP(N702,'RESUMEN RENDIMIENTOS'!$V$6:$W$158,2,FALSE)</f>
        <v>900</v>
      </c>
      <c r="P702" s="177" t="s">
        <v>20</v>
      </c>
      <c r="Q702" s="172">
        <v>247</v>
      </c>
      <c r="R702" s="175">
        <f t="shared" ref="R702:R717" si="74">IF(O702=0,0,(100/O702)*Q702/$E$37)</f>
        <v>0.1111111111111111</v>
      </c>
      <c r="S702" s="164">
        <f>+R702/R718</f>
        <v>0.35073805866484531</v>
      </c>
    </row>
    <row r="703" spans="2:19">
      <c r="B703" s="170" t="s">
        <v>260</v>
      </c>
      <c r="C703" s="171">
        <f>VLOOKUP(B703,'RESUMEN RENDIMIENTOS'!$V$6:$W$158,2,FALSE)</f>
        <v>3000</v>
      </c>
      <c r="D703" s="177" t="s">
        <v>20</v>
      </c>
      <c r="E703" s="172">
        <v>247</v>
      </c>
      <c r="F703" s="173">
        <f t="shared" si="72"/>
        <v>3.3333333333333333E-2</v>
      </c>
      <c r="G703" s="174">
        <f>+F703/F718</f>
        <v>0.26901880486567725</v>
      </c>
      <c r="H703" s="170" t="s">
        <v>256</v>
      </c>
      <c r="I703" s="171">
        <f>VLOOKUP(H703,'RESUMEN RENDIMIENTOS'!$V$6:$W$158,2,FALSE)</f>
        <v>3000</v>
      </c>
      <c r="J703" s="177" t="s">
        <v>20</v>
      </c>
      <c r="K703" s="172">
        <v>247</v>
      </c>
      <c r="L703" s="175">
        <f t="shared" si="73"/>
        <v>3.3333333333333333E-2</v>
      </c>
      <c r="M703" s="174">
        <f>+L703/L718</f>
        <v>0.32728236385318665</v>
      </c>
      <c r="N703" s="170" t="s">
        <v>199</v>
      </c>
      <c r="O703" s="171">
        <f>VLOOKUP(N703,'RESUMEN RENDIMIENTOS'!$V$6:$W$158,2,FALSE)</f>
        <v>300</v>
      </c>
      <c r="P703" s="177" t="s">
        <v>56</v>
      </c>
      <c r="Q703" s="172">
        <v>52.14</v>
      </c>
      <c r="R703" s="175">
        <f t="shared" si="74"/>
        <v>7.036437246963563E-2</v>
      </c>
      <c r="S703" s="174">
        <f>+R703/R718</f>
        <v>0.22211517059253083</v>
      </c>
    </row>
    <row r="704" spans="2:19">
      <c r="B704" s="170" t="s">
        <v>240</v>
      </c>
      <c r="C704" s="171">
        <f>VLOOKUP(B704,'RESUMEN RENDIMIENTOS'!$V$6:$W$158,2,FALSE)</f>
        <v>1000</v>
      </c>
      <c r="D704" s="177" t="s">
        <v>52</v>
      </c>
      <c r="E704" s="172">
        <v>156.42000000000002</v>
      </c>
      <c r="F704" s="173">
        <f t="shared" si="72"/>
        <v>6.3327935222672077E-2</v>
      </c>
      <c r="G704" s="174">
        <f>+F704/F718</f>
        <v>0.51109216344642805</v>
      </c>
      <c r="H704" s="170" t="s">
        <v>184</v>
      </c>
      <c r="I704" s="171">
        <f>VLOOKUP(H704,'RESUMEN RENDIMIENTOS'!$V$6:$W$158,2,FALSE)</f>
        <v>1800</v>
      </c>
      <c r="J704" s="177" t="s">
        <v>52</v>
      </c>
      <c r="K704" s="172">
        <v>156.42000000000002</v>
      </c>
      <c r="L704" s="175">
        <f t="shared" si="73"/>
        <v>3.5182186234817822E-2</v>
      </c>
      <c r="M704" s="174">
        <f>+L704/L718</f>
        <v>0.34543527229362664</v>
      </c>
      <c r="N704" s="170" t="s">
        <v>190</v>
      </c>
      <c r="O704" s="171">
        <f>VLOOKUP(N704,'RESUMEN RENDIMIENTOS'!$V$6:$W$158,2,FALSE)</f>
        <v>960</v>
      </c>
      <c r="P704" s="177" t="s">
        <v>56</v>
      </c>
      <c r="Q704" s="172">
        <v>52.14</v>
      </c>
      <c r="R704" s="175">
        <f t="shared" si="74"/>
        <v>2.1988866396761134E-2</v>
      </c>
      <c r="S704" s="174">
        <f>+R704/R718</f>
        <v>6.9410990810165885E-2</v>
      </c>
    </row>
    <row r="705" spans="2:19">
      <c r="B705" s="170" t="s">
        <v>207</v>
      </c>
      <c r="C705" s="171">
        <f>VLOOKUP(B705,'RESUMEN RENDIMIENTOS'!$V$6:$W$158,2,FALSE)</f>
        <v>3500</v>
      </c>
      <c r="D705" s="177" t="s">
        <v>56</v>
      </c>
      <c r="E705" s="172">
        <v>52.14</v>
      </c>
      <c r="F705" s="173">
        <f t="shared" si="72"/>
        <v>6.0312319259687684E-3</v>
      </c>
      <c r="G705" s="174">
        <f>+F705/F718</f>
        <v>4.8675444137755049E-2</v>
      </c>
      <c r="H705" s="170">
        <v>0</v>
      </c>
      <c r="I705" s="171">
        <f>VLOOKUP(H705,'RESUMEN RENDIMIENTOS'!$V$6:$W$158,2,FALSE)</f>
        <v>0</v>
      </c>
      <c r="J705" s="177"/>
      <c r="K705" s="172" t="s">
        <v>337</v>
      </c>
      <c r="L705" s="175">
        <f t="shared" si="73"/>
        <v>0</v>
      </c>
      <c r="M705" s="174">
        <f>+L705/L718</f>
        <v>0</v>
      </c>
      <c r="N705" s="170" t="s">
        <v>194</v>
      </c>
      <c r="O705" s="171">
        <f>VLOOKUP(N705,'RESUMEN RENDIMIENTOS'!$V$6:$W$158,2,FALSE)</f>
        <v>2000</v>
      </c>
      <c r="P705" s="177" t="s">
        <v>20</v>
      </c>
      <c r="Q705" s="172">
        <v>247</v>
      </c>
      <c r="R705" s="175">
        <f t="shared" si="74"/>
        <v>0.05</v>
      </c>
      <c r="S705" s="174">
        <f>+R705/R718</f>
        <v>0.15783212639918043</v>
      </c>
    </row>
    <row r="706" spans="2:19">
      <c r="B706" s="170" t="s">
        <v>195</v>
      </c>
      <c r="C706" s="171">
        <f>VLOOKUP(B706,'RESUMEN RENDIMIENTOS'!$V$6:$W$158,2,FALSE)</f>
        <v>750</v>
      </c>
      <c r="D706" s="177" t="s">
        <v>65</v>
      </c>
      <c r="E706" s="172">
        <v>1</v>
      </c>
      <c r="F706" s="173">
        <f t="shared" si="72"/>
        <v>5.3981106612685558E-4</v>
      </c>
      <c r="G706" s="174">
        <f>+F706/F718</f>
        <v>4.3565798358814129E-3</v>
      </c>
      <c r="H706" s="170">
        <v>0</v>
      </c>
      <c r="I706" s="171">
        <f>VLOOKUP(H706,'RESUMEN RENDIMIENTOS'!$V$6:$W$158,2,FALSE)</f>
        <v>0</v>
      </c>
      <c r="J706" s="177"/>
      <c r="K706" s="172" t="s">
        <v>337</v>
      </c>
      <c r="L706" s="175">
        <f t="shared" si="73"/>
        <v>0</v>
      </c>
      <c r="M706" s="174">
        <f>+L706/L718</f>
        <v>0</v>
      </c>
      <c r="N706" s="170" t="s">
        <v>240</v>
      </c>
      <c r="O706" s="171">
        <f>VLOOKUP(N706,'RESUMEN RENDIMIENTOS'!$V$6:$W$158,2,FALSE)</f>
        <v>1000</v>
      </c>
      <c r="P706" s="177" t="s">
        <v>52</v>
      </c>
      <c r="Q706" s="172">
        <v>156.42000000000002</v>
      </c>
      <c r="R706" s="175">
        <f t="shared" si="74"/>
        <v>6.3327935222672077E-2</v>
      </c>
      <c r="S706" s="174">
        <f>+R706/R718</f>
        <v>0.19990365353327777</v>
      </c>
    </row>
    <row r="707" spans="2:19">
      <c r="B707" s="170" t="s">
        <v>197</v>
      </c>
      <c r="C707" s="171">
        <f>VLOOKUP(B707,'RESUMEN RENDIMIENTOS'!$V$6:$W$158,2,FALSE)</f>
        <v>600</v>
      </c>
      <c r="D707" s="177" t="s">
        <v>65</v>
      </c>
      <c r="E707" s="172">
        <v>1</v>
      </c>
      <c r="F707" s="173">
        <f t="shared" si="72"/>
        <v>6.7476383265856947E-4</v>
      </c>
      <c r="G707" s="174">
        <f>+F707/F718</f>
        <v>5.4457247948517667E-3</v>
      </c>
      <c r="H707" s="170">
        <v>0</v>
      </c>
      <c r="I707" s="171">
        <f>VLOOKUP(H707,'RESUMEN RENDIMIENTOS'!$V$6:$W$158,2,FALSE)</f>
        <v>0</v>
      </c>
      <c r="J707" s="177"/>
      <c r="K707" s="172" t="s">
        <v>337</v>
      </c>
      <c r="L707" s="175">
        <f t="shared" si="73"/>
        <v>0</v>
      </c>
      <c r="M707" s="174">
        <f>+L707/L718</f>
        <v>0</v>
      </c>
      <c r="N707" s="170">
        <v>0</v>
      </c>
      <c r="O707" s="171">
        <f>VLOOKUP(N707,'RESUMEN RENDIMIENTOS'!$V$6:$W$158,2,FALSE)</f>
        <v>0</v>
      </c>
      <c r="P707" s="177"/>
      <c r="Q707" s="172" t="s">
        <v>337</v>
      </c>
      <c r="R707" s="175">
        <f t="shared" si="74"/>
        <v>0</v>
      </c>
      <c r="S707" s="174">
        <f>+R707/R718</f>
        <v>0</v>
      </c>
    </row>
    <row r="708" spans="2:19">
      <c r="B708" s="170">
        <v>0</v>
      </c>
      <c r="C708" s="171">
        <f>VLOOKUP(B708,'RESUMEN RENDIMIENTOS'!$V$6:$W$158,2,FALSE)</f>
        <v>0</v>
      </c>
      <c r="D708" s="177"/>
      <c r="E708" s="172" t="s">
        <v>337</v>
      </c>
      <c r="F708" s="173">
        <f t="shared" si="72"/>
        <v>0</v>
      </c>
      <c r="G708" s="174">
        <f>+F708/F718</f>
        <v>0</v>
      </c>
      <c r="H708" s="170">
        <v>0</v>
      </c>
      <c r="I708" s="171">
        <f>VLOOKUP(H708,'RESUMEN RENDIMIENTOS'!$V$6:$W$158,2,FALSE)</f>
        <v>0</v>
      </c>
      <c r="J708" s="177"/>
      <c r="K708" s="172" t="s">
        <v>337</v>
      </c>
      <c r="L708" s="175">
        <f t="shared" si="73"/>
        <v>0</v>
      </c>
      <c r="M708" s="174">
        <f>+L708/L718</f>
        <v>0</v>
      </c>
      <c r="N708" s="170">
        <v>0</v>
      </c>
      <c r="O708" s="171">
        <f>VLOOKUP(N708,'RESUMEN RENDIMIENTOS'!$V$6:$W$158,2,FALSE)</f>
        <v>0</v>
      </c>
      <c r="P708" s="177"/>
      <c r="Q708" s="172" t="s">
        <v>337</v>
      </c>
      <c r="R708" s="175">
        <f t="shared" si="74"/>
        <v>0</v>
      </c>
      <c r="S708" s="174">
        <f>+R708/R718</f>
        <v>0</v>
      </c>
    </row>
    <row r="709" spans="2:19">
      <c r="B709" s="170">
        <v>0</v>
      </c>
      <c r="C709" s="171">
        <f>VLOOKUP(B709,'RESUMEN RENDIMIENTOS'!$V$6:$W$158,2,FALSE)</f>
        <v>0</v>
      </c>
      <c r="D709" s="177"/>
      <c r="E709" s="172" t="s">
        <v>337</v>
      </c>
      <c r="F709" s="173">
        <f t="shared" si="72"/>
        <v>0</v>
      </c>
      <c r="G709" s="174">
        <f>+F709/F718</f>
        <v>0</v>
      </c>
      <c r="H709" s="170">
        <v>0</v>
      </c>
      <c r="I709" s="171">
        <f>VLOOKUP(H709,'RESUMEN RENDIMIENTOS'!$V$6:$W$158,2,FALSE)</f>
        <v>0</v>
      </c>
      <c r="J709" s="177"/>
      <c r="K709" s="172" t="s">
        <v>337</v>
      </c>
      <c r="L709" s="175">
        <f t="shared" si="73"/>
        <v>0</v>
      </c>
      <c r="M709" s="174">
        <f>+L709/L718</f>
        <v>0</v>
      </c>
      <c r="N709" s="170">
        <v>0</v>
      </c>
      <c r="O709" s="171">
        <f>VLOOKUP(N709,'RESUMEN RENDIMIENTOS'!$V$6:$W$158,2,FALSE)</f>
        <v>0</v>
      </c>
      <c r="P709" s="177"/>
      <c r="Q709" s="172" t="s">
        <v>337</v>
      </c>
      <c r="R709" s="175">
        <f t="shared" si="74"/>
        <v>0</v>
      </c>
      <c r="S709" s="174">
        <f>+R709/R718</f>
        <v>0</v>
      </c>
    </row>
    <row r="710" spans="2:19">
      <c r="B710" s="170">
        <v>0</v>
      </c>
      <c r="C710" s="171">
        <f>VLOOKUP(B710,'RESUMEN RENDIMIENTOS'!$V$6:$W$158,2,FALSE)</f>
        <v>0</v>
      </c>
      <c r="D710" s="177"/>
      <c r="E710" s="172" t="s">
        <v>337</v>
      </c>
      <c r="F710" s="173">
        <f t="shared" si="72"/>
        <v>0</v>
      </c>
      <c r="G710" s="174">
        <f>+F710/F718</f>
        <v>0</v>
      </c>
      <c r="H710" s="170">
        <v>0</v>
      </c>
      <c r="I710" s="171">
        <f>VLOOKUP(H710,'RESUMEN RENDIMIENTOS'!$V$6:$W$158,2,FALSE)</f>
        <v>0</v>
      </c>
      <c r="J710" s="177"/>
      <c r="K710" s="172" t="s">
        <v>337</v>
      </c>
      <c r="L710" s="175">
        <f t="shared" si="73"/>
        <v>0</v>
      </c>
      <c r="M710" s="174">
        <f>+L710/L718</f>
        <v>0</v>
      </c>
      <c r="N710" s="170">
        <v>0</v>
      </c>
      <c r="O710" s="171">
        <f>VLOOKUP(N710,'RESUMEN RENDIMIENTOS'!$V$6:$W$158,2,FALSE)</f>
        <v>0</v>
      </c>
      <c r="P710" s="177"/>
      <c r="Q710" s="172" t="s">
        <v>337</v>
      </c>
      <c r="R710" s="175">
        <f t="shared" si="74"/>
        <v>0</v>
      </c>
      <c r="S710" s="174">
        <f>+R710/R718</f>
        <v>0</v>
      </c>
    </row>
    <row r="711" spans="2:19">
      <c r="B711" s="170">
        <v>0</v>
      </c>
      <c r="C711" s="171">
        <f>VLOOKUP(B711,'RESUMEN RENDIMIENTOS'!$V$6:$W$158,2,FALSE)</f>
        <v>0</v>
      </c>
      <c r="D711" s="177"/>
      <c r="E711" s="172" t="s">
        <v>337</v>
      </c>
      <c r="F711" s="173">
        <f t="shared" si="72"/>
        <v>0</v>
      </c>
      <c r="G711" s="174">
        <f>+F711/F718</f>
        <v>0</v>
      </c>
      <c r="H711" s="170">
        <v>0</v>
      </c>
      <c r="I711" s="171">
        <f>VLOOKUP(H711,'RESUMEN RENDIMIENTOS'!$V$6:$W$158,2,FALSE)</f>
        <v>0</v>
      </c>
      <c r="J711" s="177"/>
      <c r="K711" s="172" t="s">
        <v>337</v>
      </c>
      <c r="L711" s="175">
        <f t="shared" si="73"/>
        <v>0</v>
      </c>
      <c r="M711" s="174">
        <f>+L711/L718</f>
        <v>0</v>
      </c>
      <c r="N711" s="170">
        <v>0</v>
      </c>
      <c r="O711" s="171">
        <f>VLOOKUP(N711,'RESUMEN RENDIMIENTOS'!$V$6:$W$158,2,FALSE)</f>
        <v>0</v>
      </c>
      <c r="P711" s="177"/>
      <c r="Q711" s="172" t="s">
        <v>337</v>
      </c>
      <c r="R711" s="175">
        <f t="shared" si="74"/>
        <v>0</v>
      </c>
      <c r="S711" s="174">
        <f>+R711/R718</f>
        <v>0</v>
      </c>
    </row>
    <row r="712" spans="2:19">
      <c r="B712" s="170">
        <v>0</v>
      </c>
      <c r="C712" s="171">
        <f>VLOOKUP(B712,'RESUMEN RENDIMIENTOS'!$V$6:$W$158,2,FALSE)</f>
        <v>0</v>
      </c>
      <c r="D712" s="177"/>
      <c r="E712" s="172" t="s">
        <v>337</v>
      </c>
      <c r="F712" s="173">
        <f t="shared" si="72"/>
        <v>0</v>
      </c>
      <c r="G712" s="174">
        <f>+F712/F718</f>
        <v>0</v>
      </c>
      <c r="H712" s="170">
        <v>0</v>
      </c>
      <c r="I712" s="171">
        <f>VLOOKUP(H712,'RESUMEN RENDIMIENTOS'!$V$6:$W$158,2,FALSE)</f>
        <v>0</v>
      </c>
      <c r="J712" s="177"/>
      <c r="K712" s="172" t="s">
        <v>337</v>
      </c>
      <c r="L712" s="175">
        <f t="shared" si="73"/>
        <v>0</v>
      </c>
      <c r="M712" s="174">
        <f>+L712/L718</f>
        <v>0</v>
      </c>
      <c r="N712" s="170">
        <v>0</v>
      </c>
      <c r="O712" s="171">
        <f>VLOOKUP(N712,'RESUMEN RENDIMIENTOS'!$V$6:$W$158,2,FALSE)</f>
        <v>0</v>
      </c>
      <c r="P712" s="177"/>
      <c r="Q712" s="172" t="s">
        <v>337</v>
      </c>
      <c r="R712" s="175">
        <f t="shared" si="74"/>
        <v>0</v>
      </c>
      <c r="S712" s="174">
        <f>+R712/R718</f>
        <v>0</v>
      </c>
    </row>
    <row r="713" spans="2:19">
      <c r="B713" s="170">
        <v>0</v>
      </c>
      <c r="C713" s="171">
        <f>VLOOKUP(B713,'RESUMEN RENDIMIENTOS'!$V$6:$W$158,2,FALSE)</f>
        <v>0</v>
      </c>
      <c r="D713" s="177"/>
      <c r="E713" s="172" t="s">
        <v>337</v>
      </c>
      <c r="F713" s="173">
        <f t="shared" si="72"/>
        <v>0</v>
      </c>
      <c r="G713" s="174">
        <f>+F713/F718</f>
        <v>0</v>
      </c>
      <c r="H713" s="170">
        <v>0</v>
      </c>
      <c r="I713" s="171">
        <f>VLOOKUP(H713,'RESUMEN RENDIMIENTOS'!$V$6:$W$158,2,FALSE)</f>
        <v>0</v>
      </c>
      <c r="J713" s="177"/>
      <c r="K713" s="172" t="s">
        <v>337</v>
      </c>
      <c r="L713" s="175">
        <f t="shared" si="73"/>
        <v>0</v>
      </c>
      <c r="M713" s="174">
        <f>+L713/L718</f>
        <v>0</v>
      </c>
      <c r="N713" s="170">
        <v>0</v>
      </c>
      <c r="O713" s="171">
        <f>VLOOKUP(N713,'RESUMEN RENDIMIENTOS'!$V$6:$W$158,2,FALSE)</f>
        <v>0</v>
      </c>
      <c r="P713" s="177"/>
      <c r="Q713" s="172" t="s">
        <v>337</v>
      </c>
      <c r="R713" s="175">
        <f t="shared" si="74"/>
        <v>0</v>
      </c>
      <c r="S713" s="174">
        <f>+R713/R718</f>
        <v>0</v>
      </c>
    </row>
    <row r="714" spans="2:19">
      <c r="B714" s="170">
        <v>0</v>
      </c>
      <c r="C714" s="171">
        <f>VLOOKUP(B714,'RESUMEN RENDIMIENTOS'!$V$6:$W$158,2,FALSE)</f>
        <v>0</v>
      </c>
      <c r="D714" s="177"/>
      <c r="E714" s="172" t="s">
        <v>337</v>
      </c>
      <c r="F714" s="173">
        <f t="shared" si="72"/>
        <v>0</v>
      </c>
      <c r="G714" s="174">
        <f>+F714/F718</f>
        <v>0</v>
      </c>
      <c r="H714" s="170">
        <v>0</v>
      </c>
      <c r="I714" s="171">
        <f>VLOOKUP(H714,'RESUMEN RENDIMIENTOS'!$V$6:$W$158,2,FALSE)</f>
        <v>0</v>
      </c>
      <c r="J714" s="177"/>
      <c r="K714" s="172" t="s">
        <v>337</v>
      </c>
      <c r="L714" s="175">
        <f t="shared" si="73"/>
        <v>0</v>
      </c>
      <c r="M714" s="174">
        <f>+L714/L718</f>
        <v>0</v>
      </c>
      <c r="N714" s="170">
        <v>0</v>
      </c>
      <c r="O714" s="171">
        <f>VLOOKUP(N714,'RESUMEN RENDIMIENTOS'!$V$6:$W$158,2,FALSE)</f>
        <v>0</v>
      </c>
      <c r="P714" s="177"/>
      <c r="Q714" s="172" t="s">
        <v>337</v>
      </c>
      <c r="R714" s="175">
        <f t="shared" si="74"/>
        <v>0</v>
      </c>
      <c r="S714" s="174">
        <f>+R714/R718</f>
        <v>0</v>
      </c>
    </row>
    <row r="715" spans="2:19">
      <c r="B715" s="170">
        <v>0</v>
      </c>
      <c r="C715" s="171">
        <f>VLOOKUP(B715,'RESUMEN RENDIMIENTOS'!$V$6:$W$158,2,FALSE)</f>
        <v>0</v>
      </c>
      <c r="D715" s="177"/>
      <c r="E715" s="172" t="s">
        <v>337</v>
      </c>
      <c r="F715" s="173">
        <f t="shared" si="72"/>
        <v>0</v>
      </c>
      <c r="G715" s="174">
        <f>+F715/F718</f>
        <v>0</v>
      </c>
      <c r="H715" s="170">
        <v>0</v>
      </c>
      <c r="I715" s="171">
        <f>VLOOKUP(H715,'RESUMEN RENDIMIENTOS'!$V$6:$W$158,2,FALSE)</f>
        <v>0</v>
      </c>
      <c r="J715" s="177"/>
      <c r="K715" s="172" t="s">
        <v>337</v>
      </c>
      <c r="L715" s="173">
        <f t="shared" si="73"/>
        <v>0</v>
      </c>
      <c r="M715" s="174">
        <f>+L715/L718</f>
        <v>0</v>
      </c>
      <c r="N715" s="170">
        <v>0</v>
      </c>
      <c r="O715" s="171">
        <f>VLOOKUP(N715,'RESUMEN RENDIMIENTOS'!$V$6:$W$158,2,FALSE)</f>
        <v>0</v>
      </c>
      <c r="P715" s="177"/>
      <c r="Q715" s="172" t="s">
        <v>337</v>
      </c>
      <c r="R715" s="175">
        <f t="shared" si="74"/>
        <v>0</v>
      </c>
      <c r="S715" s="174">
        <f>+R715/R718</f>
        <v>0</v>
      </c>
    </row>
    <row r="716" spans="2:19">
      <c r="B716" s="170">
        <v>0</v>
      </c>
      <c r="C716" s="171">
        <f>VLOOKUP(B716,'RESUMEN RENDIMIENTOS'!$V$6:$W$158,2,FALSE)</f>
        <v>0</v>
      </c>
      <c r="D716" s="177"/>
      <c r="E716" s="172" t="s">
        <v>337</v>
      </c>
      <c r="F716" s="173">
        <f t="shared" si="72"/>
        <v>0</v>
      </c>
      <c r="G716" s="174">
        <f>+F716/F718</f>
        <v>0</v>
      </c>
      <c r="H716" s="170">
        <v>0</v>
      </c>
      <c r="I716" s="171">
        <f>VLOOKUP(H716,'RESUMEN RENDIMIENTOS'!$V$6:$W$158,2,FALSE)</f>
        <v>0</v>
      </c>
      <c r="J716" s="177"/>
      <c r="K716" s="172" t="s">
        <v>337</v>
      </c>
      <c r="L716" s="173">
        <f t="shared" si="73"/>
        <v>0</v>
      </c>
      <c r="M716" s="174">
        <f>+L716/L718</f>
        <v>0</v>
      </c>
      <c r="N716" s="170">
        <v>0</v>
      </c>
      <c r="O716" s="171">
        <f>VLOOKUP(N716,'RESUMEN RENDIMIENTOS'!$V$6:$W$158,2,FALSE)</f>
        <v>0</v>
      </c>
      <c r="P716" s="177"/>
      <c r="Q716" s="172" t="s">
        <v>337</v>
      </c>
      <c r="R716" s="175">
        <f t="shared" si="74"/>
        <v>0</v>
      </c>
      <c r="S716" s="174">
        <f>+R716/R718</f>
        <v>0</v>
      </c>
    </row>
    <row r="717" spans="2:19">
      <c r="B717" s="170">
        <v>0</v>
      </c>
      <c r="C717" s="171">
        <f>VLOOKUP(B717,'RESUMEN RENDIMIENTOS'!$V$6:$W$158,2,FALSE)</f>
        <v>0</v>
      </c>
      <c r="D717" s="177"/>
      <c r="E717" s="172" t="s">
        <v>337</v>
      </c>
      <c r="F717" s="173">
        <f t="shared" si="72"/>
        <v>0</v>
      </c>
      <c r="G717" s="174">
        <f>+F717/F718</f>
        <v>0</v>
      </c>
      <c r="H717" s="170">
        <v>0</v>
      </c>
      <c r="I717" s="171">
        <f>VLOOKUP(H717,'RESUMEN RENDIMIENTOS'!$V$6:$W$158,2,FALSE)</f>
        <v>0</v>
      </c>
      <c r="J717" s="177"/>
      <c r="K717" s="172" t="s">
        <v>337</v>
      </c>
      <c r="L717" s="173">
        <f t="shared" si="73"/>
        <v>0</v>
      </c>
      <c r="M717" s="174">
        <f>+L717/L718</f>
        <v>0</v>
      </c>
      <c r="N717" s="170">
        <v>0</v>
      </c>
      <c r="O717" s="171">
        <f>VLOOKUP(N717,'RESUMEN RENDIMIENTOS'!$V$6:$W$158,2,FALSE)</f>
        <v>0</v>
      </c>
      <c r="P717" s="177"/>
      <c r="Q717" s="172" t="s">
        <v>337</v>
      </c>
      <c r="R717" s="175">
        <f t="shared" si="74"/>
        <v>0</v>
      </c>
      <c r="S717" s="174">
        <f>+R717/R718</f>
        <v>0</v>
      </c>
    </row>
    <row r="718" spans="2:19" ht="25" thickBot="1">
      <c r="B718" s="178"/>
      <c r="E718" s="90"/>
      <c r="F718" s="173">
        <f>SUM(F702:F717)</f>
        <v>0.12390707538075961</v>
      </c>
      <c r="G718" s="181">
        <f>+F718/F718</f>
        <v>1</v>
      </c>
      <c r="H718" s="178"/>
      <c r="I718" s="179"/>
      <c r="J718" s="182" t="s">
        <v>24</v>
      </c>
      <c r="K718" s="90"/>
      <c r="L718" s="173">
        <f>SUM(L702:L717)</f>
        <v>0.10184885290148449</v>
      </c>
      <c r="M718" s="181">
        <f>+L718/L718</f>
        <v>1</v>
      </c>
      <c r="N718" s="178"/>
      <c r="O718" s="179"/>
      <c r="Q718" s="90"/>
      <c r="R718" s="175">
        <f>SUM(R702:R717)</f>
        <v>0.31679228520017988</v>
      </c>
      <c r="S718" s="181">
        <f>+R718/R718</f>
        <v>1</v>
      </c>
    </row>
    <row r="719" spans="2:19" ht="18" customHeight="1">
      <c r="B719" s="427" t="s">
        <v>317</v>
      </c>
      <c r="C719" s="428"/>
      <c r="D719" s="429"/>
      <c r="E719" s="185">
        <v>0.12</v>
      </c>
      <c r="F719" s="173">
        <f>+F718*E719</f>
        <v>1.4868849045691152E-2</v>
      </c>
      <c r="H719" s="427" t="s">
        <v>317</v>
      </c>
      <c r="I719" s="428"/>
      <c r="J719" s="429"/>
      <c r="K719" s="185">
        <v>0.12</v>
      </c>
      <c r="L719" s="173">
        <f>+L718*K719</f>
        <v>1.2221862348178137E-2</v>
      </c>
      <c r="N719" s="427" t="s">
        <v>317</v>
      </c>
      <c r="O719" s="428"/>
      <c r="P719" s="429"/>
      <c r="Q719" s="185">
        <v>0.12</v>
      </c>
      <c r="R719" s="175">
        <f>+R718*Q719</f>
        <v>3.8015074224021582E-2</v>
      </c>
    </row>
    <row r="720" spans="2:19" ht="18" customHeight="1">
      <c r="B720" s="178"/>
      <c r="F720" s="173">
        <f>+F719+F718</f>
        <v>0.13877592442645076</v>
      </c>
      <c r="G720" s="187">
        <f>+F720/24</f>
        <v>5.7823301844354483E-3</v>
      </c>
      <c r="H720" s="178"/>
      <c r="I720" s="179"/>
      <c r="K720" s="88"/>
      <c r="L720" s="173">
        <f>+L719+L718</f>
        <v>0.11407071524966263</v>
      </c>
      <c r="M720" s="187">
        <f>+L720/24</f>
        <v>4.7529464687359425E-3</v>
      </c>
      <c r="N720" s="178"/>
      <c r="O720" s="179"/>
      <c r="R720" s="175">
        <f>+R719+R718</f>
        <v>0.35480735942420144</v>
      </c>
      <c r="S720" s="187">
        <f>+R720/24</f>
        <v>1.4783639976008393E-2</v>
      </c>
    </row>
    <row r="721" spans="2:19">
      <c r="B721" s="178"/>
      <c r="D721" s="188"/>
      <c r="F721" s="189"/>
      <c r="H721" s="178"/>
      <c r="I721" s="179"/>
      <c r="J721" s="188"/>
      <c r="K721" s="88"/>
      <c r="L721" s="189"/>
      <c r="N721" s="178"/>
      <c r="O721" s="179"/>
      <c r="P721" s="188"/>
      <c r="R721" s="189"/>
    </row>
    <row r="722" spans="2:19" ht="21">
      <c r="B722" s="191" t="s">
        <v>318</v>
      </c>
      <c r="C722" s="192"/>
      <c r="D722" s="192"/>
      <c r="E722" s="444">
        <f>IF(F720=0,0,(100/F720))</f>
        <v>720.58608446163555</v>
      </c>
      <c r="F722" s="445"/>
      <c r="H722" s="191" t="s">
        <v>318</v>
      </c>
      <c r="I722" s="192"/>
      <c r="J722" s="192"/>
      <c r="K722" s="444">
        <f>IF(L720=0,0,(100/L720))</f>
        <v>876.64918889246428</v>
      </c>
      <c r="L722" s="445"/>
      <c r="N722" s="191" t="s">
        <v>318</v>
      </c>
      <c r="O722" s="192"/>
      <c r="P722" s="192"/>
      <c r="Q722" s="444">
        <f>IF(R720=0,0,(100/R720))</f>
        <v>281.84308285567931</v>
      </c>
      <c r="R722" s="445"/>
    </row>
    <row r="723" spans="2:19">
      <c r="B723" s="178"/>
      <c r="F723" s="189"/>
      <c r="H723" s="178"/>
      <c r="I723" s="179"/>
      <c r="K723" s="88"/>
      <c r="L723" s="189"/>
      <c r="N723" s="178"/>
      <c r="O723" s="179"/>
      <c r="R723" s="189"/>
    </row>
    <row r="724" spans="2:19" ht="21">
      <c r="B724" s="446" t="s">
        <v>319</v>
      </c>
      <c r="C724" s="447"/>
      <c r="D724" s="447"/>
      <c r="E724" s="447"/>
      <c r="F724" s="448"/>
      <c r="H724" s="446" t="s">
        <v>319</v>
      </c>
      <c r="I724" s="447"/>
      <c r="J724" s="447"/>
      <c r="K724" s="447"/>
      <c r="L724" s="448"/>
      <c r="N724" s="446" t="s">
        <v>319</v>
      </c>
      <c r="O724" s="447"/>
      <c r="P724" s="447"/>
      <c r="Q724" s="447"/>
      <c r="R724" s="448"/>
    </row>
    <row r="725" spans="2:19" ht="18" customHeight="1">
      <c r="B725" s="194" t="s">
        <v>320</v>
      </c>
      <c r="C725" s="195"/>
      <c r="D725" s="435" t="s">
        <v>321</v>
      </c>
      <c r="E725" s="435"/>
      <c r="F725" s="196" t="s">
        <v>322</v>
      </c>
      <c r="H725" s="194" t="s">
        <v>320</v>
      </c>
      <c r="I725" s="195"/>
      <c r="J725" s="435" t="s">
        <v>321</v>
      </c>
      <c r="K725" s="435"/>
      <c r="L725" s="196" t="s">
        <v>322</v>
      </c>
      <c r="N725" s="194" t="s">
        <v>320</v>
      </c>
      <c r="O725" s="195"/>
      <c r="P725" s="435" t="s">
        <v>321</v>
      </c>
      <c r="Q725" s="435"/>
      <c r="R725" s="196" t="s">
        <v>322</v>
      </c>
    </row>
    <row r="726" spans="2:19">
      <c r="B726" s="197" t="s">
        <v>278</v>
      </c>
      <c r="C726" s="201">
        <v>1</v>
      </c>
      <c r="E726" s="199">
        <f>IF(C726=0,0,(VLOOKUP(B726,'RESUMEN RENDIMIENTOS'!$AB$6:$AO$64,13,FALSE)))*C726</f>
        <v>0.75</v>
      </c>
      <c r="F726" s="200">
        <f>IF(C726=0,0,(VLOOKUP(B726,'RESUMEN RENDIMIENTOS'!$AB$6:$AO$64,14,FALSE)))*C726</f>
        <v>1.0285714285714287E-2</v>
      </c>
      <c r="H726" s="197" t="s">
        <v>278</v>
      </c>
      <c r="I726" s="201">
        <v>1</v>
      </c>
      <c r="K726" s="199">
        <f>IF(I726=0,0,(VLOOKUP(H726,'RESUMEN RENDIMIENTOS'!$AB$6:$AO$64,13,FALSE)))*I726</f>
        <v>0.75</v>
      </c>
      <c r="L726" s="200">
        <f>IF(I726=0,0,(VLOOKUP(H726,'RESUMEN RENDIMIENTOS'!$AB$6:$AO$64,14,FALSE)))*I726</f>
        <v>1.0285714285714287E-2</v>
      </c>
      <c r="N726" s="197" t="s">
        <v>278</v>
      </c>
      <c r="O726" s="201">
        <v>1</v>
      </c>
      <c r="Q726" s="199">
        <f>IF(O726=0,0,(VLOOKUP(N726,'RESUMEN RENDIMIENTOS'!$AB$6:$AO$64,13,FALSE)))*O726</f>
        <v>0.75</v>
      </c>
      <c r="R726" s="200">
        <f>IF(O726=0,0,(VLOOKUP(N726,'RESUMEN RENDIMIENTOS'!$AB$6:$AO$64,14,FALSE)))*O726</f>
        <v>1.0285714285714287E-2</v>
      </c>
    </row>
    <row r="727" spans="2:19">
      <c r="B727" s="197" t="s">
        <v>279</v>
      </c>
      <c r="C727" s="201">
        <v>1</v>
      </c>
      <c r="E727" s="199">
        <f>IF(C727=0,0,(VLOOKUP(B727,'RESUMEN RENDIMIENTOS'!$AB$6:$AO$64,13,FALSE)))*C727</f>
        <v>2</v>
      </c>
      <c r="F727" s="200">
        <f>IF(C727=0,0,(VLOOKUP(B727,'RESUMEN RENDIMIENTOS'!$AB$6:$AO$64,14,FALSE)))*C727</f>
        <v>9.5999999999999988E-2</v>
      </c>
      <c r="H727" s="197" t="s">
        <v>279</v>
      </c>
      <c r="I727" s="201">
        <v>1</v>
      </c>
      <c r="K727" s="199">
        <f>IF(I727=0,0,(VLOOKUP(H727,'RESUMEN RENDIMIENTOS'!$AB$6:$AO$64,13,FALSE)))*I727</f>
        <v>2</v>
      </c>
      <c r="L727" s="200">
        <f>IF(I727=0,0,(VLOOKUP(H727,'RESUMEN RENDIMIENTOS'!$AB$6:$AO$64,14,FALSE)))*I727</f>
        <v>9.5999999999999988E-2</v>
      </c>
      <c r="N727" s="197" t="s">
        <v>279</v>
      </c>
      <c r="O727" s="201">
        <v>1</v>
      </c>
      <c r="Q727" s="199">
        <f>IF(O727=0,0,(VLOOKUP(N727,'RESUMEN RENDIMIENTOS'!$AB$6:$AO$64,13,FALSE)))*O727</f>
        <v>2</v>
      </c>
      <c r="R727" s="200">
        <f>IF(O727=0,0,(VLOOKUP(N727,'RESUMEN RENDIMIENTOS'!$AB$6:$AO$64,14,FALSE)))*O727</f>
        <v>9.5999999999999988E-2</v>
      </c>
    </row>
    <row r="728" spans="2:19">
      <c r="B728" s="197" t="s">
        <v>284</v>
      </c>
      <c r="C728" s="201">
        <v>0.25</v>
      </c>
      <c r="E728" s="199">
        <f>IF(C728=0,0,(VLOOKUP(B728,'RESUMEN RENDIMIENTOS'!$AB$6:$AO$64,13,FALSE)))*C728</f>
        <v>0.52500000000000002</v>
      </c>
      <c r="F728" s="200">
        <f>IF(C728=0,0,(VLOOKUP(B728,'RESUMEN RENDIMIENTOS'!$AB$6:$AO$64,14,FALSE)))*C728</f>
        <v>4.2000000000000003E-2</v>
      </c>
      <c r="H728" s="197" t="s">
        <v>284</v>
      </c>
      <c r="I728" s="201">
        <v>0.25</v>
      </c>
      <c r="K728" s="199">
        <f>IF(I728=0,0,(VLOOKUP(H728,'RESUMEN RENDIMIENTOS'!$AB$6:$AO$64,13,FALSE)))*I728</f>
        <v>0.52500000000000002</v>
      </c>
      <c r="L728" s="200">
        <f>IF(I728=0,0,(VLOOKUP(H728,'RESUMEN RENDIMIENTOS'!$AB$6:$AO$64,14,FALSE)))*I728</f>
        <v>4.2000000000000003E-2</v>
      </c>
      <c r="N728" s="197" t="s">
        <v>284</v>
      </c>
      <c r="O728" s="201">
        <v>0.25</v>
      </c>
      <c r="Q728" s="199">
        <f>IF(O728=0,0,(VLOOKUP(N728,'RESUMEN RENDIMIENTOS'!$AB$6:$AO$64,13,FALSE)))*O728</f>
        <v>0.52500000000000002</v>
      </c>
      <c r="R728" s="200">
        <f>IF(O728=0,0,(VLOOKUP(N728,'RESUMEN RENDIMIENTOS'!$AB$6:$AO$64,14,FALSE)))*O728</f>
        <v>4.2000000000000003E-2</v>
      </c>
    </row>
    <row r="729" spans="2:19">
      <c r="B729" s="197" t="s">
        <v>283</v>
      </c>
      <c r="C729" s="201">
        <v>1</v>
      </c>
      <c r="E729" s="199">
        <f>IF(C729=0,0,(VLOOKUP(B729,'RESUMEN RENDIMIENTOS'!$AB$6:$AO$64,13,FALSE)))*C729</f>
        <v>1.59</v>
      </c>
      <c r="F729" s="200">
        <f>IF(C729=0,0,(VLOOKUP(B729,'RESUMEN RENDIMIENTOS'!$AB$6:$AO$64,14,FALSE)))*C729</f>
        <v>0.12720000000000001</v>
      </c>
      <c r="H729" s="197" t="s">
        <v>283</v>
      </c>
      <c r="I729" s="201">
        <v>1</v>
      </c>
      <c r="K729" s="199">
        <f>IF(I729=0,0,(VLOOKUP(H729,'RESUMEN RENDIMIENTOS'!$AB$6:$AO$64,13,FALSE)))*I729</f>
        <v>1.59</v>
      </c>
      <c r="L729" s="200">
        <f>IF(I729=0,0,(VLOOKUP(H729,'RESUMEN RENDIMIENTOS'!$AB$6:$AO$64,14,FALSE)))*I729</f>
        <v>0.12720000000000001</v>
      </c>
      <c r="N729" s="197" t="s">
        <v>283</v>
      </c>
      <c r="O729" s="201">
        <v>1</v>
      </c>
      <c r="Q729" s="199">
        <f>IF(O729=0,0,(VLOOKUP(N729,'RESUMEN RENDIMIENTOS'!$AB$6:$AO$64,13,FALSE)))*O729</f>
        <v>1.59</v>
      </c>
      <c r="R729" s="200">
        <f>IF(O729=0,0,(VLOOKUP(N729,'RESUMEN RENDIMIENTOS'!$AB$6:$AO$64,14,FALSE)))*O729</f>
        <v>0.12720000000000001</v>
      </c>
    </row>
    <row r="730" spans="2:19">
      <c r="B730" s="197" t="s">
        <v>282</v>
      </c>
      <c r="C730" s="201">
        <v>1</v>
      </c>
      <c r="E730" s="199">
        <f>IF(C730=0,0,(VLOOKUP(B730,'RESUMEN RENDIMIENTOS'!$AB$6:$AO$64,13,FALSE)))*C730</f>
        <v>2.62</v>
      </c>
      <c r="F730" s="200">
        <f>IF(C730=0,0,(VLOOKUP(B730,'RESUMEN RENDIMIENTOS'!$AB$6:$AO$64,14,FALSE)))*C730</f>
        <v>6.986666666666666E-2</v>
      </c>
      <c r="H730" s="197" t="s">
        <v>282</v>
      </c>
      <c r="I730" s="201">
        <v>1</v>
      </c>
      <c r="K730" s="199">
        <f>IF(I730=0,0,(VLOOKUP(H730,'RESUMEN RENDIMIENTOS'!$AB$6:$AO$64,13,FALSE)))*I730</f>
        <v>2.62</v>
      </c>
      <c r="L730" s="200">
        <f>IF(I730=0,0,(VLOOKUP(H730,'RESUMEN RENDIMIENTOS'!$AB$6:$AO$64,14,FALSE)))*I730</f>
        <v>6.986666666666666E-2</v>
      </c>
      <c r="N730" s="197" t="s">
        <v>282</v>
      </c>
      <c r="O730" s="201">
        <v>1</v>
      </c>
      <c r="Q730" s="199">
        <f>IF(O730=0,0,(VLOOKUP(N730,'RESUMEN RENDIMIENTOS'!$AB$6:$AO$64,13,FALSE)))*O730</f>
        <v>2.62</v>
      </c>
      <c r="R730" s="200">
        <f>IF(O730=0,0,(VLOOKUP(N730,'RESUMEN RENDIMIENTOS'!$AB$6:$AO$64,14,FALSE)))*O730</f>
        <v>6.986666666666666E-2</v>
      </c>
    </row>
    <row r="731" spans="2:19">
      <c r="B731" s="197" t="s">
        <v>302</v>
      </c>
      <c r="C731" s="201">
        <v>1</v>
      </c>
      <c r="E731" s="199">
        <f>IF(C731=0,0,(VLOOKUP(B731,'RESUMEN RENDIMIENTOS'!$AB$6:$AO$64,13,FALSE)))*C731</f>
        <v>1</v>
      </c>
      <c r="F731" s="200">
        <f>IF(C731=0,0,(VLOOKUP(B731,'RESUMEN RENDIMIENTOS'!$AB$6:$AO$64,14,FALSE)))*C731</f>
        <v>0.2</v>
      </c>
      <c r="H731" s="197" t="s">
        <v>302</v>
      </c>
      <c r="I731" s="201">
        <v>1</v>
      </c>
      <c r="K731" s="199">
        <f>IF(I731=0,0,(VLOOKUP(H731,'RESUMEN RENDIMIENTOS'!$AB$6:$AO$64,13,FALSE)))*I731</f>
        <v>1</v>
      </c>
      <c r="L731" s="200">
        <f>IF(I731=0,0,(VLOOKUP(H731,'RESUMEN RENDIMIENTOS'!$AB$6:$AO$64,14,FALSE)))*I731</f>
        <v>0.2</v>
      </c>
      <c r="N731" s="197" t="s">
        <v>302</v>
      </c>
      <c r="O731" s="201">
        <v>1</v>
      </c>
      <c r="Q731" s="199">
        <f>IF(O731=0,0,(VLOOKUP(N731,'RESUMEN RENDIMIENTOS'!$AB$6:$AO$64,13,FALSE)))*O731</f>
        <v>1</v>
      </c>
      <c r="R731" s="200">
        <f>IF(O731=0,0,(VLOOKUP(N731,'RESUMEN RENDIMIENTOS'!$AB$6:$AO$64,14,FALSE)))*O731</f>
        <v>0.2</v>
      </c>
    </row>
    <row r="732" spans="2:19">
      <c r="B732" s="202"/>
      <c r="F732" s="206">
        <f>SUM(F726:F731)</f>
        <v>0.54535238095238103</v>
      </c>
      <c r="G732" s="205">
        <f>+F732</f>
        <v>0.54535238095238103</v>
      </c>
      <c r="H732" s="202"/>
      <c r="I732" s="179"/>
      <c r="K732" s="88"/>
      <c r="L732" s="206">
        <f>SUM(L726:L731)</f>
        <v>0.54535238095238103</v>
      </c>
      <c r="M732" s="205">
        <f>+L732</f>
        <v>0.54535238095238103</v>
      </c>
      <c r="N732" s="202"/>
      <c r="O732" s="179"/>
      <c r="R732" s="206">
        <f>SUM(R726:R731)</f>
        <v>0.54535238095238103</v>
      </c>
      <c r="S732" s="205">
        <f>+R732</f>
        <v>0.54535238095238103</v>
      </c>
    </row>
    <row r="733" spans="2:19">
      <c r="B733" s="436" t="s">
        <v>324</v>
      </c>
      <c r="C733" s="437"/>
      <c r="D733" s="437"/>
      <c r="E733" s="437"/>
      <c r="F733" s="455"/>
      <c r="G733" s="205"/>
      <c r="H733" s="436" t="s">
        <v>324</v>
      </c>
      <c r="I733" s="437"/>
      <c r="J733" s="437"/>
      <c r="K733" s="437"/>
      <c r="L733" s="455"/>
      <c r="M733" s="205"/>
      <c r="N733" s="436" t="s">
        <v>324</v>
      </c>
      <c r="O733" s="437"/>
      <c r="P733" s="437"/>
      <c r="Q733" s="437"/>
      <c r="R733" s="455"/>
      <c r="S733" s="205"/>
    </row>
    <row r="734" spans="2:19">
      <c r="B734" s="210" t="s">
        <v>325</v>
      </c>
      <c r="C734" s="211">
        <v>1</v>
      </c>
      <c r="D734" s="212">
        <v>21.712335174960327</v>
      </c>
      <c r="E734" s="213">
        <f>F720</f>
        <v>0.13877592442645076</v>
      </c>
      <c r="F734" s="214">
        <f>+IF(C734&gt;="",0,(D734*E734))</f>
        <v>3.013149385362063</v>
      </c>
      <c r="G734" s="215"/>
      <c r="H734" s="210" t="s">
        <v>325</v>
      </c>
      <c r="I734" s="211">
        <v>1</v>
      </c>
      <c r="J734" s="212">
        <v>21.712335174960327</v>
      </c>
      <c r="K734" s="213">
        <f>L720</f>
        <v>0.11407071524966263</v>
      </c>
      <c r="L734" s="216">
        <f>+IF(I734&gt;="",0,(J734*K734))</f>
        <v>2.4767416031481333</v>
      </c>
      <c r="M734" s="215"/>
      <c r="N734" s="210" t="s">
        <v>325</v>
      </c>
      <c r="O734" s="211">
        <v>1</v>
      </c>
      <c r="P734" s="212">
        <v>21.712335174960327</v>
      </c>
      <c r="Q734" s="213">
        <f>R720</f>
        <v>0.35480735942420144</v>
      </c>
      <c r="R734" s="214">
        <f>+IF(O734&gt;="",0,(P734*Q734))</f>
        <v>7.70369631036088</v>
      </c>
      <c r="S734" s="215"/>
    </row>
    <row r="735" spans="2:19">
      <c r="B735" s="210" t="s">
        <v>326</v>
      </c>
      <c r="C735" s="211"/>
      <c r="D735" s="212">
        <f>+D734*25%</f>
        <v>5.4280837937400817</v>
      </c>
      <c r="E735" s="213">
        <f>F720</f>
        <v>0.13877592442645076</v>
      </c>
      <c r="F735" s="214">
        <f>+IF(C735= "",0,(D735*E735))</f>
        <v>0</v>
      </c>
      <c r="G735" s="215"/>
      <c r="H735" s="210" t="s">
        <v>326</v>
      </c>
      <c r="I735" s="211"/>
      <c r="J735" s="212">
        <f>+J734*25%</f>
        <v>5.4280837937400817</v>
      </c>
      <c r="K735" s="213">
        <f>L720</f>
        <v>0.11407071524966263</v>
      </c>
      <c r="L735" s="216">
        <f>+IF(I735= "",0,(J735*K735))</f>
        <v>0</v>
      </c>
      <c r="M735" s="215"/>
      <c r="N735" s="210" t="s">
        <v>326</v>
      </c>
      <c r="O735" s="211"/>
      <c r="P735" s="212">
        <f>+P734*25%</f>
        <v>5.4280837937400817</v>
      </c>
      <c r="Q735" s="213">
        <f>R720</f>
        <v>0.35480735942420144</v>
      </c>
      <c r="R735" s="214">
        <f>+IF(O735= "",0,(P735*Q735))</f>
        <v>0</v>
      </c>
      <c r="S735" s="215"/>
    </row>
    <row r="736" spans="2:19">
      <c r="B736" s="210" t="s">
        <v>327</v>
      </c>
      <c r="C736" s="211"/>
      <c r="D736" s="212">
        <f>+D734*50%</f>
        <v>10.856167587480163</v>
      </c>
      <c r="E736" s="213">
        <f>F720</f>
        <v>0.13877592442645076</v>
      </c>
      <c r="F736" s="214">
        <f>+IF(C736= "",0,(D736*E736))</f>
        <v>0</v>
      </c>
      <c r="G736" s="215"/>
      <c r="H736" s="210" t="s">
        <v>327</v>
      </c>
      <c r="I736" s="211"/>
      <c r="J736" s="212">
        <f>+J734*50%</f>
        <v>10.856167587480163</v>
      </c>
      <c r="K736" s="213">
        <f>L720</f>
        <v>0.11407071524966263</v>
      </c>
      <c r="L736" s="216">
        <f>+IF(I736= "",0,(J736*K736))</f>
        <v>0</v>
      </c>
      <c r="M736" s="215"/>
      <c r="N736" s="210" t="s">
        <v>327</v>
      </c>
      <c r="O736" s="211"/>
      <c r="P736" s="212">
        <f>+P734*50%</f>
        <v>10.856167587480163</v>
      </c>
      <c r="Q736" s="213">
        <f>R720</f>
        <v>0.35480735942420144</v>
      </c>
      <c r="R736" s="214">
        <f>+IF(O736= "",0,(P736*Q736))</f>
        <v>0</v>
      </c>
      <c r="S736" s="215"/>
    </row>
    <row r="737" spans="2:19">
      <c r="B737" s="202"/>
      <c r="F737" s="217">
        <f>SUM(F734:F736)</f>
        <v>3.013149385362063</v>
      </c>
      <c r="G737" s="218"/>
      <c r="H737" s="202"/>
      <c r="I737" s="179"/>
      <c r="K737" s="88"/>
      <c r="L737" s="219">
        <f>SUM(L734:L736)</f>
        <v>2.4767416031481333</v>
      </c>
      <c r="M737" s="218"/>
      <c r="N737" s="202"/>
      <c r="O737" s="179"/>
      <c r="R737" s="217">
        <f>SUM(R734:R736)</f>
        <v>7.70369631036088</v>
      </c>
      <c r="S737" s="218"/>
    </row>
    <row r="738" spans="2:19">
      <c r="B738" s="202"/>
      <c r="F738" s="189"/>
      <c r="G738" s="220"/>
      <c r="H738" s="202"/>
      <c r="I738" s="179"/>
      <c r="K738" s="88"/>
      <c r="M738" s="220"/>
      <c r="N738" s="202"/>
      <c r="O738" s="179"/>
      <c r="R738" s="189"/>
      <c r="S738" s="220"/>
    </row>
    <row r="739" spans="2:19" ht="21">
      <c r="B739" s="438" t="s">
        <v>328</v>
      </c>
      <c r="C739" s="439"/>
      <c r="D739" s="439"/>
      <c r="E739" s="440"/>
      <c r="F739" s="225">
        <f>+F732+F737</f>
        <v>3.558501766314444</v>
      </c>
      <c r="G739" s="205">
        <f>+F739</f>
        <v>3.558501766314444</v>
      </c>
      <c r="H739" s="438" t="s">
        <v>328</v>
      </c>
      <c r="I739" s="439"/>
      <c r="J739" s="439"/>
      <c r="K739" s="440"/>
      <c r="L739" s="225">
        <f>+L732+L737</f>
        <v>3.0220939841005143</v>
      </c>
      <c r="M739" s="205">
        <f>+L739</f>
        <v>3.0220939841005143</v>
      </c>
      <c r="N739" s="438" t="s">
        <v>328</v>
      </c>
      <c r="O739" s="439"/>
      <c r="P739" s="439"/>
      <c r="Q739" s="440"/>
      <c r="R739" s="225">
        <f>+R732+R737</f>
        <v>8.249048691313261</v>
      </c>
      <c r="S739" s="205">
        <f>+R739</f>
        <v>8.249048691313261</v>
      </c>
    </row>
    <row r="740" spans="2:19">
      <c r="B740" s="202"/>
      <c r="F740" s="189"/>
      <c r="G740" s="205"/>
      <c r="H740" s="202"/>
      <c r="I740" s="179"/>
      <c r="K740" s="88"/>
      <c r="L740" s="189"/>
      <c r="M740" s="205"/>
      <c r="N740" s="202"/>
      <c r="O740" s="179"/>
      <c r="R740" s="189"/>
      <c r="S740" s="205"/>
    </row>
    <row r="741" spans="2:19" ht="19">
      <c r="B741" s="441" t="s">
        <v>329</v>
      </c>
      <c r="C741" s="442"/>
      <c r="D741" s="442"/>
      <c r="E741" s="443"/>
      <c r="F741" s="230">
        <f>+F739/$C$37</f>
        <v>3.5585017663144439E-2</v>
      </c>
      <c r="G741" s="205"/>
      <c r="H741" s="441" t="s">
        <v>329</v>
      </c>
      <c r="I741" s="442"/>
      <c r="J741" s="442"/>
      <c r="K741" s="443"/>
      <c r="L741" s="230">
        <f>+L739/$C$37</f>
        <v>3.0220939841005143E-2</v>
      </c>
      <c r="M741" s="205"/>
      <c r="N741" s="441" t="s">
        <v>329</v>
      </c>
      <c r="O741" s="442"/>
      <c r="P741" s="442"/>
      <c r="Q741" s="443"/>
      <c r="R741" s="230">
        <f>+R739/$C$37</f>
        <v>8.2490486913132613E-2</v>
      </c>
      <c r="S741" s="205"/>
    </row>
    <row r="742" spans="2:19" ht="17" thickBot="1">
      <c r="B742" s="231"/>
      <c r="C742" s="232"/>
      <c r="D742" s="233"/>
      <c r="E742" s="233"/>
      <c r="F742" s="234"/>
      <c r="G742" s="205"/>
      <c r="H742" s="231"/>
      <c r="I742" s="232"/>
      <c r="J742" s="233"/>
      <c r="K742" s="233"/>
      <c r="L742" s="234"/>
      <c r="M742" s="205"/>
      <c r="N742" s="231"/>
      <c r="O742" s="232"/>
      <c r="P742" s="233"/>
      <c r="Q742" s="233"/>
      <c r="R742" s="234"/>
      <c r="S742" s="205"/>
    </row>
    <row r="743" spans="2:19" ht="23.25" customHeight="1" thickBot="1">
      <c r="B743" s="415" t="s">
        <v>312</v>
      </c>
      <c r="C743" s="416"/>
      <c r="D743" s="416"/>
      <c r="E743" s="416"/>
      <c r="F743" s="416"/>
      <c r="G743" s="416"/>
      <c r="H743" s="416"/>
      <c r="I743" s="416"/>
      <c r="J743" s="416"/>
      <c r="K743" s="416"/>
      <c r="L743" s="416"/>
      <c r="M743" s="416"/>
      <c r="N743" s="416"/>
      <c r="O743" s="416"/>
      <c r="P743" s="416"/>
      <c r="Q743" s="416"/>
      <c r="R743" s="417"/>
    </row>
    <row r="744" spans="2:19" ht="25">
      <c r="B744" s="237" t="s">
        <v>16</v>
      </c>
      <c r="C744" s="452" t="s">
        <v>72</v>
      </c>
      <c r="D744" s="453"/>
      <c r="E744" s="453"/>
      <c r="F744" s="465"/>
      <c r="G744" s="254"/>
      <c r="H744" s="239" t="s">
        <v>16</v>
      </c>
      <c r="I744" s="452" t="s">
        <v>71</v>
      </c>
      <c r="J744" s="453"/>
      <c r="K744" s="453"/>
      <c r="L744" s="465"/>
      <c r="M744" s="254"/>
      <c r="N744" s="237" t="s">
        <v>16</v>
      </c>
      <c r="O744" s="452" t="s">
        <v>75</v>
      </c>
      <c r="P744" s="453"/>
      <c r="Q744" s="453"/>
      <c r="R744" s="465"/>
    </row>
    <row r="745" spans="2:19" ht="33" thickBot="1">
      <c r="B745" s="241" t="s">
        <v>313</v>
      </c>
      <c r="C745" s="242" t="s">
        <v>6</v>
      </c>
      <c r="D745" s="243" t="s">
        <v>25</v>
      </c>
      <c r="E745" s="244" t="s">
        <v>314</v>
      </c>
      <c r="F745" s="245" t="s">
        <v>315</v>
      </c>
      <c r="H745" s="241" t="s">
        <v>313</v>
      </c>
      <c r="I745" s="242" t="s">
        <v>6</v>
      </c>
      <c r="J745" s="243" t="s">
        <v>25</v>
      </c>
      <c r="K745" s="244" t="s">
        <v>314</v>
      </c>
      <c r="L745" s="245" t="s">
        <v>315</v>
      </c>
      <c r="N745" s="241" t="s">
        <v>313</v>
      </c>
      <c r="O745" s="242" t="s">
        <v>6</v>
      </c>
      <c r="P745" s="243" t="s">
        <v>25</v>
      </c>
      <c r="Q745" s="244" t="s">
        <v>314</v>
      </c>
      <c r="R745" s="245" t="s">
        <v>315</v>
      </c>
    </row>
    <row r="746" spans="2:19">
      <c r="B746" s="170" t="s">
        <v>182</v>
      </c>
      <c r="C746" s="171">
        <f>VLOOKUP(B746,'RESUMEN RENDIMIENTOS'!$V$6:$W$158,2,FALSE)</f>
        <v>1400</v>
      </c>
      <c r="D746" s="177" t="s">
        <v>20</v>
      </c>
      <c r="E746" s="172">
        <v>247</v>
      </c>
      <c r="F746" s="175">
        <f t="shared" ref="F746:F761" si="75">IF(C746=0,0,(100/C746)*E746/$E$37)</f>
        <v>7.1428571428571425E-2</v>
      </c>
      <c r="G746" s="164">
        <f>+F746/F762</f>
        <v>4.0374641004503227E-2</v>
      </c>
      <c r="H746" s="170" t="s">
        <v>182</v>
      </c>
      <c r="I746" s="171">
        <f>VLOOKUP(H746,'RESUMEN RENDIMIENTOS'!$V$6:$W$158,2,FALSE)</f>
        <v>1400</v>
      </c>
      <c r="J746" s="177" t="s">
        <v>20</v>
      </c>
      <c r="K746" s="172">
        <v>247</v>
      </c>
      <c r="L746" s="175">
        <f t="shared" ref="L746:L761" si="76">IF(I746=0,0,(100/I746)*K746/$E$37)</f>
        <v>7.1428571428571425E-2</v>
      </c>
      <c r="M746" s="164">
        <f>+L746/L762</f>
        <v>0.17218187934951854</v>
      </c>
      <c r="N746" s="170" t="s">
        <v>182</v>
      </c>
      <c r="O746" s="171">
        <f>VLOOKUP(N746,'RESUMEN RENDIMIENTOS'!$V$6:$W$158,2,FALSE)</f>
        <v>1400</v>
      </c>
      <c r="P746" s="177" t="s">
        <v>20</v>
      </c>
      <c r="Q746" s="172">
        <v>247</v>
      </c>
      <c r="R746" s="175">
        <f t="shared" ref="R746:R761" si="77">IF(O746=0,0,(100/O746)*Q746/$E$37)</f>
        <v>7.1428571428571425E-2</v>
      </c>
      <c r="S746" s="164">
        <f>+R746/R762</f>
        <v>0.15420035986014335</v>
      </c>
    </row>
    <row r="747" spans="2:19">
      <c r="B747" s="170" t="s">
        <v>201</v>
      </c>
      <c r="C747" s="171">
        <f>VLOOKUP(B747,'RESUMEN RENDIMIENTOS'!$V$6:$W$158,2,FALSE)</f>
        <v>500</v>
      </c>
      <c r="D747" s="177" t="s">
        <v>20</v>
      </c>
      <c r="E747" s="172">
        <v>247</v>
      </c>
      <c r="F747" s="175">
        <f t="shared" si="75"/>
        <v>0.2</v>
      </c>
      <c r="G747" s="174">
        <f>+F747/F762</f>
        <v>0.11304899481260905</v>
      </c>
      <c r="H747" s="170" t="s">
        <v>199</v>
      </c>
      <c r="I747" s="171">
        <f>VLOOKUP(H747,'RESUMEN RENDIMIENTOS'!$V$6:$W$158,2,FALSE)</f>
        <v>300</v>
      </c>
      <c r="J747" s="177" t="s">
        <v>56</v>
      </c>
      <c r="K747" s="172">
        <v>52.14</v>
      </c>
      <c r="L747" s="175">
        <f t="shared" si="76"/>
        <v>7.036437246963563E-2</v>
      </c>
      <c r="M747" s="174">
        <f>+L747/L762</f>
        <v>0.16961657847499942</v>
      </c>
      <c r="N747" s="170" t="s">
        <v>199</v>
      </c>
      <c r="O747" s="171">
        <f>VLOOKUP(N747,'RESUMEN RENDIMIENTOS'!$V$6:$W$158,2,FALSE)</f>
        <v>300</v>
      </c>
      <c r="P747" s="177" t="s">
        <v>31</v>
      </c>
      <c r="Q747" s="172">
        <v>104.28</v>
      </c>
      <c r="R747" s="175">
        <f t="shared" si="77"/>
        <v>0.14072874493927126</v>
      </c>
      <c r="S747" s="174">
        <f>+R747/R762</f>
        <v>0.30380592357222741</v>
      </c>
    </row>
    <row r="748" spans="2:19">
      <c r="B748" s="170" t="s">
        <v>190</v>
      </c>
      <c r="C748" s="171">
        <f>VLOOKUP(B748,'RESUMEN RENDIMIENTOS'!$V$6:$W$158,2,FALSE)</f>
        <v>960</v>
      </c>
      <c r="D748" s="177" t="s">
        <v>20</v>
      </c>
      <c r="E748" s="172">
        <v>247</v>
      </c>
      <c r="F748" s="175">
        <f t="shared" si="75"/>
        <v>0.10416666666666667</v>
      </c>
      <c r="G748" s="174">
        <f>+F748/F762</f>
        <v>5.8879684798233883E-2</v>
      </c>
      <c r="H748" s="170" t="s">
        <v>190</v>
      </c>
      <c r="I748" s="171">
        <f>VLOOKUP(H748,'RESUMEN RENDIMIENTOS'!$V$6:$W$158,2,FALSE)</f>
        <v>960</v>
      </c>
      <c r="J748" s="177" t="s">
        <v>56</v>
      </c>
      <c r="K748" s="172">
        <v>52.14</v>
      </c>
      <c r="L748" s="175">
        <f t="shared" si="76"/>
        <v>2.1988866396761134E-2</v>
      </c>
      <c r="M748" s="174">
        <f>+L748/L762</f>
        <v>5.300518077343732E-2</v>
      </c>
      <c r="N748" s="170" t="s">
        <v>190</v>
      </c>
      <c r="O748" s="171">
        <f>VLOOKUP(N748,'RESUMEN RENDIMIENTOS'!$V$6:$W$158,2,FALSE)</f>
        <v>960</v>
      </c>
      <c r="P748" s="177" t="s">
        <v>336</v>
      </c>
      <c r="Q748" s="172">
        <v>156.42000000000002</v>
      </c>
      <c r="R748" s="175">
        <f t="shared" si="77"/>
        <v>6.5966599190283415E-2</v>
      </c>
      <c r="S748" s="174">
        <f>+R748/R762</f>
        <v>0.14240902667448163</v>
      </c>
    </row>
    <row r="749" spans="2:19">
      <c r="B749" s="170" t="s">
        <v>191</v>
      </c>
      <c r="C749" s="171">
        <f>VLOOKUP(B749,'RESUMEN RENDIMIENTOS'!$V$6:$W$158,2,FALSE)</f>
        <v>800</v>
      </c>
      <c r="D749" s="177" t="s">
        <v>56</v>
      </c>
      <c r="E749" s="172">
        <v>52.14</v>
      </c>
      <c r="F749" s="175">
        <f t="shared" si="75"/>
        <v>2.638663967611336E-2</v>
      </c>
      <c r="G749" s="174">
        <f>+F749/F762</f>
        <v>1.4914915459335617E-2</v>
      </c>
      <c r="H749" s="170" t="s">
        <v>173</v>
      </c>
      <c r="I749" s="171">
        <f>VLOOKUP(H749,'RESUMEN RENDIMIENTOS'!$V$6:$W$158,2,FALSE)</f>
        <v>320</v>
      </c>
      <c r="J749" s="177" t="s">
        <v>56</v>
      </c>
      <c r="K749" s="172">
        <v>52.14</v>
      </c>
      <c r="L749" s="175">
        <f t="shared" si="76"/>
        <v>6.5966599190283401E-2</v>
      </c>
      <c r="M749" s="174">
        <f>+L749/L762</f>
        <v>0.15901554232031195</v>
      </c>
      <c r="N749" s="170" t="s">
        <v>191</v>
      </c>
      <c r="O749" s="171">
        <f>VLOOKUP(N749,'RESUMEN RENDIMIENTOS'!$V$6:$W$158,2,FALSE)</f>
        <v>800</v>
      </c>
      <c r="P749" s="177" t="s">
        <v>30</v>
      </c>
      <c r="Q749" s="172">
        <v>24</v>
      </c>
      <c r="R749" s="175">
        <f t="shared" si="77"/>
        <v>1.2145748987854251E-2</v>
      </c>
      <c r="S749" s="174">
        <f>+R749/R762</f>
        <v>2.6220304105773366E-2</v>
      </c>
    </row>
    <row r="750" spans="2:19">
      <c r="B750" s="170" t="s">
        <v>194</v>
      </c>
      <c r="C750" s="171">
        <f>VLOOKUP(B750,'RESUMEN RENDIMIENTOS'!$V$6:$W$158,2,FALSE)</f>
        <v>2000</v>
      </c>
      <c r="D750" s="177" t="s">
        <v>56</v>
      </c>
      <c r="E750" s="172">
        <v>52.14</v>
      </c>
      <c r="F750" s="175">
        <f t="shared" si="75"/>
        <v>1.0554655870445346E-2</v>
      </c>
      <c r="G750" s="174">
        <f>+F750/F762</f>
        <v>5.9659661837342479E-3</v>
      </c>
      <c r="H750" s="170" t="s">
        <v>191</v>
      </c>
      <c r="I750" s="171">
        <f>VLOOKUP(H750,'RESUMEN RENDIMIENTOS'!$V$6:$W$158,2,FALSE)</f>
        <v>800</v>
      </c>
      <c r="J750" s="177" t="s">
        <v>30</v>
      </c>
      <c r="K750" s="172">
        <v>24</v>
      </c>
      <c r="L750" s="175">
        <f t="shared" si="76"/>
        <v>1.2145748987854251E-2</v>
      </c>
      <c r="M750" s="174">
        <f>+L750/L762</f>
        <v>2.9277890415707608E-2</v>
      </c>
      <c r="N750" s="170" t="s">
        <v>196</v>
      </c>
      <c r="O750" s="171">
        <f>VLOOKUP(N750,'RESUMEN RENDIMIENTOS'!$V$6:$W$158,2,FALSE)</f>
        <v>550</v>
      </c>
      <c r="P750" s="177" t="s">
        <v>30</v>
      </c>
      <c r="Q750" s="172">
        <v>24</v>
      </c>
      <c r="R750" s="175">
        <f t="shared" si="77"/>
        <v>1.7666543982333454E-2</v>
      </c>
      <c r="S750" s="174">
        <f>+R750/R762</f>
        <v>3.8138624153852163E-2</v>
      </c>
    </row>
    <row r="751" spans="2:19">
      <c r="B751" s="170" t="s">
        <v>210</v>
      </c>
      <c r="C751" s="171">
        <f>VLOOKUP(B751,'RESUMEN RENDIMIENTOS'!$V$6:$W$158,2,FALSE)</f>
        <v>80</v>
      </c>
      <c r="D751" s="177" t="s">
        <v>56</v>
      </c>
      <c r="E751" s="172">
        <v>52.14</v>
      </c>
      <c r="F751" s="175">
        <f t="shared" si="75"/>
        <v>0.2638663967611336</v>
      </c>
      <c r="G751" s="174">
        <f>+F751/F762</f>
        <v>0.14914915459335618</v>
      </c>
      <c r="H751" s="170" t="s">
        <v>196</v>
      </c>
      <c r="I751" s="171">
        <f>VLOOKUP(H751,'RESUMEN RENDIMIENTOS'!$V$6:$W$158,2,FALSE)</f>
        <v>550</v>
      </c>
      <c r="J751" s="177" t="s">
        <v>30</v>
      </c>
      <c r="K751" s="172">
        <v>24</v>
      </c>
      <c r="L751" s="173">
        <f t="shared" si="76"/>
        <v>1.7666543982333454E-2</v>
      </c>
      <c r="M751" s="174">
        <f>+L751/L762</f>
        <v>4.2586022422847425E-2</v>
      </c>
      <c r="N751" s="170" t="s">
        <v>210</v>
      </c>
      <c r="O751" s="171">
        <f>VLOOKUP(N751,'RESUMEN RENDIMIENTOS'!$V$6:$W$158,2,FALSE)</f>
        <v>80</v>
      </c>
      <c r="P751" s="177" t="s">
        <v>60</v>
      </c>
      <c r="Q751" s="172">
        <v>6</v>
      </c>
      <c r="R751" s="175">
        <f t="shared" si="77"/>
        <v>3.0364372469635626E-2</v>
      </c>
      <c r="S751" s="174">
        <f>+R751/R762</f>
        <v>6.5550760264433405E-2</v>
      </c>
    </row>
    <row r="752" spans="2:19">
      <c r="B752" s="170" t="s">
        <v>196</v>
      </c>
      <c r="C752" s="171">
        <f>VLOOKUP(B752,'RESUMEN RENDIMIENTOS'!$V$6:$W$158,2,FALSE)</f>
        <v>550</v>
      </c>
      <c r="D752" s="177" t="s">
        <v>58</v>
      </c>
      <c r="E752" s="172">
        <v>12</v>
      </c>
      <c r="F752" s="175">
        <f t="shared" si="75"/>
        <v>8.833271991166727E-3</v>
      </c>
      <c r="G752" s="174">
        <f>+F752/F762</f>
        <v>4.9929625975388605E-3</v>
      </c>
      <c r="H752" s="170" t="s">
        <v>210</v>
      </c>
      <c r="I752" s="171">
        <f>VLOOKUP(H752,'RESUMEN RENDIMIENTOS'!$V$6:$W$158,2,FALSE)</f>
        <v>80</v>
      </c>
      <c r="J752" s="177" t="s">
        <v>60</v>
      </c>
      <c r="K752" s="172">
        <v>6</v>
      </c>
      <c r="L752" s="173">
        <f t="shared" si="76"/>
        <v>3.0364372469635626E-2</v>
      </c>
      <c r="M752" s="174">
        <f>+L752/L762</f>
        <v>7.319472603926902E-2</v>
      </c>
      <c r="N752" s="170" t="s">
        <v>240</v>
      </c>
      <c r="O752" s="171">
        <f>VLOOKUP(N752,'RESUMEN RENDIMIENTOS'!$V$6:$W$158,2,FALSE)</f>
        <v>1000</v>
      </c>
      <c r="P752" s="177" t="s">
        <v>52</v>
      </c>
      <c r="Q752" s="172">
        <v>156.42000000000002</v>
      </c>
      <c r="R752" s="175">
        <f t="shared" si="77"/>
        <v>6.3327935222672077E-2</v>
      </c>
      <c r="S752" s="174">
        <f>+R752/R762</f>
        <v>0.13671266560750236</v>
      </c>
    </row>
    <row r="753" spans="2:19">
      <c r="B753" s="170" t="s">
        <v>240</v>
      </c>
      <c r="C753" s="171">
        <f>VLOOKUP(B753,'RESUMEN RENDIMIENTOS'!$V$6:$W$158,2,FALSE)</f>
        <v>1000</v>
      </c>
      <c r="D753" s="177" t="s">
        <v>52</v>
      </c>
      <c r="E753" s="172">
        <v>156.42000000000002</v>
      </c>
      <c r="F753" s="173">
        <f t="shared" si="75"/>
        <v>6.3327935222672077E-2</v>
      </c>
      <c r="G753" s="174">
        <f>+F753/F762</f>
        <v>3.5795797102405491E-2</v>
      </c>
      <c r="H753" s="170" t="s">
        <v>240</v>
      </c>
      <c r="I753" s="171">
        <f>VLOOKUP(H753,'RESUMEN RENDIMIENTOS'!$V$6:$W$158,2,FALSE)</f>
        <v>1000</v>
      </c>
      <c r="J753" s="177" t="s">
        <v>52</v>
      </c>
      <c r="K753" s="172">
        <v>156.42000000000002</v>
      </c>
      <c r="L753" s="173">
        <f t="shared" si="76"/>
        <v>6.3327935222672077E-2</v>
      </c>
      <c r="M753" s="174">
        <f>+L753/L762</f>
        <v>0.1526549206274995</v>
      </c>
      <c r="N753" s="170" t="s">
        <v>259</v>
      </c>
      <c r="O753" s="171">
        <f>VLOOKUP(N753,'RESUMEN RENDIMIENTOS'!$V$6:$W$158,2,FALSE)</f>
        <v>1800</v>
      </c>
      <c r="P753" s="177" t="s">
        <v>20</v>
      </c>
      <c r="Q753" s="172">
        <v>247</v>
      </c>
      <c r="R753" s="175">
        <f t="shared" si="77"/>
        <v>5.5555555555555552E-2</v>
      </c>
      <c r="S753" s="174">
        <f>+R753/R762</f>
        <v>0.11993361322455594</v>
      </c>
    </row>
    <row r="754" spans="2:19">
      <c r="B754" s="170" t="s">
        <v>239</v>
      </c>
      <c r="C754" s="171">
        <f>VLOOKUP(B754,'RESUMEN RENDIMIENTOS'!$V$6:$W$158,2,FALSE)</f>
        <v>325</v>
      </c>
      <c r="D754" s="177" t="s">
        <v>20</v>
      </c>
      <c r="E754" s="172">
        <v>247</v>
      </c>
      <c r="F754" s="173">
        <f t="shared" si="75"/>
        <v>0.30769230769230771</v>
      </c>
      <c r="G754" s="174">
        <f>+F754/F762</f>
        <v>0.173921530480937</v>
      </c>
      <c r="H754" s="170" t="s">
        <v>259</v>
      </c>
      <c r="I754" s="171">
        <f>VLOOKUP(H754,'RESUMEN RENDIMIENTOS'!$V$6:$W$158,2,FALSE)</f>
        <v>1800</v>
      </c>
      <c r="J754" s="177" t="s">
        <v>20</v>
      </c>
      <c r="K754" s="172">
        <v>247</v>
      </c>
      <c r="L754" s="173">
        <f t="shared" si="76"/>
        <v>5.5555555555555552E-2</v>
      </c>
      <c r="M754" s="174">
        <f>+L754/L762</f>
        <v>0.13391923949406997</v>
      </c>
      <c r="N754" s="170" t="s">
        <v>234</v>
      </c>
      <c r="O754" s="171">
        <f>VLOOKUP(N754,'RESUMEN RENDIMIENTOS'!$V$6:$W$158,2,FALSE)</f>
        <v>805</v>
      </c>
      <c r="P754" s="177" t="s">
        <v>58</v>
      </c>
      <c r="Q754" s="172">
        <v>12</v>
      </c>
      <c r="R754" s="175">
        <f t="shared" si="77"/>
        <v>6.0351547765735408E-3</v>
      </c>
      <c r="S754" s="174">
        <f>+R754/R762</f>
        <v>1.3028722537030243E-2</v>
      </c>
    </row>
    <row r="755" spans="2:19">
      <c r="B755" s="170" t="s">
        <v>244</v>
      </c>
      <c r="C755" s="171">
        <f>VLOOKUP(B755,'RESUMEN RENDIMIENTOS'!$V$6:$W$158,2,FALSE)</f>
        <v>400</v>
      </c>
      <c r="D755" s="177" t="s">
        <v>20</v>
      </c>
      <c r="E755" s="172">
        <v>247</v>
      </c>
      <c r="F755" s="173">
        <f t="shared" si="75"/>
        <v>0.25</v>
      </c>
      <c r="G755" s="174">
        <f>+F755/F762</f>
        <v>0.14131124351576133</v>
      </c>
      <c r="H755" s="170" t="s">
        <v>234</v>
      </c>
      <c r="I755" s="171">
        <f>VLOOKUP(H755,'RESUMEN RENDIMIENTOS'!$V$6:$W$158,2,FALSE)</f>
        <v>805</v>
      </c>
      <c r="J755" s="177" t="s">
        <v>58</v>
      </c>
      <c r="K755" s="172">
        <v>12</v>
      </c>
      <c r="L755" s="173">
        <f t="shared" si="76"/>
        <v>6.0351547765735408E-3</v>
      </c>
      <c r="M755" s="174">
        <f>+L755/L762</f>
        <v>1.4548020082339184E-2</v>
      </c>
      <c r="N755" s="170">
        <v>0</v>
      </c>
      <c r="O755" s="171">
        <f>VLOOKUP(N755,'RESUMEN RENDIMIENTOS'!$V$6:$W$158,2,FALSE)</f>
        <v>0</v>
      </c>
      <c r="P755" s="177"/>
      <c r="Q755" s="172" t="s">
        <v>337</v>
      </c>
      <c r="R755" s="175">
        <f t="shared" si="77"/>
        <v>0</v>
      </c>
      <c r="S755" s="174">
        <f>+R755/R762</f>
        <v>0</v>
      </c>
    </row>
    <row r="756" spans="2:19">
      <c r="B756" s="170" t="s">
        <v>214</v>
      </c>
      <c r="C756" s="171">
        <f>VLOOKUP(B756,'RESUMEN RENDIMIENTOS'!$V$6:$W$158,2,FALSE)</f>
        <v>60</v>
      </c>
      <c r="D756" s="177" t="s">
        <v>58</v>
      </c>
      <c r="E756" s="172">
        <v>12</v>
      </c>
      <c r="F756" s="173">
        <f t="shared" si="75"/>
        <v>8.0971659919028341E-2</v>
      </c>
      <c r="G756" s="174">
        <f>+F756/F762</f>
        <v>4.5768823810772893E-2</v>
      </c>
      <c r="H756" s="170">
        <v>0</v>
      </c>
      <c r="I756" s="171">
        <f>VLOOKUP(H756,'RESUMEN RENDIMIENTOS'!$V$6:$W$158,2,FALSE)</f>
        <v>0</v>
      </c>
      <c r="J756" s="177"/>
      <c r="K756" s="172" t="s">
        <v>337</v>
      </c>
      <c r="L756" s="173">
        <f t="shared" si="76"/>
        <v>0</v>
      </c>
      <c r="M756" s="174">
        <f>+L756/L762</f>
        <v>0</v>
      </c>
      <c r="N756" s="170">
        <v>0</v>
      </c>
      <c r="O756" s="171">
        <f>VLOOKUP(N756,'RESUMEN RENDIMIENTOS'!$V$6:$W$158,2,FALSE)</f>
        <v>0</v>
      </c>
      <c r="P756" s="177"/>
      <c r="Q756" s="172" t="s">
        <v>337</v>
      </c>
      <c r="R756" s="175">
        <f t="shared" si="77"/>
        <v>0</v>
      </c>
      <c r="S756" s="174">
        <f>+R756/R762</f>
        <v>0</v>
      </c>
    </row>
    <row r="757" spans="2:19">
      <c r="B757" s="170" t="s">
        <v>246</v>
      </c>
      <c r="C757" s="171">
        <f>VLOOKUP(B757,'RESUMEN RENDIMIENTOS'!$V$6:$W$158,2,FALSE)</f>
        <v>300</v>
      </c>
      <c r="D757" s="177" t="s">
        <v>20</v>
      </c>
      <c r="E757" s="172">
        <v>247</v>
      </c>
      <c r="F757" s="173">
        <f t="shared" si="75"/>
        <v>0.33333333333333331</v>
      </c>
      <c r="G757" s="174">
        <f>+F757/F762</f>
        <v>0.18841499135434842</v>
      </c>
      <c r="H757" s="170">
        <v>0</v>
      </c>
      <c r="I757" s="171">
        <f>VLOOKUP(H757,'RESUMEN RENDIMIENTOS'!$V$6:$W$158,2,FALSE)</f>
        <v>0</v>
      </c>
      <c r="J757" s="177"/>
      <c r="K757" s="172" t="s">
        <v>337</v>
      </c>
      <c r="L757" s="173">
        <f t="shared" si="76"/>
        <v>0</v>
      </c>
      <c r="M757" s="174">
        <f>+L757/L762</f>
        <v>0</v>
      </c>
      <c r="N757" s="170">
        <v>0</v>
      </c>
      <c r="O757" s="171">
        <f>VLOOKUP(N757,'RESUMEN RENDIMIENTOS'!$V$6:$W$158,2,FALSE)</f>
        <v>0</v>
      </c>
      <c r="P757" s="177"/>
      <c r="Q757" s="172" t="s">
        <v>337</v>
      </c>
      <c r="R757" s="175">
        <f t="shared" si="77"/>
        <v>0</v>
      </c>
      <c r="S757" s="174">
        <f>+R757/R762</f>
        <v>0</v>
      </c>
    </row>
    <row r="758" spans="2:19">
      <c r="B758" s="170" t="s">
        <v>222</v>
      </c>
      <c r="C758" s="171">
        <f>VLOOKUP(B758,'RESUMEN RENDIMIENTOS'!$V$6:$W$158,2,FALSE)</f>
        <v>100</v>
      </c>
      <c r="D758" s="177" t="s">
        <v>58</v>
      </c>
      <c r="E758" s="172">
        <v>12</v>
      </c>
      <c r="F758" s="173">
        <f t="shared" si="75"/>
        <v>4.8582995951417005E-2</v>
      </c>
      <c r="G758" s="174">
        <f>+F758/F762</f>
        <v>2.7461294286463735E-2</v>
      </c>
      <c r="H758" s="170">
        <v>0</v>
      </c>
      <c r="I758" s="171">
        <f>VLOOKUP(H758,'RESUMEN RENDIMIENTOS'!$V$6:$W$158,2,FALSE)</f>
        <v>0</v>
      </c>
      <c r="J758" s="177"/>
      <c r="K758" s="172" t="s">
        <v>337</v>
      </c>
      <c r="L758" s="173">
        <f t="shared" si="76"/>
        <v>0</v>
      </c>
      <c r="M758" s="174">
        <f>+L758/L762</f>
        <v>0</v>
      </c>
      <c r="N758" s="170">
        <v>0</v>
      </c>
      <c r="O758" s="171">
        <f>VLOOKUP(N758,'RESUMEN RENDIMIENTOS'!$V$6:$W$158,2,FALSE)</f>
        <v>0</v>
      </c>
      <c r="P758" s="177"/>
      <c r="Q758" s="172" t="s">
        <v>337</v>
      </c>
      <c r="R758" s="175">
        <f t="shared" si="77"/>
        <v>0</v>
      </c>
      <c r="S758" s="174">
        <f>+R758/R762</f>
        <v>0</v>
      </c>
    </row>
    <row r="759" spans="2:19">
      <c r="B759" s="170">
        <v>0</v>
      </c>
      <c r="C759" s="171">
        <f>VLOOKUP(B759,'RESUMEN RENDIMIENTOS'!$V$6:$W$158,2,FALSE)</f>
        <v>0</v>
      </c>
      <c r="D759" s="177"/>
      <c r="E759" s="172" t="s">
        <v>337</v>
      </c>
      <c r="F759" s="173">
        <f t="shared" si="75"/>
        <v>0</v>
      </c>
      <c r="G759" s="174">
        <f>+F759/F762</f>
        <v>0</v>
      </c>
      <c r="H759" s="170">
        <v>0</v>
      </c>
      <c r="I759" s="171">
        <f>VLOOKUP(H759,'RESUMEN RENDIMIENTOS'!$V$6:$W$158,2,FALSE)</f>
        <v>0</v>
      </c>
      <c r="J759" s="177"/>
      <c r="K759" s="172" t="s">
        <v>337</v>
      </c>
      <c r="L759" s="173">
        <f t="shared" si="76"/>
        <v>0</v>
      </c>
      <c r="M759" s="174">
        <f>+L759/L762</f>
        <v>0</v>
      </c>
      <c r="N759" s="170">
        <v>0</v>
      </c>
      <c r="O759" s="171">
        <f>VLOOKUP(N759,'RESUMEN RENDIMIENTOS'!$V$6:$W$158,2,FALSE)</f>
        <v>0</v>
      </c>
      <c r="P759" s="177"/>
      <c r="Q759" s="172" t="s">
        <v>337</v>
      </c>
      <c r="R759" s="175">
        <f t="shared" si="77"/>
        <v>0</v>
      </c>
      <c r="S759" s="174">
        <f>+R759/R762</f>
        <v>0</v>
      </c>
    </row>
    <row r="760" spans="2:19">
      <c r="B760" s="170">
        <v>0</v>
      </c>
      <c r="C760" s="171">
        <f>VLOOKUP(B760,'RESUMEN RENDIMIENTOS'!$V$6:$W$158,2,FALSE)</f>
        <v>0</v>
      </c>
      <c r="D760" s="177"/>
      <c r="E760" s="172" t="s">
        <v>337</v>
      </c>
      <c r="F760" s="173">
        <f t="shared" si="75"/>
        <v>0</v>
      </c>
      <c r="G760" s="174">
        <f>+F760/F762</f>
        <v>0</v>
      </c>
      <c r="H760" s="170">
        <v>0</v>
      </c>
      <c r="I760" s="171">
        <f>VLOOKUP(H760,'RESUMEN RENDIMIENTOS'!$V$6:$W$158,2,FALSE)</f>
        <v>0</v>
      </c>
      <c r="J760" s="177"/>
      <c r="K760" s="172" t="s">
        <v>337</v>
      </c>
      <c r="L760" s="173">
        <f t="shared" si="76"/>
        <v>0</v>
      </c>
      <c r="M760" s="174">
        <f>+L760/L762</f>
        <v>0</v>
      </c>
      <c r="N760" s="170">
        <v>0</v>
      </c>
      <c r="O760" s="171">
        <f>VLOOKUP(N760,'RESUMEN RENDIMIENTOS'!$V$6:$W$158,2,FALSE)</f>
        <v>0</v>
      </c>
      <c r="P760" s="177"/>
      <c r="Q760" s="172" t="s">
        <v>337</v>
      </c>
      <c r="R760" s="175">
        <f t="shared" si="77"/>
        <v>0</v>
      </c>
      <c r="S760" s="174">
        <f>+R760/R762</f>
        <v>0</v>
      </c>
    </row>
    <row r="761" spans="2:19">
      <c r="B761" s="170">
        <v>0</v>
      </c>
      <c r="C761" s="171">
        <f>VLOOKUP(B761,'RESUMEN RENDIMIENTOS'!$V$6:$W$158,2,FALSE)</f>
        <v>0</v>
      </c>
      <c r="D761" s="177"/>
      <c r="E761" s="172" t="s">
        <v>337</v>
      </c>
      <c r="F761" s="173">
        <f t="shared" si="75"/>
        <v>0</v>
      </c>
      <c r="G761" s="174">
        <f>+F761/F762</f>
        <v>0</v>
      </c>
      <c r="H761" s="170">
        <v>0</v>
      </c>
      <c r="I761" s="171">
        <f>VLOOKUP(H761,'RESUMEN RENDIMIENTOS'!$V$6:$W$158,2,FALSE)</f>
        <v>0</v>
      </c>
      <c r="J761" s="177"/>
      <c r="K761" s="172" t="s">
        <v>337</v>
      </c>
      <c r="L761" s="173">
        <f t="shared" si="76"/>
        <v>0</v>
      </c>
      <c r="M761" s="174">
        <f>+L761/L762</f>
        <v>0</v>
      </c>
      <c r="N761" s="170">
        <v>0</v>
      </c>
      <c r="O761" s="171">
        <f>VLOOKUP(N761,'RESUMEN RENDIMIENTOS'!$V$6:$W$158,2,FALSE)</f>
        <v>0</v>
      </c>
      <c r="P761" s="177"/>
      <c r="Q761" s="172" t="s">
        <v>337</v>
      </c>
      <c r="R761" s="175">
        <f t="shared" si="77"/>
        <v>0</v>
      </c>
      <c r="S761" s="174">
        <f>+R761/R762</f>
        <v>0</v>
      </c>
    </row>
    <row r="762" spans="2:19" ht="25" thickBot="1">
      <c r="B762" s="178"/>
      <c r="E762" s="90"/>
      <c r="F762" s="173">
        <f>SUM(F746:F761)</f>
        <v>1.7691444345128557</v>
      </c>
      <c r="G762" s="181">
        <f>+F762/F762</f>
        <v>1</v>
      </c>
      <c r="H762" s="178"/>
      <c r="I762" s="179"/>
      <c r="J762" s="182" t="s">
        <v>24</v>
      </c>
      <c r="K762" s="90"/>
      <c r="L762" s="173">
        <f>SUM(L746:L761)</f>
        <v>0.41484372047987611</v>
      </c>
      <c r="M762" s="181">
        <f>+L762/L762</f>
        <v>1</v>
      </c>
      <c r="N762" s="178"/>
      <c r="O762" s="179"/>
      <c r="Q762" s="90"/>
      <c r="R762" s="175">
        <f>SUM(R746:R761)</f>
        <v>0.46321922655275066</v>
      </c>
      <c r="S762" s="181">
        <f>+R762/R762</f>
        <v>1</v>
      </c>
    </row>
    <row r="763" spans="2:19" ht="18" customHeight="1">
      <c r="B763" s="427" t="s">
        <v>317</v>
      </c>
      <c r="C763" s="428"/>
      <c r="D763" s="429"/>
      <c r="E763" s="185">
        <v>0.12</v>
      </c>
      <c r="F763" s="173">
        <f>+F762*E763</f>
        <v>0.21229733214154267</v>
      </c>
      <c r="H763" s="427" t="s">
        <v>317</v>
      </c>
      <c r="I763" s="428"/>
      <c r="J763" s="429"/>
      <c r="K763" s="185">
        <v>0.12</v>
      </c>
      <c r="L763" s="173">
        <f>+L762*K763</f>
        <v>4.9781246457585131E-2</v>
      </c>
      <c r="N763" s="427" t="s">
        <v>317</v>
      </c>
      <c r="O763" s="428"/>
      <c r="P763" s="429"/>
      <c r="Q763" s="185">
        <v>0.12</v>
      </c>
      <c r="R763" s="175">
        <f>+R762*Q763</f>
        <v>5.5586307186330078E-2</v>
      </c>
    </row>
    <row r="764" spans="2:19" ht="18" customHeight="1">
      <c r="B764" s="178"/>
      <c r="F764" s="173">
        <f>+F763+F762</f>
        <v>1.9814417666543984</v>
      </c>
      <c r="G764" s="187">
        <f>+F764/24</f>
        <v>8.2560073610599929E-2</v>
      </c>
      <c r="H764" s="178"/>
      <c r="I764" s="179"/>
      <c r="K764" s="88"/>
      <c r="L764" s="173">
        <f>+L763+L762</f>
        <v>0.46462496693746125</v>
      </c>
      <c r="M764" s="187">
        <f>+L764/24</f>
        <v>1.9359373622394219E-2</v>
      </c>
      <c r="N764" s="178"/>
      <c r="O764" s="179"/>
      <c r="R764" s="175">
        <f>+R763+R762</f>
        <v>0.51880553373908078</v>
      </c>
      <c r="S764" s="187">
        <f>+R764/24</f>
        <v>2.1616897239128366E-2</v>
      </c>
    </row>
    <row r="765" spans="2:19">
      <c r="B765" s="178"/>
      <c r="D765" s="188"/>
      <c r="F765" s="189"/>
      <c r="H765" s="178"/>
      <c r="I765" s="179"/>
      <c r="J765" s="188"/>
      <c r="K765" s="88"/>
      <c r="L765" s="189"/>
      <c r="N765" s="178"/>
      <c r="O765" s="179"/>
      <c r="P765" s="188"/>
      <c r="R765" s="189"/>
    </row>
    <row r="766" spans="2:19" ht="21">
      <c r="B766" s="191" t="s">
        <v>318</v>
      </c>
      <c r="C766" s="192"/>
      <c r="D766" s="192"/>
      <c r="E766" s="444">
        <f>IF(F764=0,0,(100/F764))</f>
        <v>50.468301255629044</v>
      </c>
      <c r="F766" s="445"/>
      <c r="H766" s="191" t="s">
        <v>318</v>
      </c>
      <c r="I766" s="192"/>
      <c r="J766" s="192"/>
      <c r="K766" s="444">
        <f>IF(L764=0,0,(100/L764))</f>
        <v>215.22734918689818</v>
      </c>
      <c r="L766" s="445"/>
      <c r="N766" s="191" t="s">
        <v>318</v>
      </c>
      <c r="O766" s="192"/>
      <c r="P766" s="192"/>
      <c r="Q766" s="444">
        <f>IF(R764=0,0,(100/R764))</f>
        <v>192.7504498251792</v>
      </c>
      <c r="R766" s="445"/>
    </row>
    <row r="767" spans="2:19">
      <c r="B767" s="178"/>
      <c r="F767" s="189"/>
      <c r="H767" s="178"/>
      <c r="I767" s="179"/>
      <c r="K767" s="88"/>
      <c r="L767" s="189"/>
      <c r="N767" s="178"/>
      <c r="O767" s="179"/>
      <c r="R767" s="189"/>
    </row>
    <row r="768" spans="2:19" ht="21">
      <c r="B768" s="446" t="s">
        <v>319</v>
      </c>
      <c r="C768" s="447"/>
      <c r="D768" s="447"/>
      <c r="E768" s="447"/>
      <c r="F768" s="448"/>
      <c r="H768" s="446" t="s">
        <v>319</v>
      </c>
      <c r="I768" s="447"/>
      <c r="J768" s="447"/>
      <c r="K768" s="447"/>
      <c r="L768" s="448"/>
      <c r="N768" s="446" t="s">
        <v>319</v>
      </c>
      <c r="O768" s="447"/>
      <c r="P768" s="447"/>
      <c r="Q768" s="447"/>
      <c r="R768" s="448"/>
    </row>
    <row r="769" spans="2:19" ht="18" customHeight="1">
      <c r="B769" s="194" t="s">
        <v>320</v>
      </c>
      <c r="C769" s="195"/>
      <c r="D769" s="435" t="s">
        <v>321</v>
      </c>
      <c r="E769" s="435"/>
      <c r="F769" s="196" t="s">
        <v>322</v>
      </c>
      <c r="H769" s="194" t="s">
        <v>320</v>
      </c>
      <c r="I769" s="195"/>
      <c r="J769" s="435" t="s">
        <v>321</v>
      </c>
      <c r="K769" s="435"/>
      <c r="L769" s="196" t="s">
        <v>322</v>
      </c>
      <c r="N769" s="194" t="s">
        <v>320</v>
      </c>
      <c r="O769" s="195"/>
      <c r="P769" s="435" t="s">
        <v>321</v>
      </c>
      <c r="Q769" s="435"/>
      <c r="R769" s="196" t="s">
        <v>322</v>
      </c>
    </row>
    <row r="770" spans="2:19">
      <c r="B770" s="197" t="s">
        <v>278</v>
      </c>
      <c r="C770" s="201">
        <v>1</v>
      </c>
      <c r="E770" s="199">
        <f>IF(C770=0,0,(VLOOKUP(B770,'RESUMEN RENDIMIENTOS'!$AB$6:$AO$64,13,FALSE)))*C770</f>
        <v>0.75</v>
      </c>
      <c r="F770" s="200">
        <f>IF(C770=0,0,(VLOOKUP(B770,'RESUMEN RENDIMIENTOS'!$AB$6:$AO$64,14,FALSE)))*C770</f>
        <v>1.0285714285714287E-2</v>
      </c>
      <c r="H770" s="197" t="s">
        <v>278</v>
      </c>
      <c r="I770" s="201">
        <v>1</v>
      </c>
      <c r="K770" s="199">
        <f>IF(I770=0,0,(VLOOKUP(H770,'RESUMEN RENDIMIENTOS'!$AB$6:$AO$64,13,FALSE)))*I770</f>
        <v>0.75</v>
      </c>
      <c r="L770" s="200">
        <f>IF(I770=0,0,(VLOOKUP(H770,'RESUMEN RENDIMIENTOS'!$AB$6:$AO$64,14,FALSE)))*I770</f>
        <v>1.0285714285714287E-2</v>
      </c>
      <c r="N770" s="197" t="s">
        <v>278</v>
      </c>
      <c r="O770" s="201">
        <v>1</v>
      </c>
      <c r="Q770" s="199">
        <f>IF(O770=0,0,(VLOOKUP(N770,'RESUMEN RENDIMIENTOS'!$AB$6:$AO$64,13,FALSE)))*O770</f>
        <v>0.75</v>
      </c>
      <c r="R770" s="200">
        <f>IF(O770=0,0,(VLOOKUP(N770,'RESUMEN RENDIMIENTOS'!$AB$6:$AO$64,14,FALSE)))*O770</f>
        <v>1.0285714285714287E-2</v>
      </c>
    </row>
    <row r="771" spans="2:19">
      <c r="B771" s="197" t="s">
        <v>279</v>
      </c>
      <c r="C771" s="201">
        <v>1</v>
      </c>
      <c r="E771" s="199">
        <f>IF(C771=0,0,(VLOOKUP(B771,'RESUMEN RENDIMIENTOS'!$AB$6:$AO$64,13,FALSE)))*C771</f>
        <v>2</v>
      </c>
      <c r="F771" s="200">
        <f>IF(C771=0,0,(VLOOKUP(B771,'RESUMEN RENDIMIENTOS'!$AB$6:$AO$64,14,FALSE)))*C771</f>
        <v>9.5999999999999988E-2</v>
      </c>
      <c r="H771" s="197" t="s">
        <v>279</v>
      </c>
      <c r="I771" s="201">
        <v>1</v>
      </c>
      <c r="K771" s="199">
        <f>IF(I771=0,0,(VLOOKUP(H771,'RESUMEN RENDIMIENTOS'!$AB$6:$AO$64,13,FALSE)))*I771</f>
        <v>2</v>
      </c>
      <c r="L771" s="200">
        <f>IF(I771=0,0,(VLOOKUP(H771,'RESUMEN RENDIMIENTOS'!$AB$6:$AO$64,14,FALSE)))*I771</f>
        <v>9.5999999999999988E-2</v>
      </c>
      <c r="N771" s="197" t="s">
        <v>279</v>
      </c>
      <c r="O771" s="201">
        <v>1</v>
      </c>
      <c r="Q771" s="199">
        <f>IF(O771=0,0,(VLOOKUP(N771,'RESUMEN RENDIMIENTOS'!$AB$6:$AO$64,13,FALSE)))*O771</f>
        <v>2</v>
      </c>
      <c r="R771" s="200">
        <f>IF(O771=0,0,(VLOOKUP(N771,'RESUMEN RENDIMIENTOS'!$AB$6:$AO$64,14,FALSE)))*O771</f>
        <v>9.5999999999999988E-2</v>
      </c>
    </row>
    <row r="772" spans="2:19">
      <c r="B772" s="197" t="s">
        <v>284</v>
      </c>
      <c r="C772" s="201">
        <v>0.25</v>
      </c>
      <c r="E772" s="199">
        <f>IF(C772=0,0,(VLOOKUP(B772,'RESUMEN RENDIMIENTOS'!$AB$6:$AO$64,13,FALSE)))*C772</f>
        <v>0.52500000000000002</v>
      </c>
      <c r="F772" s="200">
        <f>IF(C772=0,0,(VLOOKUP(B772,'RESUMEN RENDIMIENTOS'!$AB$6:$AO$64,14,FALSE)))*C772</f>
        <v>4.2000000000000003E-2</v>
      </c>
      <c r="H772" s="197" t="s">
        <v>284</v>
      </c>
      <c r="I772" s="201">
        <v>0.25</v>
      </c>
      <c r="K772" s="199">
        <f>IF(I772=0,0,(VLOOKUP(H772,'RESUMEN RENDIMIENTOS'!$AB$6:$AO$64,13,FALSE)))*I772</f>
        <v>0.52500000000000002</v>
      </c>
      <c r="L772" s="200">
        <f>IF(I772=0,0,(VLOOKUP(H772,'RESUMEN RENDIMIENTOS'!$AB$6:$AO$64,14,FALSE)))*I772</f>
        <v>4.2000000000000003E-2</v>
      </c>
      <c r="N772" s="197" t="s">
        <v>284</v>
      </c>
      <c r="O772" s="201">
        <v>0.25</v>
      </c>
      <c r="Q772" s="199">
        <f>IF(O772=0,0,(VLOOKUP(N772,'RESUMEN RENDIMIENTOS'!$AB$6:$AO$64,13,FALSE)))*O772</f>
        <v>0.52500000000000002</v>
      </c>
      <c r="R772" s="200">
        <f>IF(O772=0,0,(VLOOKUP(N772,'RESUMEN RENDIMIENTOS'!$AB$6:$AO$64,14,FALSE)))*O772</f>
        <v>4.2000000000000003E-2</v>
      </c>
    </row>
    <row r="773" spans="2:19">
      <c r="B773" s="197" t="s">
        <v>283</v>
      </c>
      <c r="C773" s="201">
        <v>1</v>
      </c>
      <c r="E773" s="199">
        <f>IF(C773=0,0,(VLOOKUP(B773,'RESUMEN RENDIMIENTOS'!$AB$6:$AO$64,13,FALSE)))*C773</f>
        <v>1.59</v>
      </c>
      <c r="F773" s="200">
        <f>IF(C773=0,0,(VLOOKUP(B773,'RESUMEN RENDIMIENTOS'!$AB$6:$AO$64,14,FALSE)))*C773</f>
        <v>0.12720000000000001</v>
      </c>
      <c r="H773" s="197" t="s">
        <v>283</v>
      </c>
      <c r="I773" s="201">
        <v>1</v>
      </c>
      <c r="K773" s="199">
        <f>IF(I773=0,0,(VLOOKUP(H773,'RESUMEN RENDIMIENTOS'!$AB$6:$AO$64,13,FALSE)))*I773</f>
        <v>1.59</v>
      </c>
      <c r="L773" s="200">
        <f>IF(I773=0,0,(VLOOKUP(H773,'RESUMEN RENDIMIENTOS'!$AB$6:$AO$64,14,FALSE)))*I773</f>
        <v>0.12720000000000001</v>
      </c>
      <c r="N773" s="197" t="s">
        <v>283</v>
      </c>
      <c r="O773" s="201">
        <v>1</v>
      </c>
      <c r="Q773" s="199">
        <f>IF(O773=0,0,(VLOOKUP(N773,'RESUMEN RENDIMIENTOS'!$AB$6:$AO$64,13,FALSE)))*O773</f>
        <v>1.59</v>
      </c>
      <c r="R773" s="200">
        <f>IF(O773=0,0,(VLOOKUP(N773,'RESUMEN RENDIMIENTOS'!$AB$6:$AO$64,14,FALSE)))*O773</f>
        <v>0.12720000000000001</v>
      </c>
    </row>
    <row r="774" spans="2:19">
      <c r="B774" s="197" t="s">
        <v>282</v>
      </c>
      <c r="C774" s="201">
        <v>1</v>
      </c>
      <c r="E774" s="199">
        <f>IF(C774=0,0,(VLOOKUP(B774,'RESUMEN RENDIMIENTOS'!$AB$6:$AO$64,13,FALSE)))*C774</f>
        <v>2.62</v>
      </c>
      <c r="F774" s="200">
        <f>IF(C774=0,0,(VLOOKUP(B774,'RESUMEN RENDIMIENTOS'!$AB$6:$AO$64,14,FALSE)))*C774</f>
        <v>6.986666666666666E-2</v>
      </c>
      <c r="H774" s="197" t="s">
        <v>282</v>
      </c>
      <c r="I774" s="201">
        <v>1</v>
      </c>
      <c r="K774" s="199">
        <f>IF(I774=0,0,(VLOOKUP(H774,'RESUMEN RENDIMIENTOS'!$AB$6:$AO$64,13,FALSE)))*I774</f>
        <v>2.62</v>
      </c>
      <c r="L774" s="200">
        <f>IF(I774=0,0,(VLOOKUP(H774,'RESUMEN RENDIMIENTOS'!$AB$6:$AO$64,14,FALSE)))*I774</f>
        <v>6.986666666666666E-2</v>
      </c>
      <c r="N774" s="197" t="s">
        <v>282</v>
      </c>
      <c r="O774" s="201">
        <v>1</v>
      </c>
      <c r="Q774" s="199">
        <f>IF(O774=0,0,(VLOOKUP(N774,'RESUMEN RENDIMIENTOS'!$AB$6:$AO$64,13,FALSE)))*O774</f>
        <v>2.62</v>
      </c>
      <c r="R774" s="200">
        <f>IF(O774=0,0,(VLOOKUP(N774,'RESUMEN RENDIMIENTOS'!$AB$6:$AO$64,14,FALSE)))*O774</f>
        <v>6.986666666666666E-2</v>
      </c>
    </row>
    <row r="775" spans="2:19">
      <c r="B775" s="197" t="s">
        <v>302</v>
      </c>
      <c r="C775" s="201">
        <v>1</v>
      </c>
      <c r="E775" s="199">
        <f>IF(C775=0,0,(VLOOKUP(B775,'RESUMEN RENDIMIENTOS'!$AB$6:$AO$64,13,FALSE)))*C775</f>
        <v>1</v>
      </c>
      <c r="F775" s="200">
        <f>IF(C775=0,0,(VLOOKUP(B775,'RESUMEN RENDIMIENTOS'!$AB$6:$AO$64,14,FALSE)))*C775</f>
        <v>0.2</v>
      </c>
      <c r="H775" s="197" t="s">
        <v>302</v>
      </c>
      <c r="I775" s="201">
        <v>1</v>
      </c>
      <c r="K775" s="199">
        <f>IF(I775=0,0,(VLOOKUP(H775,'RESUMEN RENDIMIENTOS'!$AB$6:$AO$64,13,FALSE)))*I775</f>
        <v>1</v>
      </c>
      <c r="L775" s="200">
        <f>IF(I775=0,0,(VLOOKUP(H775,'RESUMEN RENDIMIENTOS'!$AB$6:$AO$64,14,FALSE)))*I775</f>
        <v>0.2</v>
      </c>
      <c r="N775" s="197" t="s">
        <v>302</v>
      </c>
      <c r="O775" s="201">
        <v>1</v>
      </c>
      <c r="Q775" s="199">
        <f>IF(O775=0,0,(VLOOKUP(N775,'RESUMEN RENDIMIENTOS'!$AB$6:$AO$64,13,FALSE)))*O775</f>
        <v>1</v>
      </c>
      <c r="R775" s="200">
        <f>IF(O775=0,0,(VLOOKUP(N775,'RESUMEN RENDIMIENTOS'!$AB$6:$AO$64,14,FALSE)))*O775</f>
        <v>0.2</v>
      </c>
    </row>
    <row r="776" spans="2:19">
      <c r="B776" s="202"/>
      <c r="F776" s="206">
        <f>SUM(F770:F775)</f>
        <v>0.54535238095238103</v>
      </c>
      <c r="G776" s="205">
        <f>+F776</f>
        <v>0.54535238095238103</v>
      </c>
      <c r="H776" s="202"/>
      <c r="I776" s="179"/>
      <c r="K776" s="88"/>
      <c r="L776" s="206">
        <f>SUM(L770:L775)</f>
        <v>0.54535238095238103</v>
      </c>
      <c r="M776" s="205">
        <f>+L776</f>
        <v>0.54535238095238103</v>
      </c>
      <c r="N776" s="202"/>
      <c r="O776" s="179"/>
      <c r="R776" s="206">
        <f>SUM(R770:R775)</f>
        <v>0.54535238095238103</v>
      </c>
      <c r="S776" s="205">
        <f>+R776</f>
        <v>0.54535238095238103</v>
      </c>
    </row>
    <row r="777" spans="2:19">
      <c r="B777" s="436" t="s">
        <v>324</v>
      </c>
      <c r="C777" s="437"/>
      <c r="D777" s="437"/>
      <c r="E777" s="437"/>
      <c r="F777" s="455"/>
      <c r="G777" s="205"/>
      <c r="H777" s="436" t="s">
        <v>324</v>
      </c>
      <c r="I777" s="437"/>
      <c r="J777" s="437"/>
      <c r="K777" s="437"/>
      <c r="L777" s="455"/>
      <c r="M777" s="205"/>
      <c r="N777" s="436" t="s">
        <v>324</v>
      </c>
      <c r="O777" s="437"/>
      <c r="P777" s="437"/>
      <c r="Q777" s="437"/>
      <c r="R777" s="455"/>
      <c r="S777" s="205"/>
    </row>
    <row r="778" spans="2:19">
      <c r="B778" s="210" t="s">
        <v>325</v>
      </c>
      <c r="C778" s="211">
        <v>1</v>
      </c>
      <c r="D778" s="212">
        <v>21.712335174960327</v>
      </c>
      <c r="E778" s="213">
        <f>F764</f>
        <v>1.9814417666543984</v>
      </c>
      <c r="F778" s="214">
        <f>+IF(C778&gt;="",0,(D778*E778))</f>
        <v>43.02172776726583</v>
      </c>
      <c r="G778" s="215"/>
      <c r="H778" s="210" t="s">
        <v>325</v>
      </c>
      <c r="I778" s="211">
        <v>1</v>
      </c>
      <c r="J778" s="212">
        <v>21.712335174960327</v>
      </c>
      <c r="K778" s="213">
        <f>L764</f>
        <v>0.46462496693746125</v>
      </c>
      <c r="L778" s="216">
        <f>+IF(I778&gt;="",0,(J778*K778))</f>
        <v>10.088093012801018</v>
      </c>
      <c r="M778" s="215"/>
      <c r="N778" s="210" t="s">
        <v>325</v>
      </c>
      <c r="O778" s="211">
        <v>1</v>
      </c>
      <c r="P778" s="212">
        <v>21.712335174960327</v>
      </c>
      <c r="Q778" s="213">
        <f>R764</f>
        <v>0.51880553373908078</v>
      </c>
      <c r="R778" s="214">
        <f>+IF(O778&gt;="",0,(P778*Q778))</f>
        <v>11.26447963916711</v>
      </c>
      <c r="S778" s="215"/>
    </row>
    <row r="779" spans="2:19">
      <c r="B779" s="210" t="s">
        <v>326</v>
      </c>
      <c r="C779" s="211"/>
      <c r="D779" s="212">
        <f>+D778*25%</f>
        <v>5.4280837937400817</v>
      </c>
      <c r="E779" s="213">
        <f>F764</f>
        <v>1.9814417666543984</v>
      </c>
      <c r="F779" s="214">
        <f>+IF(C779= "",0,(D779*E779))</f>
        <v>0</v>
      </c>
      <c r="G779" s="215"/>
      <c r="H779" s="210" t="s">
        <v>326</v>
      </c>
      <c r="I779" s="211"/>
      <c r="J779" s="212">
        <f>+J778*25%</f>
        <v>5.4280837937400817</v>
      </c>
      <c r="K779" s="213">
        <f>L764</f>
        <v>0.46462496693746125</v>
      </c>
      <c r="L779" s="216">
        <f>+IF(I779= "",0,(J779*K779))</f>
        <v>0</v>
      </c>
      <c r="M779" s="215"/>
      <c r="N779" s="210" t="s">
        <v>326</v>
      </c>
      <c r="O779" s="211"/>
      <c r="P779" s="212">
        <f>+P778*25%</f>
        <v>5.4280837937400817</v>
      </c>
      <c r="Q779" s="213">
        <f>R764</f>
        <v>0.51880553373908078</v>
      </c>
      <c r="R779" s="214">
        <f>+IF(O779= "",0,(P779*Q779))</f>
        <v>0</v>
      </c>
      <c r="S779" s="215"/>
    </row>
    <row r="780" spans="2:19">
      <c r="B780" s="210" t="s">
        <v>327</v>
      </c>
      <c r="C780" s="211"/>
      <c r="D780" s="212">
        <f>+D778*50%</f>
        <v>10.856167587480163</v>
      </c>
      <c r="E780" s="213">
        <f>F764</f>
        <v>1.9814417666543984</v>
      </c>
      <c r="F780" s="214">
        <f>+IF(C780= "",0,(D780*E780))</f>
        <v>0</v>
      </c>
      <c r="G780" s="215"/>
      <c r="H780" s="210" t="s">
        <v>327</v>
      </c>
      <c r="I780" s="211"/>
      <c r="J780" s="212">
        <f>+J778*50%</f>
        <v>10.856167587480163</v>
      </c>
      <c r="K780" s="213">
        <f>L764</f>
        <v>0.46462496693746125</v>
      </c>
      <c r="L780" s="216">
        <f>+IF(I780= "",0,(J780*K780))</f>
        <v>0</v>
      </c>
      <c r="M780" s="215"/>
      <c r="N780" s="210" t="s">
        <v>327</v>
      </c>
      <c r="O780" s="211"/>
      <c r="P780" s="212">
        <f>+P778*50%</f>
        <v>10.856167587480163</v>
      </c>
      <c r="Q780" s="213">
        <f>R764</f>
        <v>0.51880553373908078</v>
      </c>
      <c r="R780" s="214">
        <f>+IF(O780= "",0,(P780*Q780))</f>
        <v>0</v>
      </c>
      <c r="S780" s="215"/>
    </row>
    <row r="781" spans="2:19">
      <c r="B781" s="202"/>
      <c r="F781" s="217">
        <f>SUM(F778:F780)</f>
        <v>43.02172776726583</v>
      </c>
      <c r="G781" s="218"/>
      <c r="H781" s="202"/>
      <c r="I781" s="179"/>
      <c r="K781" s="88"/>
      <c r="L781" s="219">
        <f>SUM(L778:L780)</f>
        <v>10.088093012801018</v>
      </c>
      <c r="M781" s="218"/>
      <c r="N781" s="202"/>
      <c r="O781" s="179"/>
      <c r="R781" s="217">
        <f>SUM(R778:R780)</f>
        <v>11.26447963916711</v>
      </c>
      <c r="S781" s="218"/>
    </row>
    <row r="782" spans="2:19">
      <c r="B782" s="202"/>
      <c r="F782" s="189"/>
      <c r="G782" s="220"/>
      <c r="H782" s="202"/>
      <c r="I782" s="179"/>
      <c r="K782" s="88"/>
      <c r="M782" s="220"/>
      <c r="N782" s="202"/>
      <c r="O782" s="179"/>
      <c r="R782" s="189"/>
      <c r="S782" s="220"/>
    </row>
    <row r="783" spans="2:19" ht="21">
      <c r="B783" s="438" t="s">
        <v>328</v>
      </c>
      <c r="C783" s="439"/>
      <c r="D783" s="439"/>
      <c r="E783" s="440"/>
      <c r="F783" s="225">
        <f>+F776+F781</f>
        <v>43.56708014821821</v>
      </c>
      <c r="G783" s="205">
        <f>+F783</f>
        <v>43.56708014821821</v>
      </c>
      <c r="H783" s="438" t="s">
        <v>328</v>
      </c>
      <c r="I783" s="439"/>
      <c r="J783" s="439"/>
      <c r="K783" s="440"/>
      <c r="L783" s="225">
        <f>+L776+L781</f>
        <v>10.633445393753398</v>
      </c>
      <c r="M783" s="205">
        <f>+L783</f>
        <v>10.633445393753398</v>
      </c>
      <c r="N783" s="438" t="s">
        <v>328</v>
      </c>
      <c r="O783" s="439"/>
      <c r="P783" s="439"/>
      <c r="Q783" s="440"/>
      <c r="R783" s="225">
        <f>+R776+R781</f>
        <v>11.80983202011949</v>
      </c>
      <c r="S783" s="205">
        <f>+R783</f>
        <v>11.80983202011949</v>
      </c>
    </row>
    <row r="784" spans="2:19">
      <c r="B784" s="202"/>
      <c r="F784" s="189"/>
      <c r="G784" s="205"/>
      <c r="H784" s="202"/>
      <c r="I784" s="179"/>
      <c r="K784" s="88"/>
      <c r="L784" s="189"/>
      <c r="M784" s="205"/>
      <c r="N784" s="202"/>
      <c r="O784" s="179"/>
      <c r="R784" s="189"/>
      <c r="S784" s="205"/>
    </row>
    <row r="785" spans="2:19" ht="19">
      <c r="B785" s="441" t="s">
        <v>329</v>
      </c>
      <c r="C785" s="442"/>
      <c r="D785" s="442"/>
      <c r="E785" s="443"/>
      <c r="F785" s="230">
        <f>+F783/$C$37</f>
        <v>0.43567080148218212</v>
      </c>
      <c r="G785" s="205"/>
      <c r="H785" s="441" t="s">
        <v>329</v>
      </c>
      <c r="I785" s="442"/>
      <c r="J785" s="442"/>
      <c r="K785" s="443"/>
      <c r="L785" s="230">
        <f>+L783/$C$37</f>
        <v>0.10633445393753398</v>
      </c>
      <c r="M785" s="205"/>
      <c r="N785" s="441" t="s">
        <v>329</v>
      </c>
      <c r="O785" s="442"/>
      <c r="P785" s="442"/>
      <c r="Q785" s="443"/>
      <c r="R785" s="230">
        <f>+R783/$C$37</f>
        <v>0.1180983202011949</v>
      </c>
      <c r="S785" s="205"/>
    </row>
    <row r="786" spans="2:19" ht="17" thickBot="1">
      <c r="B786" s="231"/>
      <c r="C786" s="232"/>
      <c r="D786" s="233"/>
      <c r="E786" s="233"/>
      <c r="F786" s="234"/>
      <c r="G786" s="205"/>
      <c r="H786" s="231"/>
      <c r="I786" s="232"/>
      <c r="J786" s="233"/>
      <c r="K786" s="233"/>
      <c r="L786" s="234"/>
      <c r="M786" s="205"/>
      <c r="N786" s="231"/>
      <c r="O786" s="232"/>
      <c r="P786" s="233"/>
      <c r="Q786" s="233"/>
      <c r="R786" s="234"/>
      <c r="S786" s="205"/>
    </row>
    <row r="787" spans="2:19" ht="23.25" customHeight="1" thickBot="1">
      <c r="B787" s="415" t="s">
        <v>312</v>
      </c>
      <c r="C787" s="416"/>
      <c r="D787" s="416"/>
      <c r="E787" s="416"/>
      <c r="F787" s="416"/>
      <c r="G787" s="416"/>
      <c r="H787" s="416"/>
      <c r="I787" s="416"/>
      <c r="J787" s="416"/>
      <c r="K787" s="416"/>
      <c r="L787" s="416"/>
      <c r="M787" s="416"/>
      <c r="N787" s="416"/>
      <c r="O787" s="416"/>
      <c r="P787" s="416"/>
      <c r="Q787" s="416"/>
      <c r="R787" s="417"/>
    </row>
    <row r="788" spans="2:19" ht="25">
      <c r="B788" s="239" t="s">
        <v>16</v>
      </c>
      <c r="C788" s="459" t="s">
        <v>125</v>
      </c>
      <c r="D788" s="460"/>
      <c r="E788" s="460"/>
      <c r="F788" s="466"/>
      <c r="G788" s="258"/>
      <c r="H788" s="237" t="s">
        <v>16</v>
      </c>
      <c r="I788" s="452" t="s">
        <v>9</v>
      </c>
      <c r="J788" s="453"/>
      <c r="K788" s="454"/>
      <c r="L788" s="240"/>
      <c r="M788" s="254"/>
      <c r="N788" s="239" t="s">
        <v>16</v>
      </c>
      <c r="O788" s="452" t="s">
        <v>124</v>
      </c>
      <c r="P788" s="453"/>
      <c r="Q788" s="454"/>
      <c r="R788" s="240"/>
    </row>
    <row r="789" spans="2:19" ht="33" thickBot="1">
      <c r="B789" s="241" t="s">
        <v>313</v>
      </c>
      <c r="C789" s="242" t="s">
        <v>6</v>
      </c>
      <c r="D789" s="243" t="s">
        <v>25</v>
      </c>
      <c r="E789" s="244" t="s">
        <v>314</v>
      </c>
      <c r="F789" s="245" t="s">
        <v>315</v>
      </c>
      <c r="H789" s="241" t="s">
        <v>313</v>
      </c>
      <c r="I789" s="242" t="s">
        <v>6</v>
      </c>
      <c r="J789" s="243" t="s">
        <v>25</v>
      </c>
      <c r="K789" s="244" t="s">
        <v>314</v>
      </c>
      <c r="L789" s="245" t="s">
        <v>315</v>
      </c>
      <c r="N789" s="241" t="s">
        <v>313</v>
      </c>
      <c r="O789" s="242" t="s">
        <v>6</v>
      </c>
      <c r="P789" s="243" t="s">
        <v>25</v>
      </c>
      <c r="Q789" s="244" t="s">
        <v>314</v>
      </c>
      <c r="R789" s="245" t="s">
        <v>315</v>
      </c>
    </row>
    <row r="790" spans="2:19">
      <c r="B790" s="170" t="s">
        <v>179</v>
      </c>
      <c r="C790" s="171">
        <f>VLOOKUP(B790,'RESUMEN RENDIMIENTOS'!$V$6:$W$158,2,FALSE)</f>
        <v>400</v>
      </c>
      <c r="D790" s="177" t="s">
        <v>20</v>
      </c>
      <c r="E790" s="172">
        <v>247</v>
      </c>
      <c r="F790" s="175">
        <f t="shared" ref="F790:F805" si="78">IF(C790=0,0,(100/C790)*E790/$E$37)</f>
        <v>0.25</v>
      </c>
      <c r="G790" s="164">
        <f>+F790/F806</f>
        <v>9.49367088607595E-2</v>
      </c>
      <c r="H790" s="170" t="s">
        <v>182</v>
      </c>
      <c r="I790" s="171">
        <f>VLOOKUP(H790,'RESUMEN RENDIMIENTOS'!$V$6:$W$158,2,FALSE)</f>
        <v>1400</v>
      </c>
      <c r="J790" s="177" t="s">
        <v>20</v>
      </c>
      <c r="K790" s="172">
        <v>247</v>
      </c>
      <c r="L790" s="173">
        <f>IF(I790=0,0,(100/I790)*K790/$E$37)</f>
        <v>7.1428571428571425E-2</v>
      </c>
      <c r="M790" s="164">
        <f>+L790/L806</f>
        <v>0.13574605095319311</v>
      </c>
      <c r="N790" s="170" t="s">
        <v>182</v>
      </c>
      <c r="O790" s="171">
        <f>VLOOKUP(N790,'RESUMEN RENDIMIENTOS'!$V$6:$W$158,2,FALSE)</f>
        <v>1400</v>
      </c>
      <c r="P790" s="177" t="s">
        <v>20</v>
      </c>
      <c r="Q790" s="172">
        <v>247</v>
      </c>
      <c r="R790" s="175">
        <f t="shared" ref="R790:R805" si="79">IF(O790=0,0,(100/O790)*Q790/$E$37)</f>
        <v>7.1428571428571425E-2</v>
      </c>
      <c r="S790" s="164">
        <f>+R790/R806</f>
        <v>0.17467248908296942</v>
      </c>
    </row>
    <row r="791" spans="2:19">
      <c r="B791" s="170" t="s">
        <v>199</v>
      </c>
      <c r="C791" s="171">
        <f>VLOOKUP(B791,'RESUMEN RENDIMIENTOS'!$V$6:$W$158,2,FALSE)</f>
        <v>300</v>
      </c>
      <c r="D791" s="177" t="s">
        <v>20</v>
      </c>
      <c r="E791" s="172">
        <v>247</v>
      </c>
      <c r="F791" s="175">
        <f t="shared" si="78"/>
        <v>0.33333333333333331</v>
      </c>
      <c r="G791" s="174">
        <f>+F791/F806</f>
        <v>0.12658227848101264</v>
      </c>
      <c r="H791" s="170" t="s">
        <v>201</v>
      </c>
      <c r="I791" s="171">
        <f>VLOOKUP(H791,'RESUMEN RENDIMIENTOS'!$V$6:$W$158,2,FALSE)</f>
        <v>500</v>
      </c>
      <c r="J791" s="177" t="s">
        <v>20</v>
      </c>
      <c r="K791" s="172">
        <v>247</v>
      </c>
      <c r="L791" s="173">
        <f t="shared" ref="L791:L805" si="80">IF(I791=0,0,(100/I791)*K791/$E$37)</f>
        <v>0.2</v>
      </c>
      <c r="M791" s="174">
        <f>+L791/L806</f>
        <v>0.38008894266894072</v>
      </c>
      <c r="N791" s="170" t="s">
        <v>203</v>
      </c>
      <c r="O791" s="171">
        <f>VLOOKUP(N791,'RESUMEN RENDIMIENTOS'!$V$6:$W$158,2,FALSE)</f>
        <v>600</v>
      </c>
      <c r="P791" s="177" t="s">
        <v>20</v>
      </c>
      <c r="Q791" s="172">
        <v>247</v>
      </c>
      <c r="R791" s="175">
        <f t="shared" si="79"/>
        <v>0.16666666666666666</v>
      </c>
      <c r="S791" s="174">
        <f>+R791/R806</f>
        <v>0.40756914119359533</v>
      </c>
    </row>
    <row r="792" spans="2:19">
      <c r="B792" s="170" t="s">
        <v>242</v>
      </c>
      <c r="C792" s="171">
        <f>VLOOKUP(B792,'RESUMEN RENDIMIENTOS'!$V$6:$W$158,2,FALSE)</f>
        <v>125</v>
      </c>
      <c r="D792" s="177" t="s">
        <v>20</v>
      </c>
      <c r="E792" s="172">
        <v>247</v>
      </c>
      <c r="F792" s="175">
        <f t="shared" si="78"/>
        <v>0.8</v>
      </c>
      <c r="G792" s="174">
        <f>+F792/F806</f>
        <v>0.30379746835443039</v>
      </c>
      <c r="H792" s="170" t="s">
        <v>259</v>
      </c>
      <c r="I792" s="171">
        <f>VLOOKUP(H792,'RESUMEN RENDIMIENTOS'!$V$6:$W$158,2,FALSE)</f>
        <v>1800</v>
      </c>
      <c r="J792" s="177" t="s">
        <v>20</v>
      </c>
      <c r="K792" s="172">
        <v>247</v>
      </c>
      <c r="L792" s="173">
        <f t="shared" si="80"/>
        <v>5.5555555555555552E-2</v>
      </c>
      <c r="M792" s="174">
        <f>+L792/L806</f>
        <v>0.10558026185248352</v>
      </c>
      <c r="N792" s="170" t="s">
        <v>190</v>
      </c>
      <c r="O792" s="171">
        <f>VLOOKUP(N792,'RESUMEN RENDIMIENTOS'!$V$6:$W$158,2,FALSE)</f>
        <v>960</v>
      </c>
      <c r="P792" s="177" t="s">
        <v>20</v>
      </c>
      <c r="Q792" s="172">
        <v>247</v>
      </c>
      <c r="R792" s="175">
        <f t="shared" si="79"/>
        <v>0.10416666666666667</v>
      </c>
      <c r="S792" s="174">
        <f>+R792/R806</f>
        <v>0.25473071324599711</v>
      </c>
    </row>
    <row r="793" spans="2:19">
      <c r="B793" s="170" t="s">
        <v>210</v>
      </c>
      <c r="C793" s="171">
        <f>VLOOKUP(B793,'RESUMEN RENDIMIENTOS'!$V$6:$W$158,2,FALSE)</f>
        <v>80</v>
      </c>
      <c r="D793" s="177" t="s">
        <v>20</v>
      </c>
      <c r="E793" s="172">
        <v>247</v>
      </c>
      <c r="F793" s="175">
        <f t="shared" si="78"/>
        <v>1.25</v>
      </c>
      <c r="G793" s="174">
        <f>+F793/F806</f>
        <v>0.4746835443037975</v>
      </c>
      <c r="H793" s="170" t="s">
        <v>190</v>
      </c>
      <c r="I793" s="171">
        <f>VLOOKUP(H793,'RESUMEN RENDIMIENTOS'!$V$6:$W$158,2,FALSE)</f>
        <v>960</v>
      </c>
      <c r="J793" s="177" t="s">
        <v>20</v>
      </c>
      <c r="K793" s="172">
        <v>247</v>
      </c>
      <c r="L793" s="173">
        <f t="shared" si="80"/>
        <v>0.10416666666666667</v>
      </c>
      <c r="M793" s="174">
        <f>+L793/L806</f>
        <v>0.19796299097340664</v>
      </c>
      <c r="N793" s="170" t="s">
        <v>253</v>
      </c>
      <c r="O793" s="171">
        <f>VLOOKUP(N793,'RESUMEN RENDIMIENTOS'!$V$6:$W$158,2,FALSE)</f>
        <v>1500</v>
      </c>
      <c r="P793" s="177" t="s">
        <v>20</v>
      </c>
      <c r="Q793" s="172">
        <v>247</v>
      </c>
      <c r="R793" s="175">
        <f t="shared" si="79"/>
        <v>6.6666666666666666E-2</v>
      </c>
      <c r="S793" s="174">
        <f>+R793/R806</f>
        <v>0.16302765647743814</v>
      </c>
    </row>
    <row r="794" spans="2:19">
      <c r="B794" s="170">
        <v>0</v>
      </c>
      <c r="C794" s="171">
        <f>VLOOKUP(B794,'RESUMEN RENDIMIENTOS'!$V$6:$W$158,2,FALSE)</f>
        <v>0</v>
      </c>
      <c r="D794" s="177" t="s">
        <v>56</v>
      </c>
      <c r="E794" s="172">
        <v>52.14</v>
      </c>
      <c r="F794" s="175">
        <f t="shared" si="78"/>
        <v>0</v>
      </c>
      <c r="G794" s="174">
        <f>+F794/F806</f>
        <v>0</v>
      </c>
      <c r="H794" s="170" t="s">
        <v>210</v>
      </c>
      <c r="I794" s="171">
        <f>VLOOKUP(H794,'RESUMEN RENDIMIENTOS'!$V$6:$W$158,2,FALSE)</f>
        <v>80</v>
      </c>
      <c r="J794" s="177" t="s">
        <v>62</v>
      </c>
      <c r="K794" s="172">
        <v>4</v>
      </c>
      <c r="L794" s="173">
        <f t="shared" si="80"/>
        <v>2.0242914979757085E-2</v>
      </c>
      <c r="M794" s="174">
        <f>+L794/L806</f>
        <v>3.8470540755965663E-2</v>
      </c>
      <c r="N794" s="170">
        <v>0</v>
      </c>
      <c r="O794" s="171">
        <f>VLOOKUP(N794,'RESUMEN RENDIMIENTOS'!$V$6:$W$158,2,FALSE)</f>
        <v>0</v>
      </c>
      <c r="P794" s="177"/>
      <c r="Q794" s="172" t="s">
        <v>337</v>
      </c>
      <c r="R794" s="175">
        <f t="shared" si="79"/>
        <v>0</v>
      </c>
      <c r="S794" s="174">
        <f>+R794/R806</f>
        <v>0</v>
      </c>
    </row>
    <row r="795" spans="2:19">
      <c r="B795" s="170">
        <v>0</v>
      </c>
      <c r="C795" s="171">
        <f>VLOOKUP(B795,'RESUMEN RENDIMIENTOS'!$V$6:$W$158,2,FALSE)</f>
        <v>0</v>
      </c>
      <c r="D795" s="177" t="s">
        <v>52</v>
      </c>
      <c r="E795" s="172">
        <v>156.42000000000002</v>
      </c>
      <c r="F795" s="175">
        <f t="shared" si="78"/>
        <v>0</v>
      </c>
      <c r="G795" s="174">
        <f>+F795/F806</f>
        <v>0</v>
      </c>
      <c r="H795" s="170" t="s">
        <v>230</v>
      </c>
      <c r="I795" s="171">
        <f>VLOOKUP(H795,'RESUMEN RENDIMIENTOS'!$V$6:$W$158,2,FALSE)</f>
        <v>900</v>
      </c>
      <c r="J795" s="177" t="s">
        <v>30</v>
      </c>
      <c r="K795" s="172">
        <v>24</v>
      </c>
      <c r="L795" s="173">
        <f t="shared" si="80"/>
        <v>1.0796221322537112E-2</v>
      </c>
      <c r="M795" s="174">
        <f>+L795/L806</f>
        <v>2.0517621736515019E-2</v>
      </c>
      <c r="N795" s="170">
        <v>0</v>
      </c>
      <c r="O795" s="171">
        <f>VLOOKUP(N795,'RESUMEN RENDIMIENTOS'!$V$6:$W$158,2,FALSE)</f>
        <v>0</v>
      </c>
      <c r="P795" s="177"/>
      <c r="Q795" s="172" t="s">
        <v>337</v>
      </c>
      <c r="R795" s="175">
        <f t="shared" si="79"/>
        <v>0</v>
      </c>
      <c r="S795" s="174">
        <f>+R795/R806</f>
        <v>0</v>
      </c>
    </row>
    <row r="796" spans="2:19">
      <c r="B796" s="170">
        <v>0</v>
      </c>
      <c r="C796" s="171">
        <f>VLOOKUP(B796,'RESUMEN RENDIMIENTOS'!$V$6:$W$158,2,FALSE)</f>
        <v>0</v>
      </c>
      <c r="D796" s="177"/>
      <c r="E796" s="172" t="s">
        <v>337</v>
      </c>
      <c r="F796" s="175">
        <f t="shared" si="78"/>
        <v>0</v>
      </c>
      <c r="G796" s="174">
        <f>+F796/F806</f>
        <v>0</v>
      </c>
      <c r="H796" s="170" t="s">
        <v>197</v>
      </c>
      <c r="I796" s="171">
        <f>VLOOKUP(H796,'RESUMEN RENDIMIENTOS'!$V$6:$W$158,2,FALSE)</f>
        <v>600</v>
      </c>
      <c r="J796" s="177" t="s">
        <v>65</v>
      </c>
      <c r="K796" s="172">
        <v>1</v>
      </c>
      <c r="L796" s="173">
        <f t="shared" si="80"/>
        <v>6.7476383265856947E-4</v>
      </c>
      <c r="M796" s="174">
        <f>+L796/L806</f>
        <v>1.2823513585321887E-3</v>
      </c>
      <c r="N796" s="170">
        <v>0</v>
      </c>
      <c r="O796" s="171">
        <f>VLOOKUP(N796,'RESUMEN RENDIMIENTOS'!$V$6:$W$158,2,FALSE)</f>
        <v>0</v>
      </c>
      <c r="P796" s="177"/>
      <c r="Q796" s="172" t="s">
        <v>337</v>
      </c>
      <c r="R796" s="175">
        <f t="shared" si="79"/>
        <v>0</v>
      </c>
      <c r="S796" s="174">
        <f>+R796/R806</f>
        <v>0</v>
      </c>
    </row>
    <row r="797" spans="2:19">
      <c r="B797" s="170">
        <v>0</v>
      </c>
      <c r="C797" s="171">
        <f>VLOOKUP(B797,'RESUMEN RENDIMIENTOS'!$V$6:$W$158,2,FALSE)</f>
        <v>0</v>
      </c>
      <c r="D797" s="177"/>
      <c r="E797" s="172" t="s">
        <v>337</v>
      </c>
      <c r="F797" s="175">
        <f t="shared" si="78"/>
        <v>0</v>
      </c>
      <c r="G797" s="174">
        <f>+F797/F806</f>
        <v>0</v>
      </c>
      <c r="H797" s="170" t="s">
        <v>240</v>
      </c>
      <c r="I797" s="171">
        <f>VLOOKUP(H797,'RESUMEN RENDIMIENTOS'!$V$6:$W$158,2,FALSE)</f>
        <v>1000</v>
      </c>
      <c r="J797" s="177" t="s">
        <v>52</v>
      </c>
      <c r="K797" s="172">
        <v>156.42000000000002</v>
      </c>
      <c r="L797" s="173">
        <f t="shared" si="80"/>
        <v>6.3327935222672077E-2</v>
      </c>
      <c r="M797" s="174">
        <f>+L797/L806</f>
        <v>0.12035123970096299</v>
      </c>
      <c r="N797" s="170">
        <v>0</v>
      </c>
      <c r="O797" s="171">
        <f>VLOOKUP(N797,'RESUMEN RENDIMIENTOS'!$V$6:$W$158,2,FALSE)</f>
        <v>0</v>
      </c>
      <c r="P797" s="177"/>
      <c r="Q797" s="172" t="s">
        <v>337</v>
      </c>
      <c r="R797" s="175">
        <f t="shared" si="79"/>
        <v>0</v>
      </c>
      <c r="S797" s="174">
        <f>+R797/R806</f>
        <v>0</v>
      </c>
    </row>
    <row r="798" spans="2:19">
      <c r="B798" s="170">
        <v>0</v>
      </c>
      <c r="C798" s="171">
        <f>VLOOKUP(B798,'RESUMEN RENDIMIENTOS'!$V$6:$W$158,2,FALSE)</f>
        <v>0</v>
      </c>
      <c r="D798" s="177"/>
      <c r="E798" s="172" t="s">
        <v>337</v>
      </c>
      <c r="F798" s="175">
        <f t="shared" si="78"/>
        <v>0</v>
      </c>
      <c r="G798" s="174">
        <f>+F798/F806</f>
        <v>0</v>
      </c>
      <c r="H798" s="170">
        <v>0</v>
      </c>
      <c r="I798" s="171">
        <f>VLOOKUP(H798,'RESUMEN RENDIMIENTOS'!$V$6:$W$158,2,FALSE)</f>
        <v>0</v>
      </c>
      <c r="J798" s="177"/>
      <c r="K798" s="172" t="s">
        <v>337</v>
      </c>
      <c r="L798" s="173">
        <f t="shared" si="80"/>
        <v>0</v>
      </c>
      <c r="M798" s="174">
        <f>+L798/L806</f>
        <v>0</v>
      </c>
      <c r="N798" s="170">
        <v>0</v>
      </c>
      <c r="O798" s="171">
        <f>VLOOKUP(N798,'RESUMEN RENDIMIENTOS'!$V$6:$W$158,2,FALSE)</f>
        <v>0</v>
      </c>
      <c r="P798" s="177"/>
      <c r="Q798" s="172" t="s">
        <v>337</v>
      </c>
      <c r="R798" s="175">
        <f t="shared" si="79"/>
        <v>0</v>
      </c>
      <c r="S798" s="174">
        <f>+R798/R806</f>
        <v>0</v>
      </c>
    </row>
    <row r="799" spans="2:19">
      <c r="B799" s="170">
        <v>0</v>
      </c>
      <c r="C799" s="171">
        <f>VLOOKUP(B799,'RESUMEN RENDIMIENTOS'!$V$6:$W$158,2,FALSE)</f>
        <v>0</v>
      </c>
      <c r="D799" s="177"/>
      <c r="E799" s="172" t="s">
        <v>337</v>
      </c>
      <c r="F799" s="175">
        <f t="shared" si="78"/>
        <v>0</v>
      </c>
      <c r="G799" s="174">
        <f>+F799/F806</f>
        <v>0</v>
      </c>
      <c r="H799" s="170">
        <v>0</v>
      </c>
      <c r="I799" s="171">
        <f>VLOOKUP(H799,'RESUMEN RENDIMIENTOS'!$V$6:$W$158,2,FALSE)</f>
        <v>0</v>
      </c>
      <c r="J799" s="177"/>
      <c r="K799" s="172" t="s">
        <v>337</v>
      </c>
      <c r="L799" s="173">
        <f t="shared" si="80"/>
        <v>0</v>
      </c>
      <c r="M799" s="174">
        <f>+L799/L806</f>
        <v>0</v>
      </c>
      <c r="N799" s="170">
        <v>0</v>
      </c>
      <c r="O799" s="171">
        <f>VLOOKUP(N799,'RESUMEN RENDIMIENTOS'!$V$6:$W$158,2,FALSE)</f>
        <v>0</v>
      </c>
      <c r="P799" s="177"/>
      <c r="Q799" s="172" t="s">
        <v>337</v>
      </c>
      <c r="R799" s="175">
        <f t="shared" si="79"/>
        <v>0</v>
      </c>
      <c r="S799" s="174">
        <f>+R799/R806</f>
        <v>0</v>
      </c>
    </row>
    <row r="800" spans="2:19">
      <c r="B800" s="170">
        <v>0</v>
      </c>
      <c r="C800" s="171">
        <f>VLOOKUP(B800,'RESUMEN RENDIMIENTOS'!$V$6:$W$158,2,FALSE)</f>
        <v>0</v>
      </c>
      <c r="D800" s="177"/>
      <c r="E800" s="172" t="s">
        <v>337</v>
      </c>
      <c r="F800" s="175">
        <f t="shared" si="78"/>
        <v>0</v>
      </c>
      <c r="G800" s="174">
        <f>+F800/F806</f>
        <v>0</v>
      </c>
      <c r="H800" s="170">
        <v>0</v>
      </c>
      <c r="I800" s="171">
        <f>VLOOKUP(H800,'RESUMEN RENDIMIENTOS'!$V$6:$W$158,2,FALSE)</f>
        <v>0</v>
      </c>
      <c r="J800" s="177"/>
      <c r="K800" s="172" t="s">
        <v>337</v>
      </c>
      <c r="L800" s="173">
        <f t="shared" si="80"/>
        <v>0</v>
      </c>
      <c r="M800" s="174">
        <f>+L800/L806</f>
        <v>0</v>
      </c>
      <c r="N800" s="170">
        <v>0</v>
      </c>
      <c r="O800" s="171">
        <f>VLOOKUP(N800,'RESUMEN RENDIMIENTOS'!$V$6:$W$158,2,FALSE)</f>
        <v>0</v>
      </c>
      <c r="P800" s="177"/>
      <c r="Q800" s="172" t="s">
        <v>337</v>
      </c>
      <c r="R800" s="175">
        <f t="shared" si="79"/>
        <v>0</v>
      </c>
      <c r="S800" s="174">
        <f>+R800/R806</f>
        <v>0</v>
      </c>
    </row>
    <row r="801" spans="2:19">
      <c r="B801" s="170">
        <v>0</v>
      </c>
      <c r="C801" s="171">
        <f>VLOOKUP(B801,'RESUMEN RENDIMIENTOS'!$V$6:$W$158,2,FALSE)</f>
        <v>0</v>
      </c>
      <c r="D801" s="177"/>
      <c r="E801" s="172" t="s">
        <v>337</v>
      </c>
      <c r="F801" s="175">
        <f t="shared" si="78"/>
        <v>0</v>
      </c>
      <c r="G801" s="174">
        <f>+F801/F806</f>
        <v>0</v>
      </c>
      <c r="H801" s="170">
        <v>0</v>
      </c>
      <c r="I801" s="171">
        <f>VLOOKUP(H801,'RESUMEN RENDIMIENTOS'!$V$6:$W$158,2,FALSE)</f>
        <v>0</v>
      </c>
      <c r="J801" s="177"/>
      <c r="K801" s="172" t="s">
        <v>337</v>
      </c>
      <c r="L801" s="173">
        <f t="shared" si="80"/>
        <v>0</v>
      </c>
      <c r="M801" s="174">
        <f>+L801/L806</f>
        <v>0</v>
      </c>
      <c r="N801" s="170">
        <v>0</v>
      </c>
      <c r="O801" s="171">
        <f>VLOOKUP(N801,'RESUMEN RENDIMIENTOS'!$V$6:$W$158,2,FALSE)</f>
        <v>0</v>
      </c>
      <c r="P801" s="177"/>
      <c r="Q801" s="172" t="s">
        <v>337</v>
      </c>
      <c r="R801" s="175">
        <f t="shared" si="79"/>
        <v>0</v>
      </c>
      <c r="S801" s="174">
        <f>+R801/R806</f>
        <v>0</v>
      </c>
    </row>
    <row r="802" spans="2:19">
      <c r="B802" s="170">
        <v>0</v>
      </c>
      <c r="C802" s="171">
        <f>VLOOKUP(B802,'RESUMEN RENDIMIENTOS'!$V$6:$W$158,2,FALSE)</f>
        <v>0</v>
      </c>
      <c r="D802" s="177"/>
      <c r="E802" s="172" t="s">
        <v>337</v>
      </c>
      <c r="F802" s="175">
        <f t="shared" si="78"/>
        <v>0</v>
      </c>
      <c r="G802" s="174">
        <f>+F802/F806</f>
        <v>0</v>
      </c>
      <c r="H802" s="170">
        <v>0</v>
      </c>
      <c r="I802" s="171">
        <f>VLOOKUP(H802,'RESUMEN RENDIMIENTOS'!$V$6:$W$158,2,FALSE)</f>
        <v>0</v>
      </c>
      <c r="J802" s="177"/>
      <c r="K802" s="172" t="s">
        <v>337</v>
      </c>
      <c r="L802" s="173">
        <f t="shared" si="80"/>
        <v>0</v>
      </c>
      <c r="M802" s="174">
        <f>+L802/L806</f>
        <v>0</v>
      </c>
      <c r="N802" s="170">
        <v>0</v>
      </c>
      <c r="O802" s="171">
        <f>VLOOKUP(N802,'RESUMEN RENDIMIENTOS'!$V$6:$W$158,2,FALSE)</f>
        <v>0</v>
      </c>
      <c r="P802" s="177"/>
      <c r="Q802" s="172" t="s">
        <v>337</v>
      </c>
      <c r="R802" s="175">
        <f t="shared" si="79"/>
        <v>0</v>
      </c>
      <c r="S802" s="174">
        <f>+R802/R806</f>
        <v>0</v>
      </c>
    </row>
    <row r="803" spans="2:19">
      <c r="B803" s="170">
        <v>0</v>
      </c>
      <c r="C803" s="171">
        <f>VLOOKUP(B803,'RESUMEN RENDIMIENTOS'!$V$6:$W$158,2,FALSE)</f>
        <v>0</v>
      </c>
      <c r="D803" s="177"/>
      <c r="E803" s="172" t="s">
        <v>337</v>
      </c>
      <c r="F803" s="175">
        <f t="shared" si="78"/>
        <v>0</v>
      </c>
      <c r="G803" s="174">
        <f>+F803/F806</f>
        <v>0</v>
      </c>
      <c r="H803" s="170">
        <v>0</v>
      </c>
      <c r="I803" s="171">
        <f>VLOOKUP(H803,'RESUMEN RENDIMIENTOS'!$V$6:$W$158,2,FALSE)</f>
        <v>0</v>
      </c>
      <c r="J803" s="177"/>
      <c r="K803" s="172" t="s">
        <v>337</v>
      </c>
      <c r="L803" s="173">
        <f t="shared" si="80"/>
        <v>0</v>
      </c>
      <c r="M803" s="174">
        <f>+L803/L806</f>
        <v>0</v>
      </c>
      <c r="N803" s="170">
        <v>0</v>
      </c>
      <c r="O803" s="171">
        <f>VLOOKUP(N803,'RESUMEN RENDIMIENTOS'!$V$6:$W$158,2,FALSE)</f>
        <v>0</v>
      </c>
      <c r="P803" s="177"/>
      <c r="Q803" s="172" t="s">
        <v>337</v>
      </c>
      <c r="R803" s="175">
        <f t="shared" si="79"/>
        <v>0</v>
      </c>
      <c r="S803" s="174">
        <f>+R803/R806</f>
        <v>0</v>
      </c>
    </row>
    <row r="804" spans="2:19">
      <c r="B804" s="170">
        <v>0</v>
      </c>
      <c r="C804" s="171">
        <f>VLOOKUP(B804,'RESUMEN RENDIMIENTOS'!$V$6:$W$158,2,FALSE)</f>
        <v>0</v>
      </c>
      <c r="D804" s="177"/>
      <c r="E804" s="172" t="s">
        <v>337</v>
      </c>
      <c r="F804" s="175">
        <f t="shared" si="78"/>
        <v>0</v>
      </c>
      <c r="G804" s="174">
        <f>+F804/F806</f>
        <v>0</v>
      </c>
      <c r="H804" s="170">
        <v>0</v>
      </c>
      <c r="I804" s="171">
        <f>VLOOKUP(H804,'RESUMEN RENDIMIENTOS'!$V$6:$W$158,2,FALSE)</f>
        <v>0</v>
      </c>
      <c r="J804" s="177"/>
      <c r="K804" s="172" t="s">
        <v>337</v>
      </c>
      <c r="L804" s="173">
        <f t="shared" si="80"/>
        <v>0</v>
      </c>
      <c r="M804" s="174">
        <f>+L804/L806</f>
        <v>0</v>
      </c>
      <c r="N804" s="170">
        <v>0</v>
      </c>
      <c r="O804" s="171">
        <f>VLOOKUP(N804,'RESUMEN RENDIMIENTOS'!$V$6:$W$158,2,FALSE)</f>
        <v>0</v>
      </c>
      <c r="P804" s="177"/>
      <c r="Q804" s="172" t="s">
        <v>337</v>
      </c>
      <c r="R804" s="175">
        <f t="shared" si="79"/>
        <v>0</v>
      </c>
      <c r="S804" s="174">
        <f>+R804/R806</f>
        <v>0</v>
      </c>
    </row>
    <row r="805" spans="2:19">
      <c r="B805" s="170">
        <v>0</v>
      </c>
      <c r="C805" s="171">
        <f>VLOOKUP(B805,'RESUMEN RENDIMIENTOS'!$V$6:$W$158,2,FALSE)</f>
        <v>0</v>
      </c>
      <c r="D805" s="177"/>
      <c r="E805" s="172" t="s">
        <v>337</v>
      </c>
      <c r="F805" s="175">
        <f t="shared" si="78"/>
        <v>0</v>
      </c>
      <c r="G805" s="174">
        <f>+F805/F806</f>
        <v>0</v>
      </c>
      <c r="H805" s="170">
        <v>0</v>
      </c>
      <c r="I805" s="171">
        <f>VLOOKUP(H805,'RESUMEN RENDIMIENTOS'!$V$6:$W$158,2,FALSE)</f>
        <v>0</v>
      </c>
      <c r="J805" s="177"/>
      <c r="K805" s="172" t="s">
        <v>337</v>
      </c>
      <c r="L805" s="173">
        <f t="shared" si="80"/>
        <v>0</v>
      </c>
      <c r="M805" s="174">
        <f>+L805/L806</f>
        <v>0</v>
      </c>
      <c r="N805" s="170">
        <v>0</v>
      </c>
      <c r="O805" s="171">
        <f>VLOOKUP(N805,'RESUMEN RENDIMIENTOS'!$V$6:$W$158,2,FALSE)</f>
        <v>0</v>
      </c>
      <c r="P805" s="177"/>
      <c r="Q805" s="172" t="s">
        <v>337</v>
      </c>
      <c r="R805" s="175">
        <f t="shared" si="79"/>
        <v>0</v>
      </c>
      <c r="S805" s="174">
        <f>+R805/R806</f>
        <v>0</v>
      </c>
    </row>
    <row r="806" spans="2:19" ht="25" thickBot="1">
      <c r="B806" s="178"/>
      <c r="E806" s="90"/>
      <c r="F806" s="173">
        <f>SUM(F790:F805)</f>
        <v>2.6333333333333333</v>
      </c>
      <c r="G806" s="181">
        <f>+F806/F806</f>
        <v>1</v>
      </c>
      <c r="H806" s="178"/>
      <c r="I806" s="179"/>
      <c r="J806" s="182" t="s">
        <v>24</v>
      </c>
      <c r="K806" s="90"/>
      <c r="L806" s="173">
        <f>SUM(L790:L805)</f>
        <v>0.52619262900841857</v>
      </c>
      <c r="M806" s="181">
        <f>+L806/L806</f>
        <v>1</v>
      </c>
      <c r="N806" s="178"/>
      <c r="O806" s="179"/>
      <c r="Q806" s="90"/>
      <c r="R806" s="175">
        <f>SUM(R790:R805)</f>
        <v>0.40892857142857142</v>
      </c>
      <c r="S806" s="181">
        <f>+R806/R806</f>
        <v>1</v>
      </c>
    </row>
    <row r="807" spans="2:19" ht="18" customHeight="1">
      <c r="B807" s="427" t="s">
        <v>317</v>
      </c>
      <c r="C807" s="428"/>
      <c r="D807" s="429"/>
      <c r="E807" s="185">
        <v>0.12</v>
      </c>
      <c r="F807" s="173">
        <f>+F806*E807</f>
        <v>0.316</v>
      </c>
      <c r="H807" s="427" t="s">
        <v>317</v>
      </c>
      <c r="I807" s="428"/>
      <c r="J807" s="429"/>
      <c r="K807" s="185">
        <v>0.12</v>
      </c>
      <c r="L807" s="173">
        <f>+L806*K807</f>
        <v>6.3143115481010231E-2</v>
      </c>
      <c r="N807" s="427" t="s">
        <v>317</v>
      </c>
      <c r="O807" s="428"/>
      <c r="P807" s="429"/>
      <c r="Q807" s="185">
        <v>0.12</v>
      </c>
      <c r="R807" s="175">
        <f>+R806*Q807</f>
        <v>4.9071428571428571E-2</v>
      </c>
    </row>
    <row r="808" spans="2:19" ht="18" customHeight="1">
      <c r="B808" s="178"/>
      <c r="F808" s="173">
        <f>+F807+F806</f>
        <v>2.9493333333333331</v>
      </c>
      <c r="G808" s="187">
        <f>+F808/24</f>
        <v>0.12288888888888888</v>
      </c>
      <c r="H808" s="178"/>
      <c r="I808" s="179"/>
      <c r="K808" s="88"/>
      <c r="L808" s="173">
        <f>+L807+L806</f>
        <v>0.58933574448942883</v>
      </c>
      <c r="M808" s="187">
        <f>+L808/24</f>
        <v>2.4555656020392867E-2</v>
      </c>
      <c r="N808" s="178"/>
      <c r="O808" s="179"/>
      <c r="R808" s="175">
        <f>+R807+R806</f>
        <v>0.45799999999999996</v>
      </c>
      <c r="S808" s="187">
        <f>+R808/24</f>
        <v>1.9083333333333331E-2</v>
      </c>
    </row>
    <row r="809" spans="2:19">
      <c r="B809" s="178"/>
      <c r="D809" s="188"/>
      <c r="F809" s="189"/>
      <c r="H809" s="178"/>
      <c r="I809" s="179"/>
      <c r="J809" s="188"/>
      <c r="K809" s="88"/>
      <c r="L809" s="189"/>
      <c r="N809" s="178"/>
      <c r="O809" s="179"/>
      <c r="P809" s="188"/>
      <c r="R809" s="189"/>
    </row>
    <row r="810" spans="2:19" ht="21">
      <c r="B810" s="191" t="s">
        <v>318</v>
      </c>
      <c r="C810" s="192"/>
      <c r="D810" s="192"/>
      <c r="E810" s="444">
        <f>IF(F808=0,0,(100/F808))</f>
        <v>33.905967450271248</v>
      </c>
      <c r="F810" s="445"/>
      <c r="H810" s="191" t="s">
        <v>318</v>
      </c>
      <c r="I810" s="192"/>
      <c r="J810" s="192"/>
      <c r="K810" s="444">
        <f>IF(L808=0,0,(100/L808))</f>
        <v>169.6825636914914</v>
      </c>
      <c r="L810" s="445"/>
      <c r="N810" s="191" t="s">
        <v>318</v>
      </c>
      <c r="O810" s="192"/>
      <c r="P810" s="192"/>
      <c r="Q810" s="444">
        <f>IF(R808=0,0,(100/R808))</f>
        <v>218.34061135371181</v>
      </c>
      <c r="R810" s="445"/>
    </row>
    <row r="811" spans="2:19">
      <c r="B811" s="178"/>
      <c r="F811" s="189"/>
      <c r="H811" s="178"/>
      <c r="I811" s="179"/>
      <c r="K811" s="88"/>
      <c r="L811" s="189"/>
      <c r="N811" s="178"/>
      <c r="O811" s="179"/>
      <c r="R811" s="189"/>
    </row>
    <row r="812" spans="2:19" ht="21">
      <c r="B812" s="446" t="s">
        <v>319</v>
      </c>
      <c r="C812" s="447"/>
      <c r="D812" s="447"/>
      <c r="E812" s="447"/>
      <c r="F812" s="448"/>
      <c r="H812" s="446" t="s">
        <v>319</v>
      </c>
      <c r="I812" s="447"/>
      <c r="J812" s="447"/>
      <c r="K812" s="447"/>
      <c r="L812" s="448"/>
      <c r="N812" s="446" t="s">
        <v>319</v>
      </c>
      <c r="O812" s="447"/>
      <c r="P812" s="447"/>
      <c r="Q812" s="447"/>
      <c r="R812" s="448"/>
    </row>
    <row r="813" spans="2:19" ht="18" customHeight="1">
      <c r="B813" s="194" t="s">
        <v>320</v>
      </c>
      <c r="C813" s="195"/>
      <c r="D813" s="435" t="s">
        <v>321</v>
      </c>
      <c r="E813" s="435"/>
      <c r="F813" s="196" t="s">
        <v>322</v>
      </c>
      <c r="H813" s="194" t="s">
        <v>320</v>
      </c>
      <c r="I813" s="195"/>
      <c r="J813" s="435" t="s">
        <v>321</v>
      </c>
      <c r="K813" s="435"/>
      <c r="L813" s="196" t="s">
        <v>322</v>
      </c>
      <c r="N813" s="194" t="s">
        <v>320</v>
      </c>
      <c r="O813" s="195"/>
      <c r="P813" s="435" t="s">
        <v>321</v>
      </c>
      <c r="Q813" s="435"/>
      <c r="R813" s="196" t="s">
        <v>322</v>
      </c>
    </row>
    <row r="814" spans="2:19">
      <c r="B814" s="197" t="s">
        <v>278</v>
      </c>
      <c r="C814" s="201">
        <v>1</v>
      </c>
      <c r="E814" s="199">
        <f>IF(C814=0,0,(VLOOKUP(B814,'RESUMEN RENDIMIENTOS'!$AB$6:$AO$64,13,FALSE)))*C814</f>
        <v>0.75</v>
      </c>
      <c r="F814" s="200">
        <f>IF(C814=0,0,(VLOOKUP(B814,'RESUMEN RENDIMIENTOS'!$AB$6:$AO$64,14,FALSE)))*C814</f>
        <v>1.0285714285714287E-2</v>
      </c>
      <c r="H814" s="197" t="s">
        <v>278</v>
      </c>
      <c r="I814" s="201">
        <v>1</v>
      </c>
      <c r="K814" s="199">
        <f>IF(I814=0,0,(VLOOKUP(H814,'RESUMEN RENDIMIENTOS'!$AB$6:$AO$64,13,FALSE)))*I814</f>
        <v>0.75</v>
      </c>
      <c r="L814" s="200">
        <f>IF(I814=0,0,(VLOOKUP(H814,'RESUMEN RENDIMIENTOS'!$AB$6:$AO$64,14,FALSE)))*I814</f>
        <v>1.0285714285714287E-2</v>
      </c>
      <c r="N814" s="197" t="s">
        <v>278</v>
      </c>
      <c r="O814" s="201">
        <v>1</v>
      </c>
      <c r="Q814" s="199">
        <f>IF(O814=0,0,(VLOOKUP(N814,'RESUMEN RENDIMIENTOS'!$AB$6:$AO$64,13,FALSE)))*O814</f>
        <v>0.75</v>
      </c>
      <c r="R814" s="200">
        <f>IF(O814=0,0,(VLOOKUP(N814,'RESUMEN RENDIMIENTOS'!$AB$6:$AO$64,14,FALSE)))*O814</f>
        <v>1.0285714285714287E-2</v>
      </c>
    </row>
    <row r="815" spans="2:19">
      <c r="B815" s="197" t="s">
        <v>279</v>
      </c>
      <c r="C815" s="201">
        <v>1</v>
      </c>
      <c r="E815" s="199">
        <f>IF(C815=0,0,(VLOOKUP(B815,'RESUMEN RENDIMIENTOS'!$AB$6:$AO$64,13,FALSE)))*C815</f>
        <v>2</v>
      </c>
      <c r="F815" s="200">
        <f>IF(C815=0,0,(VLOOKUP(B815,'RESUMEN RENDIMIENTOS'!$AB$6:$AO$64,14,FALSE)))*C815</f>
        <v>9.5999999999999988E-2</v>
      </c>
      <c r="H815" s="197" t="s">
        <v>279</v>
      </c>
      <c r="I815" s="201">
        <v>1</v>
      </c>
      <c r="K815" s="199">
        <f>IF(I815=0,0,(VLOOKUP(H815,'RESUMEN RENDIMIENTOS'!$AB$6:$AO$64,13,FALSE)))*I815</f>
        <v>2</v>
      </c>
      <c r="L815" s="200">
        <f>IF(I815=0,0,(VLOOKUP(H815,'RESUMEN RENDIMIENTOS'!$AB$6:$AO$64,14,FALSE)))*I815</f>
        <v>9.5999999999999988E-2</v>
      </c>
      <c r="N815" s="197" t="s">
        <v>279</v>
      </c>
      <c r="O815" s="201">
        <v>1</v>
      </c>
      <c r="Q815" s="199">
        <f>IF(O815=0,0,(VLOOKUP(N815,'RESUMEN RENDIMIENTOS'!$AB$6:$AO$64,13,FALSE)))*O815</f>
        <v>2</v>
      </c>
      <c r="R815" s="200">
        <f>IF(O815=0,0,(VLOOKUP(N815,'RESUMEN RENDIMIENTOS'!$AB$6:$AO$64,14,FALSE)))*O815</f>
        <v>9.5999999999999988E-2</v>
      </c>
    </row>
    <row r="816" spans="2:19">
      <c r="B816" s="197" t="s">
        <v>284</v>
      </c>
      <c r="C816" s="201">
        <v>0.25</v>
      </c>
      <c r="E816" s="199">
        <f>IF(C816=0,0,(VLOOKUP(B816,'RESUMEN RENDIMIENTOS'!$AB$6:$AO$64,13,FALSE)))*C816</f>
        <v>0.52500000000000002</v>
      </c>
      <c r="F816" s="200">
        <f>IF(C816=0,0,(VLOOKUP(B816,'RESUMEN RENDIMIENTOS'!$AB$6:$AO$64,14,FALSE)))*C816</f>
        <v>4.2000000000000003E-2</v>
      </c>
      <c r="H816" s="197" t="s">
        <v>284</v>
      </c>
      <c r="I816" s="201">
        <v>0.25</v>
      </c>
      <c r="K816" s="199">
        <f>IF(I816=0,0,(VLOOKUP(H816,'RESUMEN RENDIMIENTOS'!$AB$6:$AO$64,13,FALSE)))*I816</f>
        <v>0.52500000000000002</v>
      </c>
      <c r="L816" s="200">
        <f>IF(I816=0,0,(VLOOKUP(H816,'RESUMEN RENDIMIENTOS'!$AB$6:$AO$64,14,FALSE)))*I816</f>
        <v>4.2000000000000003E-2</v>
      </c>
      <c r="N816" s="197" t="s">
        <v>284</v>
      </c>
      <c r="O816" s="201">
        <v>0.25</v>
      </c>
      <c r="Q816" s="199">
        <f>IF(O816=0,0,(VLOOKUP(N816,'RESUMEN RENDIMIENTOS'!$AB$6:$AO$64,13,FALSE)))*O816</f>
        <v>0.52500000000000002</v>
      </c>
      <c r="R816" s="200">
        <f>IF(O816=0,0,(VLOOKUP(N816,'RESUMEN RENDIMIENTOS'!$AB$6:$AO$64,14,FALSE)))*O816</f>
        <v>4.2000000000000003E-2</v>
      </c>
    </row>
    <row r="817" spans="2:19">
      <c r="B817" s="197" t="s">
        <v>283</v>
      </c>
      <c r="C817" s="201">
        <v>1</v>
      </c>
      <c r="E817" s="199">
        <f>IF(C817=0,0,(VLOOKUP(B817,'RESUMEN RENDIMIENTOS'!$AB$6:$AO$64,13,FALSE)))*C817</f>
        <v>1.59</v>
      </c>
      <c r="F817" s="200">
        <f>IF(C817=0,0,(VLOOKUP(B817,'RESUMEN RENDIMIENTOS'!$AB$6:$AO$64,14,FALSE)))*C817</f>
        <v>0.12720000000000001</v>
      </c>
      <c r="H817" s="197" t="s">
        <v>283</v>
      </c>
      <c r="I817" s="201">
        <v>1</v>
      </c>
      <c r="K817" s="199">
        <f>IF(I817=0,0,(VLOOKUP(H817,'RESUMEN RENDIMIENTOS'!$AB$6:$AO$64,13,FALSE)))*I817</f>
        <v>1.59</v>
      </c>
      <c r="L817" s="200">
        <f>IF(I817=0,0,(VLOOKUP(H817,'RESUMEN RENDIMIENTOS'!$AB$6:$AO$64,14,FALSE)))*I817</f>
        <v>0.12720000000000001</v>
      </c>
      <c r="N817" s="197" t="s">
        <v>283</v>
      </c>
      <c r="O817" s="201">
        <v>1</v>
      </c>
      <c r="Q817" s="199">
        <f>IF(O817=0,0,(VLOOKUP(N817,'RESUMEN RENDIMIENTOS'!$AB$6:$AO$64,13,FALSE)))*O817</f>
        <v>1.59</v>
      </c>
      <c r="R817" s="200">
        <f>IF(O817=0,0,(VLOOKUP(N817,'RESUMEN RENDIMIENTOS'!$AB$6:$AO$64,14,FALSE)))*O817</f>
        <v>0.12720000000000001</v>
      </c>
    </row>
    <row r="818" spans="2:19">
      <c r="B818" s="197" t="s">
        <v>282</v>
      </c>
      <c r="C818" s="201">
        <v>1</v>
      </c>
      <c r="E818" s="199">
        <f>IF(C818=0,0,(VLOOKUP(B818,'RESUMEN RENDIMIENTOS'!$AB$6:$AO$64,13,FALSE)))*C818</f>
        <v>2.62</v>
      </c>
      <c r="F818" s="200">
        <f>IF(C818=0,0,(VLOOKUP(B818,'RESUMEN RENDIMIENTOS'!$AB$6:$AO$64,14,FALSE)))*C818</f>
        <v>6.986666666666666E-2</v>
      </c>
      <c r="H818" s="197" t="s">
        <v>282</v>
      </c>
      <c r="I818" s="201">
        <v>1</v>
      </c>
      <c r="K818" s="199">
        <f>IF(I818=0,0,(VLOOKUP(H818,'RESUMEN RENDIMIENTOS'!$AB$6:$AO$64,13,FALSE)))*I818</f>
        <v>2.62</v>
      </c>
      <c r="L818" s="200">
        <f>IF(I818=0,0,(VLOOKUP(H818,'RESUMEN RENDIMIENTOS'!$AB$6:$AO$64,14,FALSE)))*I818</f>
        <v>6.986666666666666E-2</v>
      </c>
      <c r="N818" s="197" t="s">
        <v>282</v>
      </c>
      <c r="O818" s="201">
        <v>1</v>
      </c>
      <c r="Q818" s="199">
        <f>IF(O818=0,0,(VLOOKUP(N818,'RESUMEN RENDIMIENTOS'!$AB$6:$AO$64,13,FALSE)))*O818</f>
        <v>2.62</v>
      </c>
      <c r="R818" s="200">
        <f>IF(O818=0,0,(VLOOKUP(N818,'RESUMEN RENDIMIENTOS'!$AB$6:$AO$64,14,FALSE)))*O818</f>
        <v>6.986666666666666E-2</v>
      </c>
    </row>
    <row r="819" spans="2:19">
      <c r="B819" s="197" t="s">
        <v>302</v>
      </c>
      <c r="C819" s="201">
        <v>1</v>
      </c>
      <c r="E819" s="199">
        <f>IF(C819=0,0,(VLOOKUP(B819,'RESUMEN RENDIMIENTOS'!$AB$6:$AO$64,13,FALSE)))*C819</f>
        <v>1</v>
      </c>
      <c r="F819" s="200">
        <f>IF(C819=0,0,(VLOOKUP(B819,'RESUMEN RENDIMIENTOS'!$AB$6:$AO$64,14,FALSE)))*C819</f>
        <v>0.2</v>
      </c>
      <c r="H819" s="197" t="s">
        <v>302</v>
      </c>
      <c r="I819" s="201">
        <v>1</v>
      </c>
      <c r="K819" s="199">
        <f>IF(I819=0,0,(VLOOKUP(H819,'RESUMEN RENDIMIENTOS'!$AB$6:$AO$64,13,FALSE)))*I819</f>
        <v>1</v>
      </c>
      <c r="L819" s="200">
        <f>IF(I819=0,0,(VLOOKUP(H819,'RESUMEN RENDIMIENTOS'!$AB$6:$AO$64,14,FALSE)))*I819</f>
        <v>0.2</v>
      </c>
      <c r="N819" s="197" t="s">
        <v>302</v>
      </c>
      <c r="O819" s="201">
        <v>1</v>
      </c>
      <c r="Q819" s="199">
        <f>IF(O819=0,0,(VLOOKUP(N819,'RESUMEN RENDIMIENTOS'!$AB$6:$AO$64,13,FALSE)))*O819</f>
        <v>1</v>
      </c>
      <c r="R819" s="200">
        <f>IF(O819=0,0,(VLOOKUP(N819,'RESUMEN RENDIMIENTOS'!$AB$6:$AO$64,14,FALSE)))*O819</f>
        <v>0.2</v>
      </c>
    </row>
    <row r="820" spans="2:19">
      <c r="B820" s="202"/>
      <c r="F820" s="206">
        <f>SUM(F814:F819)</f>
        <v>0.54535238095238103</v>
      </c>
      <c r="G820" s="205">
        <f>+F820</f>
        <v>0.54535238095238103</v>
      </c>
      <c r="H820" s="202"/>
      <c r="I820" s="179"/>
      <c r="K820" s="88"/>
      <c r="L820" s="206">
        <f>SUM(L814:L819)</f>
        <v>0.54535238095238103</v>
      </c>
      <c r="M820" s="205">
        <f>+L820</f>
        <v>0.54535238095238103</v>
      </c>
      <c r="N820" s="202"/>
      <c r="O820" s="179"/>
      <c r="R820" s="206">
        <f>SUM(R814:R819)</f>
        <v>0.54535238095238103</v>
      </c>
      <c r="S820" s="205">
        <f>+R820</f>
        <v>0.54535238095238103</v>
      </c>
    </row>
    <row r="821" spans="2:19">
      <c r="B821" s="436" t="s">
        <v>324</v>
      </c>
      <c r="C821" s="437"/>
      <c r="D821" s="437"/>
      <c r="E821" s="437"/>
      <c r="F821" s="455"/>
      <c r="G821" s="205"/>
      <c r="H821" s="436" t="s">
        <v>324</v>
      </c>
      <c r="I821" s="437"/>
      <c r="J821" s="437"/>
      <c r="K821" s="437"/>
      <c r="L821" s="455"/>
      <c r="M821" s="205"/>
      <c r="N821" s="436" t="s">
        <v>324</v>
      </c>
      <c r="O821" s="437"/>
      <c r="P821" s="437"/>
      <c r="Q821" s="437"/>
      <c r="R821" s="455"/>
      <c r="S821" s="205"/>
    </row>
    <row r="822" spans="2:19">
      <c r="B822" s="210" t="s">
        <v>325</v>
      </c>
      <c r="C822" s="211">
        <v>1</v>
      </c>
      <c r="D822" s="212">
        <v>21.712335174960327</v>
      </c>
      <c r="E822" s="213">
        <f>F808</f>
        <v>2.9493333333333331</v>
      </c>
      <c r="F822" s="214">
        <f>+IF(C822&gt;="",0,(D822*E822))</f>
        <v>64.036913876016314</v>
      </c>
      <c r="G822" s="215"/>
      <c r="H822" s="210" t="s">
        <v>325</v>
      </c>
      <c r="I822" s="211">
        <v>1</v>
      </c>
      <c r="J822" s="212">
        <v>21.712335174960327</v>
      </c>
      <c r="K822" s="213">
        <f>L808</f>
        <v>0.58933574448942883</v>
      </c>
      <c r="L822" s="216">
        <f>+IF(I822&gt;="",0,(J822*K822))</f>
        <v>12.795855214939257</v>
      </c>
      <c r="M822" s="215"/>
      <c r="N822" s="210" t="s">
        <v>325</v>
      </c>
      <c r="O822" s="211">
        <v>1</v>
      </c>
      <c r="P822" s="212">
        <v>21.712335174960327</v>
      </c>
      <c r="Q822" s="213">
        <f>R808</f>
        <v>0.45799999999999996</v>
      </c>
      <c r="R822" s="214">
        <f>+IF(O822&gt;="",0,(P822*Q822))</f>
        <v>9.9442495101318293</v>
      </c>
      <c r="S822" s="215"/>
    </row>
    <row r="823" spans="2:19">
      <c r="B823" s="210" t="s">
        <v>326</v>
      </c>
      <c r="C823" s="211"/>
      <c r="D823" s="212">
        <f>+D822*25%</f>
        <v>5.4280837937400817</v>
      </c>
      <c r="E823" s="213">
        <f>F808</f>
        <v>2.9493333333333331</v>
      </c>
      <c r="F823" s="214">
        <f>+IF(C823= "",0,(D823*E823))</f>
        <v>0</v>
      </c>
      <c r="G823" s="215"/>
      <c r="H823" s="210" t="s">
        <v>326</v>
      </c>
      <c r="I823" s="211"/>
      <c r="J823" s="212">
        <f>+J822*25%</f>
        <v>5.4280837937400817</v>
      </c>
      <c r="K823" s="213">
        <f>L808</f>
        <v>0.58933574448942883</v>
      </c>
      <c r="L823" s="216">
        <f>+IF(I823= "",0,(J823*K823))</f>
        <v>0</v>
      </c>
      <c r="M823" s="215"/>
      <c r="N823" s="210" t="s">
        <v>326</v>
      </c>
      <c r="O823" s="211"/>
      <c r="P823" s="212">
        <f>+P822*25%</f>
        <v>5.4280837937400817</v>
      </c>
      <c r="Q823" s="213">
        <f>R808</f>
        <v>0.45799999999999996</v>
      </c>
      <c r="R823" s="214">
        <f>+IF(O823= "",0,(P823*Q823))</f>
        <v>0</v>
      </c>
      <c r="S823" s="215"/>
    </row>
    <row r="824" spans="2:19">
      <c r="B824" s="210" t="s">
        <v>327</v>
      </c>
      <c r="C824" s="211"/>
      <c r="D824" s="212">
        <f>+D822*50%</f>
        <v>10.856167587480163</v>
      </c>
      <c r="E824" s="213">
        <f>F808</f>
        <v>2.9493333333333331</v>
      </c>
      <c r="F824" s="214">
        <f>+IF(C824= "",0,(D824*E824))</f>
        <v>0</v>
      </c>
      <c r="G824" s="215"/>
      <c r="H824" s="210" t="s">
        <v>327</v>
      </c>
      <c r="I824" s="211"/>
      <c r="J824" s="212">
        <f>+J822*50%</f>
        <v>10.856167587480163</v>
      </c>
      <c r="K824" s="213">
        <f>L808</f>
        <v>0.58933574448942883</v>
      </c>
      <c r="L824" s="216">
        <f>+IF(I824= "",0,(J824*K824))</f>
        <v>0</v>
      </c>
      <c r="M824" s="215"/>
      <c r="N824" s="210" t="s">
        <v>327</v>
      </c>
      <c r="O824" s="211"/>
      <c r="P824" s="212">
        <f>+P822*50%</f>
        <v>10.856167587480163</v>
      </c>
      <c r="Q824" s="213">
        <f>R808</f>
        <v>0.45799999999999996</v>
      </c>
      <c r="R824" s="214">
        <f>+IF(O824= "",0,(P824*Q824))</f>
        <v>0</v>
      </c>
      <c r="S824" s="215"/>
    </row>
    <row r="825" spans="2:19">
      <c r="B825" s="202"/>
      <c r="F825" s="217">
        <f>SUM(F822:F824)</f>
        <v>64.036913876016314</v>
      </c>
      <c r="G825" s="218"/>
      <c r="H825" s="202"/>
      <c r="I825" s="179"/>
      <c r="K825" s="88"/>
      <c r="L825" s="219">
        <f>SUM(L822:L824)</f>
        <v>12.795855214939257</v>
      </c>
      <c r="M825" s="218"/>
      <c r="N825" s="202"/>
      <c r="O825" s="179"/>
      <c r="R825" s="217">
        <f>SUM(R822:R824)</f>
        <v>9.9442495101318293</v>
      </c>
      <c r="S825" s="218"/>
    </row>
    <row r="826" spans="2:19">
      <c r="B826" s="202"/>
      <c r="F826" s="189"/>
      <c r="G826" s="220"/>
      <c r="H826" s="202"/>
      <c r="I826" s="179"/>
      <c r="K826" s="88"/>
      <c r="M826" s="220"/>
      <c r="N826" s="202"/>
      <c r="O826" s="179"/>
      <c r="R826" s="189"/>
      <c r="S826" s="220"/>
    </row>
    <row r="827" spans="2:19" ht="21">
      <c r="B827" s="438" t="s">
        <v>328</v>
      </c>
      <c r="C827" s="439"/>
      <c r="D827" s="439"/>
      <c r="E827" s="440"/>
      <c r="F827" s="225">
        <f>+F820+F825</f>
        <v>64.582266256968694</v>
      </c>
      <c r="G827" s="205">
        <f>+F827</f>
        <v>64.582266256968694</v>
      </c>
      <c r="H827" s="438" t="s">
        <v>328</v>
      </c>
      <c r="I827" s="439"/>
      <c r="J827" s="439"/>
      <c r="K827" s="440"/>
      <c r="L827" s="225">
        <f>+L820+L825</f>
        <v>13.341207595891639</v>
      </c>
      <c r="M827" s="205">
        <f>+L827</f>
        <v>13.341207595891639</v>
      </c>
      <c r="N827" s="438" t="s">
        <v>328</v>
      </c>
      <c r="O827" s="439"/>
      <c r="P827" s="439"/>
      <c r="Q827" s="440"/>
      <c r="R827" s="225">
        <f>+R820+R825</f>
        <v>10.489601891084209</v>
      </c>
      <c r="S827" s="205">
        <f>+R827</f>
        <v>10.489601891084209</v>
      </c>
    </row>
    <row r="828" spans="2:19">
      <c r="B828" s="202"/>
      <c r="F828" s="189"/>
      <c r="G828" s="205"/>
      <c r="H828" s="202"/>
      <c r="I828" s="179"/>
      <c r="K828" s="88"/>
      <c r="L828" s="189"/>
      <c r="M828" s="205"/>
      <c r="N828" s="202"/>
      <c r="O828" s="179"/>
      <c r="R828" s="189"/>
      <c r="S828" s="205"/>
    </row>
    <row r="829" spans="2:19" ht="19">
      <c r="B829" s="441" t="s">
        <v>329</v>
      </c>
      <c r="C829" s="442"/>
      <c r="D829" s="442"/>
      <c r="E829" s="443"/>
      <c r="F829" s="230">
        <f>+F827/$C$37</f>
        <v>0.6458226625696869</v>
      </c>
      <c r="G829" s="205"/>
      <c r="H829" s="441" t="s">
        <v>329</v>
      </c>
      <c r="I829" s="442"/>
      <c r="J829" s="442"/>
      <c r="K829" s="443"/>
      <c r="L829" s="230">
        <f>+L827/$C$37</f>
        <v>0.13341207595891638</v>
      </c>
      <c r="M829" s="205"/>
      <c r="N829" s="441" t="s">
        <v>329</v>
      </c>
      <c r="O829" s="442"/>
      <c r="P829" s="442"/>
      <c r="Q829" s="443"/>
      <c r="R829" s="230">
        <f>+R827/$C$37</f>
        <v>0.10489601891084209</v>
      </c>
      <c r="S829" s="205"/>
    </row>
    <row r="830" spans="2:19" ht="17" thickBot="1">
      <c r="B830" s="231"/>
      <c r="C830" s="232"/>
      <c r="D830" s="233"/>
      <c r="E830" s="233"/>
      <c r="F830" s="234"/>
      <c r="G830" s="205"/>
      <c r="H830" s="231"/>
      <c r="I830" s="232"/>
      <c r="J830" s="233"/>
      <c r="K830" s="233"/>
      <c r="L830" s="234"/>
      <c r="M830" s="205"/>
      <c r="N830" s="231"/>
      <c r="O830" s="232"/>
      <c r="P830" s="233"/>
      <c r="Q830" s="233"/>
      <c r="R830" s="234"/>
      <c r="S830" s="205"/>
    </row>
    <row r="831" spans="2:19" ht="23.25" customHeight="1" thickBot="1">
      <c r="B831" s="415" t="s">
        <v>312</v>
      </c>
      <c r="C831" s="416"/>
      <c r="D831" s="416"/>
      <c r="E831" s="416"/>
      <c r="F831" s="416"/>
      <c r="G831" s="416"/>
      <c r="H831" s="416"/>
      <c r="I831" s="416"/>
      <c r="J831" s="416"/>
      <c r="K831" s="416"/>
      <c r="L831" s="416"/>
      <c r="M831" s="416"/>
      <c r="N831" s="416"/>
      <c r="O831" s="416"/>
      <c r="P831" s="416"/>
      <c r="Q831" s="416"/>
      <c r="R831" s="417"/>
    </row>
    <row r="832" spans="2:19" ht="23.25" customHeight="1">
      <c r="B832" s="237" t="s">
        <v>16</v>
      </c>
      <c r="C832" s="452" t="s">
        <v>88</v>
      </c>
      <c r="D832" s="453"/>
      <c r="E832" s="453"/>
      <c r="F832" s="465"/>
      <c r="G832" s="254"/>
      <c r="H832" s="239" t="s">
        <v>16</v>
      </c>
      <c r="I832" s="459" t="s">
        <v>113</v>
      </c>
      <c r="J832" s="460"/>
      <c r="K832" s="460"/>
      <c r="L832" s="466"/>
      <c r="M832" s="258"/>
      <c r="N832" s="239" t="s">
        <v>16</v>
      </c>
      <c r="O832" s="459" t="s">
        <v>131</v>
      </c>
      <c r="P832" s="460"/>
      <c r="Q832" s="460"/>
      <c r="R832" s="466"/>
    </row>
    <row r="833" spans="2:19" ht="33" thickBot="1">
      <c r="B833" s="241" t="s">
        <v>313</v>
      </c>
      <c r="C833" s="242" t="s">
        <v>6</v>
      </c>
      <c r="D833" s="243" t="s">
        <v>25</v>
      </c>
      <c r="E833" s="244" t="s">
        <v>314</v>
      </c>
      <c r="F833" s="245" t="s">
        <v>315</v>
      </c>
      <c r="H833" s="241" t="s">
        <v>313</v>
      </c>
      <c r="I833" s="242" t="s">
        <v>6</v>
      </c>
      <c r="J833" s="243" t="s">
        <v>25</v>
      </c>
      <c r="K833" s="244" t="s">
        <v>314</v>
      </c>
      <c r="L833" s="245" t="s">
        <v>315</v>
      </c>
      <c r="N833" s="241" t="s">
        <v>313</v>
      </c>
      <c r="O833" s="242" t="s">
        <v>6</v>
      </c>
      <c r="P833" s="243" t="s">
        <v>25</v>
      </c>
      <c r="Q833" s="244" t="s">
        <v>314</v>
      </c>
      <c r="R833" s="245" t="s">
        <v>315</v>
      </c>
    </row>
    <row r="834" spans="2:19">
      <c r="B834" s="170" t="s">
        <v>247</v>
      </c>
      <c r="C834" s="171">
        <f>VLOOKUP(B834,'RESUMEN RENDIMIENTOS'!$V$6:$W$158,2,FALSE)</f>
        <v>250</v>
      </c>
      <c r="D834" s="177" t="s">
        <v>20</v>
      </c>
      <c r="E834" s="172">
        <v>247</v>
      </c>
      <c r="F834" s="175">
        <f t="shared" ref="F834:F849" si="81">IF(C834=0,0,(100/C834)*E834/$E$37)</f>
        <v>0.4</v>
      </c>
      <c r="G834" s="164">
        <f>+F834/F850</f>
        <v>0.3</v>
      </c>
      <c r="H834" s="170" t="s">
        <v>247</v>
      </c>
      <c r="I834" s="171">
        <f>VLOOKUP(H834,'RESUMEN RENDIMIENTOS'!$V$6:$W$158,2,FALSE)</f>
        <v>250</v>
      </c>
      <c r="J834" s="177" t="s">
        <v>20</v>
      </c>
      <c r="K834" s="172">
        <v>247</v>
      </c>
      <c r="L834" s="175">
        <f t="shared" ref="L834:L849" si="82">IF(I834=0,0,(100/I834)*K834/$E$37)</f>
        <v>0.4</v>
      </c>
      <c r="M834" s="164">
        <f>+L834/L850</f>
        <v>0.32432432432432434</v>
      </c>
      <c r="N834" s="170" t="s">
        <v>247</v>
      </c>
      <c r="O834" s="171">
        <f>VLOOKUP(N834,'RESUMEN RENDIMIENTOS'!$V$6:$W$158,2,FALSE)</f>
        <v>250</v>
      </c>
      <c r="P834" s="177" t="s">
        <v>20</v>
      </c>
      <c r="Q834" s="172">
        <v>247</v>
      </c>
      <c r="R834" s="175">
        <f t="shared" ref="R834:R849" si="83">IF(O834=0,0,(100/O834)*Q834/$E$37)</f>
        <v>0.4</v>
      </c>
      <c r="S834" s="164">
        <f>+R834/R850</f>
        <v>0.3</v>
      </c>
    </row>
    <row r="835" spans="2:19">
      <c r="B835" s="170" t="s">
        <v>251</v>
      </c>
      <c r="C835" s="171">
        <f>VLOOKUP(B835,'RESUMEN RENDIMIENTOS'!$V$6:$W$158,2,FALSE)</f>
        <v>300</v>
      </c>
      <c r="D835" s="177" t="s">
        <v>20</v>
      </c>
      <c r="E835" s="172">
        <v>247</v>
      </c>
      <c r="F835" s="175">
        <f t="shared" si="81"/>
        <v>0.33333333333333331</v>
      </c>
      <c r="G835" s="174">
        <f>+F835/F850</f>
        <v>0.24999999999999997</v>
      </c>
      <c r="H835" s="170" t="s">
        <v>251</v>
      </c>
      <c r="I835" s="171">
        <f>VLOOKUP(H835,'RESUMEN RENDIMIENTOS'!$V$6:$W$158,2,FALSE)</f>
        <v>300</v>
      </c>
      <c r="J835" s="177" t="s">
        <v>20</v>
      </c>
      <c r="K835" s="172">
        <v>247</v>
      </c>
      <c r="L835" s="175">
        <f t="shared" si="82"/>
        <v>0.33333333333333331</v>
      </c>
      <c r="M835" s="174">
        <f>+L835/L850</f>
        <v>0.27027027027027023</v>
      </c>
      <c r="N835" s="170" t="s">
        <v>251</v>
      </c>
      <c r="O835" s="171">
        <f>VLOOKUP(N835,'RESUMEN RENDIMIENTOS'!$V$6:$W$158,2,FALSE)</f>
        <v>300</v>
      </c>
      <c r="P835" s="177" t="s">
        <v>20</v>
      </c>
      <c r="Q835" s="172">
        <v>247</v>
      </c>
      <c r="R835" s="175">
        <f t="shared" si="83"/>
        <v>0.33333333333333331</v>
      </c>
      <c r="S835" s="174">
        <f>+R835/R850</f>
        <v>0.24999999999999997</v>
      </c>
    </row>
    <row r="836" spans="2:19">
      <c r="B836" s="170" t="s">
        <v>170</v>
      </c>
      <c r="C836" s="171">
        <f>VLOOKUP(B836,'RESUMEN RENDIMIENTOS'!$V$6:$W$158,2,FALSE)</f>
        <v>200</v>
      </c>
      <c r="D836" s="177" t="s">
        <v>20</v>
      </c>
      <c r="E836" s="172">
        <v>247</v>
      </c>
      <c r="F836" s="175">
        <f t="shared" si="81"/>
        <v>0.5</v>
      </c>
      <c r="G836" s="174">
        <f>+F836/F850</f>
        <v>0.37499999999999994</v>
      </c>
      <c r="H836" s="170" t="s">
        <v>170</v>
      </c>
      <c r="I836" s="171">
        <f>VLOOKUP(H836,'RESUMEN RENDIMIENTOS'!$V$6:$W$158,2,FALSE)</f>
        <v>200</v>
      </c>
      <c r="J836" s="177" t="s">
        <v>20</v>
      </c>
      <c r="K836" s="172">
        <v>247</v>
      </c>
      <c r="L836" s="175">
        <f t="shared" si="82"/>
        <v>0.5</v>
      </c>
      <c r="M836" s="174">
        <f>+L836/L850</f>
        <v>0.40540540540540537</v>
      </c>
      <c r="N836" s="170" t="s">
        <v>170</v>
      </c>
      <c r="O836" s="171">
        <f>VLOOKUP(N836,'RESUMEN RENDIMIENTOS'!$V$6:$W$158,2,FALSE)</f>
        <v>200</v>
      </c>
      <c r="P836" s="177" t="s">
        <v>20</v>
      </c>
      <c r="Q836" s="172">
        <v>247</v>
      </c>
      <c r="R836" s="175">
        <f t="shared" si="83"/>
        <v>0.5</v>
      </c>
      <c r="S836" s="174">
        <f>+R836/R850</f>
        <v>0.37499999999999994</v>
      </c>
    </row>
    <row r="837" spans="2:19">
      <c r="B837" s="170" t="s">
        <v>240</v>
      </c>
      <c r="C837" s="171">
        <f>VLOOKUP(B837,'RESUMEN RENDIMIENTOS'!$V$6:$W$158,2,FALSE)</f>
        <v>1000</v>
      </c>
      <c r="D837" s="177" t="s">
        <v>20</v>
      </c>
      <c r="E837" s="172">
        <v>247</v>
      </c>
      <c r="F837" s="175">
        <f t="shared" si="81"/>
        <v>0.1</v>
      </c>
      <c r="G837" s="174">
        <f>+F837/F850</f>
        <v>7.4999999999999997E-2</v>
      </c>
      <c r="H837" s="170">
        <v>0</v>
      </c>
      <c r="I837" s="171">
        <f>VLOOKUP(H837,'RESUMEN RENDIMIENTOS'!$V$6:$W$158,2,FALSE)</f>
        <v>0</v>
      </c>
      <c r="J837" s="177"/>
      <c r="K837" s="172" t="s">
        <v>337</v>
      </c>
      <c r="L837" s="175">
        <f t="shared" si="82"/>
        <v>0</v>
      </c>
      <c r="M837" s="174">
        <f>+L837/L850</f>
        <v>0</v>
      </c>
      <c r="N837" s="170" t="s">
        <v>240</v>
      </c>
      <c r="O837" s="171">
        <f>VLOOKUP(N837,'RESUMEN RENDIMIENTOS'!$V$6:$W$158,2,FALSE)</f>
        <v>1000</v>
      </c>
      <c r="P837" s="177" t="s">
        <v>20</v>
      </c>
      <c r="Q837" s="172">
        <v>247</v>
      </c>
      <c r="R837" s="175">
        <f t="shared" si="83"/>
        <v>0.1</v>
      </c>
      <c r="S837" s="174">
        <f>+R837/R850</f>
        <v>7.4999999999999997E-2</v>
      </c>
    </row>
    <row r="838" spans="2:19">
      <c r="B838" s="170">
        <v>0</v>
      </c>
      <c r="C838" s="171">
        <f>VLOOKUP(B838,'RESUMEN RENDIMIENTOS'!$V$6:$W$158,2,FALSE)</f>
        <v>0</v>
      </c>
      <c r="D838" s="177"/>
      <c r="E838" s="172" t="s">
        <v>337</v>
      </c>
      <c r="F838" s="175">
        <f t="shared" si="81"/>
        <v>0</v>
      </c>
      <c r="G838" s="174">
        <f>+F838/F850</f>
        <v>0</v>
      </c>
      <c r="H838" s="170">
        <v>0</v>
      </c>
      <c r="I838" s="171">
        <f>VLOOKUP(H838,'RESUMEN RENDIMIENTOS'!$V$6:$W$158,2,FALSE)</f>
        <v>0</v>
      </c>
      <c r="J838" s="177"/>
      <c r="K838" s="172" t="s">
        <v>337</v>
      </c>
      <c r="L838" s="175">
        <f t="shared" si="82"/>
        <v>0</v>
      </c>
      <c r="M838" s="174">
        <f>+L838/L850</f>
        <v>0</v>
      </c>
      <c r="N838" s="170">
        <v>0</v>
      </c>
      <c r="O838" s="171">
        <f>VLOOKUP(N838,'RESUMEN RENDIMIENTOS'!$V$6:$W$158,2,FALSE)</f>
        <v>0</v>
      </c>
      <c r="P838" s="177"/>
      <c r="Q838" s="172" t="s">
        <v>337</v>
      </c>
      <c r="R838" s="175">
        <f t="shared" si="83"/>
        <v>0</v>
      </c>
      <c r="S838" s="174">
        <f>+R838/R850</f>
        <v>0</v>
      </c>
    </row>
    <row r="839" spans="2:19">
      <c r="B839" s="170">
        <v>0</v>
      </c>
      <c r="C839" s="171">
        <f>VLOOKUP(B839,'RESUMEN RENDIMIENTOS'!$V$6:$W$158,2,FALSE)</f>
        <v>0</v>
      </c>
      <c r="D839" s="177"/>
      <c r="E839" s="172" t="s">
        <v>337</v>
      </c>
      <c r="F839" s="175">
        <f t="shared" si="81"/>
        <v>0</v>
      </c>
      <c r="G839" s="174">
        <f>+F839/F850</f>
        <v>0</v>
      </c>
      <c r="H839" s="170">
        <v>0</v>
      </c>
      <c r="I839" s="171">
        <f>VLOOKUP(H839,'RESUMEN RENDIMIENTOS'!$V$6:$W$158,2,FALSE)</f>
        <v>0</v>
      </c>
      <c r="J839" s="177"/>
      <c r="K839" s="172" t="s">
        <v>337</v>
      </c>
      <c r="L839" s="175">
        <f t="shared" si="82"/>
        <v>0</v>
      </c>
      <c r="M839" s="174">
        <f>+L839/L850</f>
        <v>0</v>
      </c>
      <c r="N839" s="170">
        <v>0</v>
      </c>
      <c r="O839" s="171">
        <f>VLOOKUP(N839,'RESUMEN RENDIMIENTOS'!$V$6:$W$158,2,FALSE)</f>
        <v>0</v>
      </c>
      <c r="P839" s="177"/>
      <c r="Q839" s="172" t="s">
        <v>337</v>
      </c>
      <c r="R839" s="175">
        <f t="shared" si="83"/>
        <v>0</v>
      </c>
      <c r="S839" s="174">
        <f>+R839/R850</f>
        <v>0</v>
      </c>
    </row>
    <row r="840" spans="2:19">
      <c r="B840" s="170">
        <v>0</v>
      </c>
      <c r="C840" s="171">
        <f>VLOOKUP(B840,'RESUMEN RENDIMIENTOS'!$V$6:$W$158,2,FALSE)</f>
        <v>0</v>
      </c>
      <c r="D840" s="177"/>
      <c r="E840" s="172" t="s">
        <v>337</v>
      </c>
      <c r="F840" s="175">
        <f t="shared" si="81"/>
        <v>0</v>
      </c>
      <c r="G840" s="174">
        <f>+F840/F850</f>
        <v>0</v>
      </c>
      <c r="H840" s="170">
        <v>0</v>
      </c>
      <c r="I840" s="171">
        <f>VLOOKUP(H840,'RESUMEN RENDIMIENTOS'!$V$6:$W$158,2,FALSE)</f>
        <v>0</v>
      </c>
      <c r="J840" s="177"/>
      <c r="K840" s="172" t="s">
        <v>337</v>
      </c>
      <c r="L840" s="175">
        <f t="shared" si="82"/>
        <v>0</v>
      </c>
      <c r="M840" s="174">
        <f>+L840/L850</f>
        <v>0</v>
      </c>
      <c r="N840" s="170">
        <v>0</v>
      </c>
      <c r="O840" s="171">
        <f>VLOOKUP(N840,'RESUMEN RENDIMIENTOS'!$V$6:$W$158,2,FALSE)</f>
        <v>0</v>
      </c>
      <c r="P840" s="177"/>
      <c r="Q840" s="172" t="s">
        <v>337</v>
      </c>
      <c r="R840" s="175">
        <f t="shared" si="83"/>
        <v>0</v>
      </c>
      <c r="S840" s="174">
        <f>+R840/R850</f>
        <v>0</v>
      </c>
    </row>
    <row r="841" spans="2:19">
      <c r="B841" s="170">
        <v>0</v>
      </c>
      <c r="C841" s="171">
        <f>VLOOKUP(B841,'RESUMEN RENDIMIENTOS'!$V$6:$W$158,2,FALSE)</f>
        <v>0</v>
      </c>
      <c r="D841" s="177"/>
      <c r="E841" s="172" t="s">
        <v>337</v>
      </c>
      <c r="F841" s="175">
        <f t="shared" si="81"/>
        <v>0</v>
      </c>
      <c r="G841" s="174">
        <f>+F841/F850</f>
        <v>0</v>
      </c>
      <c r="H841" s="170">
        <v>0</v>
      </c>
      <c r="I841" s="171">
        <f>VLOOKUP(H841,'RESUMEN RENDIMIENTOS'!$V$6:$W$158,2,FALSE)</f>
        <v>0</v>
      </c>
      <c r="J841" s="177"/>
      <c r="K841" s="172" t="s">
        <v>337</v>
      </c>
      <c r="L841" s="175">
        <f t="shared" si="82"/>
        <v>0</v>
      </c>
      <c r="M841" s="174">
        <f>+L841/L850</f>
        <v>0</v>
      </c>
      <c r="N841" s="170">
        <v>0</v>
      </c>
      <c r="O841" s="171">
        <f>VLOOKUP(N841,'RESUMEN RENDIMIENTOS'!$V$6:$W$158,2,FALSE)</f>
        <v>0</v>
      </c>
      <c r="P841" s="177"/>
      <c r="Q841" s="172" t="s">
        <v>337</v>
      </c>
      <c r="R841" s="175">
        <f t="shared" si="83"/>
        <v>0</v>
      </c>
      <c r="S841" s="174">
        <f>+R841/R850</f>
        <v>0</v>
      </c>
    </row>
    <row r="842" spans="2:19">
      <c r="B842" s="170">
        <v>0</v>
      </c>
      <c r="C842" s="171">
        <f>VLOOKUP(B842,'RESUMEN RENDIMIENTOS'!$V$6:$W$158,2,FALSE)</f>
        <v>0</v>
      </c>
      <c r="D842" s="177"/>
      <c r="E842" s="172" t="s">
        <v>337</v>
      </c>
      <c r="F842" s="175">
        <f t="shared" si="81"/>
        <v>0</v>
      </c>
      <c r="G842" s="174">
        <f>+F842/F850</f>
        <v>0</v>
      </c>
      <c r="H842" s="170">
        <v>0</v>
      </c>
      <c r="I842" s="171">
        <f>VLOOKUP(H842,'RESUMEN RENDIMIENTOS'!$V$6:$W$158,2,FALSE)</f>
        <v>0</v>
      </c>
      <c r="J842" s="177"/>
      <c r="K842" s="172" t="s">
        <v>337</v>
      </c>
      <c r="L842" s="175">
        <f t="shared" si="82"/>
        <v>0</v>
      </c>
      <c r="M842" s="174">
        <f>+L842/L850</f>
        <v>0</v>
      </c>
      <c r="N842" s="170">
        <v>0</v>
      </c>
      <c r="O842" s="171">
        <f>VLOOKUP(N842,'RESUMEN RENDIMIENTOS'!$V$6:$W$158,2,FALSE)</f>
        <v>0</v>
      </c>
      <c r="P842" s="177"/>
      <c r="Q842" s="172" t="s">
        <v>337</v>
      </c>
      <c r="R842" s="175">
        <f t="shared" si="83"/>
        <v>0</v>
      </c>
      <c r="S842" s="174">
        <f>+R842/R850</f>
        <v>0</v>
      </c>
    </row>
    <row r="843" spans="2:19">
      <c r="B843" s="170">
        <v>0</v>
      </c>
      <c r="C843" s="171">
        <f>VLOOKUP(B843,'RESUMEN RENDIMIENTOS'!$V$6:$W$158,2,FALSE)</f>
        <v>0</v>
      </c>
      <c r="D843" s="177"/>
      <c r="E843" s="172" t="s">
        <v>337</v>
      </c>
      <c r="F843" s="175">
        <f t="shared" si="81"/>
        <v>0</v>
      </c>
      <c r="G843" s="174">
        <f>+F843/F850</f>
        <v>0</v>
      </c>
      <c r="H843" s="170">
        <v>0</v>
      </c>
      <c r="I843" s="171">
        <f>VLOOKUP(H843,'RESUMEN RENDIMIENTOS'!$V$6:$W$158,2,FALSE)</f>
        <v>0</v>
      </c>
      <c r="J843" s="177"/>
      <c r="K843" s="172" t="s">
        <v>337</v>
      </c>
      <c r="L843" s="175">
        <f t="shared" si="82"/>
        <v>0</v>
      </c>
      <c r="M843" s="174">
        <f>+L843/L850</f>
        <v>0</v>
      </c>
      <c r="N843" s="170">
        <v>0</v>
      </c>
      <c r="O843" s="171">
        <f>VLOOKUP(N843,'RESUMEN RENDIMIENTOS'!$V$6:$W$158,2,FALSE)</f>
        <v>0</v>
      </c>
      <c r="P843" s="177"/>
      <c r="Q843" s="172" t="s">
        <v>337</v>
      </c>
      <c r="R843" s="175">
        <f t="shared" si="83"/>
        <v>0</v>
      </c>
      <c r="S843" s="174">
        <f>+R843/R850</f>
        <v>0</v>
      </c>
    </row>
    <row r="844" spans="2:19">
      <c r="B844" s="170">
        <v>0</v>
      </c>
      <c r="C844" s="171">
        <f>VLOOKUP(B844,'RESUMEN RENDIMIENTOS'!$V$6:$W$158,2,FALSE)</f>
        <v>0</v>
      </c>
      <c r="D844" s="177"/>
      <c r="E844" s="172" t="s">
        <v>337</v>
      </c>
      <c r="F844" s="175">
        <f t="shared" si="81"/>
        <v>0</v>
      </c>
      <c r="G844" s="174">
        <f>+F844/F850</f>
        <v>0</v>
      </c>
      <c r="H844" s="170">
        <v>0</v>
      </c>
      <c r="I844" s="171">
        <f>VLOOKUP(H844,'RESUMEN RENDIMIENTOS'!$V$6:$W$158,2,FALSE)</f>
        <v>0</v>
      </c>
      <c r="J844" s="177"/>
      <c r="K844" s="172" t="s">
        <v>337</v>
      </c>
      <c r="L844" s="175">
        <f t="shared" si="82"/>
        <v>0</v>
      </c>
      <c r="M844" s="174">
        <f>+L844/L850</f>
        <v>0</v>
      </c>
      <c r="N844" s="170">
        <v>0</v>
      </c>
      <c r="O844" s="171">
        <f>VLOOKUP(N844,'RESUMEN RENDIMIENTOS'!$V$6:$W$158,2,FALSE)</f>
        <v>0</v>
      </c>
      <c r="P844" s="177"/>
      <c r="Q844" s="172" t="s">
        <v>337</v>
      </c>
      <c r="R844" s="175">
        <f t="shared" si="83"/>
        <v>0</v>
      </c>
      <c r="S844" s="174">
        <f>+R844/R850</f>
        <v>0</v>
      </c>
    </row>
    <row r="845" spans="2:19">
      <c r="B845" s="170">
        <v>0</v>
      </c>
      <c r="C845" s="171">
        <f>VLOOKUP(B845,'RESUMEN RENDIMIENTOS'!$V$6:$W$158,2,FALSE)</f>
        <v>0</v>
      </c>
      <c r="D845" s="177"/>
      <c r="E845" s="172" t="s">
        <v>337</v>
      </c>
      <c r="F845" s="175">
        <f t="shared" si="81"/>
        <v>0</v>
      </c>
      <c r="G845" s="174">
        <f>+F845/F850</f>
        <v>0</v>
      </c>
      <c r="H845" s="170">
        <v>0</v>
      </c>
      <c r="I845" s="171">
        <f>VLOOKUP(H845,'RESUMEN RENDIMIENTOS'!$V$6:$W$158,2,FALSE)</f>
        <v>0</v>
      </c>
      <c r="J845" s="177"/>
      <c r="K845" s="172" t="s">
        <v>337</v>
      </c>
      <c r="L845" s="175">
        <f t="shared" si="82"/>
        <v>0</v>
      </c>
      <c r="M845" s="174">
        <f>+L845/L850</f>
        <v>0</v>
      </c>
      <c r="N845" s="170">
        <v>0</v>
      </c>
      <c r="O845" s="171">
        <f>VLOOKUP(N845,'RESUMEN RENDIMIENTOS'!$V$6:$W$158,2,FALSE)</f>
        <v>0</v>
      </c>
      <c r="P845" s="177"/>
      <c r="Q845" s="172" t="s">
        <v>337</v>
      </c>
      <c r="R845" s="175">
        <f t="shared" si="83"/>
        <v>0</v>
      </c>
      <c r="S845" s="174">
        <f>+R845/R850</f>
        <v>0</v>
      </c>
    </row>
    <row r="846" spans="2:19">
      <c r="B846" s="170">
        <v>0</v>
      </c>
      <c r="C846" s="171">
        <f>VLOOKUP(B846,'RESUMEN RENDIMIENTOS'!$V$6:$W$158,2,FALSE)</f>
        <v>0</v>
      </c>
      <c r="D846" s="177"/>
      <c r="E846" s="172" t="s">
        <v>337</v>
      </c>
      <c r="F846" s="175">
        <f t="shared" si="81"/>
        <v>0</v>
      </c>
      <c r="G846" s="174">
        <f>+F846/F850</f>
        <v>0</v>
      </c>
      <c r="H846" s="170">
        <v>0</v>
      </c>
      <c r="I846" s="171">
        <f>VLOOKUP(H846,'RESUMEN RENDIMIENTOS'!$V$6:$W$158,2,FALSE)</f>
        <v>0</v>
      </c>
      <c r="J846" s="177"/>
      <c r="K846" s="172" t="s">
        <v>337</v>
      </c>
      <c r="L846" s="175">
        <f t="shared" si="82"/>
        <v>0</v>
      </c>
      <c r="M846" s="174">
        <f>+L846/L850</f>
        <v>0</v>
      </c>
      <c r="N846" s="170">
        <v>0</v>
      </c>
      <c r="O846" s="171">
        <f>VLOOKUP(N846,'RESUMEN RENDIMIENTOS'!$V$6:$W$158,2,FALSE)</f>
        <v>0</v>
      </c>
      <c r="P846" s="177"/>
      <c r="Q846" s="172" t="s">
        <v>337</v>
      </c>
      <c r="R846" s="175">
        <f t="shared" si="83"/>
        <v>0</v>
      </c>
      <c r="S846" s="174">
        <f>+R846/R850</f>
        <v>0</v>
      </c>
    </row>
    <row r="847" spans="2:19">
      <c r="B847" s="170">
        <v>0</v>
      </c>
      <c r="C847" s="171">
        <f>VLOOKUP(B847,'RESUMEN RENDIMIENTOS'!$V$6:$W$158,2,FALSE)</f>
        <v>0</v>
      </c>
      <c r="D847" s="177"/>
      <c r="E847" s="172" t="s">
        <v>337</v>
      </c>
      <c r="F847" s="175">
        <f t="shared" si="81"/>
        <v>0</v>
      </c>
      <c r="G847" s="174">
        <f>+F847/F850</f>
        <v>0</v>
      </c>
      <c r="H847" s="170">
        <v>0</v>
      </c>
      <c r="I847" s="171">
        <f>VLOOKUP(H847,'RESUMEN RENDIMIENTOS'!$V$6:$W$158,2,FALSE)</f>
        <v>0</v>
      </c>
      <c r="J847" s="177"/>
      <c r="K847" s="172" t="s">
        <v>337</v>
      </c>
      <c r="L847" s="173">
        <f t="shared" si="82"/>
        <v>0</v>
      </c>
      <c r="M847" s="174">
        <f>+L847/L850</f>
        <v>0</v>
      </c>
      <c r="N847" s="170">
        <v>0</v>
      </c>
      <c r="O847" s="171">
        <f>VLOOKUP(N847,'RESUMEN RENDIMIENTOS'!$V$6:$W$158,2,FALSE)</f>
        <v>0</v>
      </c>
      <c r="P847" s="177"/>
      <c r="Q847" s="172" t="s">
        <v>337</v>
      </c>
      <c r="R847" s="175">
        <f t="shared" si="83"/>
        <v>0</v>
      </c>
      <c r="S847" s="174">
        <f>+R847/R850</f>
        <v>0</v>
      </c>
    </row>
    <row r="848" spans="2:19">
      <c r="B848" s="170">
        <v>0</v>
      </c>
      <c r="C848" s="171">
        <f>VLOOKUP(B848,'RESUMEN RENDIMIENTOS'!$V$6:$W$158,2,FALSE)</f>
        <v>0</v>
      </c>
      <c r="D848" s="177"/>
      <c r="E848" s="172" t="s">
        <v>337</v>
      </c>
      <c r="F848" s="175">
        <f t="shared" si="81"/>
        <v>0</v>
      </c>
      <c r="G848" s="174">
        <f>+F848/F850</f>
        <v>0</v>
      </c>
      <c r="H848" s="170">
        <v>0</v>
      </c>
      <c r="I848" s="171">
        <f>VLOOKUP(H848,'RESUMEN RENDIMIENTOS'!$V$6:$W$158,2,FALSE)</f>
        <v>0</v>
      </c>
      <c r="J848" s="177"/>
      <c r="K848" s="172" t="s">
        <v>337</v>
      </c>
      <c r="L848" s="173">
        <f t="shared" si="82"/>
        <v>0</v>
      </c>
      <c r="M848" s="174">
        <f>+L848/L850</f>
        <v>0</v>
      </c>
      <c r="N848" s="170">
        <v>0</v>
      </c>
      <c r="O848" s="171">
        <f>VLOOKUP(N848,'RESUMEN RENDIMIENTOS'!$V$6:$W$158,2,FALSE)</f>
        <v>0</v>
      </c>
      <c r="P848" s="177"/>
      <c r="Q848" s="172" t="s">
        <v>337</v>
      </c>
      <c r="R848" s="175">
        <f t="shared" si="83"/>
        <v>0</v>
      </c>
      <c r="S848" s="174">
        <f>+R848/R850</f>
        <v>0</v>
      </c>
    </row>
    <row r="849" spans="2:19">
      <c r="B849" s="170">
        <v>0</v>
      </c>
      <c r="C849" s="171">
        <f>VLOOKUP(B849,'RESUMEN RENDIMIENTOS'!$V$6:$W$158,2,FALSE)</f>
        <v>0</v>
      </c>
      <c r="D849" s="177"/>
      <c r="E849" s="172" t="s">
        <v>337</v>
      </c>
      <c r="F849" s="173">
        <f t="shared" si="81"/>
        <v>0</v>
      </c>
      <c r="G849" s="174">
        <f>+F849/F850</f>
        <v>0</v>
      </c>
      <c r="H849" s="170">
        <v>0</v>
      </c>
      <c r="I849" s="171">
        <f>VLOOKUP(H849,'RESUMEN RENDIMIENTOS'!$V$6:$W$158,2,FALSE)</f>
        <v>0</v>
      </c>
      <c r="J849" s="177"/>
      <c r="K849" s="172" t="s">
        <v>337</v>
      </c>
      <c r="L849" s="173">
        <f t="shared" si="82"/>
        <v>0</v>
      </c>
      <c r="M849" s="174">
        <f>+L849/L850</f>
        <v>0</v>
      </c>
      <c r="N849" s="170">
        <v>0</v>
      </c>
      <c r="O849" s="171">
        <f>VLOOKUP(N849,'RESUMEN RENDIMIENTOS'!$V$6:$W$158,2,FALSE)</f>
        <v>0</v>
      </c>
      <c r="P849" s="177"/>
      <c r="Q849" s="172" t="s">
        <v>337</v>
      </c>
      <c r="R849" s="175">
        <f t="shared" si="83"/>
        <v>0</v>
      </c>
      <c r="S849" s="174">
        <f>+R849/R850</f>
        <v>0</v>
      </c>
    </row>
    <row r="850" spans="2:19" ht="25" thickBot="1">
      <c r="B850" s="178"/>
      <c r="E850" s="90"/>
      <c r="F850" s="173">
        <f>SUM(F834:F849)</f>
        <v>1.3333333333333335</v>
      </c>
      <c r="G850" s="181">
        <f>+F850/F850</f>
        <v>1</v>
      </c>
      <c r="H850" s="178"/>
      <c r="I850" s="179"/>
      <c r="J850" s="182" t="s">
        <v>24</v>
      </c>
      <c r="K850" s="90"/>
      <c r="L850" s="173">
        <f>SUM(L834:L849)</f>
        <v>1.2333333333333334</v>
      </c>
      <c r="M850" s="181">
        <f>+L850/L850</f>
        <v>1</v>
      </c>
      <c r="N850" s="178"/>
      <c r="O850" s="179"/>
      <c r="Q850" s="90"/>
      <c r="R850" s="175">
        <f>SUM(R834:R849)</f>
        <v>1.3333333333333335</v>
      </c>
      <c r="S850" s="181">
        <f>+R850/R850</f>
        <v>1</v>
      </c>
    </row>
    <row r="851" spans="2:19" ht="18" customHeight="1">
      <c r="B851" s="427" t="s">
        <v>317</v>
      </c>
      <c r="C851" s="428"/>
      <c r="D851" s="429"/>
      <c r="E851" s="185">
        <v>0.12</v>
      </c>
      <c r="F851" s="173">
        <f>+F850*E851</f>
        <v>0.16</v>
      </c>
      <c r="H851" s="427" t="s">
        <v>317</v>
      </c>
      <c r="I851" s="428"/>
      <c r="J851" s="429"/>
      <c r="K851" s="185">
        <v>0.12</v>
      </c>
      <c r="L851" s="173">
        <f>+L850*K851</f>
        <v>0.14799999999999999</v>
      </c>
      <c r="N851" s="427" t="s">
        <v>317</v>
      </c>
      <c r="O851" s="428"/>
      <c r="P851" s="429"/>
      <c r="Q851" s="185">
        <v>0.12</v>
      </c>
      <c r="R851" s="175">
        <f>+R850*Q851</f>
        <v>0.16</v>
      </c>
    </row>
    <row r="852" spans="2:19" ht="18" customHeight="1">
      <c r="B852" s="178"/>
      <c r="F852" s="173">
        <f>+F851+F850</f>
        <v>1.4933333333333334</v>
      </c>
      <c r="G852" s="187">
        <f>+F852/24</f>
        <v>6.2222222222222227E-2</v>
      </c>
      <c r="H852" s="178"/>
      <c r="I852" s="179"/>
      <c r="K852" s="88"/>
      <c r="L852" s="173">
        <f>+L851+L850</f>
        <v>1.3813333333333333</v>
      </c>
      <c r="M852" s="187">
        <f>+L852/24</f>
        <v>5.7555555555555554E-2</v>
      </c>
      <c r="N852" s="178"/>
      <c r="O852" s="179"/>
      <c r="R852" s="175">
        <f>+R851+R850</f>
        <v>1.4933333333333334</v>
      </c>
      <c r="S852" s="187">
        <f>+R852/24</f>
        <v>6.2222222222222227E-2</v>
      </c>
    </row>
    <row r="853" spans="2:19">
      <c r="B853" s="178"/>
      <c r="D853" s="188"/>
      <c r="F853" s="189"/>
      <c r="H853" s="178"/>
      <c r="I853" s="179"/>
      <c r="J853" s="188"/>
      <c r="K853" s="88"/>
      <c r="L853" s="189"/>
      <c r="N853" s="178"/>
      <c r="O853" s="179"/>
      <c r="P853" s="188"/>
      <c r="R853" s="189"/>
    </row>
    <row r="854" spans="2:19" ht="21">
      <c r="B854" s="191" t="s">
        <v>318</v>
      </c>
      <c r="C854" s="192"/>
      <c r="D854" s="192"/>
      <c r="E854" s="444">
        <f>IF(F852=0,0,(100/F852))</f>
        <v>66.964285714285708</v>
      </c>
      <c r="F854" s="445"/>
      <c r="H854" s="191" t="s">
        <v>318</v>
      </c>
      <c r="I854" s="192"/>
      <c r="J854" s="192"/>
      <c r="K854" s="444">
        <f>IF(L852=0,0,(100/L852))</f>
        <v>72.39382239382239</v>
      </c>
      <c r="L854" s="445"/>
      <c r="N854" s="191" t="s">
        <v>318</v>
      </c>
      <c r="O854" s="192"/>
      <c r="P854" s="192"/>
      <c r="Q854" s="444">
        <f>IF(R852=0,0,(100/R852))</f>
        <v>66.964285714285708</v>
      </c>
      <c r="R854" s="445"/>
    </row>
    <row r="855" spans="2:19">
      <c r="B855" s="178"/>
      <c r="F855" s="189"/>
      <c r="H855" s="178"/>
      <c r="I855" s="179"/>
      <c r="K855" s="88"/>
      <c r="L855" s="189"/>
      <c r="N855" s="178"/>
      <c r="O855" s="179"/>
      <c r="R855" s="189"/>
    </row>
    <row r="856" spans="2:19" ht="12.75" customHeight="1">
      <c r="B856" s="446" t="s">
        <v>319</v>
      </c>
      <c r="C856" s="447"/>
      <c r="D856" s="447"/>
      <c r="E856" s="447"/>
      <c r="F856" s="448"/>
      <c r="H856" s="446" t="s">
        <v>319</v>
      </c>
      <c r="I856" s="447"/>
      <c r="J856" s="447"/>
      <c r="K856" s="447"/>
      <c r="L856" s="448"/>
      <c r="N856" s="446" t="s">
        <v>319</v>
      </c>
      <c r="O856" s="447"/>
      <c r="P856" s="447"/>
      <c r="Q856" s="447"/>
      <c r="R856" s="448"/>
    </row>
    <row r="857" spans="2:19" ht="18" customHeight="1">
      <c r="B857" s="194" t="s">
        <v>320</v>
      </c>
      <c r="C857" s="195"/>
      <c r="D857" s="435" t="s">
        <v>321</v>
      </c>
      <c r="E857" s="435"/>
      <c r="F857" s="196" t="s">
        <v>322</v>
      </c>
      <c r="H857" s="194" t="s">
        <v>320</v>
      </c>
      <c r="I857" s="195"/>
      <c r="J857" s="435" t="s">
        <v>321</v>
      </c>
      <c r="K857" s="435"/>
      <c r="L857" s="196" t="s">
        <v>322</v>
      </c>
      <c r="N857" s="194" t="s">
        <v>320</v>
      </c>
      <c r="O857" s="195"/>
      <c r="P857" s="435" t="s">
        <v>321</v>
      </c>
      <c r="Q857" s="435"/>
      <c r="R857" s="196" t="s">
        <v>322</v>
      </c>
    </row>
    <row r="858" spans="2:19">
      <c r="B858" s="197" t="s">
        <v>278</v>
      </c>
      <c r="C858" s="201">
        <v>1</v>
      </c>
      <c r="E858" s="199">
        <f>IF(C858=0,0,(VLOOKUP(B858,'RESUMEN RENDIMIENTOS'!$AB$6:$AO$64,13,FALSE)))*C858</f>
        <v>0.75</v>
      </c>
      <c r="F858" s="200">
        <f>IF(C858=0,0,(VLOOKUP(B858,'RESUMEN RENDIMIENTOS'!$AB$6:$AO$64,14,FALSE)))*C858</f>
        <v>1.0285714285714287E-2</v>
      </c>
      <c r="H858" s="197" t="s">
        <v>278</v>
      </c>
      <c r="I858" s="201">
        <v>1</v>
      </c>
      <c r="K858" s="199">
        <f>IF(I858=0,0,(VLOOKUP(H858,'RESUMEN RENDIMIENTOS'!$AB$6:$AO$64,13,FALSE)))*I858</f>
        <v>0.75</v>
      </c>
      <c r="L858" s="200">
        <f>IF(I858=0,0,(VLOOKUP(H858,'RESUMEN RENDIMIENTOS'!$AB$6:$AO$64,14,FALSE)))*I858</f>
        <v>1.0285714285714287E-2</v>
      </c>
      <c r="N858" s="197" t="s">
        <v>278</v>
      </c>
      <c r="O858" s="201">
        <v>1</v>
      </c>
      <c r="Q858" s="199">
        <f>IF(O858=0,0,(VLOOKUP(N858,'RESUMEN RENDIMIENTOS'!$AB$6:$AO$64,13,FALSE)))*O858</f>
        <v>0.75</v>
      </c>
      <c r="R858" s="200">
        <f>IF(O858=0,0,(VLOOKUP(N858,'RESUMEN RENDIMIENTOS'!$AB$6:$AO$64,14,FALSE)))*O858</f>
        <v>1.0285714285714287E-2</v>
      </c>
    </row>
    <row r="859" spans="2:19">
      <c r="B859" s="197" t="s">
        <v>279</v>
      </c>
      <c r="C859" s="201">
        <v>1</v>
      </c>
      <c r="E859" s="199">
        <f>IF(C859=0,0,(VLOOKUP(B859,'RESUMEN RENDIMIENTOS'!$AB$6:$AO$64,13,FALSE)))*C859</f>
        <v>2</v>
      </c>
      <c r="F859" s="200">
        <f>IF(C859=0,0,(VLOOKUP(B859,'RESUMEN RENDIMIENTOS'!$AB$6:$AO$64,14,FALSE)))*C859</f>
        <v>9.5999999999999988E-2</v>
      </c>
      <c r="H859" s="197" t="s">
        <v>279</v>
      </c>
      <c r="I859" s="201">
        <v>1</v>
      </c>
      <c r="K859" s="199">
        <f>IF(I859=0,0,(VLOOKUP(H859,'RESUMEN RENDIMIENTOS'!$AB$6:$AO$64,13,FALSE)))*I859</f>
        <v>2</v>
      </c>
      <c r="L859" s="200">
        <f>IF(I859=0,0,(VLOOKUP(H859,'RESUMEN RENDIMIENTOS'!$AB$6:$AO$64,14,FALSE)))*I859</f>
        <v>9.5999999999999988E-2</v>
      </c>
      <c r="N859" s="197" t="s">
        <v>279</v>
      </c>
      <c r="O859" s="201">
        <v>1</v>
      </c>
      <c r="Q859" s="199">
        <f>IF(O859=0,0,(VLOOKUP(N859,'RESUMEN RENDIMIENTOS'!$AB$6:$AO$64,13,FALSE)))*O859</f>
        <v>2</v>
      </c>
      <c r="R859" s="200">
        <f>IF(O859=0,0,(VLOOKUP(N859,'RESUMEN RENDIMIENTOS'!$AB$6:$AO$64,14,FALSE)))*O859</f>
        <v>9.5999999999999988E-2</v>
      </c>
    </row>
    <row r="860" spans="2:19">
      <c r="B860" s="197" t="s">
        <v>284</v>
      </c>
      <c r="C860" s="201">
        <v>0.25</v>
      </c>
      <c r="E860" s="199">
        <f>IF(C860=0,0,(VLOOKUP(B860,'RESUMEN RENDIMIENTOS'!$AB$6:$AO$64,13,FALSE)))*C860</f>
        <v>0.52500000000000002</v>
      </c>
      <c r="F860" s="200">
        <f>IF(C860=0,0,(VLOOKUP(B860,'RESUMEN RENDIMIENTOS'!$AB$6:$AO$64,14,FALSE)))*C860</f>
        <v>4.2000000000000003E-2</v>
      </c>
      <c r="H860" s="197" t="s">
        <v>284</v>
      </c>
      <c r="I860" s="201">
        <v>0.25</v>
      </c>
      <c r="K860" s="199">
        <f>IF(I860=0,0,(VLOOKUP(H860,'RESUMEN RENDIMIENTOS'!$AB$6:$AO$64,13,FALSE)))*I860</f>
        <v>0.52500000000000002</v>
      </c>
      <c r="L860" s="200">
        <f>IF(I860=0,0,(VLOOKUP(H860,'RESUMEN RENDIMIENTOS'!$AB$6:$AO$64,14,FALSE)))*I860</f>
        <v>4.2000000000000003E-2</v>
      </c>
      <c r="N860" s="197" t="s">
        <v>284</v>
      </c>
      <c r="O860" s="201">
        <v>0.25</v>
      </c>
      <c r="Q860" s="199">
        <f>IF(O860=0,0,(VLOOKUP(N860,'RESUMEN RENDIMIENTOS'!$AB$6:$AO$64,13,FALSE)))*O860</f>
        <v>0.52500000000000002</v>
      </c>
      <c r="R860" s="200">
        <f>IF(O860=0,0,(VLOOKUP(N860,'RESUMEN RENDIMIENTOS'!$AB$6:$AO$64,14,FALSE)))*O860</f>
        <v>4.2000000000000003E-2</v>
      </c>
    </row>
    <row r="861" spans="2:19">
      <c r="B861" s="197" t="s">
        <v>283</v>
      </c>
      <c r="C861" s="201">
        <v>1</v>
      </c>
      <c r="E861" s="199">
        <f>IF(C861=0,0,(VLOOKUP(B861,'RESUMEN RENDIMIENTOS'!$AB$6:$AO$64,13,FALSE)))*C861</f>
        <v>1.59</v>
      </c>
      <c r="F861" s="200">
        <f>IF(C861=0,0,(VLOOKUP(B861,'RESUMEN RENDIMIENTOS'!$AB$6:$AO$64,14,FALSE)))*C861</f>
        <v>0.12720000000000001</v>
      </c>
      <c r="H861" s="197" t="s">
        <v>283</v>
      </c>
      <c r="I861" s="201">
        <v>1</v>
      </c>
      <c r="K861" s="199">
        <f>IF(I861=0,0,(VLOOKUP(H861,'RESUMEN RENDIMIENTOS'!$AB$6:$AO$64,13,FALSE)))*I861</f>
        <v>1.59</v>
      </c>
      <c r="L861" s="200">
        <f>IF(I861=0,0,(VLOOKUP(H861,'RESUMEN RENDIMIENTOS'!$AB$6:$AO$64,14,FALSE)))*I861</f>
        <v>0.12720000000000001</v>
      </c>
      <c r="N861" s="197" t="s">
        <v>283</v>
      </c>
      <c r="O861" s="201">
        <v>1</v>
      </c>
      <c r="Q861" s="199">
        <f>IF(O861=0,0,(VLOOKUP(N861,'RESUMEN RENDIMIENTOS'!$AB$6:$AO$64,13,FALSE)))*O861</f>
        <v>1.59</v>
      </c>
      <c r="R861" s="200">
        <f>IF(O861=0,0,(VLOOKUP(N861,'RESUMEN RENDIMIENTOS'!$AB$6:$AO$64,14,FALSE)))*O861</f>
        <v>0.12720000000000001</v>
      </c>
    </row>
    <row r="862" spans="2:19">
      <c r="B862" s="197" t="s">
        <v>282</v>
      </c>
      <c r="C862" s="201">
        <v>1</v>
      </c>
      <c r="E862" s="199">
        <f>IF(C862=0,0,(VLOOKUP(B862,'RESUMEN RENDIMIENTOS'!$AB$6:$AO$64,13,FALSE)))*C862</f>
        <v>2.62</v>
      </c>
      <c r="F862" s="200">
        <f>IF(C862=0,0,(VLOOKUP(B862,'RESUMEN RENDIMIENTOS'!$AB$6:$AO$64,14,FALSE)))*C862</f>
        <v>6.986666666666666E-2</v>
      </c>
      <c r="H862" s="197" t="s">
        <v>282</v>
      </c>
      <c r="I862" s="201">
        <v>1</v>
      </c>
      <c r="K862" s="199">
        <f>IF(I862=0,0,(VLOOKUP(H862,'RESUMEN RENDIMIENTOS'!$AB$6:$AO$64,13,FALSE)))*I862</f>
        <v>2.62</v>
      </c>
      <c r="L862" s="200">
        <f>IF(I862=0,0,(VLOOKUP(H862,'RESUMEN RENDIMIENTOS'!$AB$6:$AO$64,14,FALSE)))*I862</f>
        <v>6.986666666666666E-2</v>
      </c>
      <c r="N862" s="197" t="s">
        <v>282</v>
      </c>
      <c r="O862" s="201">
        <v>1</v>
      </c>
      <c r="Q862" s="199">
        <f>IF(O862=0,0,(VLOOKUP(N862,'RESUMEN RENDIMIENTOS'!$AB$6:$AO$64,13,FALSE)))*O862</f>
        <v>2.62</v>
      </c>
      <c r="R862" s="200">
        <f>IF(O862=0,0,(VLOOKUP(N862,'RESUMEN RENDIMIENTOS'!$AB$6:$AO$64,14,FALSE)))*O862</f>
        <v>6.986666666666666E-2</v>
      </c>
    </row>
    <row r="863" spans="2:19">
      <c r="B863" s="197" t="s">
        <v>302</v>
      </c>
      <c r="C863" s="201">
        <v>1</v>
      </c>
      <c r="E863" s="199">
        <f>IF(C863=0,0,(VLOOKUP(B863,'RESUMEN RENDIMIENTOS'!$AB$6:$AO$64,13,FALSE)))*C863</f>
        <v>1</v>
      </c>
      <c r="F863" s="200">
        <f>IF(C863=0,0,(VLOOKUP(B863,'RESUMEN RENDIMIENTOS'!$AB$6:$AO$64,14,FALSE)))*C863</f>
        <v>0.2</v>
      </c>
      <c r="H863" s="197" t="s">
        <v>302</v>
      </c>
      <c r="I863" s="201">
        <v>1</v>
      </c>
      <c r="K863" s="199">
        <f>IF(I863=0,0,(VLOOKUP(H863,'RESUMEN RENDIMIENTOS'!$AB$6:$AO$64,13,FALSE)))*I863</f>
        <v>1</v>
      </c>
      <c r="L863" s="200">
        <f>IF(I863=0,0,(VLOOKUP(H863,'RESUMEN RENDIMIENTOS'!$AB$6:$AO$64,14,FALSE)))*I863</f>
        <v>0.2</v>
      </c>
      <c r="N863" s="197" t="s">
        <v>302</v>
      </c>
      <c r="O863" s="201">
        <v>1</v>
      </c>
      <c r="Q863" s="199">
        <f>IF(O863=0,0,(VLOOKUP(N863,'RESUMEN RENDIMIENTOS'!$AB$6:$AO$64,13,FALSE)))*O863</f>
        <v>1</v>
      </c>
      <c r="R863" s="200">
        <f>IF(O863=0,0,(VLOOKUP(N863,'RESUMEN RENDIMIENTOS'!$AB$6:$AO$64,14,FALSE)))*O863</f>
        <v>0.2</v>
      </c>
    </row>
    <row r="864" spans="2:19">
      <c r="B864" s="202"/>
      <c r="F864" s="206">
        <f>SUM(F858:F863)</f>
        <v>0.54535238095238103</v>
      </c>
      <c r="G864" s="205">
        <f>+F864</f>
        <v>0.54535238095238103</v>
      </c>
      <c r="H864" s="202"/>
      <c r="I864" s="179"/>
      <c r="K864" s="88"/>
      <c r="L864" s="206">
        <f>SUM(L858:L863)</f>
        <v>0.54535238095238103</v>
      </c>
      <c r="M864" s="205">
        <f>+L864</f>
        <v>0.54535238095238103</v>
      </c>
      <c r="N864" s="202"/>
      <c r="O864" s="179"/>
      <c r="R864" s="206">
        <f>SUM(R858:R863)</f>
        <v>0.54535238095238103</v>
      </c>
      <c r="S864" s="205">
        <f>+R864</f>
        <v>0.54535238095238103</v>
      </c>
    </row>
    <row r="865" spans="2:19">
      <c r="B865" s="436" t="s">
        <v>324</v>
      </c>
      <c r="C865" s="437"/>
      <c r="D865" s="437"/>
      <c r="E865" s="437"/>
      <c r="F865" s="455"/>
      <c r="G865" s="205"/>
      <c r="H865" s="436" t="s">
        <v>324</v>
      </c>
      <c r="I865" s="437"/>
      <c r="J865" s="437"/>
      <c r="K865" s="437"/>
      <c r="L865" s="455"/>
      <c r="M865" s="205"/>
      <c r="N865" s="436" t="s">
        <v>324</v>
      </c>
      <c r="O865" s="437"/>
      <c r="P865" s="437"/>
      <c r="Q865" s="437"/>
      <c r="R865" s="455"/>
      <c r="S865" s="205"/>
    </row>
    <row r="866" spans="2:19">
      <c r="B866" s="210" t="s">
        <v>325</v>
      </c>
      <c r="C866" s="211">
        <v>1</v>
      </c>
      <c r="D866" s="212">
        <v>21.712335174960327</v>
      </c>
      <c r="E866" s="213">
        <f>F852</f>
        <v>1.4933333333333334</v>
      </c>
      <c r="F866" s="214">
        <f>+IF(C866&gt;="",0,(D866*E866))</f>
        <v>32.423753861274086</v>
      </c>
      <c r="G866" s="215"/>
      <c r="H866" s="210" t="s">
        <v>325</v>
      </c>
      <c r="I866" s="211">
        <v>1</v>
      </c>
      <c r="J866" s="212">
        <v>21.712335174960327</v>
      </c>
      <c r="K866" s="213">
        <f>L852</f>
        <v>1.3813333333333333</v>
      </c>
      <c r="L866" s="216">
        <f>+IF(I866&gt;="",0,(J866*K866))</f>
        <v>29.991972321678531</v>
      </c>
      <c r="M866" s="215"/>
      <c r="N866" s="210" t="s">
        <v>325</v>
      </c>
      <c r="O866" s="211">
        <v>1</v>
      </c>
      <c r="P866" s="212">
        <v>21.712335174960327</v>
      </c>
      <c r="Q866" s="213">
        <f>R852</f>
        <v>1.4933333333333334</v>
      </c>
      <c r="R866" s="214">
        <f>+IF(O866&gt;="",0,(P866*Q866))</f>
        <v>32.423753861274086</v>
      </c>
      <c r="S866" s="215"/>
    </row>
    <row r="867" spans="2:19">
      <c r="B867" s="210" t="s">
        <v>326</v>
      </c>
      <c r="C867" s="211"/>
      <c r="D867" s="212">
        <f>+D866*25%</f>
        <v>5.4280837937400817</v>
      </c>
      <c r="E867" s="213">
        <f>F852</f>
        <v>1.4933333333333334</v>
      </c>
      <c r="F867" s="214">
        <f>+IF(C867= "",0,(D867*E867))</f>
        <v>0</v>
      </c>
      <c r="G867" s="215"/>
      <c r="H867" s="210" t="s">
        <v>326</v>
      </c>
      <c r="I867" s="211"/>
      <c r="J867" s="212">
        <f>+J866*25%</f>
        <v>5.4280837937400817</v>
      </c>
      <c r="K867" s="213">
        <f>L852</f>
        <v>1.3813333333333333</v>
      </c>
      <c r="L867" s="216">
        <f>+IF(I867= "",0,(J867*K867))</f>
        <v>0</v>
      </c>
      <c r="M867" s="215"/>
      <c r="N867" s="210" t="s">
        <v>326</v>
      </c>
      <c r="O867" s="211"/>
      <c r="P867" s="212">
        <f>+P866*25%</f>
        <v>5.4280837937400817</v>
      </c>
      <c r="Q867" s="213">
        <f>R852</f>
        <v>1.4933333333333334</v>
      </c>
      <c r="R867" s="214">
        <f>+IF(O867= "",0,(P867*Q867))</f>
        <v>0</v>
      </c>
      <c r="S867" s="215"/>
    </row>
    <row r="868" spans="2:19">
      <c r="B868" s="210" t="s">
        <v>327</v>
      </c>
      <c r="C868" s="211"/>
      <c r="D868" s="212">
        <f>+D866*50%</f>
        <v>10.856167587480163</v>
      </c>
      <c r="E868" s="213">
        <f>F852</f>
        <v>1.4933333333333334</v>
      </c>
      <c r="F868" s="214">
        <f>+IF(C868= "",0,(D868*E868))</f>
        <v>0</v>
      </c>
      <c r="G868" s="215"/>
      <c r="H868" s="210" t="s">
        <v>327</v>
      </c>
      <c r="I868" s="211"/>
      <c r="J868" s="212">
        <f>+J866*50%</f>
        <v>10.856167587480163</v>
      </c>
      <c r="K868" s="213">
        <f>L852</f>
        <v>1.3813333333333333</v>
      </c>
      <c r="L868" s="216">
        <f>+IF(I868= "",0,(J868*K868))</f>
        <v>0</v>
      </c>
      <c r="M868" s="215"/>
      <c r="N868" s="210" t="s">
        <v>327</v>
      </c>
      <c r="O868" s="211"/>
      <c r="P868" s="212">
        <f>+P866*50%</f>
        <v>10.856167587480163</v>
      </c>
      <c r="Q868" s="213">
        <f>R852</f>
        <v>1.4933333333333334</v>
      </c>
      <c r="R868" s="214">
        <f>+IF(O868= "",0,(P868*Q868))</f>
        <v>0</v>
      </c>
      <c r="S868" s="215"/>
    </row>
    <row r="869" spans="2:19">
      <c r="B869" s="202"/>
      <c r="F869" s="217">
        <f>SUM(F866:F868)</f>
        <v>32.423753861274086</v>
      </c>
      <c r="G869" s="218"/>
      <c r="H869" s="202"/>
      <c r="I869" s="179"/>
      <c r="K869" s="88"/>
      <c r="L869" s="219">
        <f>SUM(L866:L868)</f>
        <v>29.991972321678531</v>
      </c>
      <c r="M869" s="218"/>
      <c r="N869" s="202"/>
      <c r="O869" s="179"/>
      <c r="R869" s="217">
        <f>SUM(R866:R868)</f>
        <v>32.423753861274086</v>
      </c>
      <c r="S869" s="218"/>
    </row>
    <row r="870" spans="2:19">
      <c r="B870" s="202"/>
      <c r="F870" s="189"/>
      <c r="G870" s="220"/>
      <c r="H870" s="202"/>
      <c r="I870" s="179"/>
      <c r="K870" s="88"/>
      <c r="M870" s="220"/>
      <c r="N870" s="202"/>
      <c r="O870" s="179"/>
      <c r="R870" s="189"/>
      <c r="S870" s="220"/>
    </row>
    <row r="871" spans="2:19" ht="21">
      <c r="B871" s="438" t="s">
        <v>328</v>
      </c>
      <c r="C871" s="439"/>
      <c r="D871" s="439"/>
      <c r="E871" s="440"/>
      <c r="F871" s="225">
        <f>+F864+F869</f>
        <v>32.969106242226466</v>
      </c>
      <c r="G871" s="205">
        <f>+F871</f>
        <v>32.969106242226466</v>
      </c>
      <c r="H871" s="438" t="s">
        <v>328</v>
      </c>
      <c r="I871" s="439"/>
      <c r="J871" s="439"/>
      <c r="K871" s="440"/>
      <c r="L871" s="225">
        <f>+L864+L869</f>
        <v>30.537324702630912</v>
      </c>
      <c r="M871" s="205">
        <f>+L871</f>
        <v>30.537324702630912</v>
      </c>
      <c r="N871" s="438" t="s">
        <v>328</v>
      </c>
      <c r="O871" s="439"/>
      <c r="P871" s="439"/>
      <c r="Q871" s="440"/>
      <c r="R871" s="225">
        <f>+R864+R869</f>
        <v>32.969106242226466</v>
      </c>
      <c r="S871" s="205">
        <f>+R871</f>
        <v>32.969106242226466</v>
      </c>
    </row>
    <row r="872" spans="2:19">
      <c r="B872" s="202"/>
      <c r="F872" s="189"/>
      <c r="G872" s="205"/>
      <c r="H872" s="202"/>
      <c r="I872" s="179"/>
      <c r="K872" s="88"/>
      <c r="L872" s="189"/>
      <c r="M872" s="205"/>
      <c r="N872" s="202"/>
      <c r="O872" s="179"/>
      <c r="R872" s="189"/>
      <c r="S872" s="205"/>
    </row>
    <row r="873" spans="2:19" ht="19">
      <c r="B873" s="441" t="s">
        <v>329</v>
      </c>
      <c r="C873" s="442"/>
      <c r="D873" s="442"/>
      <c r="E873" s="443"/>
      <c r="F873" s="230">
        <f>+F871/$C$37</f>
        <v>0.32969106242226465</v>
      </c>
      <c r="G873" s="205"/>
      <c r="H873" s="441" t="s">
        <v>329</v>
      </c>
      <c r="I873" s="442"/>
      <c r="J873" s="442"/>
      <c r="K873" s="443"/>
      <c r="L873" s="230">
        <f>+L871/$C$37</f>
        <v>0.30537324702630914</v>
      </c>
      <c r="M873" s="205"/>
      <c r="N873" s="441" t="s">
        <v>329</v>
      </c>
      <c r="O873" s="442"/>
      <c r="P873" s="442"/>
      <c r="Q873" s="443"/>
      <c r="R873" s="230">
        <f>+R871/$C$37</f>
        <v>0.32969106242226465</v>
      </c>
      <c r="S873" s="205"/>
    </row>
    <row r="874" spans="2:19" ht="17" thickBot="1">
      <c r="B874" s="231"/>
      <c r="C874" s="232"/>
      <c r="D874" s="233"/>
      <c r="E874" s="233"/>
      <c r="F874" s="234"/>
      <c r="G874" s="205"/>
      <c r="H874" s="231"/>
      <c r="I874" s="232"/>
      <c r="J874" s="233"/>
      <c r="K874" s="233"/>
      <c r="L874" s="234"/>
      <c r="M874" s="205"/>
      <c r="N874" s="231"/>
      <c r="O874" s="232"/>
      <c r="P874" s="233"/>
      <c r="Q874" s="233"/>
      <c r="R874" s="234"/>
      <c r="S874" s="205"/>
    </row>
    <row r="875" spans="2:19" ht="23.25" customHeight="1" thickBot="1">
      <c r="B875" s="415" t="s">
        <v>312</v>
      </c>
      <c r="C875" s="416"/>
      <c r="D875" s="416"/>
      <c r="E875" s="416"/>
      <c r="F875" s="416"/>
      <c r="G875" s="416"/>
      <c r="H875" s="416"/>
      <c r="I875" s="416"/>
      <c r="J875" s="416"/>
      <c r="K875" s="416"/>
      <c r="L875" s="416"/>
      <c r="M875" s="416"/>
      <c r="N875" s="416"/>
      <c r="O875" s="416"/>
      <c r="P875" s="416"/>
      <c r="Q875" s="416"/>
      <c r="R875" s="417"/>
    </row>
    <row r="876" spans="2:19" ht="23.25" customHeight="1">
      <c r="B876" s="239" t="s">
        <v>16</v>
      </c>
      <c r="C876" s="459" t="s">
        <v>132</v>
      </c>
      <c r="D876" s="460"/>
      <c r="E876" s="460"/>
      <c r="F876" s="466"/>
      <c r="G876" s="258"/>
      <c r="H876" s="237" t="s">
        <v>16</v>
      </c>
      <c r="I876" s="452" t="s">
        <v>163</v>
      </c>
      <c r="J876" s="453"/>
      <c r="K876" s="453"/>
      <c r="L876" s="465"/>
      <c r="M876" s="254"/>
      <c r="N876" s="239" t="s">
        <v>16</v>
      </c>
      <c r="O876" s="452" t="s">
        <v>164</v>
      </c>
      <c r="P876" s="453"/>
      <c r="Q876" s="453"/>
      <c r="R876" s="465"/>
    </row>
    <row r="877" spans="2:19" ht="33" thickBot="1">
      <c r="B877" s="241" t="s">
        <v>313</v>
      </c>
      <c r="C877" s="242" t="s">
        <v>6</v>
      </c>
      <c r="D877" s="243" t="s">
        <v>25</v>
      </c>
      <c r="E877" s="244" t="s">
        <v>314</v>
      </c>
      <c r="F877" s="245" t="s">
        <v>315</v>
      </c>
      <c r="H877" s="241" t="s">
        <v>313</v>
      </c>
      <c r="I877" s="242" t="s">
        <v>6</v>
      </c>
      <c r="J877" s="243" t="s">
        <v>25</v>
      </c>
      <c r="K877" s="244" t="s">
        <v>314</v>
      </c>
      <c r="L877" s="245" t="s">
        <v>315</v>
      </c>
      <c r="N877" s="241" t="s">
        <v>313</v>
      </c>
      <c r="O877" s="242" t="s">
        <v>6</v>
      </c>
      <c r="P877" s="243" t="s">
        <v>25</v>
      </c>
      <c r="Q877" s="244" t="s">
        <v>314</v>
      </c>
      <c r="R877" s="245" t="s">
        <v>315</v>
      </c>
    </row>
    <row r="878" spans="2:19">
      <c r="B878" s="170" t="s">
        <v>247</v>
      </c>
      <c r="C878" s="171">
        <f>VLOOKUP(B878,'RESUMEN RENDIMIENTOS'!$V$6:$W$158,2,FALSE)</f>
        <v>250</v>
      </c>
      <c r="D878" s="177" t="s">
        <v>20</v>
      </c>
      <c r="E878" s="172">
        <v>247</v>
      </c>
      <c r="F878" s="175">
        <f t="shared" ref="F878:F893" si="84">IF(C878=0,0,(100/C878)*E878/$E$37)</f>
        <v>0.4</v>
      </c>
      <c r="G878" s="164">
        <f>+F878/F894</f>
        <v>0.32432432432432434</v>
      </c>
      <c r="H878" s="170" t="s">
        <v>173</v>
      </c>
      <c r="I878" s="171">
        <f>VLOOKUP(H878,'RESUMEN RENDIMIENTOS'!$V$6:$W$158,2,FALSE)</f>
        <v>320</v>
      </c>
      <c r="J878" s="177" t="s">
        <v>20</v>
      </c>
      <c r="K878" s="172">
        <v>247</v>
      </c>
      <c r="L878" s="175">
        <f t="shared" ref="L878:L893" si="85">IF(I878=0,0,(100/I878)*K878/$E$37)</f>
        <v>0.3125</v>
      </c>
      <c r="M878" s="164">
        <f>+L878/L894</f>
        <v>6.7567567567567571E-2</v>
      </c>
      <c r="N878" s="170" t="s">
        <v>173</v>
      </c>
      <c r="O878" s="171">
        <f>VLOOKUP(N878,'RESUMEN RENDIMIENTOS'!$V$6:$W$158,2,FALSE)</f>
        <v>320</v>
      </c>
      <c r="P878" s="177" t="s">
        <v>20</v>
      </c>
      <c r="Q878" s="172">
        <v>247</v>
      </c>
      <c r="R878" s="175">
        <f t="shared" ref="R878:R893" si="86">IF(O878=0,0,(100/O878)*Q878/$E$37)</f>
        <v>0.3125</v>
      </c>
      <c r="S878" s="164">
        <f>+R878/R894</f>
        <v>8.5714285714285715E-2</v>
      </c>
    </row>
    <row r="879" spans="2:19">
      <c r="B879" s="170" t="s">
        <v>251</v>
      </c>
      <c r="C879" s="171">
        <f>VLOOKUP(B879,'RESUMEN RENDIMIENTOS'!$V$6:$W$158,2,FALSE)</f>
        <v>300</v>
      </c>
      <c r="D879" s="177" t="s">
        <v>20</v>
      </c>
      <c r="E879" s="172">
        <v>247</v>
      </c>
      <c r="F879" s="175">
        <f t="shared" si="84"/>
        <v>0.33333333333333331</v>
      </c>
      <c r="G879" s="174">
        <f>+F879/F894</f>
        <v>0.27027027027027023</v>
      </c>
      <c r="H879" s="170" t="s">
        <v>227</v>
      </c>
      <c r="I879" s="171">
        <f>VLOOKUP(H879,'RESUMEN RENDIMIENTOS'!$V$6:$W$158,2,FALSE)</f>
        <v>25</v>
      </c>
      <c r="J879" s="177" t="s">
        <v>20</v>
      </c>
      <c r="K879" s="172">
        <v>247</v>
      </c>
      <c r="L879" s="175">
        <f t="shared" si="85"/>
        <v>4</v>
      </c>
      <c r="M879" s="174">
        <f>+L879/L894</f>
        <v>0.86486486486486491</v>
      </c>
      <c r="N879" s="170" t="s">
        <v>164</v>
      </c>
      <c r="O879" s="171">
        <f>VLOOKUP(N879,'RESUMEN RENDIMIENTOS'!$V$6:$W$158,2,FALSE)</f>
        <v>30</v>
      </c>
      <c r="P879" s="177" t="s">
        <v>20</v>
      </c>
      <c r="Q879" s="172">
        <v>247</v>
      </c>
      <c r="R879" s="175">
        <f t="shared" si="86"/>
        <v>3.3333333333333335</v>
      </c>
      <c r="S879" s="174">
        <f>+R879/R894</f>
        <v>0.91428571428571426</v>
      </c>
    </row>
    <row r="880" spans="2:19">
      <c r="B880" s="170" t="s">
        <v>170</v>
      </c>
      <c r="C880" s="171">
        <f>VLOOKUP(B880,'RESUMEN RENDIMIENTOS'!$V$6:$W$158,2,FALSE)</f>
        <v>200</v>
      </c>
      <c r="D880" s="177" t="s">
        <v>20</v>
      </c>
      <c r="E880" s="172">
        <v>247</v>
      </c>
      <c r="F880" s="175">
        <f t="shared" si="84"/>
        <v>0.5</v>
      </c>
      <c r="G880" s="174">
        <f>+F880/F894</f>
        <v>0.40540540540540537</v>
      </c>
      <c r="H880" s="170" t="s">
        <v>173</v>
      </c>
      <c r="I880" s="171">
        <f>VLOOKUP(H880,'RESUMEN RENDIMIENTOS'!$V$6:$W$158,2,FALSE)</f>
        <v>320</v>
      </c>
      <c r="J880" s="177" t="s">
        <v>20</v>
      </c>
      <c r="K880" s="172">
        <v>247</v>
      </c>
      <c r="L880" s="175">
        <f t="shared" si="85"/>
        <v>0.3125</v>
      </c>
      <c r="M880" s="174">
        <f>+L880/L894</f>
        <v>6.7567567567567571E-2</v>
      </c>
      <c r="N880" s="170">
        <v>0</v>
      </c>
      <c r="O880" s="171">
        <f>VLOOKUP(N880,'RESUMEN RENDIMIENTOS'!$V$6:$W$158,2,FALSE)</f>
        <v>0</v>
      </c>
      <c r="P880" s="177"/>
      <c r="Q880" s="172" t="s">
        <v>337</v>
      </c>
      <c r="R880" s="175">
        <f t="shared" si="86"/>
        <v>0</v>
      </c>
      <c r="S880" s="174">
        <f>+R880/R894</f>
        <v>0</v>
      </c>
    </row>
    <row r="881" spans="2:19">
      <c r="B881" s="170">
        <v>0</v>
      </c>
      <c r="C881" s="171">
        <f>VLOOKUP(B881,'RESUMEN RENDIMIENTOS'!$V$6:$W$158,2,FALSE)</f>
        <v>0</v>
      </c>
      <c r="D881" s="177"/>
      <c r="E881" s="172" t="s">
        <v>337</v>
      </c>
      <c r="F881" s="175">
        <f t="shared" si="84"/>
        <v>0</v>
      </c>
      <c r="G881" s="174">
        <f>+F881/F894</f>
        <v>0</v>
      </c>
      <c r="H881" s="170">
        <v>0</v>
      </c>
      <c r="I881" s="171">
        <f>VLOOKUP(H881,'RESUMEN RENDIMIENTOS'!$V$6:$W$158,2,FALSE)</f>
        <v>0</v>
      </c>
      <c r="J881" s="177"/>
      <c r="K881" s="172" t="s">
        <v>337</v>
      </c>
      <c r="L881" s="175">
        <f t="shared" si="85"/>
        <v>0</v>
      </c>
      <c r="M881" s="174">
        <f>+L881/L894</f>
        <v>0</v>
      </c>
      <c r="N881" s="170">
        <v>0</v>
      </c>
      <c r="O881" s="171">
        <f>VLOOKUP(N881,'RESUMEN RENDIMIENTOS'!$V$6:$W$158,2,FALSE)</f>
        <v>0</v>
      </c>
      <c r="P881" s="177"/>
      <c r="Q881" s="172" t="s">
        <v>337</v>
      </c>
      <c r="R881" s="175">
        <f t="shared" si="86"/>
        <v>0</v>
      </c>
      <c r="S881" s="174">
        <f>+R881/R894</f>
        <v>0</v>
      </c>
    </row>
    <row r="882" spans="2:19">
      <c r="B882" s="170">
        <v>0</v>
      </c>
      <c r="C882" s="171">
        <f>VLOOKUP(B882,'RESUMEN RENDIMIENTOS'!$V$6:$W$158,2,FALSE)</f>
        <v>0</v>
      </c>
      <c r="D882" s="177"/>
      <c r="E882" s="172" t="s">
        <v>337</v>
      </c>
      <c r="F882" s="175">
        <f t="shared" si="84"/>
        <v>0</v>
      </c>
      <c r="G882" s="174">
        <f>+F882/F894</f>
        <v>0</v>
      </c>
      <c r="H882" s="170">
        <v>0</v>
      </c>
      <c r="I882" s="171">
        <f>VLOOKUP(H882,'RESUMEN RENDIMIENTOS'!$V$6:$W$158,2,FALSE)</f>
        <v>0</v>
      </c>
      <c r="J882" s="177"/>
      <c r="K882" s="172" t="s">
        <v>337</v>
      </c>
      <c r="L882" s="175">
        <f t="shared" si="85"/>
        <v>0</v>
      </c>
      <c r="M882" s="174">
        <f>+L882/L894</f>
        <v>0</v>
      </c>
      <c r="N882" s="170">
        <v>0</v>
      </c>
      <c r="O882" s="171">
        <f>VLOOKUP(N882,'RESUMEN RENDIMIENTOS'!$V$6:$W$158,2,FALSE)</f>
        <v>0</v>
      </c>
      <c r="P882" s="177"/>
      <c r="Q882" s="172" t="s">
        <v>337</v>
      </c>
      <c r="R882" s="175">
        <f t="shared" si="86"/>
        <v>0</v>
      </c>
      <c r="S882" s="174">
        <f>+R882/R894</f>
        <v>0</v>
      </c>
    </row>
    <row r="883" spans="2:19">
      <c r="B883" s="170">
        <v>0</v>
      </c>
      <c r="C883" s="171">
        <f>VLOOKUP(B883,'RESUMEN RENDIMIENTOS'!$V$6:$W$158,2,FALSE)</f>
        <v>0</v>
      </c>
      <c r="D883" s="177"/>
      <c r="E883" s="172" t="s">
        <v>337</v>
      </c>
      <c r="F883" s="175">
        <f t="shared" si="84"/>
        <v>0</v>
      </c>
      <c r="G883" s="174">
        <f>+F883/F894</f>
        <v>0</v>
      </c>
      <c r="H883" s="170">
        <v>0</v>
      </c>
      <c r="I883" s="171">
        <f>VLOOKUP(H883,'RESUMEN RENDIMIENTOS'!$V$6:$W$158,2,FALSE)</f>
        <v>0</v>
      </c>
      <c r="J883" s="177"/>
      <c r="K883" s="172" t="s">
        <v>337</v>
      </c>
      <c r="L883" s="175">
        <f t="shared" si="85"/>
        <v>0</v>
      </c>
      <c r="M883" s="174">
        <f>+L883/L894</f>
        <v>0</v>
      </c>
      <c r="N883" s="170">
        <v>0</v>
      </c>
      <c r="O883" s="171">
        <f>VLOOKUP(N883,'RESUMEN RENDIMIENTOS'!$V$6:$W$158,2,FALSE)</f>
        <v>0</v>
      </c>
      <c r="P883" s="177"/>
      <c r="Q883" s="172" t="s">
        <v>337</v>
      </c>
      <c r="R883" s="175">
        <f t="shared" si="86"/>
        <v>0</v>
      </c>
      <c r="S883" s="174">
        <f>+R883/R894</f>
        <v>0</v>
      </c>
    </row>
    <row r="884" spans="2:19">
      <c r="B884" s="170">
        <v>0</v>
      </c>
      <c r="C884" s="171">
        <f>VLOOKUP(B884,'RESUMEN RENDIMIENTOS'!$V$6:$W$158,2,FALSE)</f>
        <v>0</v>
      </c>
      <c r="D884" s="177"/>
      <c r="E884" s="172" t="s">
        <v>337</v>
      </c>
      <c r="F884" s="175">
        <f t="shared" si="84"/>
        <v>0</v>
      </c>
      <c r="G884" s="174">
        <f>+F884/F894</f>
        <v>0</v>
      </c>
      <c r="H884" s="170">
        <v>0</v>
      </c>
      <c r="I884" s="171">
        <f>VLOOKUP(H884,'RESUMEN RENDIMIENTOS'!$V$6:$W$158,2,FALSE)</f>
        <v>0</v>
      </c>
      <c r="J884" s="177"/>
      <c r="K884" s="172" t="s">
        <v>337</v>
      </c>
      <c r="L884" s="175">
        <f t="shared" si="85"/>
        <v>0</v>
      </c>
      <c r="M884" s="174">
        <f>+L884/L894</f>
        <v>0</v>
      </c>
      <c r="N884" s="170">
        <v>0</v>
      </c>
      <c r="O884" s="171">
        <f>VLOOKUP(N884,'RESUMEN RENDIMIENTOS'!$V$6:$W$158,2,FALSE)</f>
        <v>0</v>
      </c>
      <c r="P884" s="177"/>
      <c r="Q884" s="172" t="s">
        <v>337</v>
      </c>
      <c r="R884" s="175">
        <f t="shared" si="86"/>
        <v>0</v>
      </c>
      <c r="S884" s="174">
        <f>+R884/R894</f>
        <v>0</v>
      </c>
    </row>
    <row r="885" spans="2:19">
      <c r="B885" s="170">
        <v>0</v>
      </c>
      <c r="C885" s="171">
        <f>VLOOKUP(B885,'RESUMEN RENDIMIENTOS'!$V$6:$W$158,2,FALSE)</f>
        <v>0</v>
      </c>
      <c r="D885" s="177"/>
      <c r="E885" s="172" t="s">
        <v>337</v>
      </c>
      <c r="F885" s="175">
        <f t="shared" si="84"/>
        <v>0</v>
      </c>
      <c r="G885" s="174">
        <f>+F885/F894</f>
        <v>0</v>
      </c>
      <c r="H885" s="170">
        <v>0</v>
      </c>
      <c r="I885" s="171">
        <f>VLOOKUP(H885,'RESUMEN RENDIMIENTOS'!$V$6:$W$158,2,FALSE)</f>
        <v>0</v>
      </c>
      <c r="J885" s="177"/>
      <c r="K885" s="172" t="s">
        <v>337</v>
      </c>
      <c r="L885" s="175">
        <f t="shared" si="85"/>
        <v>0</v>
      </c>
      <c r="M885" s="174">
        <f>+L885/L894</f>
        <v>0</v>
      </c>
      <c r="N885" s="170">
        <v>0</v>
      </c>
      <c r="O885" s="171">
        <f>VLOOKUP(N885,'RESUMEN RENDIMIENTOS'!$V$6:$W$158,2,FALSE)</f>
        <v>0</v>
      </c>
      <c r="P885" s="177"/>
      <c r="Q885" s="172" t="s">
        <v>337</v>
      </c>
      <c r="R885" s="175">
        <f t="shared" si="86"/>
        <v>0</v>
      </c>
      <c r="S885" s="174">
        <f>+R885/R894</f>
        <v>0</v>
      </c>
    </row>
    <row r="886" spans="2:19">
      <c r="B886" s="170">
        <v>0</v>
      </c>
      <c r="C886" s="171">
        <f>VLOOKUP(B886,'RESUMEN RENDIMIENTOS'!$V$6:$W$158,2,FALSE)</f>
        <v>0</v>
      </c>
      <c r="D886" s="177"/>
      <c r="E886" s="172" t="s">
        <v>337</v>
      </c>
      <c r="F886" s="175">
        <f t="shared" si="84"/>
        <v>0</v>
      </c>
      <c r="G886" s="174">
        <f>+F886/F894</f>
        <v>0</v>
      </c>
      <c r="H886" s="170">
        <v>0</v>
      </c>
      <c r="I886" s="171">
        <f>VLOOKUP(H886,'RESUMEN RENDIMIENTOS'!$V$6:$W$158,2,FALSE)</f>
        <v>0</v>
      </c>
      <c r="J886" s="177"/>
      <c r="K886" s="172" t="s">
        <v>337</v>
      </c>
      <c r="L886" s="175">
        <f t="shared" si="85"/>
        <v>0</v>
      </c>
      <c r="M886" s="174">
        <f>+L886/L894</f>
        <v>0</v>
      </c>
      <c r="N886" s="170">
        <v>0</v>
      </c>
      <c r="O886" s="171">
        <f>VLOOKUP(N886,'RESUMEN RENDIMIENTOS'!$V$6:$W$158,2,FALSE)</f>
        <v>0</v>
      </c>
      <c r="P886" s="177"/>
      <c r="Q886" s="172" t="s">
        <v>337</v>
      </c>
      <c r="R886" s="175">
        <f t="shared" si="86"/>
        <v>0</v>
      </c>
      <c r="S886" s="174">
        <f>+R886/R894</f>
        <v>0</v>
      </c>
    </row>
    <row r="887" spans="2:19">
      <c r="B887" s="170">
        <v>0</v>
      </c>
      <c r="C887" s="171">
        <f>VLOOKUP(B887,'RESUMEN RENDIMIENTOS'!$V$6:$W$158,2,FALSE)</f>
        <v>0</v>
      </c>
      <c r="D887" s="177"/>
      <c r="E887" s="172" t="s">
        <v>337</v>
      </c>
      <c r="F887" s="175">
        <f t="shared" si="84"/>
        <v>0</v>
      </c>
      <c r="G887" s="174">
        <f>+F887/F894</f>
        <v>0</v>
      </c>
      <c r="H887" s="170">
        <v>0</v>
      </c>
      <c r="I887" s="171">
        <f>VLOOKUP(H887,'RESUMEN RENDIMIENTOS'!$V$6:$W$158,2,FALSE)</f>
        <v>0</v>
      </c>
      <c r="J887" s="177"/>
      <c r="K887" s="172" t="s">
        <v>337</v>
      </c>
      <c r="L887" s="175">
        <f t="shared" si="85"/>
        <v>0</v>
      </c>
      <c r="M887" s="174">
        <f>+L887/L894</f>
        <v>0</v>
      </c>
      <c r="N887" s="170">
        <v>0</v>
      </c>
      <c r="O887" s="171">
        <f>VLOOKUP(N887,'RESUMEN RENDIMIENTOS'!$V$6:$W$158,2,FALSE)</f>
        <v>0</v>
      </c>
      <c r="P887" s="177"/>
      <c r="Q887" s="172" t="s">
        <v>337</v>
      </c>
      <c r="R887" s="175">
        <f t="shared" si="86"/>
        <v>0</v>
      </c>
      <c r="S887" s="174">
        <f>+R887/R894</f>
        <v>0</v>
      </c>
    </row>
    <row r="888" spans="2:19">
      <c r="B888" s="170">
        <v>0</v>
      </c>
      <c r="C888" s="171">
        <f>VLOOKUP(B888,'RESUMEN RENDIMIENTOS'!$V$6:$W$158,2,FALSE)</f>
        <v>0</v>
      </c>
      <c r="D888" s="177"/>
      <c r="E888" s="172" t="s">
        <v>337</v>
      </c>
      <c r="F888" s="175">
        <f t="shared" si="84"/>
        <v>0</v>
      </c>
      <c r="G888" s="174">
        <f>+F888/F894</f>
        <v>0</v>
      </c>
      <c r="H888" s="170">
        <v>0</v>
      </c>
      <c r="I888" s="171">
        <f>VLOOKUP(H888,'RESUMEN RENDIMIENTOS'!$V$6:$W$158,2,FALSE)</f>
        <v>0</v>
      </c>
      <c r="J888" s="177"/>
      <c r="K888" s="172" t="s">
        <v>337</v>
      </c>
      <c r="L888" s="175">
        <f t="shared" si="85"/>
        <v>0</v>
      </c>
      <c r="M888" s="174">
        <f>+L888/L894</f>
        <v>0</v>
      </c>
      <c r="N888" s="170">
        <v>0</v>
      </c>
      <c r="O888" s="171">
        <f>VLOOKUP(N888,'RESUMEN RENDIMIENTOS'!$V$6:$W$158,2,FALSE)</f>
        <v>0</v>
      </c>
      <c r="P888" s="177"/>
      <c r="Q888" s="172" t="s">
        <v>337</v>
      </c>
      <c r="R888" s="175">
        <f t="shared" si="86"/>
        <v>0</v>
      </c>
      <c r="S888" s="174">
        <f>+R888/R894</f>
        <v>0</v>
      </c>
    </row>
    <row r="889" spans="2:19">
      <c r="B889" s="170">
        <v>0</v>
      </c>
      <c r="C889" s="171">
        <f>VLOOKUP(B889,'RESUMEN RENDIMIENTOS'!$V$6:$W$158,2,FALSE)</f>
        <v>0</v>
      </c>
      <c r="D889" s="177"/>
      <c r="E889" s="172" t="s">
        <v>337</v>
      </c>
      <c r="F889" s="175">
        <f t="shared" si="84"/>
        <v>0</v>
      </c>
      <c r="G889" s="174">
        <f>+F889/F894</f>
        <v>0</v>
      </c>
      <c r="H889" s="170">
        <v>0</v>
      </c>
      <c r="I889" s="171">
        <f>VLOOKUP(H889,'RESUMEN RENDIMIENTOS'!$V$6:$W$158,2,FALSE)</f>
        <v>0</v>
      </c>
      <c r="J889" s="177"/>
      <c r="K889" s="172" t="s">
        <v>337</v>
      </c>
      <c r="L889" s="175">
        <f t="shared" si="85"/>
        <v>0</v>
      </c>
      <c r="M889" s="174">
        <f>+L889/L894</f>
        <v>0</v>
      </c>
      <c r="N889" s="170">
        <v>0</v>
      </c>
      <c r="O889" s="171">
        <f>VLOOKUP(N889,'RESUMEN RENDIMIENTOS'!$V$6:$W$158,2,FALSE)</f>
        <v>0</v>
      </c>
      <c r="P889" s="177"/>
      <c r="Q889" s="172" t="s">
        <v>337</v>
      </c>
      <c r="R889" s="175">
        <f t="shared" si="86"/>
        <v>0</v>
      </c>
      <c r="S889" s="174">
        <f>+R889/R894</f>
        <v>0</v>
      </c>
    </row>
    <row r="890" spans="2:19">
      <c r="B890" s="170">
        <v>0</v>
      </c>
      <c r="C890" s="171">
        <f>VLOOKUP(B890,'RESUMEN RENDIMIENTOS'!$V$6:$W$158,2,FALSE)</f>
        <v>0</v>
      </c>
      <c r="D890" s="177"/>
      <c r="E890" s="172" t="s">
        <v>337</v>
      </c>
      <c r="F890" s="175">
        <f t="shared" si="84"/>
        <v>0</v>
      </c>
      <c r="G890" s="174">
        <f>+F890/F894</f>
        <v>0</v>
      </c>
      <c r="H890" s="170">
        <v>0</v>
      </c>
      <c r="I890" s="171">
        <f>VLOOKUP(H890,'RESUMEN RENDIMIENTOS'!$V$6:$W$158,2,FALSE)</f>
        <v>0</v>
      </c>
      <c r="J890" s="177"/>
      <c r="K890" s="172" t="s">
        <v>337</v>
      </c>
      <c r="L890" s="175">
        <f t="shared" si="85"/>
        <v>0</v>
      </c>
      <c r="M890" s="174">
        <f>+L890/L894</f>
        <v>0</v>
      </c>
      <c r="N890" s="170">
        <v>0</v>
      </c>
      <c r="O890" s="171">
        <f>VLOOKUP(N890,'RESUMEN RENDIMIENTOS'!$V$6:$W$158,2,FALSE)</f>
        <v>0</v>
      </c>
      <c r="P890" s="177"/>
      <c r="Q890" s="172" t="s">
        <v>337</v>
      </c>
      <c r="R890" s="175">
        <f t="shared" si="86"/>
        <v>0</v>
      </c>
      <c r="S890" s="174">
        <f>+R890/R894</f>
        <v>0</v>
      </c>
    </row>
    <row r="891" spans="2:19">
      <c r="B891" s="170">
        <v>0</v>
      </c>
      <c r="C891" s="171">
        <f>VLOOKUP(B891,'RESUMEN RENDIMIENTOS'!$V$6:$W$158,2,FALSE)</f>
        <v>0</v>
      </c>
      <c r="D891" s="177"/>
      <c r="E891" s="172" t="s">
        <v>337</v>
      </c>
      <c r="F891" s="175">
        <f t="shared" si="84"/>
        <v>0</v>
      </c>
      <c r="G891" s="174">
        <f>+F891/F894</f>
        <v>0</v>
      </c>
      <c r="H891" s="170">
        <v>0</v>
      </c>
      <c r="I891" s="171">
        <f>VLOOKUP(H891,'RESUMEN RENDIMIENTOS'!$V$6:$W$158,2,FALSE)</f>
        <v>0</v>
      </c>
      <c r="J891" s="177"/>
      <c r="K891" s="172" t="s">
        <v>337</v>
      </c>
      <c r="L891" s="175">
        <f t="shared" si="85"/>
        <v>0</v>
      </c>
      <c r="M891" s="174">
        <f>+L891/L894</f>
        <v>0</v>
      </c>
      <c r="N891" s="170">
        <v>0</v>
      </c>
      <c r="O891" s="171">
        <f>VLOOKUP(N891,'RESUMEN RENDIMIENTOS'!$V$6:$W$158,2,FALSE)</f>
        <v>0</v>
      </c>
      <c r="P891" s="177"/>
      <c r="Q891" s="172" t="s">
        <v>337</v>
      </c>
      <c r="R891" s="175">
        <f t="shared" si="86"/>
        <v>0</v>
      </c>
      <c r="S891" s="174">
        <f>+R891/R894</f>
        <v>0</v>
      </c>
    </row>
    <row r="892" spans="2:19">
      <c r="B892" s="170">
        <v>0</v>
      </c>
      <c r="C892" s="171">
        <f>VLOOKUP(B892,'RESUMEN RENDIMIENTOS'!$V$6:$W$158,2,FALSE)</f>
        <v>0</v>
      </c>
      <c r="D892" s="177"/>
      <c r="E892" s="172" t="s">
        <v>337</v>
      </c>
      <c r="F892" s="175">
        <f t="shared" si="84"/>
        <v>0</v>
      </c>
      <c r="G892" s="174">
        <f>+F892/F894</f>
        <v>0</v>
      </c>
      <c r="H892" s="170">
        <v>0</v>
      </c>
      <c r="I892" s="171">
        <f>VLOOKUP(H892,'RESUMEN RENDIMIENTOS'!$V$6:$W$158,2,FALSE)</f>
        <v>0</v>
      </c>
      <c r="J892" s="177"/>
      <c r="K892" s="172" t="s">
        <v>337</v>
      </c>
      <c r="L892" s="173">
        <f t="shared" si="85"/>
        <v>0</v>
      </c>
      <c r="M892" s="174">
        <f>+L892/L894</f>
        <v>0</v>
      </c>
      <c r="N892" s="170">
        <v>0</v>
      </c>
      <c r="O892" s="171">
        <f>VLOOKUP(N892,'RESUMEN RENDIMIENTOS'!$V$6:$W$158,2,FALSE)</f>
        <v>0</v>
      </c>
      <c r="P892" s="177"/>
      <c r="Q892" s="172" t="s">
        <v>337</v>
      </c>
      <c r="R892" s="175">
        <f t="shared" si="86"/>
        <v>0</v>
      </c>
      <c r="S892" s="174">
        <f>+R892/R894</f>
        <v>0</v>
      </c>
    </row>
    <row r="893" spans="2:19">
      <c r="B893" s="170">
        <v>0</v>
      </c>
      <c r="C893" s="171">
        <f>VLOOKUP(B893,'RESUMEN RENDIMIENTOS'!$V$6:$W$158,2,FALSE)</f>
        <v>0</v>
      </c>
      <c r="D893" s="177"/>
      <c r="E893" s="172" t="s">
        <v>337</v>
      </c>
      <c r="F893" s="175">
        <f t="shared" si="84"/>
        <v>0</v>
      </c>
      <c r="G893" s="174">
        <f>+F893/F894</f>
        <v>0</v>
      </c>
      <c r="H893" s="170">
        <v>0</v>
      </c>
      <c r="I893" s="171">
        <f>VLOOKUP(H893,'RESUMEN RENDIMIENTOS'!$V$6:$W$158,2,FALSE)</f>
        <v>0</v>
      </c>
      <c r="J893" s="177"/>
      <c r="K893" s="172" t="s">
        <v>337</v>
      </c>
      <c r="L893" s="173">
        <f t="shared" si="85"/>
        <v>0</v>
      </c>
      <c r="M893" s="174">
        <f>+L893/L894</f>
        <v>0</v>
      </c>
      <c r="N893" s="170">
        <v>0</v>
      </c>
      <c r="O893" s="171">
        <f>VLOOKUP(N893,'RESUMEN RENDIMIENTOS'!$V$6:$W$158,2,FALSE)</f>
        <v>0</v>
      </c>
      <c r="P893" s="177"/>
      <c r="Q893" s="172" t="s">
        <v>337</v>
      </c>
      <c r="R893" s="175">
        <f t="shared" si="86"/>
        <v>0</v>
      </c>
      <c r="S893" s="174">
        <f>+R893/R894</f>
        <v>0</v>
      </c>
    </row>
    <row r="894" spans="2:19" ht="24.75" customHeight="1" thickBot="1">
      <c r="B894" s="178"/>
      <c r="E894" s="90"/>
      <c r="F894" s="173">
        <f>SUM(F878:F893)</f>
        <v>1.2333333333333334</v>
      </c>
      <c r="G894" s="181">
        <f>+F894/F894</f>
        <v>1</v>
      </c>
      <c r="H894" s="178"/>
      <c r="I894" s="179"/>
      <c r="J894" s="182" t="s">
        <v>24</v>
      </c>
      <c r="K894" s="90"/>
      <c r="L894" s="173">
        <f>SUM(L878:L893)</f>
        <v>4.625</v>
      </c>
      <c r="M894" s="181">
        <f>+L894/L894</f>
        <v>1</v>
      </c>
      <c r="N894" s="178"/>
      <c r="O894" s="179"/>
      <c r="Q894" s="90"/>
      <c r="R894" s="175">
        <f>SUM(R878:R893)</f>
        <v>3.6458333333333335</v>
      </c>
      <c r="S894" s="181">
        <f>+R894/R894</f>
        <v>1</v>
      </c>
    </row>
    <row r="895" spans="2:19" ht="18" customHeight="1">
      <c r="B895" s="427" t="s">
        <v>317</v>
      </c>
      <c r="C895" s="428"/>
      <c r="D895" s="429"/>
      <c r="E895" s="185">
        <v>0.12</v>
      </c>
      <c r="F895" s="173">
        <f>+F894*E895</f>
        <v>0.14799999999999999</v>
      </c>
      <c r="H895" s="427" t="s">
        <v>317</v>
      </c>
      <c r="I895" s="428"/>
      <c r="J895" s="429"/>
      <c r="K895" s="185">
        <v>0.12</v>
      </c>
      <c r="L895" s="173">
        <f>+L894*K895</f>
        <v>0.55499999999999994</v>
      </c>
      <c r="N895" s="427" t="s">
        <v>317</v>
      </c>
      <c r="O895" s="428"/>
      <c r="P895" s="429"/>
      <c r="Q895" s="185">
        <v>0.12</v>
      </c>
      <c r="R895" s="175">
        <f>+R894*Q895</f>
        <v>0.4375</v>
      </c>
    </row>
    <row r="896" spans="2:19" ht="18" customHeight="1">
      <c r="B896" s="178"/>
      <c r="F896" s="173">
        <f>+F895+F894</f>
        <v>1.3813333333333333</v>
      </c>
      <c r="G896" s="187">
        <f>+F896/24</f>
        <v>5.7555555555555554E-2</v>
      </c>
      <c r="H896" s="178"/>
      <c r="I896" s="179"/>
      <c r="K896" s="88"/>
      <c r="L896" s="173">
        <f>+L895+L894</f>
        <v>5.18</v>
      </c>
      <c r="M896" s="187">
        <f>+L896/24</f>
        <v>0.21583333333333332</v>
      </c>
      <c r="N896" s="178"/>
      <c r="O896" s="179"/>
      <c r="R896" s="175">
        <f>+R895+R894</f>
        <v>4.0833333333333339</v>
      </c>
      <c r="S896" s="187">
        <f>+R896/24</f>
        <v>0.17013888888888892</v>
      </c>
    </row>
    <row r="897" spans="2:19">
      <c r="B897" s="178"/>
      <c r="D897" s="188"/>
      <c r="F897" s="189"/>
      <c r="H897" s="178"/>
      <c r="I897" s="179"/>
      <c r="J897" s="188"/>
      <c r="K897" s="88"/>
      <c r="L897" s="189"/>
      <c r="N897" s="178"/>
      <c r="O897" s="179"/>
      <c r="P897" s="188"/>
      <c r="R897" s="189"/>
    </row>
    <row r="898" spans="2:19" ht="21">
      <c r="B898" s="191" t="s">
        <v>318</v>
      </c>
      <c r="C898" s="192"/>
      <c r="D898" s="192"/>
      <c r="E898" s="444">
        <f>IF(F896=0,0,(100/F896))</f>
        <v>72.39382239382239</v>
      </c>
      <c r="F898" s="445"/>
      <c r="H898" s="191" t="s">
        <v>318</v>
      </c>
      <c r="I898" s="192"/>
      <c r="J898" s="192"/>
      <c r="K898" s="444">
        <f>IF(L896=0,0,(100/L896))</f>
        <v>19.305019305019307</v>
      </c>
      <c r="L898" s="445"/>
      <c r="N898" s="191" t="s">
        <v>318</v>
      </c>
      <c r="O898" s="192"/>
      <c r="P898" s="192"/>
      <c r="Q898" s="444">
        <f>IF(R896=0,0,(100/R896))</f>
        <v>24.489795918367342</v>
      </c>
      <c r="R898" s="445"/>
    </row>
    <row r="899" spans="2:19">
      <c r="B899" s="178"/>
      <c r="F899" s="189"/>
      <c r="H899" s="178"/>
      <c r="I899" s="179"/>
      <c r="K899" s="88"/>
      <c r="L899" s="189"/>
      <c r="N899" s="178"/>
      <c r="O899" s="179"/>
      <c r="R899" s="189"/>
    </row>
    <row r="900" spans="2:19" ht="21">
      <c r="B900" s="446" t="s">
        <v>319</v>
      </c>
      <c r="C900" s="447"/>
      <c r="D900" s="447"/>
      <c r="E900" s="447"/>
      <c r="F900" s="448"/>
      <c r="H900" s="446" t="s">
        <v>319</v>
      </c>
      <c r="I900" s="447"/>
      <c r="J900" s="447"/>
      <c r="K900" s="447"/>
      <c r="L900" s="448"/>
      <c r="N900" s="446" t="s">
        <v>319</v>
      </c>
      <c r="O900" s="447"/>
      <c r="P900" s="447"/>
      <c r="Q900" s="447"/>
      <c r="R900" s="448"/>
    </row>
    <row r="901" spans="2:19" ht="18" customHeight="1">
      <c r="B901" s="194" t="s">
        <v>320</v>
      </c>
      <c r="C901" s="195"/>
      <c r="D901" s="435" t="s">
        <v>321</v>
      </c>
      <c r="E901" s="435"/>
      <c r="F901" s="196" t="s">
        <v>322</v>
      </c>
      <c r="H901" s="194" t="s">
        <v>320</v>
      </c>
      <c r="I901" s="195"/>
      <c r="J901" s="435" t="s">
        <v>321</v>
      </c>
      <c r="K901" s="435"/>
      <c r="L901" s="196" t="s">
        <v>322</v>
      </c>
      <c r="N901" s="194" t="s">
        <v>320</v>
      </c>
      <c r="O901" s="195"/>
      <c r="P901" s="435" t="s">
        <v>321</v>
      </c>
      <c r="Q901" s="435"/>
      <c r="R901" s="196" t="s">
        <v>322</v>
      </c>
    </row>
    <row r="902" spans="2:19">
      <c r="B902" s="197" t="s">
        <v>278</v>
      </c>
      <c r="C902" s="201">
        <v>1</v>
      </c>
      <c r="E902" s="199">
        <f>IF(C902=0,0,(VLOOKUP(B902,'RESUMEN RENDIMIENTOS'!$AB$6:$AO$64,13,FALSE)))*C902</f>
        <v>0.75</v>
      </c>
      <c r="F902" s="200">
        <f>IF(C902=0,0,(VLOOKUP(B902,'RESUMEN RENDIMIENTOS'!$AB$6:$AO$64,14,FALSE)))*C902</f>
        <v>1.0285714285714287E-2</v>
      </c>
      <c r="H902" s="197" t="s">
        <v>278</v>
      </c>
      <c r="I902" s="201">
        <v>1</v>
      </c>
      <c r="K902" s="199">
        <f>IF(I902=0,0,(VLOOKUP(H902,'RESUMEN RENDIMIENTOS'!$AB$6:$AO$64,13,FALSE)))*I902</f>
        <v>0.75</v>
      </c>
      <c r="L902" s="200">
        <f>IF(I902=0,0,(VLOOKUP(H902,'RESUMEN RENDIMIENTOS'!$AB$6:$AO$64,14,FALSE)))*I902</f>
        <v>1.0285714285714287E-2</v>
      </c>
      <c r="N902" s="197" t="s">
        <v>278</v>
      </c>
      <c r="O902" s="201">
        <v>1</v>
      </c>
      <c r="Q902" s="199">
        <f>IF(O902=0,0,(VLOOKUP(N902,'RESUMEN RENDIMIENTOS'!$AB$6:$AO$64,13,FALSE)))*O902</f>
        <v>0.75</v>
      </c>
      <c r="R902" s="200">
        <f>IF(O902=0,0,(VLOOKUP(N902,'RESUMEN RENDIMIENTOS'!$AB$6:$AO$64,14,FALSE)))*O902</f>
        <v>1.0285714285714287E-2</v>
      </c>
    </row>
    <row r="903" spans="2:19">
      <c r="B903" s="197" t="s">
        <v>279</v>
      </c>
      <c r="C903" s="201">
        <v>1</v>
      </c>
      <c r="E903" s="199">
        <f>IF(C903=0,0,(VLOOKUP(B903,'RESUMEN RENDIMIENTOS'!$AB$6:$AO$64,13,FALSE)))*C903</f>
        <v>2</v>
      </c>
      <c r="F903" s="200">
        <f>IF(C903=0,0,(VLOOKUP(B903,'RESUMEN RENDIMIENTOS'!$AB$6:$AO$64,14,FALSE)))*C903</f>
        <v>9.5999999999999988E-2</v>
      </c>
      <c r="H903" s="197" t="s">
        <v>279</v>
      </c>
      <c r="I903" s="201">
        <v>1</v>
      </c>
      <c r="K903" s="199">
        <f>IF(I903=0,0,(VLOOKUP(H903,'RESUMEN RENDIMIENTOS'!$AB$6:$AO$64,13,FALSE)))*I903</f>
        <v>2</v>
      </c>
      <c r="L903" s="200">
        <f>IF(I903=0,0,(VLOOKUP(H903,'RESUMEN RENDIMIENTOS'!$AB$6:$AO$64,14,FALSE)))*I903</f>
        <v>9.5999999999999988E-2</v>
      </c>
      <c r="N903" s="197" t="s">
        <v>279</v>
      </c>
      <c r="O903" s="201">
        <v>1</v>
      </c>
      <c r="Q903" s="199">
        <f>IF(O903=0,0,(VLOOKUP(N903,'RESUMEN RENDIMIENTOS'!$AB$6:$AO$64,13,FALSE)))*O903</f>
        <v>2</v>
      </c>
      <c r="R903" s="200">
        <f>IF(O903=0,0,(VLOOKUP(N903,'RESUMEN RENDIMIENTOS'!$AB$6:$AO$64,14,FALSE)))*O903</f>
        <v>9.5999999999999988E-2</v>
      </c>
    </row>
    <row r="904" spans="2:19">
      <c r="B904" s="197" t="s">
        <v>284</v>
      </c>
      <c r="C904" s="201">
        <v>0.25</v>
      </c>
      <c r="E904" s="199">
        <f>IF(C904=0,0,(VLOOKUP(B904,'RESUMEN RENDIMIENTOS'!$AB$6:$AO$64,13,FALSE)))*C904</f>
        <v>0.52500000000000002</v>
      </c>
      <c r="F904" s="200">
        <f>IF(C904=0,0,(VLOOKUP(B904,'RESUMEN RENDIMIENTOS'!$AB$6:$AO$64,14,FALSE)))*C904</f>
        <v>4.2000000000000003E-2</v>
      </c>
      <c r="H904" s="197" t="s">
        <v>284</v>
      </c>
      <c r="I904" s="201">
        <v>0.25</v>
      </c>
      <c r="K904" s="199">
        <f>IF(I904=0,0,(VLOOKUP(H904,'RESUMEN RENDIMIENTOS'!$AB$6:$AO$64,13,FALSE)))*I904</f>
        <v>0.52500000000000002</v>
      </c>
      <c r="L904" s="200">
        <f>IF(I904=0,0,(VLOOKUP(H904,'RESUMEN RENDIMIENTOS'!$AB$6:$AO$64,14,FALSE)))*I904</f>
        <v>4.2000000000000003E-2</v>
      </c>
      <c r="N904" s="197" t="s">
        <v>284</v>
      </c>
      <c r="O904" s="201">
        <v>0.25</v>
      </c>
      <c r="Q904" s="199">
        <f>IF(O904=0,0,(VLOOKUP(N904,'RESUMEN RENDIMIENTOS'!$AB$6:$AO$64,13,FALSE)))*O904</f>
        <v>0.52500000000000002</v>
      </c>
      <c r="R904" s="200">
        <f>IF(O904=0,0,(VLOOKUP(N904,'RESUMEN RENDIMIENTOS'!$AB$6:$AO$64,14,FALSE)))*O904</f>
        <v>4.2000000000000003E-2</v>
      </c>
    </row>
    <row r="905" spans="2:19">
      <c r="B905" s="197" t="s">
        <v>283</v>
      </c>
      <c r="C905" s="201">
        <v>1</v>
      </c>
      <c r="E905" s="199">
        <f>IF(C905=0,0,(VLOOKUP(B905,'RESUMEN RENDIMIENTOS'!$AB$6:$AO$64,13,FALSE)))*C905</f>
        <v>1.59</v>
      </c>
      <c r="F905" s="200">
        <f>IF(C905=0,0,(VLOOKUP(B905,'RESUMEN RENDIMIENTOS'!$AB$6:$AO$64,14,FALSE)))*C905</f>
        <v>0.12720000000000001</v>
      </c>
      <c r="H905" s="197" t="s">
        <v>283</v>
      </c>
      <c r="I905" s="201">
        <v>1</v>
      </c>
      <c r="K905" s="199">
        <f>IF(I905=0,0,(VLOOKUP(H905,'RESUMEN RENDIMIENTOS'!$AB$6:$AO$64,13,FALSE)))*I905</f>
        <v>1.59</v>
      </c>
      <c r="L905" s="200">
        <f>IF(I905=0,0,(VLOOKUP(H905,'RESUMEN RENDIMIENTOS'!$AB$6:$AO$64,14,FALSE)))*I905</f>
        <v>0.12720000000000001</v>
      </c>
      <c r="N905" s="197" t="s">
        <v>283</v>
      </c>
      <c r="O905" s="201">
        <v>1</v>
      </c>
      <c r="Q905" s="199">
        <f>IF(O905=0,0,(VLOOKUP(N905,'RESUMEN RENDIMIENTOS'!$AB$6:$AO$64,13,FALSE)))*O905</f>
        <v>1.59</v>
      </c>
      <c r="R905" s="200">
        <f>IF(O905=0,0,(VLOOKUP(N905,'RESUMEN RENDIMIENTOS'!$AB$6:$AO$64,14,FALSE)))*O905</f>
        <v>0.12720000000000001</v>
      </c>
    </row>
    <row r="906" spans="2:19">
      <c r="B906" s="197" t="s">
        <v>282</v>
      </c>
      <c r="C906" s="201">
        <v>1</v>
      </c>
      <c r="E906" s="199">
        <f>IF(C906=0,0,(VLOOKUP(B906,'RESUMEN RENDIMIENTOS'!$AB$6:$AO$64,13,FALSE)))*C906</f>
        <v>2.62</v>
      </c>
      <c r="F906" s="200">
        <f>IF(C906=0,0,(VLOOKUP(B906,'RESUMEN RENDIMIENTOS'!$AB$6:$AO$64,14,FALSE)))*C906</f>
        <v>6.986666666666666E-2</v>
      </c>
      <c r="H906" s="197" t="s">
        <v>282</v>
      </c>
      <c r="I906" s="201">
        <v>1</v>
      </c>
      <c r="K906" s="199">
        <f>IF(I906=0,0,(VLOOKUP(H906,'RESUMEN RENDIMIENTOS'!$AB$6:$AO$64,13,FALSE)))*I906</f>
        <v>2.62</v>
      </c>
      <c r="L906" s="200">
        <f>IF(I906=0,0,(VLOOKUP(H906,'RESUMEN RENDIMIENTOS'!$AB$6:$AO$64,14,FALSE)))*I906</f>
        <v>6.986666666666666E-2</v>
      </c>
      <c r="N906" s="197" t="s">
        <v>282</v>
      </c>
      <c r="O906" s="201">
        <v>1</v>
      </c>
      <c r="Q906" s="199">
        <f>IF(O906=0,0,(VLOOKUP(N906,'RESUMEN RENDIMIENTOS'!$AB$6:$AO$64,13,FALSE)))*O906</f>
        <v>2.62</v>
      </c>
      <c r="R906" s="200">
        <f>IF(O906=0,0,(VLOOKUP(N906,'RESUMEN RENDIMIENTOS'!$AB$6:$AO$64,14,FALSE)))*O906</f>
        <v>6.986666666666666E-2</v>
      </c>
    </row>
    <row r="907" spans="2:19">
      <c r="B907" s="197" t="s">
        <v>302</v>
      </c>
      <c r="C907" s="201">
        <v>1</v>
      </c>
      <c r="E907" s="199">
        <f>IF(C907=0,0,(VLOOKUP(B907,'RESUMEN RENDIMIENTOS'!$AB$6:$AO$64,13,FALSE)))*C907</f>
        <v>1</v>
      </c>
      <c r="F907" s="200">
        <f>IF(C907=0,0,(VLOOKUP(B907,'RESUMEN RENDIMIENTOS'!$AB$6:$AO$64,14,FALSE)))*C907</f>
        <v>0.2</v>
      </c>
      <c r="H907" s="197" t="s">
        <v>302</v>
      </c>
      <c r="I907" s="201">
        <v>1</v>
      </c>
      <c r="K907" s="199">
        <f>IF(I907=0,0,(VLOOKUP(H907,'RESUMEN RENDIMIENTOS'!$AB$6:$AO$64,13,FALSE)))*I907</f>
        <v>1</v>
      </c>
      <c r="L907" s="200">
        <f>IF(I907=0,0,(VLOOKUP(H907,'RESUMEN RENDIMIENTOS'!$AB$6:$AO$64,14,FALSE)))*I907</f>
        <v>0.2</v>
      </c>
      <c r="N907" s="197" t="s">
        <v>302</v>
      </c>
      <c r="O907" s="201">
        <v>1</v>
      </c>
      <c r="Q907" s="199">
        <f>IF(O907=0,0,(VLOOKUP(N907,'RESUMEN RENDIMIENTOS'!$AB$6:$AO$64,13,FALSE)))*O907</f>
        <v>1</v>
      </c>
      <c r="R907" s="200">
        <f>IF(O907=0,0,(VLOOKUP(N907,'RESUMEN RENDIMIENTOS'!$AB$6:$AO$64,14,FALSE)))*O907</f>
        <v>0.2</v>
      </c>
    </row>
    <row r="908" spans="2:19">
      <c r="B908" s="202"/>
      <c r="F908" s="206">
        <f>SUM(F902:F907)</f>
        <v>0.54535238095238103</v>
      </c>
      <c r="G908" s="205">
        <f>+F908</f>
        <v>0.54535238095238103</v>
      </c>
      <c r="H908" s="202"/>
      <c r="I908" s="179"/>
      <c r="K908" s="88"/>
      <c r="L908" s="206">
        <f>SUM(L902:L907)</f>
        <v>0.54535238095238103</v>
      </c>
      <c r="M908" s="205">
        <f>+L908</f>
        <v>0.54535238095238103</v>
      </c>
      <c r="N908" s="202"/>
      <c r="O908" s="179"/>
      <c r="R908" s="206">
        <f>SUM(R902:R907)</f>
        <v>0.54535238095238103</v>
      </c>
      <c r="S908" s="205">
        <f>+R908</f>
        <v>0.54535238095238103</v>
      </c>
    </row>
    <row r="909" spans="2:19">
      <c r="B909" s="436" t="s">
        <v>324</v>
      </c>
      <c r="C909" s="437"/>
      <c r="D909" s="437"/>
      <c r="E909" s="437"/>
      <c r="F909" s="455"/>
      <c r="G909" s="205"/>
      <c r="H909" s="436" t="s">
        <v>324</v>
      </c>
      <c r="I909" s="437"/>
      <c r="J909" s="437"/>
      <c r="K909" s="437"/>
      <c r="L909" s="455"/>
      <c r="M909" s="205"/>
      <c r="N909" s="436" t="s">
        <v>324</v>
      </c>
      <c r="O909" s="437"/>
      <c r="P909" s="437"/>
      <c r="Q909" s="437"/>
      <c r="R909" s="455"/>
      <c r="S909" s="205"/>
    </row>
    <row r="910" spans="2:19">
      <c r="B910" s="210" t="s">
        <v>325</v>
      </c>
      <c r="C910" s="211">
        <v>1</v>
      </c>
      <c r="D910" s="212">
        <v>21.712335174960327</v>
      </c>
      <c r="E910" s="213">
        <f>F896</f>
        <v>1.3813333333333333</v>
      </c>
      <c r="F910" s="214">
        <f>+IF(C910&gt;="",0,(D910*E910))</f>
        <v>29.991972321678531</v>
      </c>
      <c r="G910" s="215"/>
      <c r="H910" s="210" t="s">
        <v>325</v>
      </c>
      <c r="I910" s="211">
        <v>1</v>
      </c>
      <c r="J910" s="212">
        <v>21.712335174960327</v>
      </c>
      <c r="K910" s="213">
        <f>L896</f>
        <v>5.18</v>
      </c>
      <c r="L910" s="216">
        <f>+IF(I910&gt;="",0,(J910*K910))</f>
        <v>112.46989620629448</v>
      </c>
      <c r="M910" s="215"/>
      <c r="N910" s="210" t="s">
        <v>325</v>
      </c>
      <c r="O910" s="211">
        <v>1</v>
      </c>
      <c r="P910" s="212">
        <v>21.712335174960327</v>
      </c>
      <c r="Q910" s="213">
        <f>R896</f>
        <v>4.0833333333333339</v>
      </c>
      <c r="R910" s="214">
        <f>+IF(O910&gt;="",0,(P910*Q910))</f>
        <v>88.65870196442134</v>
      </c>
      <c r="S910" s="215"/>
    </row>
    <row r="911" spans="2:19">
      <c r="B911" s="210" t="s">
        <v>326</v>
      </c>
      <c r="C911" s="211"/>
      <c r="D911" s="212">
        <f>+D910*25%</f>
        <v>5.4280837937400817</v>
      </c>
      <c r="E911" s="213">
        <f>F896</f>
        <v>1.3813333333333333</v>
      </c>
      <c r="F911" s="214">
        <f>+IF(C911= "",0,(D911*E911))</f>
        <v>0</v>
      </c>
      <c r="G911" s="215"/>
      <c r="H911" s="210" t="s">
        <v>326</v>
      </c>
      <c r="I911" s="211"/>
      <c r="J911" s="212">
        <f>+J910*25%</f>
        <v>5.4280837937400817</v>
      </c>
      <c r="K911" s="213">
        <f>L896</f>
        <v>5.18</v>
      </c>
      <c r="L911" s="216">
        <f>+IF(I911= "",0,(J911*K911))</f>
        <v>0</v>
      </c>
      <c r="M911" s="215"/>
      <c r="N911" s="210" t="s">
        <v>326</v>
      </c>
      <c r="O911" s="211"/>
      <c r="P911" s="212">
        <f>+P910*25%</f>
        <v>5.4280837937400817</v>
      </c>
      <c r="Q911" s="213">
        <f>R896</f>
        <v>4.0833333333333339</v>
      </c>
      <c r="R911" s="214">
        <f>+IF(O911= "",0,(P911*Q911))</f>
        <v>0</v>
      </c>
      <c r="S911" s="215"/>
    </row>
    <row r="912" spans="2:19">
      <c r="B912" s="210" t="s">
        <v>327</v>
      </c>
      <c r="C912" s="211"/>
      <c r="D912" s="212">
        <f>+D910*50%</f>
        <v>10.856167587480163</v>
      </c>
      <c r="E912" s="213">
        <f>F896</f>
        <v>1.3813333333333333</v>
      </c>
      <c r="F912" s="214">
        <f>+IF(C912= "",0,(D912*E912))</f>
        <v>0</v>
      </c>
      <c r="G912" s="215"/>
      <c r="H912" s="210" t="s">
        <v>327</v>
      </c>
      <c r="I912" s="211"/>
      <c r="J912" s="212">
        <f>+J910*50%</f>
        <v>10.856167587480163</v>
      </c>
      <c r="K912" s="213">
        <f>L896</f>
        <v>5.18</v>
      </c>
      <c r="L912" s="216">
        <f>+IF(I912= "",0,(J912*K912))</f>
        <v>0</v>
      </c>
      <c r="M912" s="215"/>
      <c r="N912" s="210" t="s">
        <v>327</v>
      </c>
      <c r="O912" s="211"/>
      <c r="P912" s="212">
        <f>+P910*50%</f>
        <v>10.856167587480163</v>
      </c>
      <c r="Q912" s="213">
        <f>R896</f>
        <v>4.0833333333333339</v>
      </c>
      <c r="R912" s="214">
        <f>+IF(O912= "",0,(P912*Q912))</f>
        <v>0</v>
      </c>
      <c r="S912" s="215"/>
    </row>
    <row r="913" spans="2:19">
      <c r="B913" s="202"/>
      <c r="F913" s="217">
        <f>SUM(F910:F912)</f>
        <v>29.991972321678531</v>
      </c>
      <c r="G913" s="218"/>
      <c r="H913" s="202"/>
      <c r="I913" s="179"/>
      <c r="K913" s="88"/>
      <c r="L913" s="219">
        <f>SUM(L910:L912)</f>
        <v>112.46989620629448</v>
      </c>
      <c r="M913" s="218"/>
      <c r="N913" s="202"/>
      <c r="O913" s="179"/>
      <c r="R913" s="217">
        <f>SUM(R910:R912)</f>
        <v>88.65870196442134</v>
      </c>
      <c r="S913" s="218"/>
    </row>
    <row r="914" spans="2:19">
      <c r="B914" s="202"/>
      <c r="F914" s="189"/>
      <c r="G914" s="220"/>
      <c r="H914" s="202"/>
      <c r="I914" s="179"/>
      <c r="K914" s="88"/>
      <c r="M914" s="220"/>
      <c r="N914" s="202"/>
      <c r="O914" s="179"/>
      <c r="R914" s="189"/>
      <c r="S914" s="220"/>
    </row>
    <row r="915" spans="2:19" ht="21">
      <c r="B915" s="438" t="s">
        <v>328</v>
      </c>
      <c r="C915" s="439"/>
      <c r="D915" s="439"/>
      <c r="E915" s="440"/>
      <c r="F915" s="225">
        <f>+F908+F913</f>
        <v>30.537324702630912</v>
      </c>
      <c r="G915" s="205">
        <f>+F915</f>
        <v>30.537324702630912</v>
      </c>
      <c r="H915" s="438" t="s">
        <v>328</v>
      </c>
      <c r="I915" s="439"/>
      <c r="J915" s="439"/>
      <c r="K915" s="440"/>
      <c r="L915" s="225">
        <f>+L908+L913</f>
        <v>113.01524858724686</v>
      </c>
      <c r="M915" s="205">
        <f>+L915</f>
        <v>113.01524858724686</v>
      </c>
      <c r="N915" s="438" t="s">
        <v>328</v>
      </c>
      <c r="O915" s="439"/>
      <c r="P915" s="439"/>
      <c r="Q915" s="440"/>
      <c r="R915" s="225">
        <f>+R908+R913</f>
        <v>89.20405434537372</v>
      </c>
      <c r="S915" s="205">
        <f>+R915</f>
        <v>89.20405434537372</v>
      </c>
    </row>
    <row r="916" spans="2:19">
      <c r="B916" s="202"/>
      <c r="F916" s="189"/>
      <c r="G916" s="205"/>
      <c r="H916" s="202"/>
      <c r="I916" s="179"/>
      <c r="K916" s="88"/>
      <c r="L916" s="189"/>
      <c r="M916" s="205"/>
      <c r="N916" s="202"/>
      <c r="O916" s="179"/>
      <c r="R916" s="189"/>
      <c r="S916" s="205"/>
    </row>
    <row r="917" spans="2:19" ht="19">
      <c r="B917" s="441" t="s">
        <v>329</v>
      </c>
      <c r="C917" s="442"/>
      <c r="D917" s="442"/>
      <c r="E917" s="443"/>
      <c r="F917" s="230">
        <f>+F915/$C$37</f>
        <v>0.30537324702630914</v>
      </c>
      <c r="G917" s="205"/>
      <c r="H917" s="441" t="s">
        <v>329</v>
      </c>
      <c r="I917" s="442"/>
      <c r="J917" s="442"/>
      <c r="K917" s="443"/>
      <c r="L917" s="230">
        <f>+L915/$C$37</f>
        <v>1.1301524858724685</v>
      </c>
      <c r="M917" s="205"/>
      <c r="N917" s="441" t="s">
        <v>329</v>
      </c>
      <c r="O917" s="442"/>
      <c r="P917" s="442"/>
      <c r="Q917" s="443"/>
      <c r="R917" s="230">
        <f>+R915/$C$37</f>
        <v>0.89204054345373718</v>
      </c>
      <c r="S917" s="205"/>
    </row>
    <row r="918" spans="2:19" ht="17" thickBot="1">
      <c r="B918" s="231"/>
      <c r="C918" s="232"/>
      <c r="D918" s="233"/>
      <c r="E918" s="233"/>
      <c r="F918" s="234"/>
      <c r="G918" s="205"/>
      <c r="H918" s="231"/>
      <c r="I918" s="232"/>
      <c r="J918" s="233"/>
      <c r="K918" s="233"/>
      <c r="L918" s="234"/>
      <c r="M918" s="205"/>
      <c r="N918" s="231"/>
      <c r="O918" s="232"/>
      <c r="P918" s="233"/>
      <c r="Q918" s="233"/>
      <c r="R918" s="234"/>
      <c r="S918" s="205"/>
    </row>
    <row r="919" spans="2:19" ht="23.25" customHeight="1" thickBot="1">
      <c r="B919" s="415" t="s">
        <v>312</v>
      </c>
      <c r="C919" s="416"/>
      <c r="D919" s="416"/>
      <c r="E919" s="416"/>
      <c r="F919" s="416"/>
      <c r="G919" s="416"/>
      <c r="H919" s="416"/>
      <c r="I919" s="416"/>
      <c r="J919" s="416"/>
      <c r="K919" s="416"/>
      <c r="L919" s="416"/>
      <c r="M919" s="416"/>
      <c r="N919" s="416"/>
      <c r="O919" s="416"/>
      <c r="P919" s="416"/>
      <c r="Q919" s="416"/>
      <c r="R919" s="417"/>
    </row>
    <row r="920" spans="2:19" ht="23.25" customHeight="1">
      <c r="B920" s="276" t="s">
        <v>16</v>
      </c>
      <c r="C920" s="452" t="s">
        <v>160</v>
      </c>
      <c r="D920" s="453"/>
      <c r="E920" s="453"/>
      <c r="F920" s="465"/>
      <c r="G920" s="254"/>
      <c r="H920" s="239" t="s">
        <v>16</v>
      </c>
      <c r="I920" s="452" t="s">
        <v>27</v>
      </c>
      <c r="J920" s="453"/>
      <c r="K920" s="453"/>
      <c r="L920" s="465"/>
      <c r="M920" s="254"/>
      <c r="N920" s="239" t="s">
        <v>16</v>
      </c>
      <c r="O920" s="452" t="s">
        <v>161</v>
      </c>
      <c r="P920" s="453"/>
      <c r="Q920" s="453"/>
      <c r="R920" s="465"/>
    </row>
    <row r="921" spans="2:19" ht="33" thickBot="1">
      <c r="B921" s="241" t="s">
        <v>313</v>
      </c>
      <c r="C921" s="242" t="s">
        <v>6</v>
      </c>
      <c r="D921" s="243" t="s">
        <v>25</v>
      </c>
      <c r="E921" s="244" t="s">
        <v>314</v>
      </c>
      <c r="F921" s="245" t="s">
        <v>315</v>
      </c>
      <c r="H921" s="241" t="s">
        <v>313</v>
      </c>
      <c r="I921" s="242" t="s">
        <v>6</v>
      </c>
      <c r="J921" s="243" t="s">
        <v>25</v>
      </c>
      <c r="K921" s="244" t="s">
        <v>314</v>
      </c>
      <c r="L921" s="245" t="s">
        <v>315</v>
      </c>
      <c r="N921" s="241" t="s">
        <v>313</v>
      </c>
      <c r="O921" s="242" t="s">
        <v>6</v>
      </c>
      <c r="P921" s="243" t="s">
        <v>25</v>
      </c>
      <c r="Q921" s="244" t="s">
        <v>314</v>
      </c>
      <c r="R921" s="245" t="s">
        <v>315</v>
      </c>
    </row>
    <row r="922" spans="2:19">
      <c r="B922" s="170" t="s">
        <v>182</v>
      </c>
      <c r="C922" s="171">
        <f>VLOOKUP(B922,'RESUMEN RENDIMIENTOS'!$V$6:$W$158,2,FALSE)</f>
        <v>1400</v>
      </c>
      <c r="D922" s="177" t="s">
        <v>20</v>
      </c>
      <c r="E922" s="172">
        <v>247</v>
      </c>
      <c r="F922" s="175">
        <f t="shared" ref="F922:F937" si="87">IF(C922=0,0,(100/C922)*E922/$E$37)</f>
        <v>7.1428571428571425E-2</v>
      </c>
      <c r="G922" s="164">
        <f>+F922/F938</f>
        <v>1.3656114214773432E-2</v>
      </c>
      <c r="H922" s="170" t="s">
        <v>182</v>
      </c>
      <c r="I922" s="171">
        <f>VLOOKUP(H922,'RESUMEN RENDIMIENTOS'!$V$6:$W$158,2,FALSE)</f>
        <v>1400</v>
      </c>
      <c r="J922" s="177" t="s">
        <v>20</v>
      </c>
      <c r="K922" s="172">
        <v>247</v>
      </c>
      <c r="L922" s="175">
        <f t="shared" ref="L922:L937" si="88">IF(I922=0,0,(100/I922)*K922/$E$37)</f>
        <v>7.1428571428571425E-2</v>
      </c>
      <c r="M922" s="164">
        <f>+L922/L938</f>
        <v>2.5773195876288658E-2</v>
      </c>
      <c r="N922" s="170" t="s">
        <v>182</v>
      </c>
      <c r="O922" s="171">
        <f>VLOOKUP(N922,'RESUMEN RENDIMIENTOS'!$V$6:$W$158,2,FALSE)</f>
        <v>1400</v>
      </c>
      <c r="P922" s="177" t="s">
        <v>20</v>
      </c>
      <c r="Q922" s="172">
        <v>247</v>
      </c>
      <c r="R922" s="175">
        <f t="shared" ref="R922:R937" si="89">IF(O922=0,0,(100/O922)*Q922/$E$37)</f>
        <v>7.1428571428571425E-2</v>
      </c>
      <c r="S922" s="164">
        <f>+R922/R938</f>
        <v>2.3809523809523805E-2</v>
      </c>
    </row>
    <row r="923" spans="2:19">
      <c r="B923" s="170" t="s">
        <v>208</v>
      </c>
      <c r="C923" s="171">
        <f>VLOOKUP(B923,'RESUMEN RENDIMIENTOS'!$V$6:$W$158,2,FALSE)</f>
        <v>110</v>
      </c>
      <c r="D923" s="177" t="s">
        <v>20</v>
      </c>
      <c r="E923" s="172">
        <v>247</v>
      </c>
      <c r="F923" s="175">
        <f t="shared" si="87"/>
        <v>0.90909090909090906</v>
      </c>
      <c r="G923" s="174">
        <f>+F923/F938</f>
        <v>0.17380509000620734</v>
      </c>
      <c r="H923" s="170" t="s">
        <v>201</v>
      </c>
      <c r="I923" s="171">
        <f>VLOOKUP(H923,'RESUMEN RENDIMIENTOS'!$V$6:$W$158,2,FALSE)</f>
        <v>500</v>
      </c>
      <c r="J923" s="177" t="s">
        <v>20</v>
      </c>
      <c r="K923" s="172">
        <v>247</v>
      </c>
      <c r="L923" s="175">
        <f t="shared" si="88"/>
        <v>0.2</v>
      </c>
      <c r="M923" s="174">
        <f>+L923/L938</f>
        <v>7.2164948453608255E-2</v>
      </c>
      <c r="N923" s="170" t="s">
        <v>188</v>
      </c>
      <c r="O923" s="171">
        <f>VLOOKUP(N923,'RESUMEN RENDIMIENTOS'!$V$6:$W$158,2,FALSE)</f>
        <v>35</v>
      </c>
      <c r="P923" s="177" t="s">
        <v>20</v>
      </c>
      <c r="Q923" s="172">
        <v>247</v>
      </c>
      <c r="R923" s="175">
        <f t="shared" si="89"/>
        <v>2.8571428571428572</v>
      </c>
      <c r="S923" s="174">
        <f>+R923/R938</f>
        <v>0.95238095238095222</v>
      </c>
    </row>
    <row r="924" spans="2:19">
      <c r="B924" s="170" t="s">
        <v>172</v>
      </c>
      <c r="C924" s="171">
        <f>VLOOKUP(B924,'RESUMEN RENDIMIENTOS'!$V$6:$W$158,2,FALSE)</f>
        <v>200</v>
      </c>
      <c r="D924" s="177" t="s">
        <v>20</v>
      </c>
      <c r="E924" s="172">
        <v>247</v>
      </c>
      <c r="F924" s="175">
        <f t="shared" si="87"/>
        <v>0.5</v>
      </c>
      <c r="G924" s="174">
        <f>+F924/F938</f>
        <v>9.5592799503414025E-2</v>
      </c>
      <c r="H924" s="170" t="s">
        <v>27</v>
      </c>
      <c r="I924" s="171">
        <f>VLOOKUP(H924,'RESUMEN RENDIMIENTOS'!$V$6:$W$158,2,FALSE)</f>
        <v>40</v>
      </c>
      <c r="J924" s="177" t="s">
        <v>20</v>
      </c>
      <c r="K924" s="172">
        <v>247</v>
      </c>
      <c r="L924" s="175">
        <f>IF(I924=0,0,(100/I924)*K924/$E$37)</f>
        <v>2.5</v>
      </c>
      <c r="M924" s="174">
        <f>+L924/L938</f>
        <v>0.90206185567010311</v>
      </c>
      <c r="N924" s="170" t="s">
        <v>182</v>
      </c>
      <c r="O924" s="171">
        <f>VLOOKUP(N924,'RESUMEN RENDIMIENTOS'!$V$6:$W$158,2,FALSE)</f>
        <v>1400</v>
      </c>
      <c r="P924" s="177" t="s">
        <v>20</v>
      </c>
      <c r="Q924" s="172">
        <v>247</v>
      </c>
      <c r="R924" s="175">
        <f t="shared" si="89"/>
        <v>7.1428571428571425E-2</v>
      </c>
      <c r="S924" s="174">
        <f>+R924/R938</f>
        <v>2.3809523809523805E-2</v>
      </c>
    </row>
    <row r="925" spans="2:19" ht="23.25" customHeight="1">
      <c r="B925" s="170" t="s">
        <v>250</v>
      </c>
      <c r="C925" s="171">
        <f>VLOOKUP(B925,'RESUMEN RENDIMIENTOS'!$V$6:$W$158,2,FALSE)</f>
        <v>80</v>
      </c>
      <c r="D925" s="177" t="s">
        <v>20</v>
      </c>
      <c r="E925" s="172">
        <v>247</v>
      </c>
      <c r="F925" s="175">
        <f t="shared" si="87"/>
        <v>1.25</v>
      </c>
      <c r="G925" s="174">
        <f>+F925/F938</f>
        <v>0.23898199875853507</v>
      </c>
      <c r="H925" s="170">
        <v>0</v>
      </c>
      <c r="I925" s="171">
        <f>VLOOKUP(H925,'RESUMEN RENDIMIENTOS'!$V$6:$W$158,2,FALSE)</f>
        <v>0</v>
      </c>
      <c r="J925" s="177"/>
      <c r="K925" s="172" t="s">
        <v>337</v>
      </c>
      <c r="L925" s="175">
        <f t="shared" si="88"/>
        <v>0</v>
      </c>
      <c r="M925" s="174">
        <f>+L925/L938</f>
        <v>0</v>
      </c>
      <c r="N925" s="170">
        <v>0</v>
      </c>
      <c r="O925" s="171">
        <f>VLOOKUP(N925,'RESUMEN RENDIMIENTOS'!$V$6:$W$158,2,FALSE)</f>
        <v>0</v>
      </c>
      <c r="P925" s="177"/>
      <c r="Q925" s="172" t="s">
        <v>337</v>
      </c>
      <c r="R925" s="175">
        <f t="shared" si="89"/>
        <v>0</v>
      </c>
      <c r="S925" s="174">
        <f>+R925/R938</f>
        <v>0</v>
      </c>
    </row>
    <row r="926" spans="2:19">
      <c r="B926" s="170" t="s">
        <v>27</v>
      </c>
      <c r="C926" s="171">
        <f>VLOOKUP(B926,'RESUMEN RENDIMIENTOS'!$V$6:$W$158,2,FALSE)</f>
        <v>40</v>
      </c>
      <c r="D926" s="177" t="s">
        <v>20</v>
      </c>
      <c r="E926" s="172">
        <v>247</v>
      </c>
      <c r="F926" s="175">
        <f t="shared" si="87"/>
        <v>2.5</v>
      </c>
      <c r="G926" s="174">
        <f>+F926/F938</f>
        <v>0.47796399751707014</v>
      </c>
      <c r="H926" s="170">
        <v>0</v>
      </c>
      <c r="I926" s="171">
        <f>VLOOKUP(H926,'RESUMEN RENDIMIENTOS'!$V$6:$W$158,2,FALSE)</f>
        <v>0</v>
      </c>
      <c r="J926" s="177"/>
      <c r="K926" s="172" t="s">
        <v>337</v>
      </c>
      <c r="L926" s="175">
        <f t="shared" si="88"/>
        <v>0</v>
      </c>
      <c r="M926" s="174">
        <f>+L926/L938</f>
        <v>0</v>
      </c>
      <c r="N926" s="170">
        <v>0</v>
      </c>
      <c r="O926" s="171">
        <f>VLOOKUP(N926,'RESUMEN RENDIMIENTOS'!$V$6:$W$158,2,FALSE)</f>
        <v>0</v>
      </c>
      <c r="P926" s="177"/>
      <c r="Q926" s="172" t="s">
        <v>337</v>
      </c>
      <c r="R926" s="175">
        <f t="shared" si="89"/>
        <v>0</v>
      </c>
      <c r="S926" s="174">
        <f>+R926/R938</f>
        <v>0</v>
      </c>
    </row>
    <row r="927" spans="2:19">
      <c r="B927" s="170">
        <v>0</v>
      </c>
      <c r="C927" s="171">
        <f>VLOOKUP(B927,'RESUMEN RENDIMIENTOS'!$V$6:$W$158,2,FALSE)</f>
        <v>0</v>
      </c>
      <c r="D927" s="177"/>
      <c r="E927" s="172" t="s">
        <v>337</v>
      </c>
      <c r="F927" s="175">
        <f t="shared" si="87"/>
        <v>0</v>
      </c>
      <c r="G927" s="174">
        <f>+F927/F938</f>
        <v>0</v>
      </c>
      <c r="H927" s="170">
        <v>0</v>
      </c>
      <c r="I927" s="171">
        <f>VLOOKUP(H927,'RESUMEN RENDIMIENTOS'!$V$6:$W$158,2,FALSE)</f>
        <v>0</v>
      </c>
      <c r="J927" s="177"/>
      <c r="K927" s="172" t="s">
        <v>337</v>
      </c>
      <c r="L927" s="175">
        <f t="shared" si="88"/>
        <v>0</v>
      </c>
      <c r="M927" s="174">
        <f>+L927/L938</f>
        <v>0</v>
      </c>
      <c r="N927" s="170">
        <v>0</v>
      </c>
      <c r="O927" s="171">
        <f>VLOOKUP(N927,'RESUMEN RENDIMIENTOS'!$V$6:$W$158,2,FALSE)</f>
        <v>0</v>
      </c>
      <c r="P927" s="177"/>
      <c r="Q927" s="172" t="s">
        <v>337</v>
      </c>
      <c r="R927" s="175">
        <f t="shared" si="89"/>
        <v>0</v>
      </c>
      <c r="S927" s="174">
        <f>+R927/R938</f>
        <v>0</v>
      </c>
    </row>
    <row r="928" spans="2:19">
      <c r="B928" s="170">
        <v>0</v>
      </c>
      <c r="C928" s="171">
        <f>VLOOKUP(B928,'RESUMEN RENDIMIENTOS'!$V$6:$W$158,2,FALSE)</f>
        <v>0</v>
      </c>
      <c r="D928" s="177"/>
      <c r="E928" s="172" t="s">
        <v>337</v>
      </c>
      <c r="F928" s="175">
        <f t="shared" si="87"/>
        <v>0</v>
      </c>
      <c r="G928" s="174">
        <f>+F928/F938</f>
        <v>0</v>
      </c>
      <c r="H928" s="170">
        <v>0</v>
      </c>
      <c r="I928" s="171">
        <f>VLOOKUP(H928,'RESUMEN RENDIMIENTOS'!$V$6:$W$158,2,FALSE)</f>
        <v>0</v>
      </c>
      <c r="J928" s="177"/>
      <c r="K928" s="172" t="s">
        <v>337</v>
      </c>
      <c r="L928" s="175">
        <f t="shared" si="88"/>
        <v>0</v>
      </c>
      <c r="M928" s="174">
        <f>+L928/L938</f>
        <v>0</v>
      </c>
      <c r="N928" s="170">
        <v>0</v>
      </c>
      <c r="O928" s="171">
        <f>VLOOKUP(N928,'RESUMEN RENDIMIENTOS'!$V$6:$W$158,2,FALSE)</f>
        <v>0</v>
      </c>
      <c r="P928" s="177"/>
      <c r="Q928" s="172" t="s">
        <v>337</v>
      </c>
      <c r="R928" s="175">
        <f t="shared" si="89"/>
        <v>0</v>
      </c>
      <c r="S928" s="174">
        <f>+R928/R938</f>
        <v>0</v>
      </c>
    </row>
    <row r="929" spans="2:19">
      <c r="B929" s="170">
        <v>0</v>
      </c>
      <c r="C929" s="171">
        <f>VLOOKUP(B929,'RESUMEN RENDIMIENTOS'!$V$6:$W$158,2,FALSE)</f>
        <v>0</v>
      </c>
      <c r="D929" s="177"/>
      <c r="E929" s="172" t="s">
        <v>337</v>
      </c>
      <c r="F929" s="175">
        <f t="shared" si="87"/>
        <v>0</v>
      </c>
      <c r="G929" s="174">
        <f>+F929/F938</f>
        <v>0</v>
      </c>
      <c r="H929" s="170">
        <v>0</v>
      </c>
      <c r="I929" s="171">
        <f>VLOOKUP(H929,'RESUMEN RENDIMIENTOS'!$V$6:$W$158,2,FALSE)</f>
        <v>0</v>
      </c>
      <c r="J929" s="177"/>
      <c r="K929" s="172" t="s">
        <v>337</v>
      </c>
      <c r="L929" s="175">
        <f t="shared" si="88"/>
        <v>0</v>
      </c>
      <c r="M929" s="174">
        <f>+L929/L938</f>
        <v>0</v>
      </c>
      <c r="N929" s="170">
        <v>0</v>
      </c>
      <c r="O929" s="171">
        <f>VLOOKUP(N929,'RESUMEN RENDIMIENTOS'!$V$6:$W$158,2,FALSE)</f>
        <v>0</v>
      </c>
      <c r="P929" s="177"/>
      <c r="Q929" s="172" t="s">
        <v>337</v>
      </c>
      <c r="R929" s="175">
        <f t="shared" si="89"/>
        <v>0</v>
      </c>
      <c r="S929" s="174">
        <f>+R929/R938</f>
        <v>0</v>
      </c>
    </row>
    <row r="930" spans="2:19">
      <c r="B930" s="170">
        <v>0</v>
      </c>
      <c r="C930" s="171">
        <f>VLOOKUP(B930,'RESUMEN RENDIMIENTOS'!$V$6:$W$158,2,FALSE)</f>
        <v>0</v>
      </c>
      <c r="D930" s="177"/>
      <c r="E930" s="172" t="s">
        <v>337</v>
      </c>
      <c r="F930" s="175">
        <f t="shared" si="87"/>
        <v>0</v>
      </c>
      <c r="G930" s="174">
        <f>+F930/F938</f>
        <v>0</v>
      </c>
      <c r="H930" s="170">
        <v>0</v>
      </c>
      <c r="I930" s="171">
        <f>VLOOKUP(H930,'RESUMEN RENDIMIENTOS'!$V$6:$W$158,2,FALSE)</f>
        <v>0</v>
      </c>
      <c r="J930" s="177"/>
      <c r="K930" s="172" t="s">
        <v>337</v>
      </c>
      <c r="L930" s="175">
        <f t="shared" si="88"/>
        <v>0</v>
      </c>
      <c r="M930" s="174">
        <f>+L930/L938</f>
        <v>0</v>
      </c>
      <c r="N930" s="170">
        <v>0</v>
      </c>
      <c r="O930" s="171">
        <f>VLOOKUP(N930,'RESUMEN RENDIMIENTOS'!$V$6:$W$158,2,FALSE)</f>
        <v>0</v>
      </c>
      <c r="P930" s="177"/>
      <c r="Q930" s="172" t="s">
        <v>337</v>
      </c>
      <c r="R930" s="175">
        <f t="shared" si="89"/>
        <v>0</v>
      </c>
      <c r="S930" s="174">
        <f>+R930/R938</f>
        <v>0</v>
      </c>
    </row>
    <row r="931" spans="2:19">
      <c r="B931" s="170">
        <v>0</v>
      </c>
      <c r="C931" s="171">
        <f>VLOOKUP(B931,'RESUMEN RENDIMIENTOS'!$V$6:$W$158,2,FALSE)</f>
        <v>0</v>
      </c>
      <c r="D931" s="177"/>
      <c r="E931" s="172" t="s">
        <v>337</v>
      </c>
      <c r="F931" s="175">
        <f t="shared" si="87"/>
        <v>0</v>
      </c>
      <c r="G931" s="174">
        <f>+F931/F938</f>
        <v>0</v>
      </c>
      <c r="H931" s="170">
        <v>0</v>
      </c>
      <c r="I931" s="171">
        <f>VLOOKUP(H931,'RESUMEN RENDIMIENTOS'!$V$6:$W$158,2,FALSE)</f>
        <v>0</v>
      </c>
      <c r="J931" s="177"/>
      <c r="K931" s="172" t="s">
        <v>337</v>
      </c>
      <c r="L931" s="175">
        <f t="shared" si="88"/>
        <v>0</v>
      </c>
      <c r="M931" s="174">
        <f>+L931/L938</f>
        <v>0</v>
      </c>
      <c r="N931" s="170">
        <v>0</v>
      </c>
      <c r="O931" s="171">
        <f>VLOOKUP(N931,'RESUMEN RENDIMIENTOS'!$V$6:$W$158,2,FALSE)</f>
        <v>0</v>
      </c>
      <c r="P931" s="177"/>
      <c r="Q931" s="172" t="s">
        <v>337</v>
      </c>
      <c r="R931" s="175">
        <f t="shared" si="89"/>
        <v>0</v>
      </c>
      <c r="S931" s="174">
        <f>+R931/R938</f>
        <v>0</v>
      </c>
    </row>
    <row r="932" spans="2:19">
      <c r="B932" s="170">
        <v>0</v>
      </c>
      <c r="C932" s="171">
        <f>VLOOKUP(B932,'RESUMEN RENDIMIENTOS'!$V$6:$W$158,2,FALSE)</f>
        <v>0</v>
      </c>
      <c r="D932" s="177"/>
      <c r="E932" s="172" t="s">
        <v>337</v>
      </c>
      <c r="F932" s="175">
        <f t="shared" si="87"/>
        <v>0</v>
      </c>
      <c r="G932" s="174">
        <f>+F932/F938</f>
        <v>0</v>
      </c>
      <c r="H932" s="170">
        <v>0</v>
      </c>
      <c r="I932" s="171">
        <f>VLOOKUP(H932,'RESUMEN RENDIMIENTOS'!$V$6:$W$158,2,FALSE)</f>
        <v>0</v>
      </c>
      <c r="J932" s="177"/>
      <c r="K932" s="172" t="s">
        <v>337</v>
      </c>
      <c r="L932" s="175">
        <f t="shared" si="88"/>
        <v>0</v>
      </c>
      <c r="M932" s="174">
        <f>+L932/L938</f>
        <v>0</v>
      </c>
      <c r="N932" s="170">
        <v>0</v>
      </c>
      <c r="O932" s="171">
        <f>VLOOKUP(N932,'RESUMEN RENDIMIENTOS'!$V$6:$W$158,2,FALSE)</f>
        <v>0</v>
      </c>
      <c r="P932" s="177"/>
      <c r="Q932" s="172" t="s">
        <v>337</v>
      </c>
      <c r="R932" s="175">
        <f t="shared" si="89"/>
        <v>0</v>
      </c>
      <c r="S932" s="174">
        <f>+R932/R938</f>
        <v>0</v>
      </c>
    </row>
    <row r="933" spans="2:19">
      <c r="B933" s="170">
        <v>0</v>
      </c>
      <c r="C933" s="171">
        <f>VLOOKUP(B933,'RESUMEN RENDIMIENTOS'!$V$6:$W$158,2,FALSE)</f>
        <v>0</v>
      </c>
      <c r="D933" s="177"/>
      <c r="E933" s="172" t="s">
        <v>337</v>
      </c>
      <c r="F933" s="175">
        <f t="shared" si="87"/>
        <v>0</v>
      </c>
      <c r="G933" s="174">
        <f>+F933/F938</f>
        <v>0</v>
      </c>
      <c r="H933" s="170">
        <v>0</v>
      </c>
      <c r="I933" s="171">
        <f>VLOOKUP(H933,'RESUMEN RENDIMIENTOS'!$V$6:$W$158,2,FALSE)</f>
        <v>0</v>
      </c>
      <c r="J933" s="177"/>
      <c r="K933" s="172" t="s">
        <v>337</v>
      </c>
      <c r="L933" s="175">
        <f t="shared" si="88"/>
        <v>0</v>
      </c>
      <c r="M933" s="174">
        <f>+L933/L938</f>
        <v>0</v>
      </c>
      <c r="N933" s="170">
        <v>0</v>
      </c>
      <c r="O933" s="171">
        <f>VLOOKUP(N933,'RESUMEN RENDIMIENTOS'!$V$6:$W$158,2,FALSE)</f>
        <v>0</v>
      </c>
      <c r="P933" s="177"/>
      <c r="Q933" s="172" t="s">
        <v>337</v>
      </c>
      <c r="R933" s="175">
        <f t="shared" si="89"/>
        <v>0</v>
      </c>
      <c r="S933" s="174">
        <f>+R933/R938</f>
        <v>0</v>
      </c>
    </row>
    <row r="934" spans="2:19">
      <c r="B934" s="170">
        <v>0</v>
      </c>
      <c r="C934" s="171">
        <f>VLOOKUP(B934,'RESUMEN RENDIMIENTOS'!$V$6:$W$158,2,FALSE)</f>
        <v>0</v>
      </c>
      <c r="D934" s="177"/>
      <c r="E934" s="172" t="s">
        <v>337</v>
      </c>
      <c r="F934" s="175">
        <f t="shared" si="87"/>
        <v>0</v>
      </c>
      <c r="G934" s="174">
        <f>+F934/F938</f>
        <v>0</v>
      </c>
      <c r="H934" s="170">
        <v>0</v>
      </c>
      <c r="I934" s="171">
        <f>VLOOKUP(H934,'RESUMEN RENDIMIENTOS'!$V$6:$W$158,2,FALSE)</f>
        <v>0</v>
      </c>
      <c r="J934" s="177"/>
      <c r="K934" s="172" t="s">
        <v>337</v>
      </c>
      <c r="L934" s="175">
        <f t="shared" si="88"/>
        <v>0</v>
      </c>
      <c r="M934" s="174">
        <f>+L934/L938</f>
        <v>0</v>
      </c>
      <c r="N934" s="170">
        <v>0</v>
      </c>
      <c r="O934" s="171">
        <f>VLOOKUP(N934,'RESUMEN RENDIMIENTOS'!$V$6:$W$158,2,FALSE)</f>
        <v>0</v>
      </c>
      <c r="P934" s="177"/>
      <c r="Q934" s="172" t="s">
        <v>337</v>
      </c>
      <c r="R934" s="175">
        <f t="shared" si="89"/>
        <v>0</v>
      </c>
      <c r="S934" s="174">
        <f>+R934/R938</f>
        <v>0</v>
      </c>
    </row>
    <row r="935" spans="2:19">
      <c r="B935" s="170">
        <v>0</v>
      </c>
      <c r="C935" s="171">
        <f>VLOOKUP(B935,'RESUMEN RENDIMIENTOS'!$V$6:$W$158,2,FALSE)</f>
        <v>0</v>
      </c>
      <c r="D935" s="177"/>
      <c r="E935" s="172" t="s">
        <v>337</v>
      </c>
      <c r="F935" s="175">
        <f t="shared" si="87"/>
        <v>0</v>
      </c>
      <c r="G935" s="174">
        <f>+F935/F938</f>
        <v>0</v>
      </c>
      <c r="H935" s="170">
        <v>0</v>
      </c>
      <c r="I935" s="171">
        <f>VLOOKUP(H935,'RESUMEN RENDIMIENTOS'!$V$6:$W$158,2,FALSE)</f>
        <v>0</v>
      </c>
      <c r="J935" s="177"/>
      <c r="K935" s="172" t="s">
        <v>337</v>
      </c>
      <c r="L935" s="175">
        <f t="shared" si="88"/>
        <v>0</v>
      </c>
      <c r="M935" s="174">
        <f>+L935/L938</f>
        <v>0</v>
      </c>
      <c r="N935" s="170">
        <v>0</v>
      </c>
      <c r="O935" s="171">
        <f>VLOOKUP(N935,'RESUMEN RENDIMIENTOS'!$V$6:$W$158,2,FALSE)</f>
        <v>0</v>
      </c>
      <c r="P935" s="177"/>
      <c r="Q935" s="172" t="s">
        <v>337</v>
      </c>
      <c r="R935" s="175">
        <f t="shared" si="89"/>
        <v>0</v>
      </c>
      <c r="S935" s="174">
        <f>+R935/R938</f>
        <v>0</v>
      </c>
    </row>
    <row r="936" spans="2:19">
      <c r="B936" s="170">
        <v>0</v>
      </c>
      <c r="C936" s="171">
        <f>VLOOKUP(B936,'RESUMEN RENDIMIENTOS'!$V$6:$W$158,2,FALSE)</f>
        <v>0</v>
      </c>
      <c r="D936" s="177"/>
      <c r="E936" s="172" t="s">
        <v>337</v>
      </c>
      <c r="F936" s="175">
        <f t="shared" si="87"/>
        <v>0</v>
      </c>
      <c r="G936" s="174">
        <f>+F936/F938</f>
        <v>0</v>
      </c>
      <c r="H936" s="170">
        <v>0</v>
      </c>
      <c r="I936" s="171">
        <f>VLOOKUP(H936,'RESUMEN RENDIMIENTOS'!$V$6:$W$158,2,FALSE)</f>
        <v>0</v>
      </c>
      <c r="J936" s="177"/>
      <c r="K936" s="172" t="s">
        <v>337</v>
      </c>
      <c r="L936" s="175">
        <f t="shared" si="88"/>
        <v>0</v>
      </c>
      <c r="M936" s="174">
        <f>+L936/L938</f>
        <v>0</v>
      </c>
      <c r="N936" s="170">
        <v>0</v>
      </c>
      <c r="O936" s="171">
        <f>VLOOKUP(N936,'RESUMEN RENDIMIENTOS'!$V$6:$W$158,2,FALSE)</f>
        <v>0</v>
      </c>
      <c r="P936" s="177"/>
      <c r="Q936" s="172" t="s">
        <v>337</v>
      </c>
      <c r="R936" s="175">
        <f t="shared" si="89"/>
        <v>0</v>
      </c>
      <c r="S936" s="174">
        <f>+R936/R938</f>
        <v>0</v>
      </c>
    </row>
    <row r="937" spans="2:19">
      <c r="B937" s="170">
        <v>0</v>
      </c>
      <c r="C937" s="171">
        <f>VLOOKUP(B937,'RESUMEN RENDIMIENTOS'!$V$6:$W$158,2,FALSE)</f>
        <v>0</v>
      </c>
      <c r="D937" s="177"/>
      <c r="E937" s="172" t="s">
        <v>337</v>
      </c>
      <c r="F937" s="173">
        <f t="shared" si="87"/>
        <v>0</v>
      </c>
      <c r="G937" s="174">
        <f>+F937/F938</f>
        <v>0</v>
      </c>
      <c r="H937" s="170">
        <v>0</v>
      </c>
      <c r="I937" s="171">
        <f>VLOOKUP(H937,'RESUMEN RENDIMIENTOS'!$V$6:$W$158,2,FALSE)</f>
        <v>0</v>
      </c>
      <c r="J937" s="177"/>
      <c r="K937" s="172" t="s">
        <v>337</v>
      </c>
      <c r="L937" s="173">
        <f t="shared" si="88"/>
        <v>0</v>
      </c>
      <c r="M937" s="174">
        <f>+L937/L938</f>
        <v>0</v>
      </c>
      <c r="N937" s="170">
        <v>0</v>
      </c>
      <c r="O937" s="171">
        <f>VLOOKUP(N937,'RESUMEN RENDIMIENTOS'!$V$6:$W$158,2,FALSE)</f>
        <v>0</v>
      </c>
      <c r="P937" s="177"/>
      <c r="Q937" s="172" t="s">
        <v>337</v>
      </c>
      <c r="R937" s="175">
        <f t="shared" si="89"/>
        <v>0</v>
      </c>
      <c r="S937" s="174">
        <f>+R937/R938</f>
        <v>0</v>
      </c>
    </row>
    <row r="938" spans="2:19" ht="25" thickBot="1">
      <c r="B938" s="178"/>
      <c r="E938" s="90"/>
      <c r="F938" s="173">
        <f>SUM(F922:F937)</f>
        <v>5.2305194805194803</v>
      </c>
      <c r="G938" s="181">
        <f>+F938/F938</f>
        <v>1</v>
      </c>
      <c r="H938" s="178"/>
      <c r="I938" s="179"/>
      <c r="J938" s="182" t="s">
        <v>24</v>
      </c>
      <c r="K938" s="90"/>
      <c r="L938" s="173">
        <f>SUM(L922:L937)</f>
        <v>2.7714285714285714</v>
      </c>
      <c r="M938" s="181">
        <f>+L938/L938</f>
        <v>1</v>
      </c>
      <c r="N938" s="178"/>
      <c r="O938" s="179"/>
      <c r="Q938" s="90"/>
      <c r="R938" s="175">
        <f>SUM(R922:R937)</f>
        <v>3.0000000000000004</v>
      </c>
      <c r="S938" s="181">
        <f>+R938/R938</f>
        <v>1</v>
      </c>
    </row>
    <row r="939" spans="2:19" ht="27" customHeight="1">
      <c r="B939" s="427" t="s">
        <v>317</v>
      </c>
      <c r="C939" s="428"/>
      <c r="D939" s="429"/>
      <c r="E939" s="185">
        <v>0.12</v>
      </c>
      <c r="F939" s="173">
        <f>+F938*E939</f>
        <v>0.62766233766233759</v>
      </c>
      <c r="H939" s="427" t="s">
        <v>317</v>
      </c>
      <c r="I939" s="428"/>
      <c r="J939" s="429"/>
      <c r="K939" s="185">
        <v>0.12</v>
      </c>
      <c r="L939" s="173">
        <f>+L938*K939</f>
        <v>0.33257142857142857</v>
      </c>
      <c r="N939" s="427" t="s">
        <v>317</v>
      </c>
      <c r="O939" s="428"/>
      <c r="P939" s="429"/>
      <c r="Q939" s="185">
        <v>0.12</v>
      </c>
      <c r="R939" s="175">
        <f>+R938*Q939</f>
        <v>0.36000000000000004</v>
      </c>
    </row>
    <row r="940" spans="2:19" ht="18" customHeight="1">
      <c r="B940" s="178"/>
      <c r="F940" s="173">
        <f>+F939+F938</f>
        <v>5.8581818181818175</v>
      </c>
      <c r="G940" s="187">
        <f>+F940/24</f>
        <v>0.24409090909090905</v>
      </c>
      <c r="H940" s="178"/>
      <c r="I940" s="179"/>
      <c r="K940" s="88"/>
      <c r="L940" s="173">
        <f>+L939+L938</f>
        <v>3.1040000000000001</v>
      </c>
      <c r="M940" s="187">
        <f>+L940/24</f>
        <v>0.12933333333333333</v>
      </c>
      <c r="N940" s="178"/>
      <c r="O940" s="179"/>
      <c r="R940" s="175">
        <f>+R939+R938</f>
        <v>3.3600000000000003</v>
      </c>
      <c r="S940" s="187">
        <f>+R940/24</f>
        <v>0.14000000000000001</v>
      </c>
    </row>
    <row r="941" spans="2:19">
      <c r="B941" s="178"/>
      <c r="D941" s="188"/>
      <c r="F941" s="189"/>
      <c r="H941" s="178"/>
      <c r="I941" s="179"/>
      <c r="J941" s="188"/>
      <c r="K941" s="88"/>
      <c r="L941" s="189"/>
      <c r="N941" s="178"/>
      <c r="O941" s="179"/>
      <c r="P941" s="188"/>
      <c r="R941" s="189"/>
    </row>
    <row r="942" spans="2:19" ht="21">
      <c r="B942" s="191" t="s">
        <v>318</v>
      </c>
      <c r="C942" s="192"/>
      <c r="D942" s="192"/>
      <c r="E942" s="444">
        <f>IF(F940=0,0,(100/F940))</f>
        <v>17.070142768466791</v>
      </c>
      <c r="F942" s="445"/>
      <c r="H942" s="191" t="s">
        <v>318</v>
      </c>
      <c r="I942" s="192"/>
      <c r="J942" s="192"/>
      <c r="K942" s="444">
        <f>IF(L940=0,0,(100/L940))</f>
        <v>32.21649484536082</v>
      </c>
      <c r="L942" s="445"/>
      <c r="N942" s="191" t="s">
        <v>318</v>
      </c>
      <c r="O942" s="192"/>
      <c r="P942" s="192"/>
      <c r="Q942" s="444">
        <f>IF(R940=0,0,(100/R940))</f>
        <v>29.761904761904759</v>
      </c>
      <c r="R942" s="445"/>
    </row>
    <row r="943" spans="2:19">
      <c r="B943" s="178"/>
      <c r="H943" s="178"/>
      <c r="I943" s="179"/>
      <c r="K943" s="88"/>
      <c r="L943" s="189"/>
      <c r="N943" s="178"/>
      <c r="O943" s="179"/>
      <c r="R943" s="189"/>
    </row>
    <row r="944" spans="2:19" ht="21">
      <c r="B944" s="446" t="s">
        <v>319</v>
      </c>
      <c r="C944" s="447"/>
      <c r="D944" s="447"/>
      <c r="E944" s="447"/>
      <c r="F944" s="448"/>
      <c r="H944" s="446" t="s">
        <v>319</v>
      </c>
      <c r="I944" s="447"/>
      <c r="J944" s="447"/>
      <c r="K944" s="447"/>
      <c r="L944" s="448"/>
      <c r="N944" s="446" t="s">
        <v>319</v>
      </c>
      <c r="O944" s="447"/>
      <c r="P944" s="447"/>
      <c r="Q944" s="447"/>
      <c r="R944" s="448"/>
    </row>
    <row r="945" spans="2:19" ht="18" customHeight="1">
      <c r="B945" s="194" t="s">
        <v>320</v>
      </c>
      <c r="C945" s="195"/>
      <c r="D945" s="435" t="s">
        <v>321</v>
      </c>
      <c r="E945" s="435"/>
      <c r="F945" s="196" t="s">
        <v>322</v>
      </c>
      <c r="H945" s="194" t="s">
        <v>320</v>
      </c>
      <c r="I945" s="195"/>
      <c r="J945" s="435" t="s">
        <v>321</v>
      </c>
      <c r="K945" s="435"/>
      <c r="L945" s="196" t="s">
        <v>322</v>
      </c>
      <c r="N945" s="194" t="s">
        <v>320</v>
      </c>
      <c r="O945" s="195"/>
      <c r="P945" s="435" t="s">
        <v>321</v>
      </c>
      <c r="Q945" s="435"/>
      <c r="R945" s="196" t="s">
        <v>322</v>
      </c>
    </row>
    <row r="946" spans="2:19">
      <c r="B946" s="197" t="s">
        <v>285</v>
      </c>
      <c r="C946" s="201">
        <v>3</v>
      </c>
      <c r="E946" s="199">
        <f>IF(C946=0,0,(VLOOKUP(B946,'RESUMEN RENDIMIENTOS'!$AB$6:$AO$64,13,FALSE)))*C946</f>
        <v>7.5</v>
      </c>
      <c r="F946" s="200">
        <f>IF(C946=0,0,(VLOOKUP(B946,'RESUMEN RENDIMIENTOS'!$AB$6:$AO$64,14,FALSE)))*C946</f>
        <v>3.5999999999999996</v>
      </c>
      <c r="H946" s="197"/>
      <c r="I946" s="201"/>
      <c r="K946" s="199">
        <f>IF(I946=0,0,(VLOOKUP(H946,'RESUMEN RENDIMIENTOS'!$AB$6:$AO$64,13,FALSE)))*I946</f>
        <v>0</v>
      </c>
      <c r="L946" s="200">
        <f>IF(I946=0,0,(VLOOKUP(H946,'RESUMEN RENDIMIENTOS'!$AB$6:$AO$64,14,FALSE)))*I946</f>
        <v>0</v>
      </c>
      <c r="N946" s="197" t="s">
        <v>290</v>
      </c>
      <c r="O946" s="201">
        <v>1</v>
      </c>
      <c r="Q946" s="199">
        <f>IF(O946=0,0,(VLOOKUP(N946,'RESUMEN RENDIMIENTOS'!$AB$6:$AO$64,13,FALSE)))*O946</f>
        <v>4</v>
      </c>
      <c r="R946" s="200">
        <f>IF(O946=0,0,(VLOOKUP(N946,'RESUMEN RENDIMIENTOS'!$AB$6:$AO$64,14,FALSE)))*O946</f>
        <v>3.2</v>
      </c>
    </row>
    <row r="947" spans="2:19">
      <c r="B947" s="197" t="s">
        <v>300</v>
      </c>
      <c r="C947" s="201">
        <v>1</v>
      </c>
      <c r="E947" s="199">
        <f>IF(C947=0,0,(VLOOKUP(B947,'RESUMEN RENDIMIENTOS'!$AB$6:$AO$64,13,FALSE)))*C947</f>
        <v>2.5</v>
      </c>
      <c r="F947" s="200">
        <f>IF(C947=0,0,(VLOOKUP(B947,'RESUMEN RENDIMIENTOS'!$AB$6:$AO$64,14,FALSE)))*C947</f>
        <v>0.6</v>
      </c>
      <c r="H947" s="197"/>
      <c r="I947" s="201"/>
      <c r="K947" s="199">
        <f>IF(I947=0,0,(VLOOKUP(H947,'RESUMEN RENDIMIENTOS'!$AB$6:$AO$64,13,FALSE)))*I947</f>
        <v>0</v>
      </c>
      <c r="L947" s="200">
        <f>IF(I947=0,0,(VLOOKUP(H947,'RESUMEN RENDIMIENTOS'!$AB$6:$AO$64,14,FALSE)))*I947</f>
        <v>0</v>
      </c>
      <c r="N947" s="197" t="s">
        <v>279</v>
      </c>
      <c r="O947" s="179"/>
      <c r="Q947" s="199">
        <f>IF(O947=0,0,(VLOOKUP(N947,'RESUMEN RENDIMIENTOS'!$AB$6:$AO$64,13,FALSE)))*O947</f>
        <v>0</v>
      </c>
      <c r="R947" s="200">
        <f>IF(O947=0,0,(VLOOKUP(N947,'RESUMEN RENDIMIENTOS'!$AB$6:$AO$64,14,FALSE)))*O947</f>
        <v>0</v>
      </c>
    </row>
    <row r="948" spans="2:19">
      <c r="B948" s="197" t="s">
        <v>291</v>
      </c>
      <c r="C948" s="201">
        <v>1</v>
      </c>
      <c r="E948" s="199">
        <f>IF(C948=0,0,(VLOOKUP(B948,'RESUMEN RENDIMIENTOS'!$AB$6:$AO$64,13,FALSE)))*C948</f>
        <v>7.5</v>
      </c>
      <c r="F948" s="200">
        <f>IF(C948=0,0,(VLOOKUP(B948,'RESUMEN RENDIMIENTOS'!$AB$6:$AO$64,14,FALSE)))*C948</f>
        <v>30</v>
      </c>
      <c r="H948" s="197" t="s">
        <v>291</v>
      </c>
      <c r="I948" s="201">
        <v>1</v>
      </c>
      <c r="K948" s="199">
        <f>IF(I948=0,0,(VLOOKUP(H948,'RESUMEN RENDIMIENTOS'!$AB$6:$AO$64,13,FALSE)))*I948</f>
        <v>7.5</v>
      </c>
      <c r="L948" s="200">
        <f>IF(I948=0,0,(VLOOKUP(H948,'RESUMEN RENDIMIENTOS'!$AB$6:$AO$64,14,FALSE)))*I948</f>
        <v>30</v>
      </c>
      <c r="N948" s="197" t="s">
        <v>284</v>
      </c>
      <c r="O948" s="179"/>
      <c r="Q948" s="199">
        <f>IF(O948=0,0,(VLOOKUP(N948,'RESUMEN RENDIMIENTOS'!$AB$6:$AO$64,13,FALSE)))*O948</f>
        <v>0</v>
      </c>
      <c r="R948" s="200">
        <f>IF(O948=0,0,(VLOOKUP(N948,'RESUMEN RENDIMIENTOS'!$AB$6:$AO$64,14,FALSE)))*O948</f>
        <v>0</v>
      </c>
    </row>
    <row r="949" spans="2:19">
      <c r="B949" s="197"/>
      <c r="C949" s="201"/>
      <c r="E949" s="199">
        <f>IF(C949=0,0,(VLOOKUP(B949,'RESUMEN RENDIMIENTOS'!$AB$6:$AO$64,13,FALSE)))*C949</f>
        <v>0</v>
      </c>
      <c r="F949" s="200">
        <f>IF(C949=0,0,(VLOOKUP(B949,'RESUMEN RENDIMIENTOS'!$AB$6:$AO$64,14,FALSE)))*C949</f>
        <v>0</v>
      </c>
      <c r="H949" s="197"/>
      <c r="I949" s="201"/>
      <c r="K949" s="199">
        <f>IF(I949=0,0,(VLOOKUP(H949,'RESUMEN RENDIMIENTOS'!$AB$6:$AO$64,13,FALSE)))*I949</f>
        <v>0</v>
      </c>
      <c r="L949" s="200">
        <f>IF(I949=0,0,(VLOOKUP(H949,'RESUMEN RENDIMIENTOS'!$AB$6:$AO$64,14,FALSE)))*I949</f>
        <v>0</v>
      </c>
      <c r="N949" s="197" t="s">
        <v>283</v>
      </c>
      <c r="O949" s="179"/>
      <c r="Q949" s="199">
        <f>IF(O949=0,0,(VLOOKUP(N949,'RESUMEN RENDIMIENTOS'!$AB$6:$AO$64,13,FALSE)))*O949</f>
        <v>0</v>
      </c>
      <c r="R949" s="200">
        <f>IF(O949=0,0,(VLOOKUP(N949,'RESUMEN RENDIMIENTOS'!$AB$6:$AO$64,14,FALSE)))*O949</f>
        <v>0</v>
      </c>
    </row>
    <row r="950" spans="2:19">
      <c r="B950" s="197"/>
      <c r="C950" s="201"/>
      <c r="E950" s="199">
        <f>IF(C950=0,0,(VLOOKUP(B950,'RESUMEN RENDIMIENTOS'!$AB$6:$AO$64,13,FALSE)))*C950</f>
        <v>0</v>
      </c>
      <c r="F950" s="200">
        <f>IF(C950=0,0,(VLOOKUP(B950,'RESUMEN RENDIMIENTOS'!$AB$6:$AO$64,14,FALSE)))*C950</f>
        <v>0</v>
      </c>
      <c r="H950" s="197"/>
      <c r="I950" s="201"/>
      <c r="K950" s="199">
        <f>IF(I950=0,0,(VLOOKUP(H950,'RESUMEN RENDIMIENTOS'!$AB$6:$AO$64,13,FALSE)))*I950</f>
        <v>0</v>
      </c>
      <c r="L950" s="200">
        <f>IF(I950=0,0,(VLOOKUP(H950,'RESUMEN RENDIMIENTOS'!$AB$6:$AO$64,14,FALSE)))*I950</f>
        <v>0</v>
      </c>
      <c r="N950" s="197" t="s">
        <v>282</v>
      </c>
      <c r="O950" s="179"/>
      <c r="Q950" s="199">
        <f>IF(O950=0,0,(VLOOKUP(N950,'RESUMEN RENDIMIENTOS'!$AB$6:$AO$64,13,FALSE)))*O950</f>
        <v>0</v>
      </c>
      <c r="R950" s="200">
        <f>IF(O950=0,0,(VLOOKUP(N950,'RESUMEN RENDIMIENTOS'!$AB$6:$AO$64,14,FALSE)))*O950</f>
        <v>0</v>
      </c>
    </row>
    <row r="951" spans="2:19">
      <c r="B951" s="197" t="s">
        <v>302</v>
      </c>
      <c r="C951" s="201">
        <v>3</v>
      </c>
      <c r="E951" s="199">
        <f>IF(C951=0,0,(VLOOKUP(B951,'RESUMEN RENDIMIENTOS'!$AB$6:$AO$64,13,FALSE)))*C951</f>
        <v>3</v>
      </c>
      <c r="F951" s="200">
        <f>IF(C951=0,0,(VLOOKUP(B951,'RESUMEN RENDIMIENTOS'!$AB$6:$AO$64,14,FALSE)))*C951</f>
        <v>0.60000000000000009</v>
      </c>
      <c r="H951" s="197" t="s">
        <v>302</v>
      </c>
      <c r="I951" s="201">
        <v>3</v>
      </c>
      <c r="K951" s="199">
        <f>IF(I951=0,0,(VLOOKUP(H951,'RESUMEN RENDIMIENTOS'!$AB$6:$AO$64,13,FALSE)))*I951</f>
        <v>3</v>
      </c>
      <c r="L951" s="200">
        <f>IF(I951=0,0,(VLOOKUP(H951,'RESUMEN RENDIMIENTOS'!$AB$6:$AO$64,14,FALSE)))*I951</f>
        <v>0.60000000000000009</v>
      </c>
      <c r="N951" s="197" t="s">
        <v>302</v>
      </c>
      <c r="O951" s="203">
        <v>5</v>
      </c>
      <c r="Q951" s="199">
        <f>IF(O951=0,0,(VLOOKUP(N951,'RESUMEN RENDIMIENTOS'!$AB$6:$AO$64,13,FALSE)))*O951</f>
        <v>5</v>
      </c>
      <c r="R951" s="200">
        <f>IF(O951=0,0,(VLOOKUP(N951,'RESUMEN RENDIMIENTOS'!$AB$6:$AO$64,14,FALSE)))*O951</f>
        <v>1</v>
      </c>
    </row>
    <row r="952" spans="2:19">
      <c r="B952" s="202"/>
      <c r="F952" s="204">
        <f>SUM(F946:F951)</f>
        <v>34.800000000000004</v>
      </c>
      <c r="G952" s="205">
        <f>+F952</f>
        <v>34.800000000000004</v>
      </c>
      <c r="H952" s="202"/>
      <c r="I952" s="179"/>
      <c r="K952" s="88"/>
      <c r="L952" s="206">
        <f>SUM(L946:L951)</f>
        <v>30.6</v>
      </c>
      <c r="M952" s="205">
        <f>+L952</f>
        <v>30.6</v>
      </c>
      <c r="N952" s="202"/>
      <c r="O952" s="179"/>
      <c r="R952" s="206">
        <f>SUM(R946:R951)</f>
        <v>4.2</v>
      </c>
      <c r="S952" s="205">
        <f>+R952</f>
        <v>4.2</v>
      </c>
    </row>
    <row r="953" spans="2:19" ht="11.25" customHeight="1">
      <c r="B953" s="436" t="s">
        <v>324</v>
      </c>
      <c r="C953" s="437"/>
      <c r="D953" s="437"/>
      <c r="E953" s="437"/>
      <c r="F953" s="437"/>
      <c r="G953" s="205"/>
      <c r="H953" s="436" t="s">
        <v>324</v>
      </c>
      <c r="I953" s="437"/>
      <c r="J953" s="437"/>
      <c r="K953" s="437"/>
      <c r="L953" s="455"/>
      <c r="M953" s="205"/>
      <c r="N953" s="436" t="s">
        <v>324</v>
      </c>
      <c r="O953" s="437"/>
      <c r="P953" s="437"/>
      <c r="Q953" s="437"/>
      <c r="R953" s="455"/>
      <c r="S953" s="205"/>
    </row>
    <row r="954" spans="2:19">
      <c r="B954" s="210" t="s">
        <v>325</v>
      </c>
      <c r="C954" s="211">
        <v>1</v>
      </c>
      <c r="D954" s="212">
        <v>21.712335174960327</v>
      </c>
      <c r="E954" s="213">
        <f>F940</f>
        <v>5.8581818181818175</v>
      </c>
      <c r="F954" s="214">
        <f>+IF(C954&gt;="",0,(D954*E954))</f>
        <v>127.19480715222211</v>
      </c>
      <c r="G954" s="215"/>
      <c r="H954" s="210" t="s">
        <v>325</v>
      </c>
      <c r="I954" s="211">
        <v>1</v>
      </c>
      <c r="J954" s="212">
        <v>21.712335174960327</v>
      </c>
      <c r="K954" s="213">
        <f>L940</f>
        <v>3.1040000000000001</v>
      </c>
      <c r="L954" s="216">
        <f>+IF(I954&gt;="",0,(J954*K954))</f>
        <v>67.395088383076853</v>
      </c>
      <c r="M954" s="215"/>
      <c r="N954" s="210" t="s">
        <v>325</v>
      </c>
      <c r="O954" s="211">
        <v>1</v>
      </c>
      <c r="P954" s="212">
        <v>21.712335174960327</v>
      </c>
      <c r="Q954" s="213">
        <f>R940</f>
        <v>3.3600000000000003</v>
      </c>
      <c r="R954" s="214">
        <f>+IF(O954&gt;="",0,(P954*Q954))</f>
        <v>72.953446187866703</v>
      </c>
      <c r="S954" s="215"/>
    </row>
    <row r="955" spans="2:19">
      <c r="B955" s="210" t="s">
        <v>326</v>
      </c>
      <c r="C955" s="211"/>
      <c r="D955" s="212">
        <f>+D954*25%</f>
        <v>5.4280837937400817</v>
      </c>
      <c r="E955" s="213">
        <f>F940</f>
        <v>5.8581818181818175</v>
      </c>
      <c r="F955" s="214">
        <f>+IF(C955= "",0,(D955*E955))</f>
        <v>0</v>
      </c>
      <c r="G955" s="215"/>
      <c r="H955" s="210" t="s">
        <v>326</v>
      </c>
      <c r="I955" s="211"/>
      <c r="J955" s="212">
        <f>+J954*25%</f>
        <v>5.4280837937400817</v>
      </c>
      <c r="K955" s="213">
        <f>L940</f>
        <v>3.1040000000000001</v>
      </c>
      <c r="L955" s="216">
        <f>+IF(I955= "",0,(J955*K955))</f>
        <v>0</v>
      </c>
      <c r="M955" s="215"/>
      <c r="N955" s="210" t="s">
        <v>326</v>
      </c>
      <c r="O955" s="211"/>
      <c r="P955" s="212">
        <f>+P954*25%</f>
        <v>5.4280837937400817</v>
      </c>
      <c r="Q955" s="213">
        <f>R940</f>
        <v>3.3600000000000003</v>
      </c>
      <c r="R955" s="214">
        <f>+IF(O955= "",0,(P955*Q955))</f>
        <v>0</v>
      </c>
      <c r="S955" s="215"/>
    </row>
    <row r="956" spans="2:19">
      <c r="B956" s="210" t="s">
        <v>327</v>
      </c>
      <c r="C956" s="211"/>
      <c r="D956" s="212">
        <f>+D954*50%</f>
        <v>10.856167587480163</v>
      </c>
      <c r="E956" s="213">
        <f>F940</f>
        <v>5.8581818181818175</v>
      </c>
      <c r="F956" s="214">
        <f>+IF(C956= "",0,(D956*E956))</f>
        <v>0</v>
      </c>
      <c r="G956" s="215"/>
      <c r="H956" s="210" t="s">
        <v>327</v>
      </c>
      <c r="I956" s="211"/>
      <c r="J956" s="212">
        <f>+J954*50%</f>
        <v>10.856167587480163</v>
      </c>
      <c r="K956" s="213">
        <f>L940</f>
        <v>3.1040000000000001</v>
      </c>
      <c r="L956" s="216">
        <f>+IF(I956= "",0,(J956*K956))</f>
        <v>0</v>
      </c>
      <c r="M956" s="215"/>
      <c r="N956" s="210" t="s">
        <v>327</v>
      </c>
      <c r="O956" s="211"/>
      <c r="P956" s="212">
        <f>+P954*50%</f>
        <v>10.856167587480163</v>
      </c>
      <c r="Q956" s="213">
        <f>R940</f>
        <v>3.3600000000000003</v>
      </c>
      <c r="R956" s="214">
        <f>+IF(O956= "",0,(P956*Q956))</f>
        <v>0</v>
      </c>
      <c r="S956" s="215"/>
    </row>
    <row r="957" spans="2:19">
      <c r="B957" s="202"/>
      <c r="F957" s="217">
        <f>SUM(F954:F956)</f>
        <v>127.19480715222211</v>
      </c>
      <c r="G957" s="218"/>
      <c r="H957" s="202"/>
      <c r="I957" s="179"/>
      <c r="K957" s="88"/>
      <c r="L957" s="219">
        <f>SUM(L954:L956)</f>
        <v>67.395088383076853</v>
      </c>
      <c r="M957" s="218"/>
      <c r="N957" s="202"/>
      <c r="O957" s="179"/>
      <c r="R957" s="217">
        <f>SUM(R954:R956)</f>
        <v>72.953446187866703</v>
      </c>
      <c r="S957" s="218"/>
    </row>
    <row r="958" spans="2:19">
      <c r="B958" s="202"/>
      <c r="F958" s="189"/>
      <c r="G958" s="220"/>
      <c r="H958" s="202"/>
      <c r="I958" s="179"/>
      <c r="K958" s="88"/>
      <c r="M958" s="220"/>
      <c r="N958" s="202"/>
      <c r="O958" s="179"/>
      <c r="R958" s="189"/>
      <c r="S958" s="220"/>
    </row>
    <row r="959" spans="2:19" ht="21">
      <c r="B959" s="438" t="s">
        <v>328</v>
      </c>
      <c r="C959" s="439"/>
      <c r="D959" s="439"/>
      <c r="E959" s="440"/>
      <c r="F959" s="221">
        <f>+F952+F957</f>
        <v>161.99480715222211</v>
      </c>
      <c r="G959" s="205">
        <f>+F959</f>
        <v>161.99480715222211</v>
      </c>
      <c r="H959" s="438" t="s">
        <v>328</v>
      </c>
      <c r="I959" s="439"/>
      <c r="J959" s="439"/>
      <c r="K959" s="440"/>
      <c r="L959" s="225">
        <f>+L952+L957</f>
        <v>97.995088383076848</v>
      </c>
      <c r="M959" s="205">
        <f>+L959</f>
        <v>97.995088383076848</v>
      </c>
      <c r="N959" s="438" t="s">
        <v>328</v>
      </c>
      <c r="O959" s="439"/>
      <c r="P959" s="439"/>
      <c r="Q959" s="440"/>
      <c r="R959" s="225">
        <f>+R952+R957</f>
        <v>77.153446187866706</v>
      </c>
      <c r="S959" s="205">
        <f>+R959</f>
        <v>77.153446187866706</v>
      </c>
    </row>
    <row r="960" spans="2:19">
      <c r="B960" s="202"/>
      <c r="G960" s="205"/>
      <c r="H960" s="202"/>
      <c r="I960" s="179"/>
      <c r="K960" s="88"/>
      <c r="L960" s="189"/>
      <c r="M960" s="205"/>
      <c r="N960" s="202"/>
      <c r="O960" s="179"/>
      <c r="R960" s="189"/>
      <c r="S960" s="205"/>
    </row>
    <row r="961" spans="2:19" ht="19">
      <c r="B961" s="441" t="s">
        <v>329</v>
      </c>
      <c r="C961" s="442"/>
      <c r="D961" s="442"/>
      <c r="E961" s="443"/>
      <c r="F961" s="226">
        <f>+F959/$C$37</f>
        <v>1.619948071522221</v>
      </c>
      <c r="G961" s="205"/>
      <c r="H961" s="441" t="s">
        <v>329</v>
      </c>
      <c r="I961" s="442"/>
      <c r="J961" s="442"/>
      <c r="K961" s="443"/>
      <c r="L961" s="230">
        <f>+L959/$C$37</f>
        <v>0.97995088383076845</v>
      </c>
      <c r="M961" s="205"/>
      <c r="N961" s="441" t="s">
        <v>329</v>
      </c>
      <c r="O961" s="442"/>
      <c r="P961" s="442"/>
      <c r="Q961" s="443"/>
      <c r="R961" s="230">
        <f>+R959/$C$37</f>
        <v>0.77153446187866703</v>
      </c>
      <c r="S961" s="205"/>
    </row>
    <row r="962" spans="2:19" ht="17" thickBot="1">
      <c r="B962" s="231"/>
      <c r="C962" s="232"/>
      <c r="D962" s="233"/>
      <c r="E962" s="233"/>
      <c r="F962" s="233"/>
      <c r="G962" s="205"/>
      <c r="H962" s="231"/>
      <c r="I962" s="232"/>
      <c r="J962" s="233"/>
      <c r="K962" s="233"/>
      <c r="L962" s="234"/>
      <c r="M962" s="205"/>
      <c r="N962" s="231"/>
      <c r="O962" s="232"/>
      <c r="P962" s="233"/>
      <c r="Q962" s="233"/>
      <c r="R962" s="234"/>
      <c r="S962" s="205"/>
    </row>
    <row r="963" spans="2:19" ht="24" customHeight="1" thickBot="1">
      <c r="B963" s="415" t="s">
        <v>312</v>
      </c>
      <c r="C963" s="416"/>
      <c r="D963" s="416"/>
      <c r="E963" s="416"/>
      <c r="F963" s="416"/>
      <c r="G963" s="416"/>
      <c r="H963" s="416"/>
      <c r="I963" s="416"/>
      <c r="J963" s="416"/>
      <c r="K963" s="416"/>
      <c r="L963" s="416"/>
      <c r="M963" s="416"/>
      <c r="N963" s="416"/>
      <c r="O963" s="416"/>
      <c r="P963" s="416"/>
      <c r="Q963" s="416"/>
      <c r="R963" s="417"/>
    </row>
    <row r="964" spans="2:19" ht="23.25" customHeight="1">
      <c r="B964" s="276" t="s">
        <v>16</v>
      </c>
      <c r="C964" s="452" t="s">
        <v>162</v>
      </c>
      <c r="D964" s="453"/>
      <c r="E964" s="453"/>
      <c r="F964" s="465"/>
      <c r="G964" s="254"/>
      <c r="H964" s="239" t="s">
        <v>16</v>
      </c>
      <c r="I964" s="452" t="s">
        <v>117</v>
      </c>
      <c r="J964" s="453"/>
      <c r="K964" s="453"/>
      <c r="L964" s="465"/>
      <c r="M964" s="254"/>
      <c r="N964" s="239" t="s">
        <v>16</v>
      </c>
      <c r="O964" s="452" t="s">
        <v>142</v>
      </c>
      <c r="P964" s="453"/>
      <c r="Q964" s="453"/>
      <c r="R964" s="465"/>
    </row>
    <row r="965" spans="2:19" ht="33" thickBot="1">
      <c r="B965" s="241" t="s">
        <v>313</v>
      </c>
      <c r="C965" s="242" t="s">
        <v>6</v>
      </c>
      <c r="D965" s="243" t="s">
        <v>25</v>
      </c>
      <c r="E965" s="244" t="s">
        <v>314</v>
      </c>
      <c r="F965" s="245" t="s">
        <v>315</v>
      </c>
      <c r="H965" s="241" t="s">
        <v>313</v>
      </c>
      <c r="I965" s="242" t="s">
        <v>6</v>
      </c>
      <c r="J965" s="243" t="s">
        <v>25</v>
      </c>
      <c r="K965" s="244" t="s">
        <v>314</v>
      </c>
      <c r="L965" s="245" t="s">
        <v>315</v>
      </c>
      <c r="N965" s="241" t="s">
        <v>313</v>
      </c>
      <c r="O965" s="242" t="s">
        <v>6</v>
      </c>
      <c r="P965" s="243" t="s">
        <v>25</v>
      </c>
      <c r="Q965" s="244" t="s">
        <v>314</v>
      </c>
      <c r="R965" s="245" t="s">
        <v>315</v>
      </c>
    </row>
    <row r="966" spans="2:19">
      <c r="B966" s="170" t="s">
        <v>182</v>
      </c>
      <c r="C966" s="171">
        <f>VLOOKUP(B966,'RESUMEN RENDIMIENTOS'!$V$6:$W$158,2,FALSE)</f>
        <v>1400</v>
      </c>
      <c r="D966" s="177" t="s">
        <v>20</v>
      </c>
      <c r="E966" s="172">
        <v>247</v>
      </c>
      <c r="F966" s="175">
        <f t="shared" ref="F966:F981" si="90">IF(C966=0,0,(100/C966)*E966/$E$37)</f>
        <v>7.1428571428571425E-2</v>
      </c>
      <c r="G966" s="164">
        <f>+F966/F982</f>
        <v>1.2464589235127478E-2</v>
      </c>
      <c r="H966" s="170" t="s">
        <v>182</v>
      </c>
      <c r="I966" s="171">
        <f>VLOOKUP(H966,'RESUMEN RENDIMIENTOS'!$V$6:$W$158,2,FALSE)</f>
        <v>1400</v>
      </c>
      <c r="J966" s="177" t="s">
        <v>20</v>
      </c>
      <c r="K966" s="172">
        <v>247</v>
      </c>
      <c r="L966" s="175">
        <f t="shared" ref="L966:L981" si="91">IF(I966=0,0,(100/I966)*K966/$E$37)</f>
        <v>7.1428571428571425E-2</v>
      </c>
      <c r="M966" s="164">
        <f>+L966/L982</f>
        <v>0.23776502163148303</v>
      </c>
      <c r="N966" s="159" t="s">
        <v>175</v>
      </c>
      <c r="O966" s="160">
        <f>VLOOKUP(N966,'RESUMEN RENDIMIENTOS'!$V$6:$W$158,2,FALSE)</f>
        <v>600</v>
      </c>
      <c r="P966" s="161" t="s">
        <v>53</v>
      </c>
      <c r="Q966" s="162">
        <v>123.5</v>
      </c>
      <c r="R966" s="163">
        <f t="shared" ref="R966:R981" si="92">IF(O966=0,0,(100/O966)*Q966/$E$37)</f>
        <v>8.3333333333333329E-2</v>
      </c>
      <c r="S966" s="164">
        <f>+R966/R982</f>
        <v>0.26681914846883253</v>
      </c>
    </row>
    <row r="967" spans="2:19">
      <c r="B967" s="170" t="s">
        <v>208</v>
      </c>
      <c r="C967" s="171">
        <f>VLOOKUP(B967,'RESUMEN RENDIMIENTOS'!$V$6:$W$158,2,FALSE)</f>
        <v>110</v>
      </c>
      <c r="D967" s="177" t="s">
        <v>20</v>
      </c>
      <c r="E967" s="172">
        <v>247</v>
      </c>
      <c r="F967" s="175">
        <f t="shared" si="90"/>
        <v>0.90909090909090906</v>
      </c>
      <c r="G967" s="174">
        <f>+F967/F982</f>
        <v>0.15864022662889518</v>
      </c>
      <c r="H967" s="170" t="s">
        <v>201</v>
      </c>
      <c r="I967" s="171">
        <f>VLOOKUP(H967,'RESUMEN RENDIMIENTOS'!$V$6:$W$158,2,FALSE)</f>
        <v>500</v>
      </c>
      <c r="J967" s="177" t="s">
        <v>56</v>
      </c>
      <c r="K967" s="172">
        <v>52.14</v>
      </c>
      <c r="L967" s="175">
        <f t="shared" si="91"/>
        <v>4.2218623481781382E-2</v>
      </c>
      <c r="M967" s="174">
        <f>+L967/L982</f>
        <v>0.14053356695556063</v>
      </c>
      <c r="N967" s="170" t="s">
        <v>190</v>
      </c>
      <c r="O967" s="171">
        <f>VLOOKUP(N967,'RESUMEN RENDIMIENTOS'!$V$6:$W$158,2,FALSE)</f>
        <v>960</v>
      </c>
      <c r="P967" s="177" t="s">
        <v>31</v>
      </c>
      <c r="Q967" s="172">
        <v>104.28</v>
      </c>
      <c r="R967" s="173">
        <f t="shared" si="92"/>
        <v>4.3977732793522267E-2</v>
      </c>
      <c r="S967" s="174">
        <f>+R967/R982</f>
        <v>0.14080921458668957</v>
      </c>
    </row>
    <row r="968" spans="2:19">
      <c r="B968" s="170" t="s">
        <v>172</v>
      </c>
      <c r="C968" s="171">
        <f>VLOOKUP(B968,'RESUMEN RENDIMIENTOS'!$V$6:$W$158,2,FALSE)</f>
        <v>200</v>
      </c>
      <c r="D968" s="177" t="s">
        <v>20</v>
      </c>
      <c r="E968" s="172">
        <v>247</v>
      </c>
      <c r="F968" s="175">
        <f t="shared" si="90"/>
        <v>0.5</v>
      </c>
      <c r="G968" s="174">
        <f>+F968/F982</f>
        <v>8.7252124645892354E-2</v>
      </c>
      <c r="H968" s="170" t="s">
        <v>259</v>
      </c>
      <c r="I968" s="171">
        <f>VLOOKUP(H968,'RESUMEN RENDIMIENTOS'!$V$6:$W$158,2,FALSE)</f>
        <v>1800</v>
      </c>
      <c r="J968" s="177" t="s">
        <v>20</v>
      </c>
      <c r="K968" s="172">
        <v>247</v>
      </c>
      <c r="L968" s="175">
        <f t="shared" si="91"/>
        <v>5.5555555555555552E-2</v>
      </c>
      <c r="M968" s="174">
        <f>+L968/L982</f>
        <v>0.18492835015782011</v>
      </c>
      <c r="N968" s="170" t="s">
        <v>259</v>
      </c>
      <c r="O968" s="171">
        <f>VLOOKUP(N968,'RESUMEN RENDIMIENTOS'!$V$6:$W$158,2,FALSE)</f>
        <v>1800</v>
      </c>
      <c r="P968" s="161" t="s">
        <v>20</v>
      </c>
      <c r="Q968" s="172">
        <v>247</v>
      </c>
      <c r="R968" s="173">
        <f t="shared" si="92"/>
        <v>5.5555555555555552E-2</v>
      </c>
      <c r="S968" s="174">
        <f>+R968/R982</f>
        <v>0.17787943231255501</v>
      </c>
    </row>
    <row r="969" spans="2:19">
      <c r="B969" s="170" t="s">
        <v>250</v>
      </c>
      <c r="C969" s="171">
        <f>VLOOKUP(B969,'RESUMEN RENDIMIENTOS'!$V$6:$W$158,2,FALSE)</f>
        <v>80</v>
      </c>
      <c r="D969" s="177" t="s">
        <v>20</v>
      </c>
      <c r="E969" s="172">
        <v>247</v>
      </c>
      <c r="F969" s="175">
        <f t="shared" si="90"/>
        <v>1.25</v>
      </c>
      <c r="G969" s="174">
        <f>+F969/F982</f>
        <v>0.2181303116147309</v>
      </c>
      <c r="H969" s="170" t="s">
        <v>190</v>
      </c>
      <c r="I969" s="171">
        <f>VLOOKUP(H969,'RESUMEN RENDIMIENTOS'!$V$6:$W$158,2,FALSE)</f>
        <v>960</v>
      </c>
      <c r="J969" s="177" t="s">
        <v>31</v>
      </c>
      <c r="K969" s="172">
        <v>104.28</v>
      </c>
      <c r="L969" s="175">
        <f t="shared" si="91"/>
        <v>4.3977732793522267E-2</v>
      </c>
      <c r="M969" s="174">
        <f>+L969/L982</f>
        <v>0.14638913224537564</v>
      </c>
      <c r="N969" s="170" t="s">
        <v>253</v>
      </c>
      <c r="O969" s="171">
        <f>VLOOKUP(N969,'RESUMEN RENDIMIENTOS'!$V$6:$W$158,2,FALSE)</f>
        <v>1500</v>
      </c>
      <c r="P969" s="177" t="s">
        <v>52</v>
      </c>
      <c r="Q969" s="172">
        <v>156.42000000000002</v>
      </c>
      <c r="R969" s="173">
        <f t="shared" si="92"/>
        <v>4.2218623481781382E-2</v>
      </c>
      <c r="S969" s="174">
        <f>+R969/R982</f>
        <v>0.135176846003222</v>
      </c>
    </row>
    <row r="970" spans="2:19">
      <c r="B970" s="170" t="s">
        <v>182</v>
      </c>
      <c r="C970" s="171">
        <f>VLOOKUP(B970,'RESUMEN RENDIMIENTOS'!$V$6:$W$158,2,FALSE)</f>
        <v>1400</v>
      </c>
      <c r="D970" s="177" t="s">
        <v>20</v>
      </c>
      <c r="E970" s="172">
        <v>247</v>
      </c>
      <c r="F970" s="175">
        <f t="shared" si="90"/>
        <v>7.1428571428571425E-2</v>
      </c>
      <c r="G970" s="174">
        <f>+F970/F982</f>
        <v>1.2464589235127478E-2</v>
      </c>
      <c r="H970" s="170" t="s">
        <v>240</v>
      </c>
      <c r="I970" s="171">
        <f>VLOOKUP(H970,'RESUMEN RENDIMIENTOS'!$V$6:$W$158,2,FALSE)</f>
        <v>1000</v>
      </c>
      <c r="J970" s="177" t="s">
        <v>56</v>
      </c>
      <c r="K970" s="172">
        <v>52.14</v>
      </c>
      <c r="L970" s="175">
        <f t="shared" si="91"/>
        <v>2.1109311740890691E-2</v>
      </c>
      <c r="M970" s="174">
        <f>+L970/L982</f>
        <v>7.0266783477780315E-2</v>
      </c>
      <c r="N970" s="170" t="s">
        <v>210</v>
      </c>
      <c r="O970" s="171">
        <f>VLOOKUP(N970,'RESUMEN RENDIMIENTOS'!$V$6:$W$158,2,FALSE)</f>
        <v>80</v>
      </c>
      <c r="P970" s="177" t="s">
        <v>58</v>
      </c>
      <c r="Q970" s="172">
        <v>12</v>
      </c>
      <c r="R970" s="173">
        <f t="shared" si="92"/>
        <v>6.0728744939271252E-2</v>
      </c>
      <c r="S970" s="174">
        <f>+R970/R982</f>
        <v>0.19444310414732735</v>
      </c>
    </row>
    <row r="971" spans="2:19">
      <c r="B971" s="170" t="s">
        <v>188</v>
      </c>
      <c r="C971" s="171">
        <f>VLOOKUP(B971,'RESUMEN RENDIMIENTOS'!$V$6:$W$158,2,FALSE)</f>
        <v>35</v>
      </c>
      <c r="D971" s="177" t="s">
        <v>20</v>
      </c>
      <c r="E971" s="172">
        <v>247</v>
      </c>
      <c r="F971" s="175">
        <f t="shared" si="90"/>
        <v>2.8571428571428572</v>
      </c>
      <c r="G971" s="174">
        <f>+F971/F982</f>
        <v>0.49858356940509918</v>
      </c>
      <c r="H971" s="170" t="s">
        <v>230</v>
      </c>
      <c r="I971" s="171">
        <f>VLOOKUP(H971,'RESUMEN RENDIMIENTOS'!$V$6:$W$158,2,FALSE)</f>
        <v>900</v>
      </c>
      <c r="J971" s="177" t="s">
        <v>58</v>
      </c>
      <c r="K971" s="172">
        <v>12</v>
      </c>
      <c r="L971" s="175">
        <f t="shared" si="91"/>
        <v>5.3981106612685558E-3</v>
      </c>
      <c r="M971" s="174">
        <f>+L971/L982</f>
        <v>1.7968746574039202E-2</v>
      </c>
      <c r="N971" s="170" t="s">
        <v>230</v>
      </c>
      <c r="O971" s="171">
        <f>VLOOKUP(N971,'RESUMEN RENDIMIENTOS'!$V$6:$W$158,2,FALSE)</f>
        <v>900</v>
      </c>
      <c r="P971" s="177" t="s">
        <v>58</v>
      </c>
      <c r="Q971" s="172">
        <v>12</v>
      </c>
      <c r="R971" s="173">
        <f t="shared" si="92"/>
        <v>5.3981106612685558E-3</v>
      </c>
      <c r="S971" s="174">
        <f>+R971/R982</f>
        <v>1.7283831479762431E-2</v>
      </c>
    </row>
    <row r="972" spans="2:19">
      <c r="B972" s="170" t="s">
        <v>182</v>
      </c>
      <c r="C972" s="171">
        <f>VLOOKUP(B972,'RESUMEN RENDIMIENTOS'!$V$6:$W$158,2,FALSE)</f>
        <v>1400</v>
      </c>
      <c r="D972" s="177" t="s">
        <v>20</v>
      </c>
      <c r="E972" s="172">
        <v>247</v>
      </c>
      <c r="F972" s="175">
        <f t="shared" si="90"/>
        <v>7.1428571428571425E-2</v>
      </c>
      <c r="G972" s="174">
        <f>+F972/F982</f>
        <v>1.2464589235127478E-2</v>
      </c>
      <c r="H972" s="170" t="s">
        <v>210</v>
      </c>
      <c r="I972" s="171">
        <f>VLOOKUP(H972,'RESUMEN RENDIMIENTOS'!$V$6:$W$158,2,FALSE)</f>
        <v>80</v>
      </c>
      <c r="J972" s="177" t="s">
        <v>58</v>
      </c>
      <c r="K972" s="172">
        <v>12</v>
      </c>
      <c r="L972" s="175">
        <f t="shared" si="91"/>
        <v>6.0728744939271252E-2</v>
      </c>
      <c r="M972" s="174">
        <f>+L972/L982</f>
        <v>0.20214839895794101</v>
      </c>
      <c r="N972" s="170" t="s">
        <v>240</v>
      </c>
      <c r="O972" s="171">
        <f>VLOOKUP(N972,'RESUMEN RENDIMIENTOS'!$V$6:$W$158,2,FALSE)</f>
        <v>1000</v>
      </c>
      <c r="P972" s="177" t="s">
        <v>56</v>
      </c>
      <c r="Q972" s="172">
        <v>52.14</v>
      </c>
      <c r="R972" s="173">
        <f t="shared" si="92"/>
        <v>2.1109311740890691E-2</v>
      </c>
      <c r="S972" s="174">
        <f>+R972/R982</f>
        <v>6.7588423001610998E-2</v>
      </c>
    </row>
    <row r="973" spans="2:19">
      <c r="B973" s="170">
        <v>0</v>
      </c>
      <c r="C973" s="171">
        <f>VLOOKUP(B973,'RESUMEN RENDIMIENTOS'!$V$6:$W$158,2,FALSE)</f>
        <v>0</v>
      </c>
      <c r="D973" s="177"/>
      <c r="E973" s="172" t="s">
        <v>337</v>
      </c>
      <c r="F973" s="175">
        <f t="shared" si="90"/>
        <v>0</v>
      </c>
      <c r="G973" s="174">
        <f>+F973/F982</f>
        <v>0</v>
      </c>
      <c r="H973" s="170">
        <v>0</v>
      </c>
      <c r="I973" s="171">
        <f>VLOOKUP(H973,'RESUMEN RENDIMIENTOS'!$V$6:$W$158,2,FALSE)</f>
        <v>0</v>
      </c>
      <c r="J973" s="177"/>
      <c r="K973" s="172" t="s">
        <v>337</v>
      </c>
      <c r="L973" s="175">
        <f t="shared" si="91"/>
        <v>0</v>
      </c>
      <c r="M973" s="174">
        <f>+L973/L982</f>
        <v>0</v>
      </c>
      <c r="N973" s="170">
        <v>0</v>
      </c>
      <c r="O973" s="171">
        <f>VLOOKUP(N973,'RESUMEN RENDIMIENTOS'!$V$6:$W$158,2,FALSE)</f>
        <v>0</v>
      </c>
      <c r="P973" s="177"/>
      <c r="Q973" s="172" t="s">
        <v>337</v>
      </c>
      <c r="R973" s="173">
        <f t="shared" si="92"/>
        <v>0</v>
      </c>
      <c r="S973" s="174">
        <f>+R973/R982</f>
        <v>0</v>
      </c>
    </row>
    <row r="974" spans="2:19">
      <c r="B974" s="170">
        <v>0</v>
      </c>
      <c r="C974" s="171">
        <f>VLOOKUP(B974,'RESUMEN RENDIMIENTOS'!$V$6:$W$158,2,FALSE)</f>
        <v>0</v>
      </c>
      <c r="D974" s="177"/>
      <c r="E974" s="172" t="s">
        <v>337</v>
      </c>
      <c r="F974" s="175">
        <f t="shared" si="90"/>
        <v>0</v>
      </c>
      <c r="G974" s="174">
        <f>+F974/F982</f>
        <v>0</v>
      </c>
      <c r="H974" s="170">
        <v>0</v>
      </c>
      <c r="I974" s="171">
        <f>VLOOKUP(H974,'RESUMEN RENDIMIENTOS'!$V$6:$W$158,2,FALSE)</f>
        <v>0</v>
      </c>
      <c r="J974" s="177"/>
      <c r="K974" s="172" t="s">
        <v>337</v>
      </c>
      <c r="L974" s="175">
        <f t="shared" si="91"/>
        <v>0</v>
      </c>
      <c r="M974" s="174">
        <f>+L974/L982</f>
        <v>0</v>
      </c>
      <c r="N974" s="170">
        <v>0</v>
      </c>
      <c r="O974" s="171">
        <f>VLOOKUP(N974,'RESUMEN RENDIMIENTOS'!$V$6:$W$158,2,FALSE)</f>
        <v>0</v>
      </c>
      <c r="P974" s="177"/>
      <c r="Q974" s="172" t="s">
        <v>337</v>
      </c>
      <c r="R974" s="173">
        <f t="shared" si="92"/>
        <v>0</v>
      </c>
      <c r="S974" s="174">
        <f>+R974/R982</f>
        <v>0</v>
      </c>
    </row>
    <row r="975" spans="2:19">
      <c r="B975" s="170">
        <v>0</v>
      </c>
      <c r="C975" s="171">
        <f>VLOOKUP(B975,'RESUMEN RENDIMIENTOS'!$V$6:$W$158,2,FALSE)</f>
        <v>0</v>
      </c>
      <c r="D975" s="177"/>
      <c r="E975" s="172" t="s">
        <v>337</v>
      </c>
      <c r="F975" s="175">
        <f t="shared" si="90"/>
        <v>0</v>
      </c>
      <c r="G975" s="174">
        <f>+F975/F982</f>
        <v>0</v>
      </c>
      <c r="H975" s="170">
        <v>0</v>
      </c>
      <c r="I975" s="171">
        <f>VLOOKUP(H975,'RESUMEN RENDIMIENTOS'!$V$6:$W$158,2,FALSE)</f>
        <v>0</v>
      </c>
      <c r="J975" s="177"/>
      <c r="K975" s="172" t="s">
        <v>337</v>
      </c>
      <c r="L975" s="175">
        <f t="shared" si="91"/>
        <v>0</v>
      </c>
      <c r="M975" s="174">
        <f>+L975/L982</f>
        <v>0</v>
      </c>
      <c r="N975" s="170">
        <v>0</v>
      </c>
      <c r="O975" s="171">
        <f>VLOOKUP(N975,'RESUMEN RENDIMIENTOS'!$V$6:$W$158,2,FALSE)</f>
        <v>0</v>
      </c>
      <c r="P975" s="177"/>
      <c r="Q975" s="172" t="s">
        <v>337</v>
      </c>
      <c r="R975" s="173">
        <f t="shared" si="92"/>
        <v>0</v>
      </c>
      <c r="S975" s="174">
        <f>+R975/R982</f>
        <v>0</v>
      </c>
    </row>
    <row r="976" spans="2:19">
      <c r="B976" s="170">
        <v>0</v>
      </c>
      <c r="C976" s="171">
        <f>VLOOKUP(B976,'RESUMEN RENDIMIENTOS'!$V$6:$W$158,2,FALSE)</f>
        <v>0</v>
      </c>
      <c r="D976" s="177"/>
      <c r="E976" s="172" t="s">
        <v>337</v>
      </c>
      <c r="F976" s="175">
        <f t="shared" si="90"/>
        <v>0</v>
      </c>
      <c r="G976" s="174">
        <f>+F976/F982</f>
        <v>0</v>
      </c>
      <c r="H976" s="170">
        <v>0</v>
      </c>
      <c r="I976" s="171">
        <f>VLOOKUP(H976,'RESUMEN RENDIMIENTOS'!$V$6:$W$158,2,FALSE)</f>
        <v>0</v>
      </c>
      <c r="J976" s="177"/>
      <c r="K976" s="172" t="s">
        <v>337</v>
      </c>
      <c r="L976" s="175">
        <f t="shared" si="91"/>
        <v>0</v>
      </c>
      <c r="M976" s="174">
        <f>+L976/L982</f>
        <v>0</v>
      </c>
      <c r="N976" s="170">
        <v>0</v>
      </c>
      <c r="O976" s="171">
        <f>VLOOKUP(N976,'RESUMEN RENDIMIENTOS'!$V$6:$W$158,2,FALSE)</f>
        <v>0</v>
      </c>
      <c r="P976" s="177"/>
      <c r="Q976" s="172" t="s">
        <v>337</v>
      </c>
      <c r="R976" s="173">
        <f t="shared" si="92"/>
        <v>0</v>
      </c>
      <c r="S976" s="174">
        <f>+R976/R982</f>
        <v>0</v>
      </c>
    </row>
    <row r="977" spans="2:19">
      <c r="B977" s="170">
        <v>0</v>
      </c>
      <c r="C977" s="171">
        <f>VLOOKUP(B977,'RESUMEN RENDIMIENTOS'!$V$6:$W$158,2,FALSE)</f>
        <v>0</v>
      </c>
      <c r="D977" s="177"/>
      <c r="E977" s="172" t="s">
        <v>337</v>
      </c>
      <c r="F977" s="175">
        <f t="shared" si="90"/>
        <v>0</v>
      </c>
      <c r="G977" s="174">
        <f>+F977/F982</f>
        <v>0</v>
      </c>
      <c r="H977" s="170">
        <v>0</v>
      </c>
      <c r="I977" s="171">
        <f>VLOOKUP(H977,'RESUMEN RENDIMIENTOS'!$V$6:$W$158,2,FALSE)</f>
        <v>0</v>
      </c>
      <c r="J977" s="177"/>
      <c r="K977" s="172" t="s">
        <v>337</v>
      </c>
      <c r="L977" s="175">
        <f t="shared" si="91"/>
        <v>0</v>
      </c>
      <c r="M977" s="174">
        <f>+L977/L982</f>
        <v>0</v>
      </c>
      <c r="N977" s="170">
        <v>0</v>
      </c>
      <c r="O977" s="171">
        <f>VLOOKUP(N977,'RESUMEN RENDIMIENTOS'!$V$6:$W$158,2,FALSE)</f>
        <v>0</v>
      </c>
      <c r="P977" s="177"/>
      <c r="Q977" s="172" t="s">
        <v>337</v>
      </c>
      <c r="R977" s="173">
        <f t="shared" si="92"/>
        <v>0</v>
      </c>
      <c r="S977" s="174">
        <f>+R977/R982</f>
        <v>0</v>
      </c>
    </row>
    <row r="978" spans="2:19">
      <c r="B978" s="170">
        <v>0</v>
      </c>
      <c r="C978" s="171">
        <f>VLOOKUP(B978,'RESUMEN RENDIMIENTOS'!$V$6:$W$158,2,FALSE)</f>
        <v>0</v>
      </c>
      <c r="D978" s="177"/>
      <c r="E978" s="172" t="s">
        <v>337</v>
      </c>
      <c r="F978" s="175">
        <f t="shared" si="90"/>
        <v>0</v>
      </c>
      <c r="G978" s="174">
        <f>+F978/F982</f>
        <v>0</v>
      </c>
      <c r="H978" s="170">
        <v>0</v>
      </c>
      <c r="I978" s="171">
        <f>VLOOKUP(H978,'RESUMEN RENDIMIENTOS'!$V$6:$W$158,2,FALSE)</f>
        <v>0</v>
      </c>
      <c r="J978" s="177"/>
      <c r="K978" s="172" t="s">
        <v>337</v>
      </c>
      <c r="L978" s="175">
        <f t="shared" si="91"/>
        <v>0</v>
      </c>
      <c r="M978" s="174">
        <f>+L978/L982</f>
        <v>0</v>
      </c>
      <c r="N978" s="170">
        <v>0</v>
      </c>
      <c r="O978" s="171">
        <f>VLOOKUP(N978,'RESUMEN RENDIMIENTOS'!$V$6:$W$158,2,FALSE)</f>
        <v>0</v>
      </c>
      <c r="P978" s="177"/>
      <c r="Q978" s="172" t="s">
        <v>337</v>
      </c>
      <c r="R978" s="173">
        <f t="shared" si="92"/>
        <v>0</v>
      </c>
      <c r="S978" s="174">
        <f>+R978/R982</f>
        <v>0</v>
      </c>
    </row>
    <row r="979" spans="2:19">
      <c r="B979" s="170">
        <v>0</v>
      </c>
      <c r="C979" s="171">
        <f>VLOOKUP(B979,'RESUMEN RENDIMIENTOS'!$V$6:$W$158,2,FALSE)</f>
        <v>0</v>
      </c>
      <c r="D979" s="177"/>
      <c r="E979" s="172" t="s">
        <v>337</v>
      </c>
      <c r="F979" s="175">
        <f t="shared" si="90"/>
        <v>0</v>
      </c>
      <c r="G979" s="174">
        <f>+F979/F982</f>
        <v>0</v>
      </c>
      <c r="H979" s="170">
        <v>0</v>
      </c>
      <c r="I979" s="171">
        <f>VLOOKUP(H979,'RESUMEN RENDIMIENTOS'!$V$6:$W$158,2,FALSE)</f>
        <v>0</v>
      </c>
      <c r="J979" s="177"/>
      <c r="K979" s="172" t="s">
        <v>337</v>
      </c>
      <c r="L979" s="175">
        <f t="shared" si="91"/>
        <v>0</v>
      </c>
      <c r="M979" s="174">
        <f>+L979/L982</f>
        <v>0</v>
      </c>
      <c r="N979" s="170">
        <v>0</v>
      </c>
      <c r="O979" s="171">
        <f>VLOOKUP(N979,'RESUMEN RENDIMIENTOS'!$V$6:$W$158,2,FALSE)</f>
        <v>0</v>
      </c>
      <c r="P979" s="177"/>
      <c r="Q979" s="172" t="s">
        <v>337</v>
      </c>
      <c r="R979" s="173">
        <f t="shared" si="92"/>
        <v>0</v>
      </c>
      <c r="S979" s="174">
        <f>+R979/R982</f>
        <v>0</v>
      </c>
    </row>
    <row r="980" spans="2:19">
      <c r="B980" s="170">
        <v>0</v>
      </c>
      <c r="C980" s="171">
        <f>VLOOKUP(B980,'RESUMEN RENDIMIENTOS'!$V$6:$W$158,2,FALSE)</f>
        <v>0</v>
      </c>
      <c r="D980" s="177"/>
      <c r="E980" s="172" t="s">
        <v>337</v>
      </c>
      <c r="F980" s="175">
        <f t="shared" si="90"/>
        <v>0</v>
      </c>
      <c r="G980" s="174">
        <f>+F980/F982</f>
        <v>0</v>
      </c>
      <c r="H980" s="170">
        <v>0</v>
      </c>
      <c r="I980" s="171">
        <f>VLOOKUP(H980,'RESUMEN RENDIMIENTOS'!$V$6:$W$158,2,FALSE)</f>
        <v>0</v>
      </c>
      <c r="J980" s="177"/>
      <c r="K980" s="172" t="s">
        <v>337</v>
      </c>
      <c r="L980" s="175">
        <f t="shared" si="91"/>
        <v>0</v>
      </c>
      <c r="M980" s="174">
        <f>+L980/L982</f>
        <v>0</v>
      </c>
      <c r="N980" s="170">
        <v>0</v>
      </c>
      <c r="O980" s="171">
        <f>VLOOKUP(N980,'RESUMEN RENDIMIENTOS'!$V$6:$W$158,2,FALSE)</f>
        <v>0</v>
      </c>
      <c r="P980" s="177"/>
      <c r="Q980" s="172" t="s">
        <v>337</v>
      </c>
      <c r="R980" s="173">
        <f t="shared" si="92"/>
        <v>0</v>
      </c>
      <c r="S980" s="174">
        <f>+R980/R982</f>
        <v>0</v>
      </c>
    </row>
    <row r="981" spans="2:19">
      <c r="B981" s="170">
        <v>0</v>
      </c>
      <c r="C981" s="171">
        <f>VLOOKUP(B981,'RESUMEN RENDIMIENTOS'!$V$6:$W$158,2,FALSE)</f>
        <v>0</v>
      </c>
      <c r="D981" s="177"/>
      <c r="E981" s="172" t="s">
        <v>337</v>
      </c>
      <c r="F981" s="175">
        <f t="shared" si="90"/>
        <v>0</v>
      </c>
      <c r="G981" s="174">
        <f>+F981/F982</f>
        <v>0</v>
      </c>
      <c r="H981" s="170">
        <v>0</v>
      </c>
      <c r="I981" s="171">
        <f>VLOOKUP(H981,'RESUMEN RENDIMIENTOS'!$V$6:$W$158,2,FALSE)</f>
        <v>0</v>
      </c>
      <c r="J981" s="177"/>
      <c r="K981" s="172" t="s">
        <v>337</v>
      </c>
      <c r="L981" s="175">
        <f t="shared" si="91"/>
        <v>0</v>
      </c>
      <c r="M981" s="174">
        <f>+L981/L982</f>
        <v>0</v>
      </c>
      <c r="N981" s="170">
        <v>0</v>
      </c>
      <c r="O981" s="171">
        <f>VLOOKUP(N981,'RESUMEN RENDIMIENTOS'!$V$6:$W$158,2,FALSE)</f>
        <v>0</v>
      </c>
      <c r="P981" s="177"/>
      <c r="Q981" s="172" t="s">
        <v>337</v>
      </c>
      <c r="R981" s="173">
        <f t="shared" si="92"/>
        <v>0</v>
      </c>
      <c r="S981" s="174">
        <f>+R981/R982</f>
        <v>0</v>
      </c>
    </row>
    <row r="982" spans="2:19" ht="25" thickBot="1">
      <c r="B982" s="178"/>
      <c r="E982" s="90"/>
      <c r="F982" s="173">
        <f>SUM(F966:F981)</f>
        <v>5.7305194805194803</v>
      </c>
      <c r="G982" s="181">
        <f>+F982/F982</f>
        <v>1</v>
      </c>
      <c r="H982" s="178"/>
      <c r="I982" s="179"/>
      <c r="J982" s="182" t="s">
        <v>24</v>
      </c>
      <c r="K982" s="90"/>
      <c r="L982" s="173">
        <f>SUM(L966:L981)</f>
        <v>0.30041665060086115</v>
      </c>
      <c r="M982" s="181">
        <f>+L982/L982</f>
        <v>1</v>
      </c>
      <c r="N982" s="178"/>
      <c r="O982" s="179"/>
      <c r="Q982" s="90"/>
      <c r="R982" s="175">
        <f>SUM(R966:R981)</f>
        <v>0.31232141250562306</v>
      </c>
      <c r="S982" s="181">
        <f>+R982/R982</f>
        <v>1</v>
      </c>
    </row>
    <row r="983" spans="2:19" ht="18" customHeight="1">
      <c r="B983" s="427" t="s">
        <v>317</v>
      </c>
      <c r="C983" s="428"/>
      <c r="D983" s="429"/>
      <c r="E983" s="185">
        <v>0.12</v>
      </c>
      <c r="F983" s="173">
        <f>+F982*E983</f>
        <v>0.68766233766233764</v>
      </c>
      <c r="H983" s="427" t="s">
        <v>317</v>
      </c>
      <c r="I983" s="428"/>
      <c r="J983" s="429"/>
      <c r="K983" s="185">
        <v>0.12</v>
      </c>
      <c r="L983" s="173">
        <f>+L982*K983</f>
        <v>3.6049998072103337E-2</v>
      </c>
      <c r="N983" s="427" t="s">
        <v>317</v>
      </c>
      <c r="O983" s="428"/>
      <c r="P983" s="429"/>
      <c r="Q983" s="185">
        <v>0.12</v>
      </c>
      <c r="R983" s="175">
        <f>+R982*Q983</f>
        <v>3.7478569500674769E-2</v>
      </c>
    </row>
    <row r="984" spans="2:19" ht="18" customHeight="1">
      <c r="B984" s="178"/>
      <c r="F984" s="173">
        <f>+F983+F982</f>
        <v>6.418181818181818</v>
      </c>
      <c r="G984" s="187">
        <f>+F984/24</f>
        <v>0.2674242424242424</v>
      </c>
      <c r="H984" s="178"/>
      <c r="I984" s="179"/>
      <c r="K984" s="88"/>
      <c r="L984" s="173">
        <f>+L983+L982</f>
        <v>0.3364666486729645</v>
      </c>
      <c r="M984" s="187">
        <f>+L984/24</f>
        <v>1.4019443694706854E-2</v>
      </c>
      <c r="N984" s="178"/>
      <c r="O984" s="179"/>
      <c r="R984" s="175">
        <f>+R983+R982</f>
        <v>0.3497999820062978</v>
      </c>
      <c r="S984" s="187">
        <f>+R984/24</f>
        <v>1.4574999250262408E-2</v>
      </c>
    </row>
    <row r="985" spans="2:19">
      <c r="B985" s="178"/>
      <c r="D985" s="188"/>
      <c r="F985" s="189"/>
      <c r="H985" s="178"/>
      <c r="I985" s="179"/>
      <c r="J985" s="188"/>
      <c r="K985" s="88"/>
      <c r="L985" s="189"/>
      <c r="N985" s="178"/>
      <c r="O985" s="179"/>
      <c r="P985" s="188"/>
      <c r="R985" s="189"/>
    </row>
    <row r="986" spans="2:19" ht="21">
      <c r="B986" s="191" t="s">
        <v>318</v>
      </c>
      <c r="C986" s="192"/>
      <c r="D986" s="192"/>
      <c r="E986" s="444">
        <f>IF(F984=0,0,(100/F984))</f>
        <v>15.580736543909349</v>
      </c>
      <c r="F986" s="445"/>
      <c r="H986" s="191" t="s">
        <v>318</v>
      </c>
      <c r="I986" s="192"/>
      <c r="J986" s="192"/>
      <c r="K986" s="444">
        <f>IF(L984=0,0,(100/L984))</f>
        <v>297.20627703935378</v>
      </c>
      <c r="L986" s="445"/>
      <c r="N986" s="191" t="s">
        <v>318</v>
      </c>
      <c r="O986" s="192"/>
      <c r="P986" s="192"/>
      <c r="Q986" s="444">
        <f>IF(R984=0,0,(100/R984))</f>
        <v>285.87765907374916</v>
      </c>
      <c r="R986" s="445"/>
    </row>
    <row r="987" spans="2:19">
      <c r="B987" s="178"/>
      <c r="H987" s="178"/>
      <c r="I987" s="179"/>
      <c r="K987" s="88"/>
      <c r="L987" s="189"/>
      <c r="N987" s="178"/>
      <c r="O987" s="179"/>
      <c r="R987" s="189"/>
    </row>
    <row r="988" spans="2:19" ht="21">
      <c r="B988" s="446" t="s">
        <v>319</v>
      </c>
      <c r="C988" s="447"/>
      <c r="D988" s="447"/>
      <c r="E988" s="447"/>
      <c r="F988" s="448"/>
      <c r="H988" s="446" t="s">
        <v>319</v>
      </c>
      <c r="I988" s="447"/>
      <c r="J988" s="447"/>
      <c r="K988" s="447"/>
      <c r="L988" s="448"/>
      <c r="N988" s="446" t="s">
        <v>319</v>
      </c>
      <c r="O988" s="447"/>
      <c r="P988" s="447"/>
      <c r="Q988" s="447"/>
      <c r="R988" s="448"/>
    </row>
    <row r="989" spans="2:19" ht="18" customHeight="1">
      <c r="B989" s="194" t="s">
        <v>320</v>
      </c>
      <c r="C989" s="195"/>
      <c r="D989" s="435" t="s">
        <v>321</v>
      </c>
      <c r="E989" s="435"/>
      <c r="F989" s="196" t="s">
        <v>322</v>
      </c>
      <c r="H989" s="194" t="s">
        <v>320</v>
      </c>
      <c r="I989" s="195"/>
      <c r="J989" s="435" t="s">
        <v>321</v>
      </c>
      <c r="K989" s="435"/>
      <c r="L989" s="196" t="s">
        <v>322</v>
      </c>
      <c r="N989" s="194" t="s">
        <v>320</v>
      </c>
      <c r="O989" s="195"/>
      <c r="P989" s="435" t="s">
        <v>321</v>
      </c>
      <c r="Q989" s="435"/>
      <c r="R989" s="196" t="s">
        <v>322</v>
      </c>
    </row>
    <row r="990" spans="2:19">
      <c r="B990" s="197" t="s">
        <v>278</v>
      </c>
      <c r="C990" s="201">
        <v>1</v>
      </c>
      <c r="E990" s="199">
        <f>IF(C990=0,0,(VLOOKUP(B990,'RESUMEN RENDIMIENTOS'!$AB$6:$AO$64,13,FALSE)))*C990</f>
        <v>0.75</v>
      </c>
      <c r="F990" s="200">
        <f>IF(C990=0,0,(VLOOKUP(B990,'RESUMEN RENDIMIENTOS'!$AB$6:$AO$64,14,FALSE)))*C990</f>
        <v>1.0285714285714287E-2</v>
      </c>
      <c r="H990" s="197" t="s">
        <v>278</v>
      </c>
      <c r="I990" s="201">
        <v>1</v>
      </c>
      <c r="K990" s="199">
        <f>IF(I990=0,0,(VLOOKUP(H990,'RESUMEN RENDIMIENTOS'!$AB$6:$AO$64,13,FALSE)))*I990</f>
        <v>0.75</v>
      </c>
      <c r="L990" s="200">
        <f>IF(I990=0,0,(VLOOKUP(H990,'RESUMEN RENDIMIENTOS'!$AB$6:$AO$64,14,FALSE)))*I990</f>
        <v>1.0285714285714287E-2</v>
      </c>
      <c r="N990" s="197" t="s">
        <v>278</v>
      </c>
      <c r="O990" s="201">
        <v>1</v>
      </c>
      <c r="Q990" s="199">
        <f>IF(O990=0,0,(VLOOKUP(N990,'RESUMEN RENDIMIENTOS'!$AB$6:$AO$64,13,FALSE)))*O990</f>
        <v>0.75</v>
      </c>
      <c r="R990" s="200">
        <f>IF(O990=0,0,(VLOOKUP(N990,'RESUMEN RENDIMIENTOS'!$AB$6:$AO$64,14,FALSE)))*O990</f>
        <v>1.0285714285714287E-2</v>
      </c>
    </row>
    <row r="991" spans="2:19">
      <c r="B991" s="197" t="s">
        <v>279</v>
      </c>
      <c r="C991" s="201">
        <v>1</v>
      </c>
      <c r="E991" s="199">
        <f>IF(C991=0,0,(VLOOKUP(B991,'RESUMEN RENDIMIENTOS'!$AB$6:$AO$64,13,FALSE)))*C991</f>
        <v>2</v>
      </c>
      <c r="F991" s="200">
        <f>IF(C991=0,0,(VLOOKUP(B991,'RESUMEN RENDIMIENTOS'!$AB$6:$AO$64,14,FALSE)))*C991</f>
        <v>9.5999999999999988E-2</v>
      </c>
      <c r="H991" s="197" t="s">
        <v>279</v>
      </c>
      <c r="I991" s="201">
        <v>1</v>
      </c>
      <c r="K991" s="199">
        <f>IF(I991=0,0,(VLOOKUP(H991,'RESUMEN RENDIMIENTOS'!$AB$6:$AO$64,13,FALSE)))*I991</f>
        <v>2</v>
      </c>
      <c r="L991" s="200">
        <f>IF(I991=0,0,(VLOOKUP(H991,'RESUMEN RENDIMIENTOS'!$AB$6:$AO$64,14,FALSE)))*I991</f>
        <v>9.5999999999999988E-2</v>
      </c>
      <c r="N991" s="197" t="s">
        <v>279</v>
      </c>
      <c r="O991" s="201">
        <v>1</v>
      </c>
      <c r="Q991" s="199">
        <f>IF(O991=0,0,(VLOOKUP(N991,'RESUMEN RENDIMIENTOS'!$AB$6:$AO$64,13,FALSE)))*O991</f>
        <v>2</v>
      </c>
      <c r="R991" s="200">
        <f>IF(O991=0,0,(VLOOKUP(N991,'RESUMEN RENDIMIENTOS'!$AB$6:$AO$64,14,FALSE)))*O991</f>
        <v>9.5999999999999988E-2</v>
      </c>
    </row>
    <row r="992" spans="2:19">
      <c r="B992" s="197" t="s">
        <v>284</v>
      </c>
      <c r="C992" s="201">
        <v>0.25</v>
      </c>
      <c r="E992" s="199">
        <f>IF(C992=0,0,(VLOOKUP(B992,'RESUMEN RENDIMIENTOS'!$AB$6:$AO$64,13,FALSE)))*C992</f>
        <v>0.52500000000000002</v>
      </c>
      <c r="F992" s="200">
        <f>IF(C992=0,0,(VLOOKUP(B992,'RESUMEN RENDIMIENTOS'!$AB$6:$AO$64,14,FALSE)))*C992</f>
        <v>4.2000000000000003E-2</v>
      </c>
      <c r="H992" s="197" t="s">
        <v>284</v>
      </c>
      <c r="I992" s="201">
        <v>0.25</v>
      </c>
      <c r="K992" s="199">
        <f>IF(I992=0,0,(VLOOKUP(H992,'RESUMEN RENDIMIENTOS'!$AB$6:$AO$64,13,FALSE)))*I992</f>
        <v>0.52500000000000002</v>
      </c>
      <c r="L992" s="200">
        <f>IF(I992=0,0,(VLOOKUP(H992,'RESUMEN RENDIMIENTOS'!$AB$6:$AO$64,14,FALSE)))*I992</f>
        <v>4.2000000000000003E-2</v>
      </c>
      <c r="N992" s="197" t="s">
        <v>284</v>
      </c>
      <c r="O992" s="201">
        <v>0.25</v>
      </c>
      <c r="Q992" s="199">
        <f>IF(O992=0,0,(VLOOKUP(N992,'RESUMEN RENDIMIENTOS'!$AB$6:$AO$64,13,FALSE)))*O992</f>
        <v>0.52500000000000002</v>
      </c>
      <c r="R992" s="200">
        <f>IF(O992=0,0,(VLOOKUP(N992,'RESUMEN RENDIMIENTOS'!$AB$6:$AO$64,14,FALSE)))*O992</f>
        <v>4.2000000000000003E-2</v>
      </c>
    </row>
    <row r="993" spans="2:19">
      <c r="B993" s="197" t="s">
        <v>283</v>
      </c>
      <c r="C993" s="201">
        <v>1</v>
      </c>
      <c r="E993" s="199">
        <f>IF(C993=0,0,(VLOOKUP(B993,'RESUMEN RENDIMIENTOS'!$AB$6:$AO$64,13,FALSE)))*C993</f>
        <v>1.59</v>
      </c>
      <c r="F993" s="200">
        <f>IF(C993=0,0,(VLOOKUP(B993,'RESUMEN RENDIMIENTOS'!$AB$6:$AO$64,14,FALSE)))*C993</f>
        <v>0.12720000000000001</v>
      </c>
      <c r="H993" s="197" t="s">
        <v>283</v>
      </c>
      <c r="I993" s="201">
        <v>1</v>
      </c>
      <c r="K993" s="199">
        <f>IF(I993=0,0,(VLOOKUP(H993,'RESUMEN RENDIMIENTOS'!$AB$6:$AO$64,13,FALSE)))*I993</f>
        <v>1.59</v>
      </c>
      <c r="L993" s="200">
        <f>IF(I993=0,0,(VLOOKUP(H993,'RESUMEN RENDIMIENTOS'!$AB$6:$AO$64,14,FALSE)))*I993</f>
        <v>0.12720000000000001</v>
      </c>
      <c r="N993" s="197" t="s">
        <v>283</v>
      </c>
      <c r="O993" s="201">
        <v>1</v>
      </c>
      <c r="Q993" s="199">
        <f>IF(O993=0,0,(VLOOKUP(N993,'RESUMEN RENDIMIENTOS'!$AB$6:$AO$64,13,FALSE)))*O993</f>
        <v>1.59</v>
      </c>
      <c r="R993" s="200">
        <f>IF(O993=0,0,(VLOOKUP(N993,'RESUMEN RENDIMIENTOS'!$AB$6:$AO$64,14,FALSE)))*O993</f>
        <v>0.12720000000000001</v>
      </c>
    </row>
    <row r="994" spans="2:19">
      <c r="B994" s="197" t="s">
        <v>282</v>
      </c>
      <c r="C994" s="201">
        <v>1</v>
      </c>
      <c r="E994" s="199">
        <f>IF(C994=0,0,(VLOOKUP(B994,'RESUMEN RENDIMIENTOS'!$AB$6:$AO$64,13,FALSE)))*C994</f>
        <v>2.62</v>
      </c>
      <c r="F994" s="200">
        <f>IF(C994=0,0,(VLOOKUP(B994,'RESUMEN RENDIMIENTOS'!$AB$6:$AO$64,14,FALSE)))*C994</f>
        <v>6.986666666666666E-2</v>
      </c>
      <c r="H994" s="197" t="s">
        <v>282</v>
      </c>
      <c r="I994" s="201">
        <v>1</v>
      </c>
      <c r="K994" s="199">
        <f>IF(I994=0,0,(VLOOKUP(H994,'RESUMEN RENDIMIENTOS'!$AB$6:$AO$64,13,FALSE)))*I994</f>
        <v>2.62</v>
      </c>
      <c r="L994" s="200">
        <f>IF(I994=0,0,(VLOOKUP(H994,'RESUMEN RENDIMIENTOS'!$AB$6:$AO$64,14,FALSE)))*I994</f>
        <v>6.986666666666666E-2</v>
      </c>
      <c r="N994" s="197" t="s">
        <v>282</v>
      </c>
      <c r="O994" s="201">
        <v>1</v>
      </c>
      <c r="Q994" s="199">
        <f>IF(O994=0,0,(VLOOKUP(N994,'RESUMEN RENDIMIENTOS'!$AB$6:$AO$64,13,FALSE)))*O994</f>
        <v>2.62</v>
      </c>
      <c r="R994" s="200">
        <f>IF(O994=0,0,(VLOOKUP(N994,'RESUMEN RENDIMIENTOS'!$AB$6:$AO$64,14,FALSE)))*O994</f>
        <v>6.986666666666666E-2</v>
      </c>
    </row>
    <row r="995" spans="2:19">
      <c r="B995" s="197" t="s">
        <v>302</v>
      </c>
      <c r="C995" s="201">
        <v>1</v>
      </c>
      <c r="E995" s="199">
        <f>IF(C995=0,0,(VLOOKUP(B995,'RESUMEN RENDIMIENTOS'!$AB$6:$AO$64,13,FALSE)))*C995</f>
        <v>1</v>
      </c>
      <c r="F995" s="200">
        <f>IF(C995=0,0,(VLOOKUP(B995,'RESUMEN RENDIMIENTOS'!$AB$6:$AO$64,14,FALSE)))*C995</f>
        <v>0.2</v>
      </c>
      <c r="H995" s="197" t="s">
        <v>302</v>
      </c>
      <c r="I995" s="201">
        <v>1</v>
      </c>
      <c r="K995" s="199">
        <f>IF(I995=0,0,(VLOOKUP(H995,'RESUMEN RENDIMIENTOS'!$AB$6:$AO$64,13,FALSE)))*I995</f>
        <v>1</v>
      </c>
      <c r="L995" s="200">
        <f>IF(I995=0,0,(VLOOKUP(H995,'RESUMEN RENDIMIENTOS'!$AB$6:$AO$64,14,FALSE)))*I995</f>
        <v>0.2</v>
      </c>
      <c r="N995" s="197" t="s">
        <v>302</v>
      </c>
      <c r="O995" s="201">
        <v>1</v>
      </c>
      <c r="Q995" s="199">
        <f>IF(O995=0,0,(VLOOKUP(N995,'RESUMEN RENDIMIENTOS'!$AB$6:$AO$64,13,FALSE)))*O995</f>
        <v>1</v>
      </c>
      <c r="R995" s="200">
        <f>IF(O995=0,0,(VLOOKUP(N995,'RESUMEN RENDIMIENTOS'!$AB$6:$AO$64,14,FALSE)))*O995</f>
        <v>0.2</v>
      </c>
    </row>
    <row r="996" spans="2:19">
      <c r="B996" s="202"/>
      <c r="F996" s="204">
        <f>SUM(F990:F995)</f>
        <v>0.54535238095238103</v>
      </c>
      <c r="G996" s="205">
        <f>+F996</f>
        <v>0.54535238095238103</v>
      </c>
      <c r="H996" s="202"/>
      <c r="I996" s="179"/>
      <c r="K996" s="88"/>
      <c r="L996" s="206">
        <f>SUM(L990:L995)</f>
        <v>0.54535238095238103</v>
      </c>
      <c r="M996" s="205">
        <f>+L996</f>
        <v>0.54535238095238103</v>
      </c>
      <c r="N996" s="202"/>
      <c r="O996" s="179"/>
      <c r="R996" s="206">
        <f>SUM(R990:R995)</f>
        <v>0.54535238095238103</v>
      </c>
      <c r="S996" s="205">
        <f>+R996</f>
        <v>0.54535238095238103</v>
      </c>
    </row>
    <row r="997" spans="2:19">
      <c r="B997" s="436" t="s">
        <v>324</v>
      </c>
      <c r="C997" s="437"/>
      <c r="D997" s="437"/>
      <c r="E997" s="437"/>
      <c r="F997" s="437"/>
      <c r="G997" s="205"/>
      <c r="H997" s="436" t="s">
        <v>324</v>
      </c>
      <c r="I997" s="437"/>
      <c r="J997" s="437"/>
      <c r="K997" s="437"/>
      <c r="L997" s="455"/>
      <c r="M997" s="205"/>
      <c r="N997" s="436" t="s">
        <v>324</v>
      </c>
      <c r="O997" s="437"/>
      <c r="P997" s="437"/>
      <c r="Q997" s="437"/>
      <c r="R997" s="455"/>
      <c r="S997" s="205"/>
    </row>
    <row r="998" spans="2:19">
      <c r="B998" s="210" t="s">
        <v>325</v>
      </c>
      <c r="C998" s="211">
        <v>1</v>
      </c>
      <c r="D998" s="212">
        <v>21.712335174960327</v>
      </c>
      <c r="E998" s="213">
        <f>F984</f>
        <v>6.418181818181818</v>
      </c>
      <c r="F998" s="214">
        <f>+IF(C998&gt;="",0,(D998*E998))</f>
        <v>139.35371485019991</v>
      </c>
      <c r="G998" s="215"/>
      <c r="H998" s="210" t="s">
        <v>325</v>
      </c>
      <c r="I998" s="211">
        <v>1</v>
      </c>
      <c r="J998" s="212">
        <v>21.712335174960327</v>
      </c>
      <c r="K998" s="213">
        <f>L984</f>
        <v>0.3364666486729645</v>
      </c>
      <c r="L998" s="216">
        <f>+IF(I998&gt;="",0,(J998*K998))</f>
        <v>7.3054766511830254</v>
      </c>
      <c r="M998" s="215"/>
      <c r="N998" s="210" t="s">
        <v>325</v>
      </c>
      <c r="O998" s="211">
        <v>1</v>
      </c>
      <c r="P998" s="212">
        <v>21.712335174960327</v>
      </c>
      <c r="Q998" s="213">
        <f>R984</f>
        <v>0.3497999820062978</v>
      </c>
      <c r="R998" s="214">
        <f>+IF(O998&gt;="",0,(P998*Q998))</f>
        <v>7.594974453515829</v>
      </c>
      <c r="S998" s="215"/>
    </row>
    <row r="999" spans="2:19">
      <c r="B999" s="210" t="s">
        <v>326</v>
      </c>
      <c r="C999" s="211"/>
      <c r="D999" s="212">
        <f>+D998*25%</f>
        <v>5.4280837937400817</v>
      </c>
      <c r="E999" s="213">
        <f>F984</f>
        <v>6.418181818181818</v>
      </c>
      <c r="F999" s="214">
        <f>+IF(C999= "",0,(D999*E999))</f>
        <v>0</v>
      </c>
      <c r="G999" s="215"/>
      <c r="H999" s="210" t="s">
        <v>326</v>
      </c>
      <c r="I999" s="211"/>
      <c r="J999" s="212">
        <f>+J998*25%</f>
        <v>5.4280837937400817</v>
      </c>
      <c r="K999" s="213">
        <f>L984</f>
        <v>0.3364666486729645</v>
      </c>
      <c r="L999" s="216">
        <f>+IF(I999= "",0,(J999*K999))</f>
        <v>0</v>
      </c>
      <c r="M999" s="215"/>
      <c r="N999" s="210" t="s">
        <v>326</v>
      </c>
      <c r="O999" s="211"/>
      <c r="P999" s="212">
        <f>+P998*25%</f>
        <v>5.4280837937400817</v>
      </c>
      <c r="Q999" s="213">
        <f>R984</f>
        <v>0.3497999820062978</v>
      </c>
      <c r="R999" s="214">
        <f>+IF(O999= "",0,(P999*Q999))</f>
        <v>0</v>
      </c>
      <c r="S999" s="215"/>
    </row>
    <row r="1000" spans="2:19">
      <c r="B1000" s="210" t="s">
        <v>327</v>
      </c>
      <c r="C1000" s="211"/>
      <c r="D1000" s="212">
        <f>+D998*50%</f>
        <v>10.856167587480163</v>
      </c>
      <c r="E1000" s="213">
        <f>F984</f>
        <v>6.418181818181818</v>
      </c>
      <c r="F1000" s="214">
        <f>+IF(C1000= "",0,(D1000*E1000))</f>
        <v>0</v>
      </c>
      <c r="G1000" s="215"/>
      <c r="H1000" s="210" t="s">
        <v>327</v>
      </c>
      <c r="I1000" s="211"/>
      <c r="J1000" s="212">
        <f>+J998*50%</f>
        <v>10.856167587480163</v>
      </c>
      <c r="K1000" s="213">
        <f>L984</f>
        <v>0.3364666486729645</v>
      </c>
      <c r="L1000" s="216">
        <f>+IF(I1000= "",0,(J1000*K1000))</f>
        <v>0</v>
      </c>
      <c r="M1000" s="215"/>
      <c r="N1000" s="210" t="s">
        <v>327</v>
      </c>
      <c r="O1000" s="211"/>
      <c r="P1000" s="212">
        <f>+P998*50%</f>
        <v>10.856167587480163</v>
      </c>
      <c r="Q1000" s="213">
        <f>R984</f>
        <v>0.3497999820062978</v>
      </c>
      <c r="R1000" s="214">
        <f>+IF(O1000= "",0,(P1000*Q1000))</f>
        <v>0</v>
      </c>
      <c r="S1000" s="215"/>
    </row>
    <row r="1001" spans="2:19">
      <c r="B1001" s="202"/>
      <c r="F1001" s="217">
        <f>SUM(F998:F1000)</f>
        <v>139.35371485019991</v>
      </c>
      <c r="G1001" s="218"/>
      <c r="H1001" s="202"/>
      <c r="I1001" s="179"/>
      <c r="K1001" s="88"/>
      <c r="L1001" s="219">
        <f>SUM(L998:L1000)</f>
        <v>7.3054766511830254</v>
      </c>
      <c r="M1001" s="218"/>
      <c r="N1001" s="202"/>
      <c r="O1001" s="179"/>
      <c r="R1001" s="217">
        <f>SUM(R998:R1000)</f>
        <v>7.594974453515829</v>
      </c>
      <c r="S1001" s="218"/>
    </row>
    <row r="1002" spans="2:19">
      <c r="B1002" s="202"/>
      <c r="F1002" s="189"/>
      <c r="G1002" s="220"/>
      <c r="H1002" s="202"/>
      <c r="I1002" s="179"/>
      <c r="K1002" s="88"/>
      <c r="M1002" s="220"/>
      <c r="N1002" s="202"/>
      <c r="O1002" s="179"/>
      <c r="R1002" s="189"/>
      <c r="S1002" s="220"/>
    </row>
    <row r="1003" spans="2:19" ht="21">
      <c r="B1003" s="438" t="s">
        <v>328</v>
      </c>
      <c r="C1003" s="439"/>
      <c r="D1003" s="439"/>
      <c r="E1003" s="440"/>
      <c r="F1003" s="221">
        <f>+F996+F1001</f>
        <v>139.89906723115229</v>
      </c>
      <c r="G1003" s="205">
        <f>+F1003</f>
        <v>139.89906723115229</v>
      </c>
      <c r="H1003" s="438" t="s">
        <v>328</v>
      </c>
      <c r="I1003" s="439"/>
      <c r="J1003" s="439"/>
      <c r="K1003" s="440"/>
      <c r="L1003" s="225">
        <f>+L996+L1001</f>
        <v>7.8508290321354064</v>
      </c>
      <c r="M1003" s="205">
        <f>+L1003</f>
        <v>7.8508290321354064</v>
      </c>
      <c r="N1003" s="438" t="s">
        <v>328</v>
      </c>
      <c r="O1003" s="439"/>
      <c r="P1003" s="439"/>
      <c r="Q1003" s="440"/>
      <c r="R1003" s="225">
        <f>+R996+R1001</f>
        <v>8.14032683446821</v>
      </c>
      <c r="S1003" s="205">
        <f>+R1003</f>
        <v>8.14032683446821</v>
      </c>
    </row>
    <row r="1004" spans="2:19">
      <c r="B1004" s="202"/>
      <c r="G1004" s="205"/>
      <c r="H1004" s="202"/>
      <c r="I1004" s="179"/>
      <c r="K1004" s="88"/>
      <c r="L1004" s="189"/>
      <c r="M1004" s="205"/>
      <c r="N1004" s="202"/>
      <c r="O1004" s="179"/>
      <c r="R1004" s="189"/>
      <c r="S1004" s="205"/>
    </row>
    <row r="1005" spans="2:19" ht="19">
      <c r="B1005" s="441" t="s">
        <v>329</v>
      </c>
      <c r="C1005" s="442"/>
      <c r="D1005" s="442"/>
      <c r="E1005" s="443"/>
      <c r="F1005" s="226">
        <f>+F1003/$C$37</f>
        <v>1.3989906723115229</v>
      </c>
      <c r="G1005" s="205"/>
      <c r="H1005" s="441" t="s">
        <v>329</v>
      </c>
      <c r="I1005" s="442"/>
      <c r="J1005" s="442"/>
      <c r="K1005" s="443"/>
      <c r="L1005" s="230">
        <f>+L1003/$C$37</f>
        <v>7.8508290321354063E-2</v>
      </c>
      <c r="M1005" s="205"/>
      <c r="N1005" s="441" t="s">
        <v>329</v>
      </c>
      <c r="O1005" s="442"/>
      <c r="P1005" s="442"/>
      <c r="Q1005" s="443"/>
      <c r="R1005" s="230">
        <f>+R1003/$C$37</f>
        <v>8.1403268344682103E-2</v>
      </c>
      <c r="S1005" s="205"/>
    </row>
    <row r="1006" spans="2:19" ht="17" thickBot="1">
      <c r="B1006" s="231"/>
      <c r="C1006" s="232"/>
      <c r="D1006" s="233"/>
      <c r="E1006" s="233"/>
      <c r="F1006" s="233"/>
      <c r="G1006" s="205"/>
      <c r="H1006" s="231"/>
      <c r="I1006" s="232"/>
      <c r="J1006" s="233"/>
      <c r="K1006" s="233"/>
      <c r="L1006" s="234"/>
      <c r="M1006" s="205"/>
      <c r="N1006" s="231"/>
      <c r="O1006" s="232"/>
      <c r="P1006" s="233"/>
      <c r="Q1006" s="233"/>
      <c r="R1006" s="234"/>
      <c r="S1006" s="205"/>
    </row>
    <row r="1007" spans="2:19" ht="24" customHeight="1" thickBot="1">
      <c r="B1007" s="415" t="s">
        <v>312</v>
      </c>
      <c r="C1007" s="416"/>
      <c r="D1007" s="416"/>
      <c r="E1007" s="416"/>
      <c r="F1007" s="416"/>
      <c r="G1007" s="416"/>
      <c r="H1007" s="416"/>
      <c r="I1007" s="416"/>
      <c r="J1007" s="416"/>
      <c r="K1007" s="416"/>
      <c r="L1007" s="416"/>
      <c r="M1007" s="416"/>
      <c r="N1007" s="416"/>
      <c r="O1007" s="416"/>
      <c r="P1007" s="416"/>
      <c r="Q1007" s="416"/>
      <c r="R1007" s="417"/>
    </row>
    <row r="1008" spans="2:19" ht="23.25" customHeight="1">
      <c r="B1008" s="276" t="s">
        <v>16</v>
      </c>
      <c r="C1008" s="462" t="s">
        <v>118</v>
      </c>
      <c r="D1008" s="463"/>
      <c r="E1008" s="463"/>
      <c r="F1008" s="464"/>
      <c r="G1008" s="274"/>
      <c r="H1008" s="239" t="s">
        <v>16</v>
      </c>
      <c r="I1008" s="452" t="s">
        <v>139</v>
      </c>
      <c r="J1008" s="453"/>
      <c r="K1008" s="454"/>
      <c r="L1008" s="262"/>
      <c r="M1008" s="254"/>
      <c r="N1008" s="239" t="s">
        <v>16</v>
      </c>
      <c r="O1008" s="459" t="s">
        <v>126</v>
      </c>
      <c r="P1008" s="460"/>
      <c r="Q1008" s="460"/>
      <c r="R1008" s="466"/>
    </row>
    <row r="1009" spans="2:19" ht="33" thickBot="1">
      <c r="B1009" s="241" t="s">
        <v>313</v>
      </c>
      <c r="C1009" s="242" t="s">
        <v>6</v>
      </c>
      <c r="D1009" s="243" t="s">
        <v>25</v>
      </c>
      <c r="E1009" s="244" t="s">
        <v>314</v>
      </c>
      <c r="F1009" s="245" t="s">
        <v>315</v>
      </c>
      <c r="H1009" s="241" t="s">
        <v>313</v>
      </c>
      <c r="I1009" s="242" t="s">
        <v>6</v>
      </c>
      <c r="J1009" s="243" t="s">
        <v>25</v>
      </c>
      <c r="K1009" s="244" t="s">
        <v>314</v>
      </c>
      <c r="L1009" s="245" t="s">
        <v>315</v>
      </c>
      <c r="N1009" s="241" t="s">
        <v>313</v>
      </c>
      <c r="O1009" s="242" t="s">
        <v>6</v>
      </c>
      <c r="P1009" s="243" t="s">
        <v>25</v>
      </c>
      <c r="Q1009" s="244" t="s">
        <v>314</v>
      </c>
      <c r="R1009" s="245" t="s">
        <v>315</v>
      </c>
    </row>
    <row r="1010" spans="2:19">
      <c r="B1010" s="170" t="s">
        <v>183</v>
      </c>
      <c r="C1010" s="171">
        <f>VLOOKUP(B1010,'RESUMEN RENDIMIENTOS'!$V$6:$W$158,2,FALSE)</f>
        <v>3600</v>
      </c>
      <c r="D1010" s="177" t="s">
        <v>20</v>
      </c>
      <c r="E1010" s="172">
        <v>247</v>
      </c>
      <c r="F1010" s="175">
        <f t="shared" ref="F1010:F1025" si="93">IF(C1010=0,0,(100/C1010)*E1010/$E$37)</f>
        <v>2.7777777777777776E-2</v>
      </c>
      <c r="G1010" s="164">
        <f>+F1010/F1026</f>
        <v>0.45382959735419182</v>
      </c>
      <c r="H1010" s="170" t="s">
        <v>181</v>
      </c>
      <c r="I1010" s="171">
        <f>VLOOKUP(H1010,'RESUMEN RENDIMIENTOS'!$V$6:$W$158,2,FALSE)</f>
        <v>900</v>
      </c>
      <c r="J1010" s="177" t="s">
        <v>20</v>
      </c>
      <c r="K1010" s="172">
        <v>247</v>
      </c>
      <c r="L1010" s="173">
        <f t="shared" ref="L1010:L1025" si="94">IF(I1010=0,0,(100/I1010)*K1010/$E$37)</f>
        <v>0.1111111111111111</v>
      </c>
      <c r="M1010" s="164">
        <f>+L1010/L1026</f>
        <v>0.23713637118807634</v>
      </c>
      <c r="N1010" s="170" t="s">
        <v>181</v>
      </c>
      <c r="O1010" s="171">
        <f>VLOOKUP(N1010,'RESUMEN RENDIMIENTOS'!$V$6:$W$158,2,FALSE)</f>
        <v>900</v>
      </c>
      <c r="P1010" s="177" t="s">
        <v>20</v>
      </c>
      <c r="Q1010" s="172">
        <v>247</v>
      </c>
      <c r="R1010" s="175">
        <f t="shared" ref="R1010:R1025" si="95">IF(O1010=0,0,(100/O1010)*Q1010/$E$37)</f>
        <v>0.1111111111111111</v>
      </c>
      <c r="S1010" s="164">
        <f>+R1010/R1026</f>
        <v>4.3406766400477213E-2</v>
      </c>
    </row>
    <row r="1011" spans="2:19">
      <c r="B1011" s="170" t="s">
        <v>207</v>
      </c>
      <c r="C1011" s="171">
        <f>VLOOKUP(B1011,'RESUMEN RENDIMIENTOS'!$V$6:$W$158,2,FALSE)</f>
        <v>3500</v>
      </c>
      <c r="D1011" s="177" t="s">
        <v>20</v>
      </c>
      <c r="E1011" s="172">
        <v>247</v>
      </c>
      <c r="F1011" s="175">
        <f t="shared" si="93"/>
        <v>2.8571428571428571E-2</v>
      </c>
      <c r="G1011" s="174">
        <f>+F1011/F1026</f>
        <v>0.4667961572785973</v>
      </c>
      <c r="H1011" s="170" t="s">
        <v>201</v>
      </c>
      <c r="I1011" s="171">
        <f>VLOOKUP(H1011,'RESUMEN RENDIMIENTOS'!$V$6:$W$158,2,FALSE)</f>
        <v>500</v>
      </c>
      <c r="J1011" s="177" t="s">
        <v>52</v>
      </c>
      <c r="K1011" s="172">
        <v>156.42000000000002</v>
      </c>
      <c r="L1011" s="173">
        <f t="shared" si="94"/>
        <v>0.12665587044534415</v>
      </c>
      <c r="M1011" s="174">
        <f>+L1011/L1026</f>
        <v>0.2703124215636844</v>
      </c>
      <c r="N1011" s="170" t="s">
        <v>203</v>
      </c>
      <c r="O1011" s="171">
        <f>VLOOKUP(N1011,'RESUMEN RENDIMIENTOS'!$V$6:$W$158,2,FALSE)</f>
        <v>600</v>
      </c>
      <c r="P1011" s="177" t="s">
        <v>20</v>
      </c>
      <c r="Q1011" s="172">
        <v>247</v>
      </c>
      <c r="R1011" s="175">
        <f t="shared" si="95"/>
        <v>0.16666666666666666</v>
      </c>
      <c r="S1011" s="174">
        <f>+R1011/R1026</f>
        <v>6.5110149600715816E-2</v>
      </c>
    </row>
    <row r="1012" spans="2:19">
      <c r="B1012" s="170" t="s">
        <v>240</v>
      </c>
      <c r="C1012" s="171">
        <f>VLOOKUP(B1012,'RESUMEN RENDIMIENTOS'!$V$6:$W$158,2,FALSE)</f>
        <v>1000</v>
      </c>
      <c r="D1012" s="177" t="s">
        <v>58</v>
      </c>
      <c r="E1012" s="172">
        <v>12</v>
      </c>
      <c r="F1012" s="175">
        <f t="shared" si="93"/>
        <v>4.8582995951417015E-3</v>
      </c>
      <c r="G1012" s="174">
        <f>+F1012/F1026</f>
        <v>7.9374245367210897E-2</v>
      </c>
      <c r="H1012" s="170" t="s">
        <v>240</v>
      </c>
      <c r="I1012" s="171">
        <f>VLOOKUP(H1012,'RESUMEN RENDIMIENTOS'!$V$6:$W$158,2,FALSE)</f>
        <v>1000</v>
      </c>
      <c r="J1012" s="177" t="s">
        <v>52</v>
      </c>
      <c r="K1012" s="172">
        <v>156.42000000000002</v>
      </c>
      <c r="L1012" s="173">
        <f t="shared" si="94"/>
        <v>6.3327935222672077E-2</v>
      </c>
      <c r="M1012" s="174">
        <f>+L1012/L1026</f>
        <v>0.1351562107818422</v>
      </c>
      <c r="N1012" s="170" t="s">
        <v>241</v>
      </c>
      <c r="O1012" s="171">
        <f>VLOOKUP(N1012,'RESUMEN RENDIMIENTOS'!$V$6:$W$158,2,FALSE)</f>
        <v>450</v>
      </c>
      <c r="P1012" s="177" t="s">
        <v>20</v>
      </c>
      <c r="Q1012" s="172">
        <v>247</v>
      </c>
      <c r="R1012" s="175">
        <f t="shared" si="95"/>
        <v>0.22222222222222221</v>
      </c>
      <c r="S1012" s="174">
        <f>+R1012/R1026</f>
        <v>8.6813532800954427E-2</v>
      </c>
    </row>
    <row r="1013" spans="2:19" ht="23.25" customHeight="1">
      <c r="B1013" s="170">
        <v>0</v>
      </c>
      <c r="C1013" s="171">
        <f>VLOOKUP(B1013,'RESUMEN RENDIMIENTOS'!$V$6:$W$158,2,FALSE)</f>
        <v>0</v>
      </c>
      <c r="D1013" s="177"/>
      <c r="E1013" s="172" t="s">
        <v>337</v>
      </c>
      <c r="F1013" s="175">
        <f t="shared" si="93"/>
        <v>0</v>
      </c>
      <c r="G1013" s="174">
        <f>+F1013/F1026</f>
        <v>0</v>
      </c>
      <c r="H1013" s="170" t="s">
        <v>234</v>
      </c>
      <c r="I1013" s="171">
        <f>VLOOKUP(H1013,'RESUMEN RENDIMIENTOS'!$V$6:$W$158,2,FALSE)</f>
        <v>805</v>
      </c>
      <c r="J1013" s="177" t="s">
        <v>52</v>
      </c>
      <c r="K1013" s="172">
        <v>156.42000000000002</v>
      </c>
      <c r="L1013" s="173">
        <f t="shared" si="94"/>
        <v>7.8668242512636113E-2</v>
      </c>
      <c r="M1013" s="174">
        <f>+L1013/L1026</f>
        <v>0.1678959140147108</v>
      </c>
      <c r="N1013" s="170" t="s">
        <v>242</v>
      </c>
      <c r="O1013" s="171">
        <f>VLOOKUP(N1013,'RESUMEN RENDIMIENTOS'!$V$6:$W$158,2,FALSE)</f>
        <v>125</v>
      </c>
      <c r="P1013" s="177" t="s">
        <v>56</v>
      </c>
      <c r="Q1013" s="172">
        <v>52.14</v>
      </c>
      <c r="R1013" s="175">
        <f t="shared" si="95"/>
        <v>0.16887449392712553</v>
      </c>
      <c r="S1013" s="174">
        <f>+R1013/R1026</f>
        <v>6.5972661380041916E-2</v>
      </c>
    </row>
    <row r="1014" spans="2:19">
      <c r="B1014" s="170">
        <v>0</v>
      </c>
      <c r="C1014" s="171">
        <f>VLOOKUP(B1014,'RESUMEN RENDIMIENTOS'!$V$6:$W$158,2,FALSE)</f>
        <v>0</v>
      </c>
      <c r="D1014" s="177"/>
      <c r="E1014" s="172" t="s">
        <v>337</v>
      </c>
      <c r="F1014" s="175">
        <f t="shared" si="93"/>
        <v>0</v>
      </c>
      <c r="G1014" s="174">
        <f>+F1014/F1026</f>
        <v>0</v>
      </c>
      <c r="H1014" s="170" t="s">
        <v>190</v>
      </c>
      <c r="I1014" s="171">
        <f>VLOOKUP(H1014,'RESUMEN RENDIMIENTOS'!$V$6:$W$158,2,FALSE)</f>
        <v>960</v>
      </c>
      <c r="J1014" s="177" t="s">
        <v>56</v>
      </c>
      <c r="K1014" s="172">
        <v>52.14</v>
      </c>
      <c r="L1014" s="173">
        <f t="shared" si="94"/>
        <v>2.1988866396761134E-2</v>
      </c>
      <c r="M1014" s="174">
        <f>+L1014/L1026</f>
        <v>4.6929239854806307E-2</v>
      </c>
      <c r="N1014" s="170" t="s">
        <v>234</v>
      </c>
      <c r="O1014" s="171">
        <f>VLOOKUP(N1014,'RESUMEN RENDIMIENTOS'!$V$6:$W$158,2,FALSE)</f>
        <v>805</v>
      </c>
      <c r="P1014" s="177" t="s">
        <v>20</v>
      </c>
      <c r="Q1014" s="172">
        <v>247</v>
      </c>
      <c r="R1014" s="175">
        <f t="shared" si="95"/>
        <v>0.12422360248447205</v>
      </c>
      <c r="S1014" s="174">
        <f>+R1014/R1026</f>
        <v>4.8529304050222974E-2</v>
      </c>
    </row>
    <row r="1015" spans="2:19">
      <c r="B1015" s="170">
        <v>0</v>
      </c>
      <c r="C1015" s="171">
        <f>VLOOKUP(B1015,'RESUMEN RENDIMIENTOS'!$V$6:$W$158,2,FALSE)</f>
        <v>0</v>
      </c>
      <c r="D1015" s="177"/>
      <c r="E1015" s="172" t="s">
        <v>337</v>
      </c>
      <c r="F1015" s="175">
        <f t="shared" si="93"/>
        <v>0</v>
      </c>
      <c r="G1015" s="174">
        <f>+F1015/F1026</f>
        <v>0</v>
      </c>
      <c r="H1015" s="170" t="s">
        <v>210</v>
      </c>
      <c r="I1015" s="171">
        <f>VLOOKUP(H1015,'RESUMEN RENDIMIENTOS'!$V$6:$W$158,2,FALSE)</f>
        <v>80</v>
      </c>
      <c r="J1015" s="177" t="s">
        <v>58</v>
      </c>
      <c r="K1015" s="172">
        <v>12</v>
      </c>
      <c r="L1015" s="173">
        <f t="shared" si="94"/>
        <v>6.0728744939271252E-2</v>
      </c>
      <c r="M1015" s="174">
        <f>+L1015/L1026</f>
        <v>0.12960894781534538</v>
      </c>
      <c r="N1015" s="170" t="s">
        <v>240</v>
      </c>
      <c r="O1015" s="171">
        <f>VLOOKUP(N1015,'RESUMEN RENDIMIENTOS'!$V$6:$W$158,2,FALSE)</f>
        <v>1000</v>
      </c>
      <c r="P1015" s="177" t="s">
        <v>20</v>
      </c>
      <c r="Q1015" s="172">
        <v>247</v>
      </c>
      <c r="R1015" s="175">
        <f t="shared" si="95"/>
        <v>0.1</v>
      </c>
      <c r="S1015" s="174">
        <f>+R1015/R1026</f>
        <v>3.9066089760429495E-2</v>
      </c>
    </row>
    <row r="1016" spans="2:19">
      <c r="B1016" s="170">
        <v>0</v>
      </c>
      <c r="C1016" s="171">
        <f>VLOOKUP(B1016,'RESUMEN RENDIMIENTOS'!$V$6:$W$158,2,FALSE)</f>
        <v>0</v>
      </c>
      <c r="D1016" s="177"/>
      <c r="E1016" s="172" t="s">
        <v>337</v>
      </c>
      <c r="F1016" s="175">
        <f t="shared" si="93"/>
        <v>0</v>
      </c>
      <c r="G1016" s="174">
        <f>+F1016/F1026</f>
        <v>0</v>
      </c>
      <c r="H1016" s="170" t="s">
        <v>191</v>
      </c>
      <c r="I1016" s="171">
        <f>VLOOKUP(H1016,'RESUMEN RENDIMIENTOS'!$V$6:$W$158,2,FALSE)</f>
        <v>800</v>
      </c>
      <c r="J1016" s="177" t="s">
        <v>58</v>
      </c>
      <c r="K1016" s="172">
        <v>12</v>
      </c>
      <c r="L1016" s="173">
        <f t="shared" si="94"/>
        <v>6.0728744939271256E-3</v>
      </c>
      <c r="M1016" s="174">
        <f>+L1016/L1026</f>
        <v>1.2960894781534539E-2</v>
      </c>
      <c r="N1016" s="170" t="s">
        <v>243</v>
      </c>
      <c r="O1016" s="171">
        <f>VLOOKUP(N1016,'RESUMEN RENDIMIENTOS'!$V$6:$W$158,2,FALSE)</f>
        <v>60</v>
      </c>
      <c r="P1016" s="177" t="s">
        <v>20</v>
      </c>
      <c r="Q1016" s="172">
        <v>247</v>
      </c>
      <c r="R1016" s="175">
        <f t="shared" si="95"/>
        <v>1.6666666666666667</v>
      </c>
      <c r="S1016" s="174">
        <f>+R1016/R1026</f>
        <v>0.65110149600715828</v>
      </c>
    </row>
    <row r="1017" spans="2:19">
      <c r="B1017" s="170">
        <v>0</v>
      </c>
      <c r="C1017" s="171">
        <f>VLOOKUP(B1017,'RESUMEN RENDIMIENTOS'!$V$6:$W$158,2,FALSE)</f>
        <v>0</v>
      </c>
      <c r="D1017" s="177"/>
      <c r="E1017" s="172" t="s">
        <v>337</v>
      </c>
      <c r="F1017" s="175">
        <f t="shared" si="93"/>
        <v>0</v>
      </c>
      <c r="G1017" s="174">
        <f>+F1017/F1026</f>
        <v>0</v>
      </c>
      <c r="H1017" s="170">
        <v>0</v>
      </c>
      <c r="I1017" s="171">
        <f>VLOOKUP(H1017,'RESUMEN RENDIMIENTOS'!$V$6:$W$158,2,FALSE)</f>
        <v>0</v>
      </c>
      <c r="J1017" s="177"/>
      <c r="K1017" s="172" t="s">
        <v>337</v>
      </c>
      <c r="L1017" s="173">
        <f t="shared" si="94"/>
        <v>0</v>
      </c>
      <c r="M1017" s="174">
        <f>+L1017/L1026</f>
        <v>0</v>
      </c>
      <c r="N1017" s="170">
        <v>0</v>
      </c>
      <c r="O1017" s="171">
        <f>VLOOKUP(N1017,'RESUMEN RENDIMIENTOS'!$V$6:$W$158,2,FALSE)</f>
        <v>0</v>
      </c>
      <c r="P1017" s="177"/>
      <c r="Q1017" s="172" t="s">
        <v>337</v>
      </c>
      <c r="R1017" s="175">
        <f t="shared" si="95"/>
        <v>0</v>
      </c>
      <c r="S1017" s="174">
        <f>+R1017/R1026</f>
        <v>0</v>
      </c>
    </row>
    <row r="1018" spans="2:19">
      <c r="B1018" s="170">
        <v>0</v>
      </c>
      <c r="C1018" s="171">
        <f>VLOOKUP(B1018,'RESUMEN RENDIMIENTOS'!$V$6:$W$158,2,FALSE)</f>
        <v>0</v>
      </c>
      <c r="D1018" s="177"/>
      <c r="E1018" s="172" t="s">
        <v>337</v>
      </c>
      <c r="F1018" s="175">
        <f t="shared" si="93"/>
        <v>0</v>
      </c>
      <c r="G1018" s="174">
        <f>+F1018/F1026</f>
        <v>0</v>
      </c>
      <c r="H1018" s="170">
        <v>0</v>
      </c>
      <c r="I1018" s="171">
        <f>VLOOKUP(H1018,'RESUMEN RENDIMIENTOS'!$V$6:$W$158,2,FALSE)</f>
        <v>0</v>
      </c>
      <c r="J1018" s="177"/>
      <c r="K1018" s="172" t="s">
        <v>337</v>
      </c>
      <c r="L1018" s="173">
        <f t="shared" si="94"/>
        <v>0</v>
      </c>
      <c r="M1018" s="174">
        <f>+L1018/L1026</f>
        <v>0</v>
      </c>
      <c r="N1018" s="170">
        <v>0</v>
      </c>
      <c r="O1018" s="171">
        <f>VLOOKUP(N1018,'RESUMEN RENDIMIENTOS'!$V$6:$W$158,2,FALSE)</f>
        <v>0</v>
      </c>
      <c r="P1018" s="177"/>
      <c r="Q1018" s="172" t="s">
        <v>337</v>
      </c>
      <c r="R1018" s="175">
        <f t="shared" si="95"/>
        <v>0</v>
      </c>
      <c r="S1018" s="174">
        <f>+R1018/R1026</f>
        <v>0</v>
      </c>
    </row>
    <row r="1019" spans="2:19">
      <c r="B1019" s="170">
        <v>0</v>
      </c>
      <c r="C1019" s="171">
        <f>VLOOKUP(B1019,'RESUMEN RENDIMIENTOS'!$V$6:$W$158,2,FALSE)</f>
        <v>0</v>
      </c>
      <c r="D1019" s="177"/>
      <c r="E1019" s="172" t="s">
        <v>337</v>
      </c>
      <c r="F1019" s="175">
        <f t="shared" si="93"/>
        <v>0</v>
      </c>
      <c r="G1019" s="174">
        <f>+F1019/F1026</f>
        <v>0</v>
      </c>
      <c r="H1019" s="170">
        <v>0</v>
      </c>
      <c r="I1019" s="171">
        <f>VLOOKUP(H1019,'RESUMEN RENDIMIENTOS'!$V$6:$W$158,2,FALSE)</f>
        <v>0</v>
      </c>
      <c r="J1019" s="177"/>
      <c r="K1019" s="172" t="s">
        <v>337</v>
      </c>
      <c r="L1019" s="173">
        <f t="shared" si="94"/>
        <v>0</v>
      </c>
      <c r="M1019" s="174">
        <f>+L1019/L1026</f>
        <v>0</v>
      </c>
      <c r="N1019" s="170">
        <v>0</v>
      </c>
      <c r="O1019" s="171">
        <f>VLOOKUP(N1019,'RESUMEN RENDIMIENTOS'!$V$6:$W$158,2,FALSE)</f>
        <v>0</v>
      </c>
      <c r="P1019" s="177"/>
      <c r="Q1019" s="172" t="s">
        <v>337</v>
      </c>
      <c r="R1019" s="175">
        <f t="shared" si="95"/>
        <v>0</v>
      </c>
      <c r="S1019" s="174">
        <f>+R1019/R1026</f>
        <v>0</v>
      </c>
    </row>
    <row r="1020" spans="2:19">
      <c r="B1020" s="170">
        <v>0</v>
      </c>
      <c r="C1020" s="171">
        <f>VLOOKUP(B1020,'RESUMEN RENDIMIENTOS'!$V$6:$W$158,2,FALSE)</f>
        <v>0</v>
      </c>
      <c r="D1020" s="177"/>
      <c r="E1020" s="172" t="s">
        <v>337</v>
      </c>
      <c r="F1020" s="175">
        <f t="shared" si="93"/>
        <v>0</v>
      </c>
      <c r="G1020" s="174">
        <f>+F1020/F1026</f>
        <v>0</v>
      </c>
      <c r="H1020" s="170">
        <v>0</v>
      </c>
      <c r="I1020" s="171">
        <f>VLOOKUP(H1020,'RESUMEN RENDIMIENTOS'!$V$6:$W$158,2,FALSE)</f>
        <v>0</v>
      </c>
      <c r="J1020" s="177"/>
      <c r="K1020" s="172" t="s">
        <v>337</v>
      </c>
      <c r="L1020" s="173">
        <f t="shared" si="94"/>
        <v>0</v>
      </c>
      <c r="M1020" s="174">
        <f>+L1020/L1026</f>
        <v>0</v>
      </c>
      <c r="N1020" s="170">
        <v>0</v>
      </c>
      <c r="O1020" s="171">
        <f>VLOOKUP(N1020,'RESUMEN RENDIMIENTOS'!$V$6:$W$158,2,FALSE)</f>
        <v>0</v>
      </c>
      <c r="P1020" s="177"/>
      <c r="Q1020" s="172" t="s">
        <v>337</v>
      </c>
      <c r="R1020" s="175">
        <f t="shared" si="95"/>
        <v>0</v>
      </c>
      <c r="S1020" s="174">
        <f>+R1020/R1026</f>
        <v>0</v>
      </c>
    </row>
    <row r="1021" spans="2:19">
      <c r="B1021" s="170">
        <v>0</v>
      </c>
      <c r="C1021" s="171">
        <f>VLOOKUP(B1021,'RESUMEN RENDIMIENTOS'!$V$6:$W$158,2,FALSE)</f>
        <v>0</v>
      </c>
      <c r="D1021" s="177"/>
      <c r="E1021" s="172" t="s">
        <v>337</v>
      </c>
      <c r="F1021" s="175">
        <f t="shared" si="93"/>
        <v>0</v>
      </c>
      <c r="G1021" s="174">
        <f>+F1021/F1026</f>
        <v>0</v>
      </c>
      <c r="H1021" s="170">
        <v>0</v>
      </c>
      <c r="I1021" s="171">
        <f>VLOOKUP(H1021,'RESUMEN RENDIMIENTOS'!$V$6:$W$158,2,FALSE)</f>
        <v>0</v>
      </c>
      <c r="J1021" s="177"/>
      <c r="K1021" s="172" t="s">
        <v>337</v>
      </c>
      <c r="L1021" s="173">
        <f t="shared" si="94"/>
        <v>0</v>
      </c>
      <c r="M1021" s="174">
        <f>+L1021/L1026</f>
        <v>0</v>
      </c>
      <c r="N1021" s="170">
        <v>0</v>
      </c>
      <c r="O1021" s="171">
        <f>VLOOKUP(N1021,'RESUMEN RENDIMIENTOS'!$V$6:$W$158,2,FALSE)</f>
        <v>0</v>
      </c>
      <c r="P1021" s="177"/>
      <c r="Q1021" s="172" t="s">
        <v>337</v>
      </c>
      <c r="R1021" s="175">
        <f t="shared" si="95"/>
        <v>0</v>
      </c>
      <c r="S1021" s="174">
        <f>+R1021/R1026</f>
        <v>0</v>
      </c>
    </row>
    <row r="1022" spans="2:19">
      <c r="B1022" s="170">
        <v>0</v>
      </c>
      <c r="C1022" s="171">
        <f>VLOOKUP(B1022,'RESUMEN RENDIMIENTOS'!$V$6:$W$158,2,FALSE)</f>
        <v>0</v>
      </c>
      <c r="D1022" s="177"/>
      <c r="E1022" s="172" t="s">
        <v>337</v>
      </c>
      <c r="F1022" s="175">
        <f t="shared" si="93"/>
        <v>0</v>
      </c>
      <c r="G1022" s="174">
        <f>+F1022/F1026</f>
        <v>0</v>
      </c>
      <c r="H1022" s="170">
        <v>0</v>
      </c>
      <c r="I1022" s="171">
        <f>VLOOKUP(H1022,'RESUMEN RENDIMIENTOS'!$V$6:$W$158,2,FALSE)</f>
        <v>0</v>
      </c>
      <c r="J1022" s="177"/>
      <c r="K1022" s="172" t="s">
        <v>337</v>
      </c>
      <c r="L1022" s="173">
        <f t="shared" si="94"/>
        <v>0</v>
      </c>
      <c r="M1022" s="174">
        <f>+L1022/L1026</f>
        <v>0</v>
      </c>
      <c r="N1022" s="170">
        <v>0</v>
      </c>
      <c r="O1022" s="171">
        <f>VLOOKUP(N1022,'RESUMEN RENDIMIENTOS'!$V$6:$W$158,2,FALSE)</f>
        <v>0</v>
      </c>
      <c r="P1022" s="177"/>
      <c r="Q1022" s="172" t="s">
        <v>337</v>
      </c>
      <c r="R1022" s="175">
        <f t="shared" si="95"/>
        <v>0</v>
      </c>
      <c r="S1022" s="174">
        <f>+R1022/R1026</f>
        <v>0</v>
      </c>
    </row>
    <row r="1023" spans="2:19">
      <c r="B1023" s="170">
        <v>0</v>
      </c>
      <c r="C1023" s="171">
        <f>VLOOKUP(B1023,'RESUMEN RENDIMIENTOS'!$V$6:$W$158,2,FALSE)</f>
        <v>0</v>
      </c>
      <c r="D1023" s="177"/>
      <c r="E1023" s="172" t="s">
        <v>337</v>
      </c>
      <c r="F1023" s="175">
        <f t="shared" si="93"/>
        <v>0</v>
      </c>
      <c r="G1023" s="174">
        <f>+F1023/F1026</f>
        <v>0</v>
      </c>
      <c r="H1023" s="170">
        <v>0</v>
      </c>
      <c r="I1023" s="171">
        <f>VLOOKUP(H1023,'RESUMEN RENDIMIENTOS'!$V$6:$W$158,2,FALSE)</f>
        <v>0</v>
      </c>
      <c r="J1023" s="177"/>
      <c r="K1023" s="172" t="s">
        <v>337</v>
      </c>
      <c r="L1023" s="173">
        <f t="shared" si="94"/>
        <v>0</v>
      </c>
      <c r="M1023" s="174">
        <f>+L1023/L1026</f>
        <v>0</v>
      </c>
      <c r="N1023" s="170">
        <v>0</v>
      </c>
      <c r="O1023" s="171">
        <f>VLOOKUP(N1023,'RESUMEN RENDIMIENTOS'!$V$6:$W$158,2,FALSE)</f>
        <v>0</v>
      </c>
      <c r="P1023" s="177"/>
      <c r="Q1023" s="172" t="s">
        <v>337</v>
      </c>
      <c r="R1023" s="175">
        <f t="shared" si="95"/>
        <v>0</v>
      </c>
      <c r="S1023" s="174">
        <f>+R1023/R1026</f>
        <v>0</v>
      </c>
    </row>
    <row r="1024" spans="2:19">
      <c r="B1024" s="170">
        <v>0</v>
      </c>
      <c r="C1024" s="171">
        <f>VLOOKUP(B1024,'RESUMEN RENDIMIENTOS'!$V$6:$W$158,2,FALSE)</f>
        <v>0</v>
      </c>
      <c r="D1024" s="177"/>
      <c r="E1024" s="172" t="s">
        <v>337</v>
      </c>
      <c r="F1024" s="175">
        <f t="shared" si="93"/>
        <v>0</v>
      </c>
      <c r="G1024" s="174">
        <f>+F1024/F1026</f>
        <v>0</v>
      </c>
      <c r="H1024" s="170">
        <v>0</v>
      </c>
      <c r="I1024" s="171">
        <f>VLOOKUP(H1024,'RESUMEN RENDIMIENTOS'!$V$6:$W$158,2,FALSE)</f>
        <v>0</v>
      </c>
      <c r="J1024" s="177"/>
      <c r="K1024" s="172" t="s">
        <v>337</v>
      </c>
      <c r="L1024" s="173">
        <f t="shared" si="94"/>
        <v>0</v>
      </c>
      <c r="M1024" s="174">
        <f>+L1024/L1026</f>
        <v>0</v>
      </c>
      <c r="N1024" s="170">
        <v>0</v>
      </c>
      <c r="O1024" s="171">
        <f>VLOOKUP(N1024,'RESUMEN RENDIMIENTOS'!$V$6:$W$158,2,FALSE)</f>
        <v>0</v>
      </c>
      <c r="P1024" s="177"/>
      <c r="Q1024" s="172" t="s">
        <v>337</v>
      </c>
      <c r="R1024" s="175">
        <f t="shared" si="95"/>
        <v>0</v>
      </c>
      <c r="S1024" s="174">
        <f>+R1024/R1026</f>
        <v>0</v>
      </c>
    </row>
    <row r="1025" spans="2:19">
      <c r="B1025" s="170">
        <v>0</v>
      </c>
      <c r="C1025" s="171">
        <f>VLOOKUP(B1025,'RESUMEN RENDIMIENTOS'!$V$6:$W$158,2,FALSE)</f>
        <v>0</v>
      </c>
      <c r="D1025" s="177"/>
      <c r="E1025" s="172" t="s">
        <v>337</v>
      </c>
      <c r="F1025" s="175">
        <f t="shared" si="93"/>
        <v>0</v>
      </c>
      <c r="G1025" s="174">
        <f>+F1025/F1026</f>
        <v>0</v>
      </c>
      <c r="H1025" s="170">
        <v>0</v>
      </c>
      <c r="I1025" s="171">
        <f>VLOOKUP(H1025,'RESUMEN RENDIMIENTOS'!$V$6:$W$158,2,FALSE)</f>
        <v>0</v>
      </c>
      <c r="J1025" s="177"/>
      <c r="K1025" s="172" t="s">
        <v>337</v>
      </c>
      <c r="L1025" s="173">
        <f t="shared" si="94"/>
        <v>0</v>
      </c>
      <c r="M1025" s="174">
        <f>+L1025/L1026</f>
        <v>0</v>
      </c>
      <c r="N1025" s="170">
        <v>0</v>
      </c>
      <c r="O1025" s="171">
        <f>VLOOKUP(N1025,'RESUMEN RENDIMIENTOS'!$V$6:$W$158,2,FALSE)</f>
        <v>0</v>
      </c>
      <c r="P1025" s="177"/>
      <c r="Q1025" s="172" t="s">
        <v>337</v>
      </c>
      <c r="R1025" s="175">
        <f t="shared" si="95"/>
        <v>0</v>
      </c>
      <c r="S1025" s="174">
        <f>+R1025/R1026</f>
        <v>0</v>
      </c>
    </row>
    <row r="1026" spans="2:19" ht="17" thickBot="1">
      <c r="B1026" s="178"/>
      <c r="E1026" s="90"/>
      <c r="F1026" s="173">
        <f>SUM(F1010:F1025)</f>
        <v>6.1207505944348047E-2</v>
      </c>
      <c r="G1026" s="181">
        <f>+F1026/F1026</f>
        <v>1</v>
      </c>
      <c r="H1026" s="178"/>
      <c r="I1026" s="179"/>
      <c r="K1026" s="90"/>
      <c r="L1026" s="173">
        <f>SUM(L1010:L1025)</f>
        <v>0.46855364512172298</v>
      </c>
      <c r="M1026" s="181">
        <f>+L1026/L1026</f>
        <v>1</v>
      </c>
      <c r="N1026" s="178"/>
      <c r="O1026" s="179"/>
      <c r="Q1026" s="90"/>
      <c r="R1026" s="173">
        <f>SUM(R1010:R1025)</f>
        <v>2.5597647630782641</v>
      </c>
      <c r="S1026" s="181">
        <f>+R1026/R1026</f>
        <v>1</v>
      </c>
    </row>
    <row r="1027" spans="2:19" ht="31.5" customHeight="1">
      <c r="B1027" s="427" t="s">
        <v>317</v>
      </c>
      <c r="C1027" s="428"/>
      <c r="D1027" s="429"/>
      <c r="E1027" s="185">
        <v>0.12</v>
      </c>
      <c r="F1027" s="173">
        <f>+F1026*E1027</f>
        <v>7.3449007133217651E-3</v>
      </c>
      <c r="H1027" s="427" t="s">
        <v>317</v>
      </c>
      <c r="I1027" s="428"/>
      <c r="J1027" s="429"/>
      <c r="K1027" s="185">
        <v>0.12</v>
      </c>
      <c r="L1027" s="173">
        <f>+L1026*K1027</f>
        <v>5.6226437414606756E-2</v>
      </c>
      <c r="N1027" s="427" t="s">
        <v>317</v>
      </c>
      <c r="O1027" s="428"/>
      <c r="P1027" s="429"/>
      <c r="Q1027" s="185">
        <v>0.12</v>
      </c>
      <c r="R1027" s="175">
        <f>+R1026*Q1027</f>
        <v>0.30717177156939168</v>
      </c>
    </row>
    <row r="1028" spans="2:19" ht="18" customHeight="1">
      <c r="B1028" s="178"/>
      <c r="F1028" s="173">
        <f>+F1027+F1026</f>
        <v>6.8552406657669818E-2</v>
      </c>
      <c r="G1028" s="187">
        <f>+F1028/24</f>
        <v>2.8563502774029089E-3</v>
      </c>
      <c r="H1028" s="178"/>
      <c r="I1028" s="179"/>
      <c r="K1028" s="88"/>
      <c r="L1028" s="173">
        <f>+L1027+L1026</f>
        <v>0.52478008253632979</v>
      </c>
      <c r="M1028" s="187">
        <f>+L1028/24</f>
        <v>2.1865836772347075E-2</v>
      </c>
      <c r="N1028" s="178"/>
      <c r="O1028" s="179"/>
      <c r="R1028" s="175">
        <f>+R1027+R1026</f>
        <v>2.8669365346476559</v>
      </c>
      <c r="S1028" s="187">
        <f>+R1028/24</f>
        <v>0.11945568894365233</v>
      </c>
    </row>
    <row r="1029" spans="2:19">
      <c r="B1029" s="178"/>
      <c r="D1029" s="188"/>
      <c r="F1029" s="189"/>
      <c r="H1029" s="178"/>
      <c r="I1029" s="179"/>
      <c r="J1029" s="188"/>
      <c r="K1029" s="88"/>
      <c r="L1029" s="189"/>
      <c r="N1029" s="178"/>
      <c r="O1029" s="179"/>
      <c r="P1029" s="188"/>
      <c r="R1029" s="189"/>
    </row>
    <row r="1030" spans="2:19" ht="21">
      <c r="B1030" s="191" t="s">
        <v>318</v>
      </c>
      <c r="C1030" s="192"/>
      <c r="D1030" s="192"/>
      <c r="E1030" s="444">
        <f>IF(F1028=0,0,(100/F1028))</f>
        <v>1458.7379914956166</v>
      </c>
      <c r="F1030" s="445"/>
      <c r="H1030" s="191" t="s">
        <v>318</v>
      </c>
      <c r="I1030" s="192"/>
      <c r="J1030" s="192"/>
      <c r="K1030" s="444">
        <f>IF(L1028=0,0,(100/L1028))</f>
        <v>190.55601256184707</v>
      </c>
      <c r="L1030" s="445"/>
      <c r="N1030" s="191" t="s">
        <v>318</v>
      </c>
      <c r="O1030" s="192"/>
      <c r="P1030" s="192"/>
      <c r="Q1030" s="444">
        <f>IF(R1028=0,0,(100/R1028))</f>
        <v>34.880437286097759</v>
      </c>
      <c r="R1030" s="445"/>
    </row>
    <row r="1031" spans="2:19">
      <c r="B1031" s="178"/>
      <c r="H1031" s="178"/>
      <c r="I1031" s="179"/>
      <c r="K1031" s="88"/>
      <c r="L1031" s="189"/>
      <c r="N1031" s="178"/>
      <c r="O1031" s="179"/>
      <c r="R1031" s="189"/>
    </row>
    <row r="1032" spans="2:19" ht="21">
      <c r="B1032" s="446" t="s">
        <v>319</v>
      </c>
      <c r="C1032" s="447"/>
      <c r="D1032" s="447"/>
      <c r="E1032" s="447"/>
      <c r="F1032" s="448"/>
      <c r="H1032" s="446" t="s">
        <v>319</v>
      </c>
      <c r="I1032" s="447"/>
      <c r="J1032" s="447"/>
      <c r="K1032" s="447"/>
      <c r="L1032" s="448"/>
      <c r="N1032" s="446" t="s">
        <v>319</v>
      </c>
      <c r="O1032" s="447"/>
      <c r="P1032" s="447"/>
      <c r="Q1032" s="447"/>
      <c r="R1032" s="448"/>
    </row>
    <row r="1033" spans="2:19" ht="18" customHeight="1">
      <c r="B1033" s="194" t="s">
        <v>320</v>
      </c>
      <c r="C1033" s="195"/>
      <c r="D1033" s="435" t="s">
        <v>321</v>
      </c>
      <c r="E1033" s="435"/>
      <c r="F1033" s="196" t="s">
        <v>322</v>
      </c>
      <c r="H1033" s="194" t="s">
        <v>320</v>
      </c>
      <c r="I1033" s="195"/>
      <c r="J1033" s="435" t="s">
        <v>321</v>
      </c>
      <c r="K1033" s="435"/>
      <c r="L1033" s="196" t="s">
        <v>322</v>
      </c>
      <c r="N1033" s="194" t="s">
        <v>320</v>
      </c>
      <c r="O1033" s="195"/>
      <c r="P1033" s="435" t="s">
        <v>321</v>
      </c>
      <c r="Q1033" s="435"/>
      <c r="R1033" s="196" t="s">
        <v>322</v>
      </c>
    </row>
    <row r="1034" spans="2:19">
      <c r="B1034" s="197" t="s">
        <v>278</v>
      </c>
      <c r="C1034" s="201">
        <v>1</v>
      </c>
      <c r="E1034" s="199">
        <f>IF(C1034=0,0,(VLOOKUP(B1034,'RESUMEN RENDIMIENTOS'!$AB$6:$AO$64,13,FALSE)))*C1034</f>
        <v>0.75</v>
      </c>
      <c r="F1034" s="200">
        <f>IF(C1034=0,0,(VLOOKUP(B1034,'RESUMEN RENDIMIENTOS'!$AB$6:$AO$64,14,FALSE)))*C1034</f>
        <v>1.0285714285714287E-2</v>
      </c>
      <c r="H1034" s="197" t="s">
        <v>278</v>
      </c>
      <c r="I1034" s="201">
        <v>1</v>
      </c>
      <c r="K1034" s="199">
        <f>IF(I1034=0,0,(VLOOKUP(H1034,'RESUMEN RENDIMIENTOS'!$AB$6:$AO$64,13,FALSE)))*I1034</f>
        <v>0.75</v>
      </c>
      <c r="L1034" s="200">
        <f>IF(I1034=0,0,(VLOOKUP(H1034,'RESUMEN RENDIMIENTOS'!$AB$6:$AO$64,14,FALSE)))*I1034</f>
        <v>1.0285714285714287E-2</v>
      </c>
      <c r="N1034" s="197" t="s">
        <v>278</v>
      </c>
      <c r="O1034" s="201">
        <v>1</v>
      </c>
      <c r="Q1034" s="199">
        <f>IF(O1034=0,0,(VLOOKUP(N1034,'RESUMEN RENDIMIENTOS'!$AB$6:$AO$64,13,FALSE)))*O1034</f>
        <v>0.75</v>
      </c>
      <c r="R1034" s="200">
        <f>IF(O1034=0,0,(VLOOKUP(N1034,'RESUMEN RENDIMIENTOS'!$AB$6:$AO$64,14,FALSE)))*O1034</f>
        <v>1.0285714285714287E-2</v>
      </c>
    </row>
    <row r="1035" spans="2:19">
      <c r="B1035" s="197" t="s">
        <v>279</v>
      </c>
      <c r="C1035" s="201">
        <v>1</v>
      </c>
      <c r="E1035" s="199">
        <f>IF(C1035=0,0,(VLOOKUP(B1035,'RESUMEN RENDIMIENTOS'!$AB$6:$AO$64,13,FALSE)))*C1035</f>
        <v>2</v>
      </c>
      <c r="F1035" s="200">
        <f>IF(C1035=0,0,(VLOOKUP(B1035,'RESUMEN RENDIMIENTOS'!$AB$6:$AO$64,14,FALSE)))*C1035</f>
        <v>9.5999999999999988E-2</v>
      </c>
      <c r="H1035" s="197" t="s">
        <v>279</v>
      </c>
      <c r="I1035" s="201">
        <v>1</v>
      </c>
      <c r="K1035" s="199">
        <f>IF(I1035=0,0,(VLOOKUP(H1035,'RESUMEN RENDIMIENTOS'!$AB$6:$AO$64,13,FALSE)))*I1035</f>
        <v>2</v>
      </c>
      <c r="L1035" s="200">
        <f>IF(I1035=0,0,(VLOOKUP(H1035,'RESUMEN RENDIMIENTOS'!$AB$6:$AO$64,14,FALSE)))*I1035</f>
        <v>9.5999999999999988E-2</v>
      </c>
      <c r="N1035" s="197" t="s">
        <v>279</v>
      </c>
      <c r="O1035" s="201">
        <v>1</v>
      </c>
      <c r="Q1035" s="199">
        <f>IF(O1035=0,0,(VLOOKUP(N1035,'RESUMEN RENDIMIENTOS'!$AB$6:$AO$64,13,FALSE)))*O1035</f>
        <v>2</v>
      </c>
      <c r="R1035" s="200">
        <f>IF(O1035=0,0,(VLOOKUP(N1035,'RESUMEN RENDIMIENTOS'!$AB$6:$AO$64,14,FALSE)))*O1035</f>
        <v>9.5999999999999988E-2</v>
      </c>
    </row>
    <row r="1036" spans="2:19">
      <c r="B1036" s="197" t="s">
        <v>284</v>
      </c>
      <c r="C1036" s="201">
        <v>0.25</v>
      </c>
      <c r="E1036" s="199">
        <f>IF(C1036=0,0,(VLOOKUP(B1036,'RESUMEN RENDIMIENTOS'!$AB$6:$AO$64,13,FALSE)))*C1036</f>
        <v>0.52500000000000002</v>
      </c>
      <c r="F1036" s="200">
        <f>IF(C1036=0,0,(VLOOKUP(B1036,'RESUMEN RENDIMIENTOS'!$AB$6:$AO$64,14,FALSE)))*C1036</f>
        <v>4.2000000000000003E-2</v>
      </c>
      <c r="H1036" s="197" t="s">
        <v>284</v>
      </c>
      <c r="I1036" s="201">
        <v>0.25</v>
      </c>
      <c r="K1036" s="199">
        <f>IF(I1036=0,0,(VLOOKUP(H1036,'RESUMEN RENDIMIENTOS'!$AB$6:$AO$64,13,FALSE)))*I1036</f>
        <v>0.52500000000000002</v>
      </c>
      <c r="L1036" s="200">
        <f>IF(I1036=0,0,(VLOOKUP(H1036,'RESUMEN RENDIMIENTOS'!$AB$6:$AO$64,14,FALSE)))*I1036</f>
        <v>4.2000000000000003E-2</v>
      </c>
      <c r="N1036" s="197" t="s">
        <v>284</v>
      </c>
      <c r="O1036" s="201">
        <v>0.25</v>
      </c>
      <c r="Q1036" s="199">
        <f>IF(O1036=0,0,(VLOOKUP(N1036,'RESUMEN RENDIMIENTOS'!$AB$6:$AO$64,13,FALSE)))*O1036</f>
        <v>0.52500000000000002</v>
      </c>
      <c r="R1036" s="200">
        <f>IF(O1036=0,0,(VLOOKUP(N1036,'RESUMEN RENDIMIENTOS'!$AB$6:$AO$64,14,FALSE)))*O1036</f>
        <v>4.2000000000000003E-2</v>
      </c>
    </row>
    <row r="1037" spans="2:19">
      <c r="B1037" s="197" t="s">
        <v>283</v>
      </c>
      <c r="C1037" s="201">
        <v>1</v>
      </c>
      <c r="E1037" s="199">
        <f>IF(C1037=0,0,(VLOOKUP(B1037,'RESUMEN RENDIMIENTOS'!$AB$6:$AO$64,13,FALSE)))*C1037</f>
        <v>1.59</v>
      </c>
      <c r="F1037" s="200">
        <f>IF(C1037=0,0,(VLOOKUP(B1037,'RESUMEN RENDIMIENTOS'!$AB$6:$AO$64,14,FALSE)))*C1037</f>
        <v>0.12720000000000001</v>
      </c>
      <c r="H1037" s="197" t="s">
        <v>283</v>
      </c>
      <c r="I1037" s="201">
        <v>1</v>
      </c>
      <c r="K1037" s="199">
        <f>IF(I1037=0,0,(VLOOKUP(H1037,'RESUMEN RENDIMIENTOS'!$AB$6:$AO$64,13,FALSE)))*I1037</f>
        <v>1.59</v>
      </c>
      <c r="L1037" s="200">
        <f>IF(I1037=0,0,(VLOOKUP(H1037,'RESUMEN RENDIMIENTOS'!$AB$6:$AO$64,14,FALSE)))*I1037</f>
        <v>0.12720000000000001</v>
      </c>
      <c r="N1037" s="197" t="s">
        <v>283</v>
      </c>
      <c r="O1037" s="201">
        <v>1</v>
      </c>
      <c r="Q1037" s="199">
        <f>IF(O1037=0,0,(VLOOKUP(N1037,'RESUMEN RENDIMIENTOS'!$AB$6:$AO$64,13,FALSE)))*O1037</f>
        <v>1.59</v>
      </c>
      <c r="R1037" s="200">
        <f>IF(O1037=0,0,(VLOOKUP(N1037,'RESUMEN RENDIMIENTOS'!$AB$6:$AO$64,14,FALSE)))*O1037</f>
        <v>0.12720000000000001</v>
      </c>
    </row>
    <row r="1038" spans="2:19">
      <c r="B1038" s="197" t="s">
        <v>282</v>
      </c>
      <c r="C1038" s="201">
        <v>1</v>
      </c>
      <c r="E1038" s="199">
        <f>IF(C1038=0,0,(VLOOKUP(B1038,'RESUMEN RENDIMIENTOS'!$AB$6:$AO$64,13,FALSE)))*C1038</f>
        <v>2.62</v>
      </c>
      <c r="F1038" s="200">
        <f>IF(C1038=0,0,(VLOOKUP(B1038,'RESUMEN RENDIMIENTOS'!$AB$6:$AO$64,14,FALSE)))*C1038</f>
        <v>6.986666666666666E-2</v>
      </c>
      <c r="H1038" s="197" t="s">
        <v>282</v>
      </c>
      <c r="I1038" s="201">
        <v>1</v>
      </c>
      <c r="K1038" s="199">
        <f>IF(I1038=0,0,(VLOOKUP(H1038,'RESUMEN RENDIMIENTOS'!$AB$6:$AO$64,13,FALSE)))*I1038</f>
        <v>2.62</v>
      </c>
      <c r="L1038" s="200">
        <f>IF(I1038=0,0,(VLOOKUP(H1038,'RESUMEN RENDIMIENTOS'!$AB$6:$AO$64,14,FALSE)))*I1038</f>
        <v>6.986666666666666E-2</v>
      </c>
      <c r="N1038" s="197" t="s">
        <v>282</v>
      </c>
      <c r="O1038" s="201">
        <v>1</v>
      </c>
      <c r="Q1038" s="199">
        <f>IF(O1038=0,0,(VLOOKUP(N1038,'RESUMEN RENDIMIENTOS'!$AB$6:$AO$64,13,FALSE)))*O1038</f>
        <v>2.62</v>
      </c>
      <c r="R1038" s="200">
        <f>IF(O1038=0,0,(VLOOKUP(N1038,'RESUMEN RENDIMIENTOS'!$AB$6:$AO$64,14,FALSE)))*O1038</f>
        <v>6.986666666666666E-2</v>
      </c>
    </row>
    <row r="1039" spans="2:19">
      <c r="B1039" s="197" t="s">
        <v>302</v>
      </c>
      <c r="C1039" s="201">
        <v>1</v>
      </c>
      <c r="E1039" s="199">
        <f>IF(C1039=0,0,(VLOOKUP(B1039,'RESUMEN RENDIMIENTOS'!$AB$6:$AO$64,13,FALSE)))*C1039</f>
        <v>1</v>
      </c>
      <c r="F1039" s="200">
        <f>IF(C1039=0,0,(VLOOKUP(B1039,'RESUMEN RENDIMIENTOS'!$AB$6:$AO$64,14,FALSE)))*C1039</f>
        <v>0.2</v>
      </c>
      <c r="H1039" s="197" t="s">
        <v>302</v>
      </c>
      <c r="I1039" s="201">
        <v>1</v>
      </c>
      <c r="K1039" s="199">
        <f>IF(I1039=0,0,(VLOOKUP(H1039,'RESUMEN RENDIMIENTOS'!$AB$6:$AO$64,13,FALSE)))*I1039</f>
        <v>1</v>
      </c>
      <c r="L1039" s="200">
        <f>IF(I1039=0,0,(VLOOKUP(H1039,'RESUMEN RENDIMIENTOS'!$AB$6:$AO$64,14,FALSE)))*I1039</f>
        <v>0.2</v>
      </c>
      <c r="N1039" s="197" t="s">
        <v>302</v>
      </c>
      <c r="O1039" s="201">
        <v>1</v>
      </c>
      <c r="Q1039" s="199">
        <f>IF(O1039=0,0,(VLOOKUP(N1039,'RESUMEN RENDIMIENTOS'!$AB$6:$AO$64,13,FALSE)))*O1039</f>
        <v>1</v>
      </c>
      <c r="R1039" s="200">
        <f>IF(O1039=0,0,(VLOOKUP(N1039,'RESUMEN RENDIMIENTOS'!$AB$6:$AO$64,14,FALSE)))*O1039</f>
        <v>0.2</v>
      </c>
    </row>
    <row r="1040" spans="2:19">
      <c r="B1040" s="202"/>
      <c r="F1040" s="204">
        <f>SUM(F1034:F1039)</f>
        <v>0.54535238095238103</v>
      </c>
      <c r="G1040" s="205">
        <f>+F1040</f>
        <v>0.54535238095238103</v>
      </c>
      <c r="H1040" s="202"/>
      <c r="I1040" s="179"/>
      <c r="K1040" s="88"/>
      <c r="L1040" s="206">
        <f>SUM(L1034:L1039)</f>
        <v>0.54535238095238103</v>
      </c>
      <c r="M1040" s="205">
        <f>+L1040</f>
        <v>0.54535238095238103</v>
      </c>
      <c r="N1040" s="202"/>
      <c r="O1040" s="179"/>
      <c r="R1040" s="206">
        <f>SUM(R1034:R1039)</f>
        <v>0.54535238095238103</v>
      </c>
      <c r="S1040" s="205">
        <f>+R1040</f>
        <v>0.54535238095238103</v>
      </c>
    </row>
    <row r="1041" spans="2:19">
      <c r="B1041" s="436" t="s">
        <v>324</v>
      </c>
      <c r="C1041" s="437"/>
      <c r="D1041" s="437"/>
      <c r="E1041" s="437"/>
      <c r="F1041" s="437"/>
      <c r="G1041" s="205"/>
      <c r="H1041" s="436" t="s">
        <v>324</v>
      </c>
      <c r="I1041" s="437"/>
      <c r="J1041" s="437"/>
      <c r="K1041" s="437"/>
      <c r="L1041" s="455"/>
      <c r="M1041" s="205"/>
      <c r="N1041" s="436" t="s">
        <v>324</v>
      </c>
      <c r="O1041" s="437"/>
      <c r="P1041" s="437"/>
      <c r="Q1041" s="437"/>
      <c r="R1041" s="455"/>
      <c r="S1041" s="205"/>
    </row>
    <row r="1042" spans="2:19">
      <c r="B1042" s="210" t="s">
        <v>325</v>
      </c>
      <c r="C1042" s="211">
        <v>1</v>
      </c>
      <c r="D1042" s="212">
        <v>21.712335174960327</v>
      </c>
      <c r="E1042" s="213">
        <f>F1028</f>
        <v>6.8552406657669818E-2</v>
      </c>
      <c r="F1042" s="214">
        <f>+IF(C1042&gt;="",0,(D1042*E1042))</f>
        <v>1.4884328304015089</v>
      </c>
      <c r="G1042" s="215"/>
      <c r="H1042" s="210" t="s">
        <v>325</v>
      </c>
      <c r="I1042" s="211">
        <v>1</v>
      </c>
      <c r="J1042" s="212">
        <v>21.712335174960327</v>
      </c>
      <c r="K1042" s="213">
        <f>L1028</f>
        <v>0.52478008253632979</v>
      </c>
      <c r="L1042" s="216">
        <f>+IF(I1042&gt;="",0,(J1042*K1042))</f>
        <v>11.394201045172137</v>
      </c>
      <c r="M1042" s="215"/>
      <c r="N1042" s="210" t="s">
        <v>325</v>
      </c>
      <c r="O1042" s="211">
        <v>1</v>
      </c>
      <c r="P1042" s="212">
        <v>21.712335174960327</v>
      </c>
      <c r="Q1042" s="213">
        <f>R1028</f>
        <v>2.8669365346476559</v>
      </c>
      <c r="R1042" s="214">
        <f>+IF(O1042&gt;="",0,(P1042*Q1042))</f>
        <v>62.247886965609162</v>
      </c>
      <c r="S1042" s="215"/>
    </row>
    <row r="1043" spans="2:19">
      <c r="B1043" s="210" t="s">
        <v>326</v>
      </c>
      <c r="C1043" s="211"/>
      <c r="D1043" s="212">
        <f>+D1042*25%</f>
        <v>5.4280837937400817</v>
      </c>
      <c r="E1043" s="213">
        <f>F1028</f>
        <v>6.8552406657669818E-2</v>
      </c>
      <c r="F1043" s="214">
        <f>+IF(C1043= "",0,(D1043*E1043))</f>
        <v>0</v>
      </c>
      <c r="G1043" s="215"/>
      <c r="H1043" s="210" t="s">
        <v>326</v>
      </c>
      <c r="I1043" s="211"/>
      <c r="J1043" s="212">
        <f>+J1042*25%</f>
        <v>5.4280837937400817</v>
      </c>
      <c r="K1043" s="213">
        <f>L1028</f>
        <v>0.52478008253632979</v>
      </c>
      <c r="L1043" s="216">
        <f>+IF(I1043= "",0,(J1043*K1043))</f>
        <v>0</v>
      </c>
      <c r="M1043" s="215"/>
      <c r="N1043" s="210" t="s">
        <v>326</v>
      </c>
      <c r="O1043" s="211"/>
      <c r="P1043" s="212">
        <f>+P1042*25%</f>
        <v>5.4280837937400817</v>
      </c>
      <c r="Q1043" s="213">
        <f>R1028</f>
        <v>2.8669365346476559</v>
      </c>
      <c r="R1043" s="214">
        <f>+IF(O1043= "",0,(P1043*Q1043))</f>
        <v>0</v>
      </c>
      <c r="S1043" s="215"/>
    </row>
    <row r="1044" spans="2:19">
      <c r="B1044" s="210" t="s">
        <v>327</v>
      </c>
      <c r="C1044" s="211"/>
      <c r="D1044" s="212">
        <f>+D1042*50%</f>
        <v>10.856167587480163</v>
      </c>
      <c r="E1044" s="213">
        <f>F1028</f>
        <v>6.8552406657669818E-2</v>
      </c>
      <c r="F1044" s="214">
        <f>+IF(C1044= "",0,(D1044*E1044))</f>
        <v>0</v>
      </c>
      <c r="G1044" s="215"/>
      <c r="H1044" s="210" t="s">
        <v>327</v>
      </c>
      <c r="I1044" s="211"/>
      <c r="J1044" s="212">
        <f>+J1042*50%</f>
        <v>10.856167587480163</v>
      </c>
      <c r="K1044" s="213">
        <f>L1028</f>
        <v>0.52478008253632979</v>
      </c>
      <c r="L1044" s="216">
        <f>+IF(I1044= "",0,(J1044*K1044))</f>
        <v>0</v>
      </c>
      <c r="M1044" s="215"/>
      <c r="N1044" s="210" t="s">
        <v>327</v>
      </c>
      <c r="O1044" s="211"/>
      <c r="P1044" s="212">
        <f>+P1042*50%</f>
        <v>10.856167587480163</v>
      </c>
      <c r="Q1044" s="213">
        <f>R1028</f>
        <v>2.8669365346476559</v>
      </c>
      <c r="R1044" s="214">
        <f>+IF(O1044= "",0,(P1044*Q1044))</f>
        <v>0</v>
      </c>
      <c r="S1044" s="215"/>
    </row>
    <row r="1045" spans="2:19">
      <c r="B1045" s="202"/>
      <c r="F1045" s="217">
        <f>SUM(F1042:F1044)</f>
        <v>1.4884328304015089</v>
      </c>
      <c r="G1045" s="218"/>
      <c r="H1045" s="202"/>
      <c r="I1045" s="179"/>
      <c r="K1045" s="88"/>
      <c r="L1045" s="219">
        <f>SUM(L1042:L1044)</f>
        <v>11.394201045172137</v>
      </c>
      <c r="M1045" s="218"/>
      <c r="N1045" s="202"/>
      <c r="O1045" s="179"/>
      <c r="R1045" s="217">
        <f>SUM(R1042:R1044)</f>
        <v>62.247886965609162</v>
      </c>
      <c r="S1045" s="218"/>
    </row>
    <row r="1046" spans="2:19">
      <c r="B1046" s="202"/>
      <c r="F1046" s="189"/>
      <c r="G1046" s="220"/>
      <c r="H1046" s="202"/>
      <c r="I1046" s="179"/>
      <c r="K1046" s="88"/>
      <c r="M1046" s="220"/>
      <c r="N1046" s="202"/>
      <c r="O1046" s="179"/>
      <c r="R1046" s="189"/>
      <c r="S1046" s="220"/>
    </row>
    <row r="1047" spans="2:19" ht="21">
      <c r="B1047" s="438" t="s">
        <v>328</v>
      </c>
      <c r="C1047" s="439"/>
      <c r="D1047" s="439"/>
      <c r="E1047" s="440"/>
      <c r="F1047" s="221">
        <f>+F1040+F1045</f>
        <v>2.0337852113538899</v>
      </c>
      <c r="G1047" s="205">
        <f>+F1047</f>
        <v>2.0337852113538899</v>
      </c>
      <c r="H1047" s="438" t="s">
        <v>328</v>
      </c>
      <c r="I1047" s="439"/>
      <c r="J1047" s="439"/>
      <c r="K1047" s="440"/>
      <c r="L1047" s="225">
        <f>+L1040+L1045</f>
        <v>11.939553426124519</v>
      </c>
      <c r="M1047" s="205">
        <f>+L1047</f>
        <v>11.939553426124519</v>
      </c>
      <c r="N1047" s="438" t="s">
        <v>328</v>
      </c>
      <c r="O1047" s="439"/>
      <c r="P1047" s="439"/>
      <c r="Q1047" s="440"/>
      <c r="R1047" s="225">
        <f>+R1040+R1045</f>
        <v>62.793239346561542</v>
      </c>
      <c r="S1047" s="205">
        <f>+R1047</f>
        <v>62.793239346561542</v>
      </c>
    </row>
    <row r="1048" spans="2:19">
      <c r="B1048" s="202"/>
      <c r="G1048" s="205"/>
      <c r="H1048" s="202"/>
      <c r="I1048" s="179"/>
      <c r="K1048" s="88"/>
      <c r="L1048" s="189"/>
      <c r="M1048" s="205"/>
      <c r="N1048" s="202"/>
      <c r="O1048" s="179"/>
      <c r="R1048" s="189"/>
      <c r="S1048" s="205"/>
    </row>
    <row r="1049" spans="2:19" ht="19">
      <c r="B1049" s="441" t="s">
        <v>329</v>
      </c>
      <c r="C1049" s="442"/>
      <c r="D1049" s="442"/>
      <c r="E1049" s="443"/>
      <c r="F1049" s="226">
        <f>+F1047/$C$37</f>
        <v>2.0337852113538901E-2</v>
      </c>
      <c r="G1049" s="205"/>
      <c r="H1049" s="441" t="s">
        <v>329</v>
      </c>
      <c r="I1049" s="442"/>
      <c r="J1049" s="442"/>
      <c r="K1049" s="443"/>
      <c r="L1049" s="230">
        <f>+L1047/$C$37</f>
        <v>0.11939553426124519</v>
      </c>
      <c r="M1049" s="205"/>
      <c r="N1049" s="441" t="s">
        <v>329</v>
      </c>
      <c r="O1049" s="442"/>
      <c r="P1049" s="442"/>
      <c r="Q1049" s="443"/>
      <c r="R1049" s="230">
        <f>+R1047/$C$37</f>
        <v>0.62793239346561547</v>
      </c>
      <c r="S1049" s="205"/>
    </row>
    <row r="1050" spans="2:19" ht="17" thickBot="1">
      <c r="B1050" s="231"/>
      <c r="C1050" s="232"/>
      <c r="D1050" s="233"/>
      <c r="E1050" s="233"/>
      <c r="F1050" s="233"/>
      <c r="G1050" s="205"/>
      <c r="H1050" s="231"/>
      <c r="I1050" s="232"/>
      <c r="J1050" s="233"/>
      <c r="K1050" s="233"/>
      <c r="L1050" s="234"/>
      <c r="M1050" s="205"/>
      <c r="N1050" s="231"/>
      <c r="O1050" s="232"/>
      <c r="P1050" s="233"/>
      <c r="Q1050" s="233"/>
      <c r="R1050" s="234"/>
      <c r="S1050" s="205"/>
    </row>
    <row r="1051" spans="2:19" ht="24" customHeight="1" thickBot="1">
      <c r="B1051" s="415" t="s">
        <v>312</v>
      </c>
      <c r="C1051" s="416"/>
      <c r="D1051" s="416"/>
      <c r="E1051" s="416"/>
      <c r="F1051" s="416"/>
      <c r="G1051" s="416"/>
      <c r="H1051" s="416"/>
      <c r="I1051" s="416"/>
      <c r="J1051" s="416"/>
      <c r="K1051" s="416"/>
      <c r="L1051" s="416"/>
      <c r="M1051" s="416"/>
      <c r="N1051" s="416"/>
      <c r="O1051" s="416"/>
      <c r="P1051" s="416"/>
      <c r="Q1051" s="416"/>
      <c r="R1051" s="417"/>
    </row>
    <row r="1052" spans="2:19" ht="23.25" customHeight="1">
      <c r="B1052" s="239" t="s">
        <v>16</v>
      </c>
      <c r="C1052" s="459" t="s">
        <v>129</v>
      </c>
      <c r="D1052" s="460"/>
      <c r="E1052" s="460"/>
      <c r="F1052" s="466"/>
      <c r="G1052" s="254"/>
      <c r="H1052" s="239" t="s">
        <v>16</v>
      </c>
      <c r="I1052" s="452" t="s">
        <v>86</v>
      </c>
      <c r="J1052" s="453"/>
      <c r="K1052" s="453"/>
      <c r="L1052" s="465"/>
      <c r="M1052" s="254"/>
      <c r="N1052" s="237" t="s">
        <v>16</v>
      </c>
      <c r="O1052" s="452" t="s">
        <v>130</v>
      </c>
      <c r="P1052" s="453"/>
      <c r="Q1052" s="454"/>
      <c r="R1052" s="240"/>
    </row>
    <row r="1053" spans="2:19" ht="33" thickBot="1">
      <c r="B1053" s="241" t="s">
        <v>313</v>
      </c>
      <c r="C1053" s="242" t="s">
        <v>6</v>
      </c>
      <c r="D1053" s="243" t="s">
        <v>25</v>
      </c>
      <c r="E1053" s="244" t="s">
        <v>314</v>
      </c>
      <c r="F1053" s="245" t="s">
        <v>315</v>
      </c>
      <c r="H1053" s="241" t="s">
        <v>313</v>
      </c>
      <c r="I1053" s="242" t="s">
        <v>6</v>
      </c>
      <c r="J1053" s="243" t="s">
        <v>25</v>
      </c>
      <c r="K1053" s="244" t="s">
        <v>314</v>
      </c>
      <c r="L1053" s="245" t="s">
        <v>315</v>
      </c>
      <c r="N1053" s="241" t="s">
        <v>313</v>
      </c>
      <c r="O1053" s="242" t="s">
        <v>6</v>
      </c>
      <c r="P1053" s="243" t="s">
        <v>25</v>
      </c>
      <c r="Q1053" s="244" t="s">
        <v>314</v>
      </c>
      <c r="R1053" s="245" t="s">
        <v>315</v>
      </c>
    </row>
    <row r="1054" spans="2:19">
      <c r="B1054" s="170" t="s">
        <v>181</v>
      </c>
      <c r="C1054" s="171">
        <f>VLOOKUP(B1054,'RESUMEN RENDIMIENTOS'!$V$6:$W$158,2,FALSE)</f>
        <v>900</v>
      </c>
      <c r="D1054" s="177" t="s">
        <v>20</v>
      </c>
      <c r="E1054" s="172">
        <v>247</v>
      </c>
      <c r="F1054" s="175">
        <f t="shared" ref="F1054:F1069" si="96">IF(C1054=0,0,(100/C1054)*E1054/$E$37)</f>
        <v>0.1111111111111111</v>
      </c>
      <c r="G1054" s="164">
        <f>+F1054/F1070</f>
        <v>0.11406894669399525</v>
      </c>
      <c r="H1054" s="170" t="s">
        <v>181</v>
      </c>
      <c r="I1054" s="171">
        <f>VLOOKUP(H1054,'RESUMEN RENDIMIENTOS'!$V$6:$W$158,2,FALSE)</f>
        <v>900</v>
      </c>
      <c r="J1054" s="177" t="s">
        <v>20</v>
      </c>
      <c r="K1054" s="172">
        <v>247</v>
      </c>
      <c r="L1054" s="175">
        <f t="shared" ref="L1054:L1069" si="97">IF(I1054=0,0,(100/I1054)*K1054/$E$37)</f>
        <v>0.1111111111111111</v>
      </c>
      <c r="M1054" s="164">
        <f>+L1054/L1070</f>
        <v>0.14515749882463561</v>
      </c>
      <c r="N1054" s="170" t="s">
        <v>181</v>
      </c>
      <c r="O1054" s="171">
        <f>VLOOKUP(N1054,'RESUMEN RENDIMIENTOS'!$V$6:$W$158,2,FALSE)</f>
        <v>900</v>
      </c>
      <c r="P1054" s="177" t="s">
        <v>20</v>
      </c>
      <c r="Q1054" s="172">
        <v>247</v>
      </c>
      <c r="R1054" s="173">
        <f t="shared" ref="R1054:R1069" si="98">IF(O1054=0,0,(100/O1054)*Q1054/$E$37)</f>
        <v>0.1111111111111111</v>
      </c>
      <c r="S1054" s="164">
        <f>+R1054/R1070</f>
        <v>0.13281976358082082</v>
      </c>
    </row>
    <row r="1055" spans="2:19">
      <c r="B1055" s="170" t="s">
        <v>203</v>
      </c>
      <c r="C1055" s="171">
        <f>VLOOKUP(B1055,'RESUMEN RENDIMIENTOS'!$V$6:$W$158,2,FALSE)</f>
        <v>600</v>
      </c>
      <c r="D1055" s="177" t="s">
        <v>20</v>
      </c>
      <c r="E1055" s="172">
        <v>247</v>
      </c>
      <c r="F1055" s="175">
        <f t="shared" si="96"/>
        <v>0.16666666666666666</v>
      </c>
      <c r="G1055" s="174">
        <f>+F1055/F1070</f>
        <v>0.17110342004099288</v>
      </c>
      <c r="H1055" s="170" t="s">
        <v>203</v>
      </c>
      <c r="I1055" s="171">
        <f>VLOOKUP(H1055,'RESUMEN RENDIMIENTOS'!$V$6:$W$158,2,FALSE)</f>
        <v>600</v>
      </c>
      <c r="J1055" s="177" t="s">
        <v>20</v>
      </c>
      <c r="K1055" s="172">
        <v>247</v>
      </c>
      <c r="L1055" s="175">
        <f t="shared" si="97"/>
        <v>0.16666666666666666</v>
      </c>
      <c r="M1055" s="174">
        <f>+L1055/L1070</f>
        <v>0.21773624823695342</v>
      </c>
      <c r="N1055" s="170" t="s">
        <v>203</v>
      </c>
      <c r="O1055" s="171">
        <f>VLOOKUP(N1055,'RESUMEN RENDIMIENTOS'!$V$6:$W$158,2,FALSE)</f>
        <v>600</v>
      </c>
      <c r="P1055" s="177" t="s">
        <v>20</v>
      </c>
      <c r="Q1055" s="172">
        <v>247</v>
      </c>
      <c r="R1055" s="173">
        <f t="shared" si="98"/>
        <v>0.16666666666666666</v>
      </c>
      <c r="S1055" s="174">
        <f>+R1055/R1070</f>
        <v>0.19922964537123122</v>
      </c>
    </row>
    <row r="1056" spans="2:19">
      <c r="B1056" s="170" t="s">
        <v>241</v>
      </c>
      <c r="C1056" s="171">
        <f>VLOOKUP(B1056,'RESUMEN RENDIMIENTOS'!$V$6:$W$158,2,FALSE)</f>
        <v>450</v>
      </c>
      <c r="D1056" s="177" t="s">
        <v>20</v>
      </c>
      <c r="E1056" s="172">
        <v>247</v>
      </c>
      <c r="F1056" s="175">
        <f t="shared" si="96"/>
        <v>0.22222222222222221</v>
      </c>
      <c r="G1056" s="174">
        <f>+F1056/F1070</f>
        <v>0.22813789338799051</v>
      </c>
      <c r="H1056" s="170" t="s">
        <v>241</v>
      </c>
      <c r="I1056" s="171">
        <f>VLOOKUP(H1056,'RESUMEN RENDIMIENTOS'!$V$6:$W$158,2,FALSE)</f>
        <v>450</v>
      </c>
      <c r="J1056" s="177" t="s">
        <v>20</v>
      </c>
      <c r="K1056" s="172">
        <v>247</v>
      </c>
      <c r="L1056" s="175">
        <f t="shared" si="97"/>
        <v>0.22222222222222221</v>
      </c>
      <c r="M1056" s="174">
        <f>+L1056/L1070</f>
        <v>0.29031499764927121</v>
      </c>
      <c r="N1056" s="170" t="s">
        <v>241</v>
      </c>
      <c r="O1056" s="171">
        <f>VLOOKUP(N1056,'RESUMEN RENDIMIENTOS'!$V$6:$W$158,2,FALSE)</f>
        <v>450</v>
      </c>
      <c r="P1056" s="177" t="s">
        <v>20</v>
      </c>
      <c r="Q1056" s="172">
        <v>247</v>
      </c>
      <c r="R1056" s="173">
        <f t="shared" si="98"/>
        <v>0.22222222222222221</v>
      </c>
      <c r="S1056" s="174">
        <f>+R1056/R1070</f>
        <v>0.26563952716164163</v>
      </c>
    </row>
    <row r="1057" spans="2:19" ht="23.25" customHeight="1">
      <c r="B1057" s="170" t="s">
        <v>242</v>
      </c>
      <c r="C1057" s="171">
        <f>VLOOKUP(B1057,'RESUMEN RENDIMIENTOS'!$V$6:$W$158,2,FALSE)</f>
        <v>125</v>
      </c>
      <c r="D1057" s="177" t="s">
        <v>56</v>
      </c>
      <c r="E1057" s="172">
        <v>52.14</v>
      </c>
      <c r="F1057" s="175">
        <f t="shared" si="96"/>
        <v>0.16887449392712553</v>
      </c>
      <c r="G1057" s="174">
        <f>+F1057/F1070</f>
        <v>0.17337002081173836</v>
      </c>
      <c r="H1057" s="170" t="s">
        <v>242</v>
      </c>
      <c r="I1057" s="171">
        <f>VLOOKUP(H1057,'RESUMEN RENDIMIENTOS'!$V$6:$W$158,2,FALSE)</f>
        <v>125</v>
      </c>
      <c r="J1057" s="177" t="s">
        <v>30</v>
      </c>
      <c r="K1057" s="172">
        <v>24</v>
      </c>
      <c r="L1057" s="175">
        <f t="shared" si="97"/>
        <v>7.7732793522267224E-2</v>
      </c>
      <c r="M1057" s="174">
        <f>+L1057/L1070</f>
        <v>0.10155148095909733</v>
      </c>
      <c r="N1057" s="170" t="s">
        <v>254</v>
      </c>
      <c r="O1057" s="171">
        <f>VLOOKUP(N1057,'RESUMEN RENDIMIENTOS'!$V$6:$W$158,2,FALSE)</f>
        <v>2000</v>
      </c>
      <c r="P1057" s="177" t="s">
        <v>20</v>
      </c>
      <c r="Q1057" s="172">
        <v>247</v>
      </c>
      <c r="R1057" s="173">
        <f t="shared" si="98"/>
        <v>0.05</v>
      </c>
      <c r="S1057" s="174">
        <f>+R1057/R1070</f>
        <v>5.9768893611369368E-2</v>
      </c>
    </row>
    <row r="1058" spans="2:19">
      <c r="B1058" s="170" t="s">
        <v>234</v>
      </c>
      <c r="C1058" s="171">
        <f>VLOOKUP(B1058,'RESUMEN RENDIMIENTOS'!$V$6:$W$158,2,FALSE)</f>
        <v>805</v>
      </c>
      <c r="D1058" s="177" t="s">
        <v>20</v>
      </c>
      <c r="E1058" s="172">
        <v>247</v>
      </c>
      <c r="F1058" s="175">
        <f t="shared" si="96"/>
        <v>0.12422360248447205</v>
      </c>
      <c r="G1058" s="174">
        <f>+F1058/F1070</f>
        <v>0.1275304994094357</v>
      </c>
      <c r="H1058" s="170" t="s">
        <v>240</v>
      </c>
      <c r="I1058" s="171">
        <f>VLOOKUP(H1058,'RESUMEN RENDIMIENTOS'!$V$6:$W$158,2,FALSE)</f>
        <v>1000</v>
      </c>
      <c r="J1058" s="177" t="s">
        <v>20</v>
      </c>
      <c r="K1058" s="172">
        <v>247</v>
      </c>
      <c r="L1058" s="175">
        <f t="shared" si="97"/>
        <v>0.1</v>
      </c>
      <c r="M1058" s="174">
        <f>+L1058/L1070</f>
        <v>0.13064174894217206</v>
      </c>
      <c r="N1058" s="170" t="s">
        <v>259</v>
      </c>
      <c r="O1058" s="171">
        <f>VLOOKUP(N1058,'RESUMEN RENDIMIENTOS'!$V$6:$W$158,2,FALSE)</f>
        <v>1800</v>
      </c>
      <c r="P1058" s="177" t="s">
        <v>20</v>
      </c>
      <c r="Q1058" s="172">
        <v>247</v>
      </c>
      <c r="R1058" s="173">
        <f t="shared" si="98"/>
        <v>5.5555555555555552E-2</v>
      </c>
      <c r="S1058" s="174">
        <f>+R1058/R1070</f>
        <v>6.6409881790410408E-2</v>
      </c>
    </row>
    <row r="1059" spans="2:19">
      <c r="B1059" s="170" t="s">
        <v>240</v>
      </c>
      <c r="C1059" s="171">
        <f>VLOOKUP(B1059,'RESUMEN RENDIMIENTOS'!$V$6:$W$158,2,FALSE)</f>
        <v>1000</v>
      </c>
      <c r="D1059" s="177" t="s">
        <v>20</v>
      </c>
      <c r="E1059" s="172">
        <v>247</v>
      </c>
      <c r="F1059" s="175">
        <f t="shared" si="96"/>
        <v>0.1</v>
      </c>
      <c r="G1059" s="174">
        <f>+F1059/F1070</f>
        <v>0.10266205202459573</v>
      </c>
      <c r="H1059" s="170" t="s">
        <v>243</v>
      </c>
      <c r="I1059" s="171">
        <f>VLOOKUP(H1059,'RESUMEN RENDIMIENTOS'!$V$6:$W$158,2,FALSE)</f>
        <v>60</v>
      </c>
      <c r="J1059" s="177" t="s">
        <v>62</v>
      </c>
      <c r="K1059" s="172">
        <v>4</v>
      </c>
      <c r="L1059" s="175">
        <f t="shared" si="97"/>
        <v>2.6990553306342781E-2</v>
      </c>
      <c r="M1059" s="174">
        <f>+L1059/L1070</f>
        <v>3.5260930888575459E-2</v>
      </c>
      <c r="N1059" s="170" t="s">
        <v>232</v>
      </c>
      <c r="O1059" s="171">
        <f>VLOOKUP(N1059,'RESUMEN RENDIMIENTOS'!$V$6:$W$158,2,FALSE)</f>
        <v>1200</v>
      </c>
      <c r="P1059" s="177" t="s">
        <v>20</v>
      </c>
      <c r="Q1059" s="172">
        <v>247</v>
      </c>
      <c r="R1059" s="173">
        <f t="shared" si="98"/>
        <v>8.3333333333333329E-2</v>
      </c>
      <c r="S1059" s="174">
        <f>+R1059/R1070</f>
        <v>9.9614822685615612E-2</v>
      </c>
    </row>
    <row r="1060" spans="2:19">
      <c r="B1060" s="170" t="s">
        <v>243</v>
      </c>
      <c r="C1060" s="171">
        <f>VLOOKUP(B1060,'RESUMEN RENDIMIENTOS'!$V$6:$W$158,2,FALSE)</f>
        <v>60</v>
      </c>
      <c r="D1060" s="177" t="s">
        <v>58</v>
      </c>
      <c r="E1060" s="172">
        <v>12</v>
      </c>
      <c r="F1060" s="175">
        <f t="shared" si="96"/>
        <v>8.0971659919028341E-2</v>
      </c>
      <c r="G1060" s="174">
        <f>+F1060/F1070</f>
        <v>8.3127167631251608E-2</v>
      </c>
      <c r="H1060" s="170" t="s">
        <v>210</v>
      </c>
      <c r="I1060" s="171">
        <f>VLOOKUP(H1060,'RESUMEN RENDIMIENTOS'!$V$6:$W$158,2,FALSE)</f>
        <v>80</v>
      </c>
      <c r="J1060" s="177" t="s">
        <v>58</v>
      </c>
      <c r="K1060" s="172">
        <v>12</v>
      </c>
      <c r="L1060" s="175">
        <f t="shared" si="97"/>
        <v>6.0728744939271252E-2</v>
      </c>
      <c r="M1060" s="174">
        <f>+L1060/L1070</f>
        <v>7.9337094499294769E-2</v>
      </c>
      <c r="N1060" s="170" t="s">
        <v>194</v>
      </c>
      <c r="O1060" s="171">
        <f>VLOOKUP(N1060,'RESUMEN RENDIMIENTOS'!$V$6:$W$158,2,FALSE)</f>
        <v>2000</v>
      </c>
      <c r="P1060" s="177" t="s">
        <v>56</v>
      </c>
      <c r="Q1060" s="172">
        <v>52.14</v>
      </c>
      <c r="R1060" s="173">
        <f t="shared" si="98"/>
        <v>1.0554655870445346E-2</v>
      </c>
      <c r="S1060" s="174">
        <f>+R1060/R1070</f>
        <v>1.261680207650526E-2</v>
      </c>
    </row>
    <row r="1061" spans="2:19">
      <c r="B1061" s="170">
        <v>0</v>
      </c>
      <c r="C1061" s="171">
        <f>VLOOKUP(B1061,'RESUMEN RENDIMIENTOS'!$V$6:$W$158,2,FALSE)</f>
        <v>0</v>
      </c>
      <c r="D1061" s="177"/>
      <c r="E1061" s="172" t="s">
        <v>337</v>
      </c>
      <c r="F1061" s="175">
        <f t="shared" si="96"/>
        <v>0</v>
      </c>
      <c r="G1061" s="174">
        <f>+F1061/F1070</f>
        <v>0</v>
      </c>
      <c r="H1061" s="170">
        <v>0</v>
      </c>
      <c r="I1061" s="171">
        <f>VLOOKUP(H1061,'RESUMEN RENDIMIENTOS'!$V$6:$W$158,2,FALSE)</f>
        <v>0</v>
      </c>
      <c r="J1061" s="177"/>
      <c r="K1061" s="172" t="s">
        <v>337</v>
      </c>
      <c r="L1061" s="175">
        <f t="shared" si="97"/>
        <v>0</v>
      </c>
      <c r="M1061" s="174">
        <f>+L1061/L1070</f>
        <v>0</v>
      </c>
      <c r="N1061" s="170" t="s">
        <v>230</v>
      </c>
      <c r="O1061" s="171">
        <f>VLOOKUP(N1061,'RESUMEN RENDIMIENTOS'!$V$6:$W$158,2,FALSE)</f>
        <v>900</v>
      </c>
      <c r="P1061" s="177" t="s">
        <v>30</v>
      </c>
      <c r="Q1061" s="172">
        <v>24</v>
      </c>
      <c r="R1061" s="173">
        <f t="shared" si="98"/>
        <v>1.0796221322537112E-2</v>
      </c>
      <c r="S1061" s="174">
        <f>+R1061/R1070</f>
        <v>1.2905564072630363E-2</v>
      </c>
    </row>
    <row r="1062" spans="2:19">
      <c r="B1062" s="170">
        <v>0</v>
      </c>
      <c r="C1062" s="171">
        <f>VLOOKUP(B1062,'RESUMEN RENDIMIENTOS'!$V$6:$W$158,2,FALSE)</f>
        <v>0</v>
      </c>
      <c r="D1062" s="177"/>
      <c r="E1062" s="172" t="s">
        <v>337</v>
      </c>
      <c r="F1062" s="175">
        <f t="shared" si="96"/>
        <v>0</v>
      </c>
      <c r="G1062" s="174">
        <f>+F1062/F1070</f>
        <v>0</v>
      </c>
      <c r="H1062" s="170">
        <v>0</v>
      </c>
      <c r="I1062" s="171">
        <f>VLOOKUP(H1062,'RESUMEN RENDIMIENTOS'!$V$6:$W$158,2,FALSE)</f>
        <v>0</v>
      </c>
      <c r="J1062" s="177"/>
      <c r="K1062" s="172" t="s">
        <v>337</v>
      </c>
      <c r="L1062" s="175">
        <f t="shared" si="97"/>
        <v>0</v>
      </c>
      <c r="M1062" s="174">
        <f>+L1062/L1070</f>
        <v>0</v>
      </c>
      <c r="N1062" s="170" t="s">
        <v>210</v>
      </c>
      <c r="O1062" s="171">
        <f>VLOOKUP(N1062,'RESUMEN RENDIMIENTOS'!$V$6:$W$158,2,FALSE)</f>
        <v>80</v>
      </c>
      <c r="P1062" s="177" t="s">
        <v>58</v>
      </c>
      <c r="Q1062" s="172">
        <v>12</v>
      </c>
      <c r="R1062" s="173">
        <f t="shared" si="98"/>
        <v>6.0728744939271252E-2</v>
      </c>
      <c r="S1062" s="174">
        <f>+R1062/R1070</f>
        <v>7.2593797908545782E-2</v>
      </c>
    </row>
    <row r="1063" spans="2:19">
      <c r="B1063" s="170">
        <v>0</v>
      </c>
      <c r="C1063" s="171">
        <f>VLOOKUP(B1063,'RESUMEN RENDIMIENTOS'!$V$6:$W$158,2,FALSE)</f>
        <v>0</v>
      </c>
      <c r="D1063" s="177"/>
      <c r="E1063" s="172" t="s">
        <v>337</v>
      </c>
      <c r="F1063" s="175">
        <f t="shared" si="96"/>
        <v>0</v>
      </c>
      <c r="G1063" s="174">
        <f>+F1063/F1070</f>
        <v>0</v>
      </c>
      <c r="H1063" s="170">
        <v>0</v>
      </c>
      <c r="I1063" s="171">
        <f>VLOOKUP(H1063,'RESUMEN RENDIMIENTOS'!$V$6:$W$158,2,FALSE)</f>
        <v>0</v>
      </c>
      <c r="J1063" s="177"/>
      <c r="K1063" s="172" t="s">
        <v>337</v>
      </c>
      <c r="L1063" s="175">
        <f t="shared" si="97"/>
        <v>0</v>
      </c>
      <c r="M1063" s="174">
        <f>+L1063/L1070</f>
        <v>0</v>
      </c>
      <c r="N1063" s="170" t="s">
        <v>242</v>
      </c>
      <c r="O1063" s="171">
        <f>VLOOKUP(N1063,'RESUMEN RENDIMIENTOS'!$V$6:$W$158,2,FALSE)</f>
        <v>125</v>
      </c>
      <c r="P1063" s="177" t="s">
        <v>58</v>
      </c>
      <c r="Q1063" s="172">
        <v>12</v>
      </c>
      <c r="R1063" s="173">
        <f t="shared" si="98"/>
        <v>3.8866396761133612E-2</v>
      </c>
      <c r="S1063" s="174">
        <f>+R1063/R1070</f>
        <v>4.6460030661469316E-2</v>
      </c>
    </row>
    <row r="1064" spans="2:19">
      <c r="B1064" s="170">
        <v>0</v>
      </c>
      <c r="C1064" s="171">
        <f>VLOOKUP(B1064,'RESUMEN RENDIMIENTOS'!$V$6:$W$158,2,FALSE)</f>
        <v>0</v>
      </c>
      <c r="D1064" s="177"/>
      <c r="E1064" s="172" t="s">
        <v>337</v>
      </c>
      <c r="F1064" s="175">
        <f t="shared" si="96"/>
        <v>0</v>
      </c>
      <c r="G1064" s="174">
        <f>+F1064/F1070</f>
        <v>0</v>
      </c>
      <c r="H1064" s="170">
        <v>0</v>
      </c>
      <c r="I1064" s="171">
        <f>VLOOKUP(H1064,'RESUMEN RENDIMIENTOS'!$V$6:$W$158,2,FALSE)</f>
        <v>0</v>
      </c>
      <c r="J1064" s="177"/>
      <c r="K1064" s="172" t="s">
        <v>337</v>
      </c>
      <c r="L1064" s="175">
        <f t="shared" si="97"/>
        <v>0</v>
      </c>
      <c r="M1064" s="174">
        <f>+L1064/L1070</f>
        <v>0</v>
      </c>
      <c r="N1064" s="170" t="s">
        <v>240</v>
      </c>
      <c r="O1064" s="171">
        <f>VLOOKUP(N1064,'RESUMEN RENDIMIENTOS'!$V$6:$W$158,2,FALSE)</f>
        <v>1000</v>
      </c>
      <c r="P1064" s="177" t="s">
        <v>58</v>
      </c>
      <c r="Q1064" s="172">
        <v>12</v>
      </c>
      <c r="R1064" s="173">
        <f t="shared" si="98"/>
        <v>4.8582995951417015E-3</v>
      </c>
      <c r="S1064" s="174">
        <f>+R1064/R1070</f>
        <v>5.8075038326836645E-3</v>
      </c>
    </row>
    <row r="1065" spans="2:19">
      <c r="B1065" s="170">
        <v>0</v>
      </c>
      <c r="C1065" s="171">
        <f>VLOOKUP(B1065,'RESUMEN RENDIMIENTOS'!$V$6:$W$158,2,FALSE)</f>
        <v>0</v>
      </c>
      <c r="D1065" s="177"/>
      <c r="E1065" s="172" t="s">
        <v>337</v>
      </c>
      <c r="F1065" s="175">
        <f t="shared" si="96"/>
        <v>0</v>
      </c>
      <c r="G1065" s="174">
        <f>+F1065/F1070</f>
        <v>0</v>
      </c>
      <c r="H1065" s="170">
        <v>0</v>
      </c>
      <c r="I1065" s="171">
        <f>VLOOKUP(H1065,'RESUMEN RENDIMIENTOS'!$V$6:$W$158,2,FALSE)</f>
        <v>0</v>
      </c>
      <c r="J1065" s="177"/>
      <c r="K1065" s="172" t="s">
        <v>337</v>
      </c>
      <c r="L1065" s="175">
        <f t="shared" si="97"/>
        <v>0</v>
      </c>
      <c r="M1065" s="174">
        <f>+L1065/L1070</f>
        <v>0</v>
      </c>
      <c r="N1065" s="170" t="s">
        <v>194</v>
      </c>
      <c r="O1065" s="171">
        <f>VLOOKUP(N1065,'RESUMEN RENDIMIENTOS'!$V$6:$W$158,2,FALSE)</f>
        <v>2000</v>
      </c>
      <c r="P1065" s="177" t="s">
        <v>58</v>
      </c>
      <c r="Q1065" s="172">
        <v>12</v>
      </c>
      <c r="R1065" s="173">
        <f t="shared" si="98"/>
        <v>2.4291497975708507E-3</v>
      </c>
      <c r="S1065" s="174">
        <f>+R1065/R1070</f>
        <v>2.9037519163418323E-3</v>
      </c>
    </row>
    <row r="1066" spans="2:19">
      <c r="B1066" s="170">
        <v>0</v>
      </c>
      <c r="C1066" s="171">
        <f>VLOOKUP(B1066,'RESUMEN RENDIMIENTOS'!$V$6:$W$158,2,FALSE)</f>
        <v>0</v>
      </c>
      <c r="D1066" s="177"/>
      <c r="E1066" s="172" t="s">
        <v>337</v>
      </c>
      <c r="F1066" s="175">
        <f t="shared" si="96"/>
        <v>0</v>
      </c>
      <c r="G1066" s="174">
        <f>+F1066/F1070</f>
        <v>0</v>
      </c>
      <c r="H1066" s="170">
        <v>0</v>
      </c>
      <c r="I1066" s="171">
        <f>VLOOKUP(H1066,'RESUMEN RENDIMIENTOS'!$V$6:$W$158,2,FALSE)</f>
        <v>0</v>
      </c>
      <c r="J1066" s="177"/>
      <c r="K1066" s="172" t="s">
        <v>337</v>
      </c>
      <c r="L1066" s="175">
        <f t="shared" si="97"/>
        <v>0</v>
      </c>
      <c r="M1066" s="174">
        <f>+L1066/L1070</f>
        <v>0</v>
      </c>
      <c r="N1066" s="170" t="s">
        <v>237</v>
      </c>
      <c r="O1066" s="171">
        <f>VLOOKUP(N1066,'RESUMEN RENDIMIENTOS'!$V$6:$W$158,2,FALSE)</f>
        <v>250</v>
      </c>
      <c r="P1066" s="177" t="s">
        <v>58</v>
      </c>
      <c r="Q1066" s="172">
        <v>12</v>
      </c>
      <c r="R1066" s="173">
        <f t="shared" si="98"/>
        <v>1.9433198380566806E-2</v>
      </c>
      <c r="S1066" s="174">
        <f>+R1066/R1070</f>
        <v>2.3230015330734658E-2</v>
      </c>
    </row>
    <row r="1067" spans="2:19">
      <c r="B1067" s="170">
        <v>0</v>
      </c>
      <c r="C1067" s="171">
        <f>VLOOKUP(B1067,'RESUMEN RENDIMIENTOS'!$V$6:$W$158,2,FALSE)</f>
        <v>0</v>
      </c>
      <c r="D1067" s="177"/>
      <c r="E1067" s="172" t="s">
        <v>337</v>
      </c>
      <c r="F1067" s="175">
        <f t="shared" si="96"/>
        <v>0</v>
      </c>
      <c r="G1067" s="174">
        <f>+F1067/F1070</f>
        <v>0</v>
      </c>
      <c r="H1067" s="170">
        <v>0</v>
      </c>
      <c r="I1067" s="171">
        <f>VLOOKUP(H1067,'RESUMEN RENDIMIENTOS'!$V$6:$W$158,2,FALSE)</f>
        <v>0</v>
      </c>
      <c r="J1067" s="177"/>
      <c r="K1067" s="172" t="s">
        <v>337</v>
      </c>
      <c r="L1067" s="175">
        <f t="shared" si="97"/>
        <v>0</v>
      </c>
      <c r="M1067" s="174">
        <f>+L1067/L1070</f>
        <v>0</v>
      </c>
      <c r="N1067" s="170">
        <v>0</v>
      </c>
      <c r="O1067" s="171">
        <f>VLOOKUP(N1067,'RESUMEN RENDIMIENTOS'!$V$6:$W$158,2,FALSE)</f>
        <v>0</v>
      </c>
      <c r="P1067" s="177"/>
      <c r="Q1067" s="172" t="s">
        <v>337</v>
      </c>
      <c r="R1067" s="173">
        <f t="shared" si="98"/>
        <v>0</v>
      </c>
      <c r="S1067" s="174">
        <f>+R1067/R1070</f>
        <v>0</v>
      </c>
    </row>
    <row r="1068" spans="2:19">
      <c r="B1068" s="170">
        <v>0</v>
      </c>
      <c r="C1068" s="171">
        <f>VLOOKUP(B1068,'RESUMEN RENDIMIENTOS'!$V$6:$W$158,2,FALSE)</f>
        <v>0</v>
      </c>
      <c r="D1068" s="177"/>
      <c r="E1068" s="172" t="s">
        <v>337</v>
      </c>
      <c r="F1068" s="175">
        <f t="shared" si="96"/>
        <v>0</v>
      </c>
      <c r="G1068" s="174">
        <f>+F1068/F1070</f>
        <v>0</v>
      </c>
      <c r="H1068" s="170">
        <v>0</v>
      </c>
      <c r="I1068" s="171">
        <f>VLOOKUP(H1068,'RESUMEN RENDIMIENTOS'!$V$6:$W$158,2,FALSE)</f>
        <v>0</v>
      </c>
      <c r="J1068" s="177"/>
      <c r="K1068" s="172" t="s">
        <v>337</v>
      </c>
      <c r="L1068" s="175">
        <f t="shared" si="97"/>
        <v>0</v>
      </c>
      <c r="M1068" s="174">
        <f>+L1068/L1070</f>
        <v>0</v>
      </c>
      <c r="N1068" s="170">
        <v>0</v>
      </c>
      <c r="O1068" s="171">
        <f>VLOOKUP(N1068,'RESUMEN RENDIMIENTOS'!$V$6:$W$158,2,FALSE)</f>
        <v>0</v>
      </c>
      <c r="P1068" s="177"/>
      <c r="Q1068" s="172" t="s">
        <v>337</v>
      </c>
      <c r="R1068" s="173">
        <f t="shared" si="98"/>
        <v>0</v>
      </c>
      <c r="S1068" s="174">
        <f>+R1068/R1070</f>
        <v>0</v>
      </c>
    </row>
    <row r="1069" spans="2:19">
      <c r="B1069" s="170">
        <v>0</v>
      </c>
      <c r="C1069" s="171">
        <f>VLOOKUP(B1069,'RESUMEN RENDIMIENTOS'!$V$6:$W$158,2,FALSE)</f>
        <v>0</v>
      </c>
      <c r="D1069" s="177"/>
      <c r="E1069" s="172" t="s">
        <v>337</v>
      </c>
      <c r="F1069" s="175">
        <f t="shared" si="96"/>
        <v>0</v>
      </c>
      <c r="G1069" s="174">
        <f>+F1069/F1070</f>
        <v>0</v>
      </c>
      <c r="H1069" s="170">
        <v>0</v>
      </c>
      <c r="I1069" s="171">
        <f>VLOOKUP(H1069,'RESUMEN RENDIMIENTOS'!$V$6:$W$158,2,FALSE)</f>
        <v>0</v>
      </c>
      <c r="J1069" s="177"/>
      <c r="K1069" s="172" t="s">
        <v>337</v>
      </c>
      <c r="L1069" s="175">
        <f t="shared" si="97"/>
        <v>0</v>
      </c>
      <c r="M1069" s="174">
        <f>+L1069/L1070</f>
        <v>0</v>
      </c>
      <c r="N1069" s="170">
        <v>0</v>
      </c>
      <c r="O1069" s="171">
        <f>VLOOKUP(N1069,'RESUMEN RENDIMIENTOS'!$V$6:$W$158,2,FALSE)</f>
        <v>0</v>
      </c>
      <c r="P1069" s="177"/>
      <c r="Q1069" s="172" t="s">
        <v>337</v>
      </c>
      <c r="R1069" s="173">
        <f t="shared" si="98"/>
        <v>0</v>
      </c>
      <c r="S1069" s="174">
        <f>+R1069/R1070</f>
        <v>0</v>
      </c>
    </row>
    <row r="1070" spans="2:19" ht="25" thickBot="1">
      <c r="B1070" s="178"/>
      <c r="E1070" s="90"/>
      <c r="F1070" s="173">
        <f>SUM(F1054:F1069)</f>
        <v>0.97406975633062587</v>
      </c>
      <c r="G1070" s="181">
        <f>+F1070/F1070</f>
        <v>1</v>
      </c>
      <c r="H1070" s="178"/>
      <c r="I1070" s="179"/>
      <c r="J1070" s="182" t="s">
        <v>24</v>
      </c>
      <c r="K1070" s="90"/>
      <c r="L1070" s="173">
        <f>SUM(L1054:L1069)</f>
        <v>0.76545209176788132</v>
      </c>
      <c r="M1070" s="181">
        <f>+L1070/L1070</f>
        <v>1</v>
      </c>
      <c r="N1070" s="178"/>
      <c r="O1070" s="179"/>
      <c r="Q1070" s="90"/>
      <c r="R1070" s="175">
        <f>SUM(R1054:R1069)</f>
        <v>0.83655555555555561</v>
      </c>
      <c r="S1070" s="181">
        <f>+R1070/R1070</f>
        <v>1</v>
      </c>
    </row>
    <row r="1071" spans="2:19" ht="18" customHeight="1">
      <c r="B1071" s="427" t="s">
        <v>317</v>
      </c>
      <c r="C1071" s="428"/>
      <c r="D1071" s="429"/>
      <c r="E1071" s="185">
        <v>0.12</v>
      </c>
      <c r="F1071" s="173">
        <f>+F1070*E1071</f>
        <v>0.11688837075967511</v>
      </c>
      <c r="H1071" s="427" t="s">
        <v>317</v>
      </c>
      <c r="I1071" s="428"/>
      <c r="J1071" s="429"/>
      <c r="K1071" s="185">
        <v>0.12</v>
      </c>
      <c r="L1071" s="173">
        <f>+L1070*K1071</f>
        <v>9.1854251012145754E-2</v>
      </c>
      <c r="M1071" s="277"/>
      <c r="N1071" s="427" t="s">
        <v>317</v>
      </c>
      <c r="O1071" s="428"/>
      <c r="P1071" s="429"/>
      <c r="Q1071" s="185">
        <v>0.12</v>
      </c>
      <c r="R1071" s="175">
        <f>+R1070*Q1071</f>
        <v>0.10038666666666667</v>
      </c>
    </row>
    <row r="1072" spans="2:19" ht="18" customHeight="1">
      <c r="B1072" s="178"/>
      <c r="F1072" s="173">
        <f>+F1071+F1070</f>
        <v>1.090958127090301</v>
      </c>
      <c r="G1072" s="187">
        <f>+F1072/24</f>
        <v>4.5456588628762541E-2</v>
      </c>
      <c r="H1072" s="178"/>
      <c r="I1072" s="179"/>
      <c r="K1072" s="88"/>
      <c r="L1072" s="173">
        <f>+L1071+L1070</f>
        <v>0.85730634278002704</v>
      </c>
      <c r="M1072" s="277"/>
      <c r="N1072" s="178"/>
      <c r="O1072" s="179"/>
      <c r="R1072" s="175">
        <f>+R1071+R1070</f>
        <v>0.93694222222222223</v>
      </c>
      <c r="S1072" s="187">
        <f>+R1072/24</f>
        <v>3.903925925925926E-2</v>
      </c>
    </row>
    <row r="1073" spans="2:19">
      <c r="B1073" s="178"/>
      <c r="D1073" s="188"/>
      <c r="F1073" s="189"/>
      <c r="H1073" s="178"/>
      <c r="I1073" s="179"/>
      <c r="J1073" s="188"/>
      <c r="K1073" s="88"/>
      <c r="L1073" s="173"/>
      <c r="M1073" s="277"/>
      <c r="N1073" s="178"/>
      <c r="O1073" s="179"/>
      <c r="P1073" s="188"/>
      <c r="R1073" s="189"/>
    </row>
    <row r="1074" spans="2:19" ht="21">
      <c r="B1074" s="191" t="s">
        <v>318</v>
      </c>
      <c r="C1074" s="192"/>
      <c r="D1074" s="192"/>
      <c r="E1074" s="444">
        <f>IF(F1072=0,0,(100/F1072))</f>
        <v>91.662546450531892</v>
      </c>
      <c r="F1074" s="445"/>
      <c r="H1074" s="191" t="s">
        <v>318</v>
      </c>
      <c r="I1074" s="192"/>
      <c r="J1074" s="192"/>
      <c r="K1074" s="444">
        <f>IF(L1072=0,0,(100/L1072))</f>
        <v>116.64441869836791</v>
      </c>
      <c r="L1074" s="445"/>
      <c r="M1074" s="278"/>
      <c r="N1074" s="191" t="s">
        <v>318</v>
      </c>
      <c r="O1074" s="192"/>
      <c r="P1074" s="192"/>
      <c r="Q1074" s="444">
        <f>IF(R1072=0,0,(100/R1072))</f>
        <v>106.73016716315959</v>
      </c>
      <c r="R1074" s="445"/>
    </row>
    <row r="1075" spans="2:19">
      <c r="B1075" s="178"/>
      <c r="H1075" s="178"/>
      <c r="I1075" s="179"/>
      <c r="K1075" s="88"/>
      <c r="L1075" s="189"/>
      <c r="N1075" s="178"/>
      <c r="O1075" s="179"/>
      <c r="R1075" s="189"/>
    </row>
    <row r="1076" spans="2:19" ht="21">
      <c r="B1076" s="446" t="s">
        <v>319</v>
      </c>
      <c r="C1076" s="447"/>
      <c r="D1076" s="447"/>
      <c r="E1076" s="447"/>
      <c r="F1076" s="448"/>
      <c r="H1076" s="446" t="s">
        <v>319</v>
      </c>
      <c r="I1076" s="447"/>
      <c r="J1076" s="447"/>
      <c r="K1076" s="447"/>
      <c r="L1076" s="448"/>
      <c r="M1076" s="279"/>
      <c r="N1076" s="446" t="s">
        <v>319</v>
      </c>
      <c r="O1076" s="447"/>
      <c r="P1076" s="447"/>
      <c r="Q1076" s="447"/>
      <c r="R1076" s="448"/>
    </row>
    <row r="1077" spans="2:19" ht="18" customHeight="1">
      <c r="B1077" s="194" t="s">
        <v>320</v>
      </c>
      <c r="C1077" s="195"/>
      <c r="D1077" s="435" t="s">
        <v>321</v>
      </c>
      <c r="E1077" s="435"/>
      <c r="F1077" s="196" t="s">
        <v>322</v>
      </c>
      <c r="H1077" s="194" t="s">
        <v>320</v>
      </c>
      <c r="I1077" s="195"/>
      <c r="J1077" s="435" t="s">
        <v>321</v>
      </c>
      <c r="K1077" s="435"/>
      <c r="L1077" s="196" t="s">
        <v>322</v>
      </c>
      <c r="M1077" s="280"/>
      <c r="N1077" s="194" t="s">
        <v>320</v>
      </c>
      <c r="O1077" s="195"/>
      <c r="P1077" s="435" t="s">
        <v>321</v>
      </c>
      <c r="Q1077" s="435"/>
      <c r="R1077" s="196" t="s">
        <v>322</v>
      </c>
    </row>
    <row r="1078" spans="2:19">
      <c r="B1078" s="197" t="s">
        <v>278</v>
      </c>
      <c r="C1078" s="201">
        <v>1</v>
      </c>
      <c r="E1078" s="199">
        <f>IF(C1078=0,0,(VLOOKUP(B1078,'RESUMEN RENDIMIENTOS'!$AB$6:$AO$64,13,FALSE)))*C1078</f>
        <v>0.75</v>
      </c>
      <c r="F1078" s="200">
        <f>IF(C1078=0,0,(VLOOKUP(B1078,'RESUMEN RENDIMIENTOS'!$AB$6:$AO$64,14,FALSE)))*C1078</f>
        <v>1.0285714285714287E-2</v>
      </c>
      <c r="H1078" s="197" t="s">
        <v>278</v>
      </c>
      <c r="I1078" s="201">
        <v>1</v>
      </c>
      <c r="K1078" s="199">
        <f>IF(I1078=0,0,(VLOOKUP(H1078,'RESUMEN RENDIMIENTOS'!$AB$6:$AO$64,13,FALSE)))*I1078</f>
        <v>0.75</v>
      </c>
      <c r="L1078" s="200">
        <f>IF(I1078=0,0,(VLOOKUP(H1078,'RESUMEN RENDIMIENTOS'!$AB$6:$AO$64,14,FALSE)))*I1078</f>
        <v>1.0285714285714287E-2</v>
      </c>
      <c r="M1078" s="281"/>
      <c r="N1078" s="197" t="s">
        <v>278</v>
      </c>
      <c r="O1078" s="201">
        <v>1</v>
      </c>
      <c r="Q1078" s="199">
        <f>IF(O1078=0,0,(VLOOKUP(N1078,'RESUMEN RENDIMIENTOS'!$AB$6:$AO$64,13,FALSE)))*O1078</f>
        <v>0.75</v>
      </c>
      <c r="R1078" s="200">
        <f>IF(O1078=0,0,(VLOOKUP(N1078,'RESUMEN RENDIMIENTOS'!$AB$6:$AO$64,14,FALSE)))*O1078</f>
        <v>1.0285714285714287E-2</v>
      </c>
    </row>
    <row r="1079" spans="2:19">
      <c r="B1079" s="197" t="s">
        <v>279</v>
      </c>
      <c r="C1079" s="201">
        <v>1</v>
      </c>
      <c r="E1079" s="199">
        <f>IF(C1079=0,0,(VLOOKUP(B1079,'RESUMEN RENDIMIENTOS'!$AB$6:$AO$64,13,FALSE)))*C1079</f>
        <v>2</v>
      </c>
      <c r="F1079" s="200">
        <f>IF(C1079=0,0,(VLOOKUP(B1079,'RESUMEN RENDIMIENTOS'!$AB$6:$AO$64,14,FALSE)))*C1079</f>
        <v>9.5999999999999988E-2</v>
      </c>
      <c r="H1079" s="197" t="s">
        <v>279</v>
      </c>
      <c r="I1079" s="201">
        <v>1</v>
      </c>
      <c r="K1079" s="199">
        <f>IF(I1079=0,0,(VLOOKUP(H1079,'RESUMEN RENDIMIENTOS'!$AB$6:$AO$64,13,FALSE)))*I1079</f>
        <v>2</v>
      </c>
      <c r="L1079" s="200">
        <f>IF(I1079=0,0,(VLOOKUP(H1079,'RESUMEN RENDIMIENTOS'!$AB$6:$AO$64,14,FALSE)))*I1079</f>
        <v>9.5999999999999988E-2</v>
      </c>
      <c r="M1079" s="281"/>
      <c r="N1079" s="197" t="s">
        <v>279</v>
      </c>
      <c r="O1079" s="201">
        <v>1</v>
      </c>
      <c r="Q1079" s="199">
        <f>IF(O1079=0,0,(VLOOKUP(N1079,'RESUMEN RENDIMIENTOS'!$AB$6:$AO$64,13,FALSE)))*O1079</f>
        <v>2</v>
      </c>
      <c r="R1079" s="200">
        <f>IF(O1079=0,0,(VLOOKUP(N1079,'RESUMEN RENDIMIENTOS'!$AB$6:$AO$64,14,FALSE)))*O1079</f>
        <v>9.5999999999999988E-2</v>
      </c>
    </row>
    <row r="1080" spans="2:19">
      <c r="B1080" s="197" t="s">
        <v>284</v>
      </c>
      <c r="C1080" s="201">
        <v>0.25</v>
      </c>
      <c r="E1080" s="199">
        <f>IF(C1080=0,0,(VLOOKUP(B1080,'RESUMEN RENDIMIENTOS'!$AB$6:$AO$64,13,FALSE)))*C1080</f>
        <v>0.52500000000000002</v>
      </c>
      <c r="F1080" s="200">
        <f>IF(C1080=0,0,(VLOOKUP(B1080,'RESUMEN RENDIMIENTOS'!$AB$6:$AO$64,14,FALSE)))*C1080</f>
        <v>4.2000000000000003E-2</v>
      </c>
      <c r="H1080" s="197" t="s">
        <v>284</v>
      </c>
      <c r="I1080" s="201">
        <v>0.25</v>
      </c>
      <c r="K1080" s="199">
        <f>IF(I1080=0,0,(VLOOKUP(H1080,'RESUMEN RENDIMIENTOS'!$AB$6:$AO$64,13,FALSE)))*I1080</f>
        <v>0.52500000000000002</v>
      </c>
      <c r="L1080" s="200">
        <f>IF(I1080=0,0,(VLOOKUP(H1080,'RESUMEN RENDIMIENTOS'!$AB$6:$AO$64,14,FALSE)))*I1080</f>
        <v>4.2000000000000003E-2</v>
      </c>
      <c r="M1080" s="281"/>
      <c r="N1080" s="197" t="s">
        <v>284</v>
      </c>
      <c r="O1080" s="201">
        <v>0.25</v>
      </c>
      <c r="Q1080" s="199">
        <f>IF(O1080=0,0,(VLOOKUP(N1080,'RESUMEN RENDIMIENTOS'!$AB$6:$AO$64,13,FALSE)))*O1080</f>
        <v>0.52500000000000002</v>
      </c>
      <c r="R1080" s="200">
        <f>IF(O1080=0,0,(VLOOKUP(N1080,'RESUMEN RENDIMIENTOS'!$AB$6:$AO$64,14,FALSE)))*O1080</f>
        <v>4.2000000000000003E-2</v>
      </c>
    </row>
    <row r="1081" spans="2:19">
      <c r="B1081" s="197" t="s">
        <v>283</v>
      </c>
      <c r="C1081" s="201">
        <v>1</v>
      </c>
      <c r="E1081" s="199">
        <f>IF(C1081=0,0,(VLOOKUP(B1081,'RESUMEN RENDIMIENTOS'!$AB$6:$AO$64,13,FALSE)))*C1081</f>
        <v>1.59</v>
      </c>
      <c r="F1081" s="200">
        <f>IF(C1081=0,0,(VLOOKUP(B1081,'RESUMEN RENDIMIENTOS'!$AB$6:$AO$64,14,FALSE)))*C1081</f>
        <v>0.12720000000000001</v>
      </c>
      <c r="H1081" s="197" t="s">
        <v>283</v>
      </c>
      <c r="I1081" s="201">
        <v>1</v>
      </c>
      <c r="K1081" s="199">
        <f>IF(I1081=0,0,(VLOOKUP(H1081,'RESUMEN RENDIMIENTOS'!$AB$6:$AO$64,13,FALSE)))*I1081</f>
        <v>1.59</v>
      </c>
      <c r="L1081" s="200">
        <f>IF(I1081=0,0,(VLOOKUP(H1081,'RESUMEN RENDIMIENTOS'!$AB$6:$AO$64,14,FALSE)))*I1081</f>
        <v>0.12720000000000001</v>
      </c>
      <c r="M1081" s="281"/>
      <c r="N1081" s="197" t="s">
        <v>283</v>
      </c>
      <c r="O1081" s="201">
        <v>1</v>
      </c>
      <c r="Q1081" s="199">
        <f>IF(O1081=0,0,(VLOOKUP(N1081,'RESUMEN RENDIMIENTOS'!$AB$6:$AO$64,13,FALSE)))*O1081</f>
        <v>1.59</v>
      </c>
      <c r="R1081" s="200">
        <f>IF(O1081=0,0,(VLOOKUP(N1081,'RESUMEN RENDIMIENTOS'!$AB$6:$AO$64,14,FALSE)))*O1081</f>
        <v>0.12720000000000001</v>
      </c>
    </row>
    <row r="1082" spans="2:19">
      <c r="B1082" s="197" t="s">
        <v>282</v>
      </c>
      <c r="C1082" s="201">
        <v>1</v>
      </c>
      <c r="E1082" s="199">
        <f>IF(C1082=0,0,(VLOOKUP(B1082,'RESUMEN RENDIMIENTOS'!$AB$6:$AO$64,13,FALSE)))*C1082</f>
        <v>2.62</v>
      </c>
      <c r="F1082" s="200">
        <f>IF(C1082=0,0,(VLOOKUP(B1082,'RESUMEN RENDIMIENTOS'!$AB$6:$AO$64,14,FALSE)))*C1082</f>
        <v>6.986666666666666E-2</v>
      </c>
      <c r="H1082" s="197" t="s">
        <v>282</v>
      </c>
      <c r="I1082" s="201">
        <v>1</v>
      </c>
      <c r="K1082" s="199">
        <f>IF(I1082=0,0,(VLOOKUP(H1082,'RESUMEN RENDIMIENTOS'!$AB$6:$AO$64,13,FALSE)))*I1082</f>
        <v>2.62</v>
      </c>
      <c r="L1082" s="200">
        <f>IF(I1082=0,0,(VLOOKUP(H1082,'RESUMEN RENDIMIENTOS'!$AB$6:$AO$64,14,FALSE)))*I1082</f>
        <v>6.986666666666666E-2</v>
      </c>
      <c r="M1082" s="281"/>
      <c r="N1082" s="197" t="s">
        <v>282</v>
      </c>
      <c r="O1082" s="201">
        <v>1</v>
      </c>
      <c r="Q1082" s="199">
        <f>IF(O1082=0,0,(VLOOKUP(N1082,'RESUMEN RENDIMIENTOS'!$AB$6:$AO$64,13,FALSE)))*O1082</f>
        <v>2.62</v>
      </c>
      <c r="R1082" s="200">
        <f>IF(O1082=0,0,(VLOOKUP(N1082,'RESUMEN RENDIMIENTOS'!$AB$6:$AO$64,14,FALSE)))*O1082</f>
        <v>6.986666666666666E-2</v>
      </c>
    </row>
    <row r="1083" spans="2:19">
      <c r="B1083" s="197" t="s">
        <v>302</v>
      </c>
      <c r="C1083" s="201">
        <v>1</v>
      </c>
      <c r="E1083" s="199">
        <f>IF(C1083=0,0,(VLOOKUP(B1083,'RESUMEN RENDIMIENTOS'!$AB$6:$AO$64,13,FALSE)))*C1083</f>
        <v>1</v>
      </c>
      <c r="F1083" s="200">
        <f>IF(C1083=0,0,(VLOOKUP(B1083,'RESUMEN RENDIMIENTOS'!$AB$6:$AO$64,14,FALSE)))*C1083</f>
        <v>0.2</v>
      </c>
      <c r="H1083" s="197" t="s">
        <v>302</v>
      </c>
      <c r="I1083" s="201">
        <v>1</v>
      </c>
      <c r="K1083" s="199">
        <f>IF(I1083=0,0,(VLOOKUP(H1083,'RESUMEN RENDIMIENTOS'!$AB$6:$AO$64,13,FALSE)))*I1083</f>
        <v>1</v>
      </c>
      <c r="L1083" s="200">
        <f>IF(I1083=0,0,(VLOOKUP(H1083,'RESUMEN RENDIMIENTOS'!$AB$6:$AO$64,14,FALSE)))*I1083</f>
        <v>0.2</v>
      </c>
      <c r="M1083" s="281"/>
      <c r="N1083" s="197" t="s">
        <v>302</v>
      </c>
      <c r="O1083" s="201">
        <v>1</v>
      </c>
      <c r="Q1083" s="199">
        <f>IF(O1083=0,0,(VLOOKUP(N1083,'RESUMEN RENDIMIENTOS'!$AB$6:$AO$64,13,FALSE)))*O1083</f>
        <v>1</v>
      </c>
      <c r="R1083" s="200">
        <f>IF(O1083=0,0,(VLOOKUP(N1083,'RESUMEN RENDIMIENTOS'!$AB$6:$AO$64,14,FALSE)))*O1083</f>
        <v>0.2</v>
      </c>
    </row>
    <row r="1084" spans="2:19">
      <c r="B1084" s="202"/>
      <c r="F1084" s="204">
        <f>SUM(F1078:F1083)</f>
        <v>0.54535238095238103</v>
      </c>
      <c r="G1084" s="205">
        <f>+F1084</f>
        <v>0.54535238095238103</v>
      </c>
      <c r="H1084" s="202"/>
      <c r="I1084" s="179"/>
      <c r="K1084" s="88"/>
      <c r="L1084" s="206">
        <f>SUM(L1078:L1083)</f>
        <v>0.54535238095238103</v>
      </c>
      <c r="M1084" s="282"/>
      <c r="N1084" s="202"/>
      <c r="O1084" s="179"/>
      <c r="R1084" s="206">
        <f>SUM(R1078:R1083)</f>
        <v>0.54535238095238103</v>
      </c>
      <c r="S1084" s="205">
        <f>+R1084</f>
        <v>0.54535238095238103</v>
      </c>
    </row>
    <row r="1085" spans="2:19">
      <c r="B1085" s="436" t="s">
        <v>324</v>
      </c>
      <c r="C1085" s="437"/>
      <c r="D1085" s="437"/>
      <c r="E1085" s="437"/>
      <c r="F1085" s="437"/>
      <c r="G1085" s="205"/>
      <c r="H1085" s="436" t="s">
        <v>324</v>
      </c>
      <c r="I1085" s="437"/>
      <c r="J1085" s="437"/>
      <c r="K1085" s="437"/>
      <c r="L1085" s="455"/>
      <c r="M1085" s="283"/>
      <c r="N1085" s="436" t="s">
        <v>324</v>
      </c>
      <c r="O1085" s="437"/>
      <c r="P1085" s="437"/>
      <c r="Q1085" s="437"/>
      <c r="R1085" s="455"/>
      <c r="S1085" s="205"/>
    </row>
    <row r="1086" spans="2:19">
      <c r="B1086" s="210" t="s">
        <v>325</v>
      </c>
      <c r="C1086" s="211">
        <v>1</v>
      </c>
      <c r="D1086" s="212">
        <v>21.712335174960327</v>
      </c>
      <c r="E1086" s="213">
        <f>F1072</f>
        <v>1.090958127090301</v>
      </c>
      <c r="F1086" s="214">
        <f>+IF(C1086&gt;="",0,(D1086*E1086))</f>
        <v>23.687248517231581</v>
      </c>
      <c r="G1086" s="215"/>
      <c r="H1086" s="210" t="s">
        <v>325</v>
      </c>
      <c r="I1086" s="211">
        <v>1</v>
      </c>
      <c r="J1086" s="212">
        <v>21.712335174960327</v>
      </c>
      <c r="K1086" s="213">
        <f>L1072</f>
        <v>0.85730634278002704</v>
      </c>
      <c r="L1086" s="216">
        <f>+IF(I1086&gt;="",0,(J1086*K1086))</f>
        <v>18.614122662059376</v>
      </c>
      <c r="M1086" s="284"/>
      <c r="N1086" s="210" t="s">
        <v>325</v>
      </c>
      <c r="O1086" s="211">
        <v>1</v>
      </c>
      <c r="P1086" s="212">
        <v>21.712335174960327</v>
      </c>
      <c r="Q1086" s="213">
        <f>R1072</f>
        <v>0.93694222222222223</v>
      </c>
      <c r="R1086" s="214">
        <f>+IF(O1086&gt;="",0,(P1086*Q1086))</f>
        <v>20.34320356846105</v>
      </c>
      <c r="S1086" s="215"/>
    </row>
    <row r="1087" spans="2:19">
      <c r="B1087" s="210" t="s">
        <v>326</v>
      </c>
      <c r="C1087" s="211"/>
      <c r="D1087" s="212">
        <f>+D1086*25%</f>
        <v>5.4280837937400817</v>
      </c>
      <c r="E1087" s="213">
        <f>F1072</f>
        <v>1.090958127090301</v>
      </c>
      <c r="F1087" s="214">
        <f>+IF(C1087= "",0,(D1087*E1087))</f>
        <v>0</v>
      </c>
      <c r="G1087" s="215"/>
      <c r="H1087" s="210" t="s">
        <v>326</v>
      </c>
      <c r="I1087" s="211"/>
      <c r="J1087" s="212">
        <f>+J1086*25%</f>
        <v>5.4280837937400817</v>
      </c>
      <c r="K1087" s="213">
        <f>L1072</f>
        <v>0.85730634278002704</v>
      </c>
      <c r="L1087" s="216">
        <f>+IF(I1087= "",0,(J1087*K1087))</f>
        <v>0</v>
      </c>
      <c r="M1087" s="284"/>
      <c r="N1087" s="210" t="s">
        <v>326</v>
      </c>
      <c r="O1087" s="211"/>
      <c r="P1087" s="212">
        <f>+P1086*25%</f>
        <v>5.4280837937400817</v>
      </c>
      <c r="Q1087" s="213">
        <f>R1072</f>
        <v>0.93694222222222223</v>
      </c>
      <c r="R1087" s="214">
        <f>+IF(O1087= "",0,(P1087*Q1087))</f>
        <v>0</v>
      </c>
      <c r="S1087" s="215"/>
    </row>
    <row r="1088" spans="2:19">
      <c r="B1088" s="210" t="s">
        <v>327</v>
      </c>
      <c r="C1088" s="211"/>
      <c r="D1088" s="212">
        <f>+D1086*50%</f>
        <v>10.856167587480163</v>
      </c>
      <c r="E1088" s="213">
        <f>F1072</f>
        <v>1.090958127090301</v>
      </c>
      <c r="F1088" s="214">
        <f>+IF(C1088= "",0,(D1088*E1088))</f>
        <v>0</v>
      </c>
      <c r="G1088" s="215"/>
      <c r="H1088" s="210" t="s">
        <v>327</v>
      </c>
      <c r="I1088" s="211"/>
      <c r="J1088" s="212">
        <f>+J1086*50%</f>
        <v>10.856167587480163</v>
      </c>
      <c r="K1088" s="213">
        <f>L1072</f>
        <v>0.85730634278002704</v>
      </c>
      <c r="L1088" s="216">
        <f>+IF(I1088= "",0,(J1088*K1088))</f>
        <v>0</v>
      </c>
      <c r="M1088" s="284"/>
      <c r="N1088" s="210" t="s">
        <v>327</v>
      </c>
      <c r="O1088" s="211"/>
      <c r="P1088" s="212">
        <f>+P1086*50%</f>
        <v>10.856167587480163</v>
      </c>
      <c r="Q1088" s="213">
        <f>R1072</f>
        <v>0.93694222222222223</v>
      </c>
      <c r="R1088" s="214">
        <f>+IF(O1088= "",0,(P1088*Q1088))</f>
        <v>0</v>
      </c>
      <c r="S1088" s="215"/>
    </row>
    <row r="1089" spans="2:19">
      <c r="B1089" s="202"/>
      <c r="F1089" s="217">
        <f>SUM(F1086:F1088)</f>
        <v>23.687248517231581</v>
      </c>
      <c r="G1089" s="218"/>
      <c r="H1089" s="202"/>
      <c r="I1089" s="179"/>
      <c r="K1089" s="88"/>
      <c r="L1089" s="219">
        <f>SUM(L1086:L1088)</f>
        <v>18.614122662059376</v>
      </c>
      <c r="M1089" s="285"/>
      <c r="N1089" s="202"/>
      <c r="O1089" s="179"/>
      <c r="R1089" s="217">
        <f>SUM(R1086:R1088)</f>
        <v>20.34320356846105</v>
      </c>
      <c r="S1089" s="218"/>
    </row>
    <row r="1090" spans="2:19">
      <c r="B1090" s="202"/>
      <c r="F1090" s="189"/>
      <c r="G1090" s="220"/>
      <c r="H1090" s="202"/>
      <c r="I1090" s="179"/>
      <c r="K1090" s="88"/>
      <c r="N1090" s="202"/>
      <c r="O1090" s="179"/>
      <c r="R1090" s="189"/>
      <c r="S1090" s="220"/>
    </row>
    <row r="1091" spans="2:19" ht="21">
      <c r="B1091" s="438" t="s">
        <v>328</v>
      </c>
      <c r="C1091" s="439"/>
      <c r="D1091" s="439"/>
      <c r="E1091" s="440"/>
      <c r="F1091" s="221">
        <f>+F1084+F1089</f>
        <v>24.232600898183961</v>
      </c>
      <c r="G1091" s="205">
        <f>+F1091</f>
        <v>24.232600898183961</v>
      </c>
      <c r="H1091" s="438" t="s">
        <v>328</v>
      </c>
      <c r="I1091" s="439"/>
      <c r="J1091" s="439"/>
      <c r="K1091" s="440"/>
      <c r="L1091" s="225">
        <f>+L1084+L1089</f>
        <v>19.159475043011756</v>
      </c>
      <c r="M1091" s="286"/>
      <c r="N1091" s="438" t="s">
        <v>328</v>
      </c>
      <c r="O1091" s="439"/>
      <c r="P1091" s="439"/>
      <c r="Q1091" s="440"/>
      <c r="R1091" s="225">
        <f>+R1084+R1089</f>
        <v>20.88855594941343</v>
      </c>
      <c r="S1091" s="205">
        <f>+R1091</f>
        <v>20.88855594941343</v>
      </c>
    </row>
    <row r="1092" spans="2:19">
      <c r="B1092" s="202"/>
      <c r="G1092" s="205"/>
      <c r="H1092" s="202"/>
      <c r="I1092" s="179"/>
      <c r="K1092" s="88"/>
      <c r="L1092" s="189"/>
      <c r="N1092" s="202"/>
      <c r="O1092" s="179"/>
      <c r="R1092" s="189"/>
      <c r="S1092" s="205"/>
    </row>
    <row r="1093" spans="2:19" ht="19">
      <c r="B1093" s="441" t="s">
        <v>329</v>
      </c>
      <c r="C1093" s="442"/>
      <c r="D1093" s="442"/>
      <c r="E1093" s="443"/>
      <c r="F1093" s="226">
        <f>+F1091/$C$37</f>
        <v>0.24232600898183962</v>
      </c>
      <c r="G1093" s="205"/>
      <c r="H1093" s="441" t="s">
        <v>329</v>
      </c>
      <c r="I1093" s="442"/>
      <c r="J1093" s="442"/>
      <c r="K1093" s="443"/>
      <c r="L1093" s="230">
        <f>+L1091/$C$37</f>
        <v>0.19159475043011756</v>
      </c>
      <c r="M1093" s="287"/>
      <c r="N1093" s="441" t="s">
        <v>329</v>
      </c>
      <c r="O1093" s="442"/>
      <c r="P1093" s="442"/>
      <c r="Q1093" s="443"/>
      <c r="R1093" s="230">
        <f>+R1091/$C$37</f>
        <v>0.20888555949413429</v>
      </c>
      <c r="S1093" s="205"/>
    </row>
    <row r="1094" spans="2:19" ht="17" thickBot="1">
      <c r="B1094" s="231"/>
      <c r="C1094" s="232"/>
      <c r="D1094" s="233"/>
      <c r="E1094" s="233"/>
      <c r="F1094" s="233"/>
      <c r="G1094" s="205"/>
      <c r="H1094" s="231"/>
      <c r="I1094" s="232"/>
      <c r="J1094" s="233"/>
      <c r="K1094" s="233"/>
      <c r="L1094" s="234"/>
      <c r="M1094" s="233"/>
      <c r="N1094" s="231"/>
      <c r="O1094" s="232"/>
      <c r="P1094" s="233"/>
      <c r="Q1094" s="233"/>
      <c r="R1094" s="234"/>
      <c r="S1094" s="205"/>
    </row>
    <row r="1095" spans="2:19" ht="24" customHeight="1" thickBot="1">
      <c r="B1095" s="415" t="s">
        <v>312</v>
      </c>
      <c r="C1095" s="416"/>
      <c r="D1095" s="416"/>
      <c r="E1095" s="416"/>
      <c r="F1095" s="416"/>
      <c r="G1095" s="416"/>
      <c r="H1095" s="416"/>
      <c r="I1095" s="416"/>
      <c r="J1095" s="416"/>
      <c r="K1095" s="416"/>
      <c r="L1095" s="416"/>
      <c r="M1095" s="416"/>
      <c r="N1095" s="416"/>
      <c r="O1095" s="416"/>
      <c r="P1095" s="416"/>
      <c r="Q1095" s="416"/>
      <c r="R1095" s="417"/>
    </row>
    <row r="1096" spans="2:19" ht="23.25" customHeight="1">
      <c r="B1096" s="276" t="s">
        <v>16</v>
      </c>
      <c r="C1096" s="452" t="s">
        <v>28</v>
      </c>
      <c r="D1096" s="453"/>
      <c r="E1096" s="453"/>
      <c r="F1096" s="465"/>
      <c r="G1096" s="254"/>
      <c r="H1096" s="239" t="s">
        <v>16</v>
      </c>
      <c r="I1096" s="452" t="s">
        <v>73</v>
      </c>
      <c r="J1096" s="453"/>
      <c r="K1096" s="453"/>
      <c r="L1096" s="465"/>
      <c r="M1096" s="254"/>
      <c r="N1096" s="237" t="s">
        <v>16</v>
      </c>
      <c r="O1096" s="452" t="str">
        <f>+D13</f>
        <v>Parking exterior SG</v>
      </c>
      <c r="P1096" s="453"/>
      <c r="Q1096" s="453"/>
      <c r="R1096" s="465"/>
    </row>
    <row r="1097" spans="2:19" ht="33" thickBot="1">
      <c r="B1097" s="241" t="s">
        <v>313</v>
      </c>
      <c r="C1097" s="242" t="s">
        <v>6</v>
      </c>
      <c r="D1097" s="243" t="s">
        <v>25</v>
      </c>
      <c r="E1097" s="244" t="s">
        <v>314</v>
      </c>
      <c r="F1097" s="245" t="s">
        <v>315</v>
      </c>
      <c r="H1097" s="241" t="s">
        <v>313</v>
      </c>
      <c r="I1097" s="242" t="s">
        <v>6</v>
      </c>
      <c r="J1097" s="243" t="s">
        <v>25</v>
      </c>
      <c r="K1097" s="244" t="s">
        <v>314</v>
      </c>
      <c r="L1097" s="245" t="s">
        <v>315</v>
      </c>
      <c r="N1097" s="241" t="s">
        <v>313</v>
      </c>
      <c r="O1097" s="242" t="s">
        <v>6</v>
      </c>
      <c r="P1097" s="243" t="s">
        <v>25</v>
      </c>
      <c r="Q1097" s="244" t="s">
        <v>314</v>
      </c>
      <c r="R1097" s="245" t="s">
        <v>315</v>
      </c>
    </row>
    <row r="1098" spans="2:19">
      <c r="B1098" s="170" t="s">
        <v>181</v>
      </c>
      <c r="C1098" s="171">
        <f>VLOOKUP(B1098,'RESUMEN RENDIMIENTOS'!$V$6:$W$158,2,FALSE)</f>
        <v>900</v>
      </c>
      <c r="D1098" s="177" t="s">
        <v>20</v>
      </c>
      <c r="E1098" s="172">
        <v>247</v>
      </c>
      <c r="F1098" s="175">
        <f t="shared" ref="F1098:F1113" si="99">IF(C1098=0,0,(100/C1098)*E1098/$E$37)</f>
        <v>0.1111111111111111</v>
      </c>
      <c r="G1098" s="164">
        <f>+F1098/F1114</f>
        <v>0.19819863126717605</v>
      </c>
      <c r="H1098" s="170" t="s">
        <v>182</v>
      </c>
      <c r="I1098" s="171">
        <f>VLOOKUP(H1098,'RESUMEN RENDIMIENTOS'!$V$6:$W$158,2,FALSE)</f>
        <v>1400</v>
      </c>
      <c r="J1098" s="177" t="s">
        <v>20</v>
      </c>
      <c r="K1098" s="172">
        <v>247</v>
      </c>
      <c r="L1098" s="173">
        <f t="shared" ref="L1098:L1113" si="100">IF(I1098=0,0,(100/I1098)*K1098/$E$37)</f>
        <v>7.1428571428571425E-2</v>
      </c>
      <c r="M1098" s="164">
        <f>+L1098/L1114</f>
        <v>0.22775150876992092</v>
      </c>
      <c r="N1098" s="170" t="s">
        <v>186</v>
      </c>
      <c r="O1098" s="171">
        <f>VLOOKUP(N1098,'RESUMEN RENDIMIENTOS'!$V$6:$W$158,2,FALSE)</f>
        <v>5000</v>
      </c>
      <c r="P1098" s="177" t="s">
        <v>20</v>
      </c>
      <c r="Q1098" s="172">
        <v>247</v>
      </c>
      <c r="R1098" s="175">
        <f t="shared" ref="R1098:R1113" si="101">IF(O1098=0,0,(100/O1098)*Q1098/$E$37)</f>
        <v>0.02</v>
      </c>
      <c r="S1098" s="164">
        <f>+R1098/R1114</f>
        <v>0.37500000000000006</v>
      </c>
    </row>
    <row r="1099" spans="2:19">
      <c r="B1099" s="170" t="s">
        <v>202</v>
      </c>
      <c r="C1099" s="171">
        <f>VLOOKUP(B1099,'RESUMEN RENDIMIENTOS'!$V$6:$W$158,2,FALSE)</f>
        <v>550</v>
      </c>
      <c r="D1099" s="177" t="s">
        <v>52</v>
      </c>
      <c r="E1099" s="172">
        <v>156.42000000000002</v>
      </c>
      <c r="F1099" s="175">
        <f t="shared" si="99"/>
        <v>0.11514170040485831</v>
      </c>
      <c r="G1099" s="174">
        <f>+F1099/F1114</f>
        <v>0.20538834679816351</v>
      </c>
      <c r="H1099" s="170" t="s">
        <v>190</v>
      </c>
      <c r="I1099" s="171">
        <f>VLOOKUP(H1099,'RESUMEN RENDIMIENTOS'!$V$6:$W$158,2,FALSE)</f>
        <v>960</v>
      </c>
      <c r="J1099" s="177" t="s">
        <v>52</v>
      </c>
      <c r="K1099" s="172">
        <v>156.42000000000002</v>
      </c>
      <c r="L1099" s="173">
        <f t="shared" si="100"/>
        <v>6.5966599190283415E-2</v>
      </c>
      <c r="M1099" s="174">
        <f>+L1099/L1114</f>
        <v>0.21033589491610769</v>
      </c>
      <c r="N1099" s="170" t="s">
        <v>260</v>
      </c>
      <c r="O1099" s="171">
        <f>VLOOKUP(N1099,'RESUMEN RENDIMIENTOS'!$V$6:$W$158,2,FALSE)</f>
        <v>3000</v>
      </c>
      <c r="P1099" s="177" t="s">
        <v>20</v>
      </c>
      <c r="Q1099" s="172">
        <v>247</v>
      </c>
      <c r="R1099" s="175">
        <f t="shared" si="101"/>
        <v>3.3333333333333333E-2</v>
      </c>
      <c r="S1099" s="174">
        <f>+R1099/R1114</f>
        <v>0.625</v>
      </c>
    </row>
    <row r="1100" spans="2:19">
      <c r="B1100" s="170" t="s">
        <v>190</v>
      </c>
      <c r="C1100" s="171">
        <f>VLOOKUP(B1100,'RESUMEN RENDIMIENTOS'!$V$6:$W$158,2,FALSE)</f>
        <v>960</v>
      </c>
      <c r="D1100" s="177" t="s">
        <v>20</v>
      </c>
      <c r="E1100" s="172">
        <v>247</v>
      </c>
      <c r="F1100" s="175">
        <f t="shared" si="99"/>
        <v>0.10416666666666667</v>
      </c>
      <c r="G1100" s="174">
        <f>+F1100/F1114</f>
        <v>0.18581121681297755</v>
      </c>
      <c r="H1100" s="170" t="s">
        <v>201</v>
      </c>
      <c r="I1100" s="171">
        <f>VLOOKUP(H1100,'RESUMEN RENDIMIENTOS'!$V$6:$W$158,2,FALSE)</f>
        <v>500</v>
      </c>
      <c r="J1100" s="177" t="s">
        <v>56</v>
      </c>
      <c r="K1100" s="172">
        <v>52.14</v>
      </c>
      <c r="L1100" s="173">
        <f t="shared" si="100"/>
        <v>4.2218623481781382E-2</v>
      </c>
      <c r="M1100" s="174">
        <f>+L1100/L1114</f>
        <v>0.1346149727463089</v>
      </c>
      <c r="N1100" s="170">
        <v>0</v>
      </c>
      <c r="O1100" s="171">
        <f>VLOOKUP(N1100,'RESUMEN RENDIMIENTOS'!$V$6:$W$158,2,FALSE)</f>
        <v>0</v>
      </c>
      <c r="P1100" s="177"/>
      <c r="Q1100" s="172" t="s">
        <v>337</v>
      </c>
      <c r="R1100" s="175">
        <f t="shared" si="101"/>
        <v>0</v>
      </c>
      <c r="S1100" s="174">
        <f>+R1100/R1114</f>
        <v>0</v>
      </c>
    </row>
    <row r="1101" spans="2:19">
      <c r="B1101" s="170" t="s">
        <v>254</v>
      </c>
      <c r="C1101" s="171">
        <f>VLOOKUP(B1101,'RESUMEN RENDIMIENTOS'!$V$6:$W$158,2,FALSE)</f>
        <v>2000</v>
      </c>
      <c r="D1101" s="177" t="s">
        <v>56</v>
      </c>
      <c r="E1101" s="172">
        <v>52.14</v>
      </c>
      <c r="F1101" s="175">
        <f t="shared" si="99"/>
        <v>1.0554655870445346E-2</v>
      </c>
      <c r="G1101" s="174">
        <f>+F1101/F1114</f>
        <v>1.8827265123164988E-2</v>
      </c>
      <c r="H1101" s="170" t="s">
        <v>240</v>
      </c>
      <c r="I1101" s="171">
        <f>VLOOKUP(H1101,'RESUMEN RENDIMIENTOS'!$V$6:$W$158,2,FALSE)</f>
        <v>1000</v>
      </c>
      <c r="J1101" s="177" t="s">
        <v>56</v>
      </c>
      <c r="K1101" s="172">
        <v>52.14</v>
      </c>
      <c r="L1101" s="173">
        <f t="shared" si="100"/>
        <v>2.1109311740890691E-2</v>
      </c>
      <c r="M1101" s="174">
        <f>+L1101/L1114</f>
        <v>6.7307486373154451E-2</v>
      </c>
      <c r="N1101" s="170">
        <v>0</v>
      </c>
      <c r="O1101" s="171">
        <f>VLOOKUP(N1101,'RESUMEN RENDIMIENTOS'!$V$6:$W$158,2,FALSE)</f>
        <v>0</v>
      </c>
      <c r="P1101" s="177"/>
      <c r="Q1101" s="172" t="s">
        <v>337</v>
      </c>
      <c r="R1101" s="175">
        <f t="shared" si="101"/>
        <v>0</v>
      </c>
      <c r="S1101" s="174">
        <f>+R1101/R1114</f>
        <v>0</v>
      </c>
    </row>
    <row r="1102" spans="2:19">
      <c r="B1102" s="170" t="s">
        <v>259</v>
      </c>
      <c r="C1102" s="171">
        <f>VLOOKUP(B1102,'RESUMEN RENDIMIENTOS'!$V$6:$W$158,2,FALSE)</f>
        <v>1800</v>
      </c>
      <c r="D1102" s="177" t="s">
        <v>20</v>
      </c>
      <c r="E1102" s="172">
        <v>247</v>
      </c>
      <c r="F1102" s="175">
        <f t="shared" si="99"/>
        <v>5.5555555555555552E-2</v>
      </c>
      <c r="G1102" s="174">
        <f>+F1102/F1114</f>
        <v>9.9099315633588023E-2</v>
      </c>
      <c r="H1102" s="170" t="s">
        <v>191</v>
      </c>
      <c r="I1102" s="171">
        <f>VLOOKUP(H1102,'RESUMEN RENDIMIENTOS'!$V$6:$W$158,2,FALSE)</f>
        <v>800</v>
      </c>
      <c r="J1102" s="177" t="s">
        <v>56</v>
      </c>
      <c r="K1102" s="172">
        <v>52.14</v>
      </c>
      <c r="L1102" s="173">
        <f t="shared" si="100"/>
        <v>2.638663967611336E-2</v>
      </c>
      <c r="M1102" s="174">
        <f>+L1102/L1114</f>
        <v>8.4134357966443057E-2</v>
      </c>
      <c r="N1102" s="170">
        <v>0</v>
      </c>
      <c r="O1102" s="171">
        <f>VLOOKUP(N1102,'RESUMEN RENDIMIENTOS'!$V$6:$W$158,2,FALSE)</f>
        <v>0</v>
      </c>
      <c r="P1102" s="177"/>
      <c r="Q1102" s="172" t="s">
        <v>337</v>
      </c>
      <c r="R1102" s="175">
        <f t="shared" si="101"/>
        <v>0</v>
      </c>
      <c r="S1102" s="174">
        <f>+R1102/R1114</f>
        <v>0</v>
      </c>
    </row>
    <row r="1103" spans="2:19">
      <c r="B1103" s="170" t="s">
        <v>253</v>
      </c>
      <c r="C1103" s="171">
        <f>VLOOKUP(B1103,'RESUMEN RENDIMIENTOS'!$V$6:$W$158,2,FALSE)</f>
        <v>1500</v>
      </c>
      <c r="D1103" s="177" t="s">
        <v>53</v>
      </c>
      <c r="E1103" s="172">
        <v>123.5</v>
      </c>
      <c r="F1103" s="173">
        <f t="shared" si="99"/>
        <v>3.3333333333333333E-2</v>
      </c>
      <c r="G1103" s="174">
        <f>+F1103/F1114</f>
        <v>5.9459589380152812E-2</v>
      </c>
      <c r="H1103" s="170" t="s">
        <v>194</v>
      </c>
      <c r="I1103" s="171">
        <f>VLOOKUP(H1103,'RESUMEN RENDIMIENTOS'!$V$6:$W$158,2,FALSE)</f>
        <v>2000</v>
      </c>
      <c r="J1103" s="177" t="s">
        <v>56</v>
      </c>
      <c r="K1103" s="172">
        <v>52.14</v>
      </c>
      <c r="L1103" s="173">
        <f t="shared" si="100"/>
        <v>1.0554655870445346E-2</v>
      </c>
      <c r="M1103" s="174">
        <f>+L1103/L1114</f>
        <v>3.3653743186577226E-2</v>
      </c>
      <c r="N1103" s="170">
        <v>0</v>
      </c>
      <c r="O1103" s="171">
        <f>VLOOKUP(N1103,'RESUMEN RENDIMIENTOS'!$V$6:$W$158,2,FALSE)</f>
        <v>0</v>
      </c>
      <c r="P1103" s="177"/>
      <c r="Q1103" s="172" t="s">
        <v>337</v>
      </c>
      <c r="R1103" s="175">
        <f t="shared" si="101"/>
        <v>0</v>
      </c>
      <c r="S1103" s="174">
        <f>+R1103/R1114</f>
        <v>0</v>
      </c>
    </row>
    <row r="1104" spans="2:19">
      <c r="B1104" s="170" t="s">
        <v>194</v>
      </c>
      <c r="C1104" s="171">
        <f>VLOOKUP(B1104,'RESUMEN RENDIMIENTOS'!$V$6:$W$158,2,FALSE)</f>
        <v>2000</v>
      </c>
      <c r="D1104" s="177" t="s">
        <v>56</v>
      </c>
      <c r="E1104" s="172">
        <v>52.14</v>
      </c>
      <c r="F1104" s="173">
        <f t="shared" si="99"/>
        <v>1.0554655870445346E-2</v>
      </c>
      <c r="G1104" s="174">
        <f>+F1104/F1114</f>
        <v>1.8827265123164988E-2</v>
      </c>
      <c r="H1104" s="170" t="s">
        <v>233</v>
      </c>
      <c r="I1104" s="171">
        <f>VLOOKUP(H1104,'RESUMEN RENDIMIENTOS'!$V$6:$W$158,2,FALSE)</f>
        <v>400</v>
      </c>
      <c r="J1104" s="177" t="s">
        <v>56</v>
      </c>
      <c r="K1104" s="172">
        <v>52.14</v>
      </c>
      <c r="L1104" s="173">
        <f t="shared" si="100"/>
        <v>5.2773279352226719E-2</v>
      </c>
      <c r="M1104" s="174">
        <f>+L1104/L1114</f>
        <v>0.16826871593288611</v>
      </c>
      <c r="N1104" s="170">
        <v>0</v>
      </c>
      <c r="O1104" s="171">
        <f>VLOOKUP(N1104,'RESUMEN RENDIMIENTOS'!$V$6:$W$158,2,FALSE)</f>
        <v>0</v>
      </c>
      <c r="P1104" s="177"/>
      <c r="Q1104" s="172" t="s">
        <v>337</v>
      </c>
      <c r="R1104" s="175">
        <f t="shared" si="101"/>
        <v>0</v>
      </c>
      <c r="S1104" s="174">
        <f>+R1104/R1114</f>
        <v>0</v>
      </c>
    </row>
    <row r="1105" spans="2:19">
      <c r="B1105" s="170" t="s">
        <v>230</v>
      </c>
      <c r="C1105" s="171">
        <f>VLOOKUP(B1105,'RESUMEN RENDIMIENTOS'!$V$6:$W$158,2,FALSE)</f>
        <v>900</v>
      </c>
      <c r="D1105" s="177" t="s">
        <v>58</v>
      </c>
      <c r="E1105" s="172">
        <v>12</v>
      </c>
      <c r="F1105" s="173">
        <f t="shared" si="99"/>
        <v>5.3981106612685558E-3</v>
      </c>
      <c r="G1105" s="174">
        <f>+F1105/F1114</f>
        <v>9.6290833004296049E-3</v>
      </c>
      <c r="H1105" s="170" t="s">
        <v>210</v>
      </c>
      <c r="I1105" s="171">
        <f>VLOOKUP(H1105,'RESUMEN RENDIMIENTOS'!$V$6:$W$158,2,FALSE)</f>
        <v>80</v>
      </c>
      <c r="J1105" s="177" t="s">
        <v>62</v>
      </c>
      <c r="K1105" s="172">
        <v>4</v>
      </c>
      <c r="L1105" s="173">
        <f t="shared" si="100"/>
        <v>2.0242914979757085E-2</v>
      </c>
      <c r="M1105" s="174">
        <f>+L1105/L1114</f>
        <v>6.4544961999572742E-2</v>
      </c>
      <c r="N1105" s="170">
        <v>0</v>
      </c>
      <c r="O1105" s="171">
        <f>VLOOKUP(N1105,'RESUMEN RENDIMIENTOS'!$V$6:$W$158,2,FALSE)</f>
        <v>0</v>
      </c>
      <c r="P1105" s="177"/>
      <c r="Q1105" s="172" t="s">
        <v>337</v>
      </c>
      <c r="R1105" s="175">
        <f t="shared" si="101"/>
        <v>0</v>
      </c>
      <c r="S1105" s="174">
        <f>+R1105/R1114</f>
        <v>0</v>
      </c>
    </row>
    <row r="1106" spans="2:19">
      <c r="B1106" s="170" t="s">
        <v>225</v>
      </c>
      <c r="C1106" s="171">
        <f>VLOOKUP(B1106,'RESUMEN RENDIMIENTOS'!$V$6:$W$158,2,FALSE)</f>
        <v>500</v>
      </c>
      <c r="D1106" s="177" t="s">
        <v>56</v>
      </c>
      <c r="E1106" s="172">
        <v>52.14</v>
      </c>
      <c r="F1106" s="173">
        <f t="shared" si="99"/>
        <v>4.2218623481781382E-2</v>
      </c>
      <c r="G1106" s="174">
        <f>+F1106/F1114</f>
        <v>7.5309060492659952E-2</v>
      </c>
      <c r="H1106" s="170" t="s">
        <v>196</v>
      </c>
      <c r="I1106" s="171">
        <f>VLOOKUP(H1106,'RESUMEN RENDIMIENTOS'!$V$6:$W$158,2,FALSE)</f>
        <v>550</v>
      </c>
      <c r="J1106" s="177" t="s">
        <v>62</v>
      </c>
      <c r="K1106" s="172">
        <v>4</v>
      </c>
      <c r="L1106" s="173">
        <f t="shared" si="100"/>
        <v>2.944423997055576E-3</v>
      </c>
      <c r="M1106" s="174">
        <f>+L1106/L1114</f>
        <v>9.3883581090287611E-3</v>
      </c>
      <c r="N1106" s="170">
        <v>0</v>
      </c>
      <c r="O1106" s="171">
        <f>VLOOKUP(N1106,'RESUMEN RENDIMIENTOS'!$V$6:$W$158,2,FALSE)</f>
        <v>0</v>
      </c>
      <c r="P1106" s="177"/>
      <c r="Q1106" s="172" t="s">
        <v>337</v>
      </c>
      <c r="R1106" s="175">
        <f t="shared" si="101"/>
        <v>0</v>
      </c>
      <c r="S1106" s="174">
        <f>+R1106/R1114</f>
        <v>0</v>
      </c>
    </row>
    <row r="1107" spans="2:19">
      <c r="B1107" s="170" t="s">
        <v>229</v>
      </c>
      <c r="C1107" s="171">
        <f>VLOOKUP(B1107,'RESUMEN RENDIMIENTOS'!$V$6:$W$158,2,FALSE)</f>
        <v>500</v>
      </c>
      <c r="D1107" s="177" t="s">
        <v>56</v>
      </c>
      <c r="E1107" s="172">
        <v>52.14</v>
      </c>
      <c r="F1107" s="173">
        <f t="shared" si="99"/>
        <v>4.2218623481781382E-2</v>
      </c>
      <c r="G1107" s="174">
        <f>+F1107/F1114</f>
        <v>7.5309060492659952E-2</v>
      </c>
      <c r="H1107" s="170">
        <v>0</v>
      </c>
      <c r="I1107" s="171">
        <f>VLOOKUP(H1107,'RESUMEN RENDIMIENTOS'!$V$6:$W$158,2,FALSE)</f>
        <v>0</v>
      </c>
      <c r="J1107" s="177"/>
      <c r="K1107" s="172" t="s">
        <v>337</v>
      </c>
      <c r="L1107" s="173">
        <f t="shared" si="100"/>
        <v>0</v>
      </c>
      <c r="M1107" s="174">
        <f>+L1107/L1114</f>
        <v>0</v>
      </c>
      <c r="N1107" s="170">
        <v>0</v>
      </c>
      <c r="O1107" s="171">
        <f>VLOOKUP(N1107,'RESUMEN RENDIMIENTOS'!$V$6:$W$158,2,FALSE)</f>
        <v>0</v>
      </c>
      <c r="P1107" s="177"/>
      <c r="Q1107" s="172" t="s">
        <v>337</v>
      </c>
      <c r="R1107" s="175">
        <f t="shared" si="101"/>
        <v>0</v>
      </c>
      <c r="S1107" s="174">
        <f>+R1107/R1114</f>
        <v>0</v>
      </c>
    </row>
    <row r="1108" spans="2:19">
      <c r="B1108" s="170" t="s">
        <v>210</v>
      </c>
      <c r="C1108" s="171">
        <f>VLOOKUP(B1108,'RESUMEN RENDIMIENTOS'!$V$6:$W$158,2,FALSE)</f>
        <v>80</v>
      </c>
      <c r="D1108" s="177" t="s">
        <v>62</v>
      </c>
      <c r="E1108" s="172">
        <v>4</v>
      </c>
      <c r="F1108" s="173">
        <f t="shared" si="99"/>
        <v>2.0242914979757085E-2</v>
      </c>
      <c r="G1108" s="174">
        <f>+F1108/F1114</f>
        <v>3.6109062376611024E-2</v>
      </c>
      <c r="H1108" s="170">
        <v>0</v>
      </c>
      <c r="I1108" s="171">
        <f>VLOOKUP(H1108,'RESUMEN RENDIMIENTOS'!$V$6:$W$158,2,FALSE)</f>
        <v>0</v>
      </c>
      <c r="J1108" s="177"/>
      <c r="K1108" s="172" t="s">
        <v>337</v>
      </c>
      <c r="L1108" s="173">
        <f t="shared" si="100"/>
        <v>0</v>
      </c>
      <c r="M1108" s="174">
        <f>+L1108/L1114</f>
        <v>0</v>
      </c>
      <c r="N1108" s="170">
        <v>0</v>
      </c>
      <c r="O1108" s="171">
        <f>VLOOKUP(N1108,'RESUMEN RENDIMIENTOS'!$V$6:$W$158,2,FALSE)</f>
        <v>0</v>
      </c>
      <c r="P1108" s="177"/>
      <c r="Q1108" s="172" t="s">
        <v>337</v>
      </c>
      <c r="R1108" s="175">
        <f t="shared" si="101"/>
        <v>0</v>
      </c>
      <c r="S1108" s="174">
        <f>+R1108/R1114</f>
        <v>0</v>
      </c>
    </row>
    <row r="1109" spans="2:19">
      <c r="B1109" s="170">
        <v>0</v>
      </c>
      <c r="C1109" s="171">
        <f>VLOOKUP(B1109,'RESUMEN RENDIMIENTOS'!$V$6:$W$158,2,FALSE)</f>
        <v>0</v>
      </c>
      <c r="D1109" s="177"/>
      <c r="E1109" s="172" t="s">
        <v>337</v>
      </c>
      <c r="F1109" s="175">
        <f t="shared" si="99"/>
        <v>0</v>
      </c>
      <c r="G1109" s="174">
        <f>+F1109/F1114</f>
        <v>0</v>
      </c>
      <c r="H1109" s="170">
        <v>0</v>
      </c>
      <c r="I1109" s="171">
        <f>VLOOKUP(H1109,'RESUMEN RENDIMIENTOS'!$V$6:$W$158,2,FALSE)</f>
        <v>0</v>
      </c>
      <c r="J1109" s="177"/>
      <c r="K1109" s="172" t="s">
        <v>337</v>
      </c>
      <c r="L1109" s="173">
        <f t="shared" si="100"/>
        <v>0</v>
      </c>
      <c r="M1109" s="174">
        <f>+L1109/L1114</f>
        <v>0</v>
      </c>
      <c r="N1109" s="170">
        <v>0</v>
      </c>
      <c r="O1109" s="171">
        <f>VLOOKUP(N1109,'RESUMEN RENDIMIENTOS'!$V$6:$W$158,2,FALSE)</f>
        <v>0</v>
      </c>
      <c r="P1109" s="177"/>
      <c r="Q1109" s="172" t="s">
        <v>337</v>
      </c>
      <c r="R1109" s="175">
        <f t="shared" si="101"/>
        <v>0</v>
      </c>
      <c r="S1109" s="174">
        <f>+R1109/R1114</f>
        <v>0</v>
      </c>
    </row>
    <row r="1110" spans="2:19">
      <c r="B1110" s="170" t="s">
        <v>240</v>
      </c>
      <c r="C1110" s="171">
        <f>VLOOKUP(B1110,'RESUMEN RENDIMIENTOS'!$V$6:$W$158,2,FALSE)</f>
        <v>1000</v>
      </c>
      <c r="D1110" s="177" t="s">
        <v>62</v>
      </c>
      <c r="E1110" s="172">
        <v>4</v>
      </c>
      <c r="F1110" s="175">
        <f t="shared" si="99"/>
        <v>1.6194331983805669E-3</v>
      </c>
      <c r="G1110" s="174">
        <f>+F1110/F1114</f>
        <v>2.8887249901288822E-3</v>
      </c>
      <c r="H1110" s="170">
        <v>0</v>
      </c>
      <c r="I1110" s="171">
        <f>VLOOKUP(H1110,'RESUMEN RENDIMIENTOS'!$V$6:$W$158,2,FALSE)</f>
        <v>0</v>
      </c>
      <c r="J1110" s="177"/>
      <c r="K1110" s="172" t="s">
        <v>337</v>
      </c>
      <c r="L1110" s="173">
        <f t="shared" si="100"/>
        <v>0</v>
      </c>
      <c r="M1110" s="174">
        <f>+L1110/L1114</f>
        <v>0</v>
      </c>
      <c r="N1110" s="170">
        <v>0</v>
      </c>
      <c r="O1110" s="171">
        <f>VLOOKUP(N1110,'RESUMEN RENDIMIENTOS'!$V$6:$W$158,2,FALSE)</f>
        <v>0</v>
      </c>
      <c r="P1110" s="177"/>
      <c r="Q1110" s="172" t="s">
        <v>337</v>
      </c>
      <c r="R1110" s="175">
        <f t="shared" si="101"/>
        <v>0</v>
      </c>
      <c r="S1110" s="174">
        <f>+R1110/R1114</f>
        <v>0</v>
      </c>
    </row>
    <row r="1111" spans="2:19">
      <c r="B1111" s="170" t="s">
        <v>234</v>
      </c>
      <c r="C1111" s="171">
        <f>VLOOKUP(B1111,'RESUMEN RENDIMIENTOS'!$V$6:$W$158,2,FALSE)</f>
        <v>805</v>
      </c>
      <c r="D1111" s="177" t="s">
        <v>62</v>
      </c>
      <c r="E1111" s="172">
        <v>4</v>
      </c>
      <c r="F1111" s="175">
        <f t="shared" si="99"/>
        <v>2.0117182588578471E-3</v>
      </c>
      <c r="G1111" s="174">
        <f>+F1111/F1114</f>
        <v>3.5884782486073066E-3</v>
      </c>
      <c r="H1111" s="170">
        <v>0</v>
      </c>
      <c r="I1111" s="171">
        <f>VLOOKUP(H1111,'RESUMEN RENDIMIENTOS'!$V$6:$W$158,2,FALSE)</f>
        <v>0</v>
      </c>
      <c r="J1111" s="177"/>
      <c r="K1111" s="172" t="s">
        <v>337</v>
      </c>
      <c r="L1111" s="173">
        <f t="shared" si="100"/>
        <v>0</v>
      </c>
      <c r="M1111" s="174">
        <f>+L1111/L1114</f>
        <v>0</v>
      </c>
      <c r="N1111" s="170">
        <v>0</v>
      </c>
      <c r="O1111" s="171">
        <f>VLOOKUP(N1111,'RESUMEN RENDIMIENTOS'!$V$6:$W$158,2,FALSE)</f>
        <v>0</v>
      </c>
      <c r="P1111" s="177"/>
      <c r="Q1111" s="172" t="s">
        <v>337</v>
      </c>
      <c r="R1111" s="175">
        <f t="shared" si="101"/>
        <v>0</v>
      </c>
      <c r="S1111" s="174">
        <f>+R1111/R1114</f>
        <v>0</v>
      </c>
    </row>
    <row r="1112" spans="2:19">
      <c r="B1112" s="170" t="s">
        <v>237</v>
      </c>
      <c r="C1112" s="171">
        <f>VLOOKUP(B1112,'RESUMEN RENDIMIENTOS'!$V$6:$W$158,2,FALSE)</f>
        <v>250</v>
      </c>
      <c r="D1112" s="177" t="s">
        <v>62</v>
      </c>
      <c r="E1112" s="172">
        <v>4</v>
      </c>
      <c r="F1112" s="175">
        <f t="shared" si="99"/>
        <v>6.4777327935222678E-3</v>
      </c>
      <c r="G1112" s="174">
        <f>+F1112/F1114</f>
        <v>1.1554899960515529E-2</v>
      </c>
      <c r="H1112" s="170">
        <v>0</v>
      </c>
      <c r="I1112" s="171">
        <f>VLOOKUP(H1112,'RESUMEN RENDIMIENTOS'!$V$6:$W$158,2,FALSE)</f>
        <v>0</v>
      </c>
      <c r="J1112" s="177"/>
      <c r="K1112" s="172" t="s">
        <v>337</v>
      </c>
      <c r="L1112" s="173">
        <f t="shared" si="100"/>
        <v>0</v>
      </c>
      <c r="M1112" s="174">
        <f>+L1112/L1114</f>
        <v>0</v>
      </c>
      <c r="N1112" s="170">
        <v>0</v>
      </c>
      <c r="O1112" s="171">
        <f>VLOOKUP(N1112,'RESUMEN RENDIMIENTOS'!$V$6:$W$158,2,FALSE)</f>
        <v>0</v>
      </c>
      <c r="P1112" s="177"/>
      <c r="Q1112" s="172" t="s">
        <v>337</v>
      </c>
      <c r="R1112" s="175">
        <f t="shared" si="101"/>
        <v>0</v>
      </c>
      <c r="S1112" s="174">
        <f>+R1112/R1114</f>
        <v>0</v>
      </c>
    </row>
    <row r="1113" spans="2:19">
      <c r="B1113" s="170">
        <v>0</v>
      </c>
      <c r="C1113" s="171">
        <f>VLOOKUP(B1113,'RESUMEN RENDIMIENTOS'!$V$6:$W$158,2,FALSE)</f>
        <v>0</v>
      </c>
      <c r="D1113" s="177"/>
      <c r="E1113" s="172" t="s">
        <v>337</v>
      </c>
      <c r="F1113" s="175">
        <f t="shared" si="99"/>
        <v>0</v>
      </c>
      <c r="G1113" s="174">
        <f>+F1113/F1114</f>
        <v>0</v>
      </c>
      <c r="H1113" s="170">
        <v>0</v>
      </c>
      <c r="I1113" s="171">
        <f>VLOOKUP(H1113,'RESUMEN RENDIMIENTOS'!$V$6:$W$158,2,FALSE)</f>
        <v>0</v>
      </c>
      <c r="J1113" s="177"/>
      <c r="K1113" s="172" t="s">
        <v>337</v>
      </c>
      <c r="L1113" s="173">
        <f t="shared" si="100"/>
        <v>0</v>
      </c>
      <c r="M1113" s="174">
        <f>+L1113/L1114</f>
        <v>0</v>
      </c>
      <c r="N1113" s="170">
        <v>0</v>
      </c>
      <c r="O1113" s="171">
        <f>VLOOKUP(N1113,'RESUMEN RENDIMIENTOS'!$V$6:$W$158,2,FALSE)</f>
        <v>0</v>
      </c>
      <c r="P1113" s="177"/>
      <c r="Q1113" s="172" t="s">
        <v>337</v>
      </c>
      <c r="R1113" s="175">
        <f t="shared" si="101"/>
        <v>0</v>
      </c>
      <c r="S1113" s="174">
        <f>+R1113/R1114</f>
        <v>0</v>
      </c>
    </row>
    <row r="1114" spans="2:19" ht="26.25" customHeight="1" thickBot="1">
      <c r="B1114" s="178"/>
      <c r="E1114" s="90"/>
      <c r="F1114" s="173">
        <f>SUM(F1098:F1113)</f>
        <v>0.56060483566776464</v>
      </c>
      <c r="G1114" s="181">
        <f>+F1114/F1114</f>
        <v>1</v>
      </c>
      <c r="H1114" s="178"/>
      <c r="I1114" s="179"/>
      <c r="J1114" s="182" t="s">
        <v>24</v>
      </c>
      <c r="K1114" s="90"/>
      <c r="L1114" s="173">
        <f>SUM(L1098:L1113)</f>
        <v>0.31362501971712503</v>
      </c>
      <c r="M1114" s="181">
        <f>+L1114/L1114</f>
        <v>1</v>
      </c>
      <c r="N1114" s="178"/>
      <c r="O1114" s="179"/>
      <c r="Q1114" s="90"/>
      <c r="R1114" s="175">
        <f>SUM(R1098:R1113)</f>
        <v>5.333333333333333E-2</v>
      </c>
      <c r="S1114" s="181">
        <f>+R1114/R1114</f>
        <v>1</v>
      </c>
    </row>
    <row r="1115" spans="2:19" ht="18" customHeight="1">
      <c r="B1115" s="427" t="s">
        <v>317</v>
      </c>
      <c r="C1115" s="428"/>
      <c r="D1115" s="429"/>
      <c r="E1115" s="185">
        <v>0.12</v>
      </c>
      <c r="F1115" s="173">
        <f>+F1114*E1115</f>
        <v>6.727258028013175E-2</v>
      </c>
      <c r="H1115" s="427" t="s">
        <v>317</v>
      </c>
      <c r="I1115" s="428"/>
      <c r="J1115" s="429"/>
      <c r="K1115" s="185">
        <v>0.12</v>
      </c>
      <c r="L1115" s="173">
        <f>+L1114*K1115</f>
        <v>3.7635002366055E-2</v>
      </c>
      <c r="N1115" s="427" t="s">
        <v>317</v>
      </c>
      <c r="O1115" s="428"/>
      <c r="P1115" s="429"/>
      <c r="Q1115" s="185">
        <v>0.12</v>
      </c>
      <c r="R1115" s="175">
        <f>+R1114*Q1115</f>
        <v>6.3999999999999994E-3</v>
      </c>
    </row>
    <row r="1116" spans="2:19" ht="18" customHeight="1">
      <c r="B1116" s="178"/>
      <c r="F1116" s="173">
        <f>+F1115+F1114</f>
        <v>0.62787741594789637</v>
      </c>
      <c r="G1116" s="187">
        <f>+F1116/24</f>
        <v>2.6161558997829015E-2</v>
      </c>
      <c r="H1116" s="178"/>
      <c r="I1116" s="179"/>
      <c r="K1116" s="88"/>
      <c r="L1116" s="173">
        <f>+L1115+L1114</f>
        <v>0.35126002208318002</v>
      </c>
      <c r="M1116" s="187">
        <f>+L1116/24</f>
        <v>1.4635834253465834E-2</v>
      </c>
      <c r="N1116" s="178"/>
      <c r="O1116" s="179"/>
      <c r="R1116" s="175">
        <f>+R1115+R1114</f>
        <v>5.9733333333333333E-2</v>
      </c>
      <c r="S1116" s="187">
        <f>+R1116/24</f>
        <v>2.488888888888889E-3</v>
      </c>
    </row>
    <row r="1117" spans="2:19">
      <c r="B1117" s="178"/>
      <c r="D1117" s="188"/>
      <c r="F1117" s="189"/>
      <c r="H1117" s="178"/>
      <c r="I1117" s="179"/>
      <c r="J1117" s="188"/>
      <c r="K1117" s="88"/>
      <c r="L1117" s="189"/>
      <c r="N1117" s="178"/>
      <c r="O1117" s="179"/>
      <c r="P1117" s="188"/>
      <c r="R1117" s="189"/>
    </row>
    <row r="1118" spans="2:19" ht="21">
      <c r="B1118" s="191" t="s">
        <v>318</v>
      </c>
      <c r="C1118" s="192"/>
      <c r="D1118" s="192"/>
      <c r="E1118" s="444">
        <f>IF(F1116=0,0,(100/F1116))</f>
        <v>159.26675726826647</v>
      </c>
      <c r="F1118" s="445"/>
      <c r="H1118" s="191" t="s">
        <v>318</v>
      </c>
      <c r="I1118" s="192"/>
      <c r="J1118" s="192"/>
      <c r="K1118" s="444">
        <f>IF(L1116=0,0,(100/L1116))</f>
        <v>284.68938596240116</v>
      </c>
      <c r="L1118" s="445"/>
      <c r="N1118" s="191" t="s">
        <v>318</v>
      </c>
      <c r="O1118" s="192"/>
      <c r="P1118" s="192"/>
      <c r="Q1118" s="444">
        <f>IF(R1116=0,0,(100/R1116))</f>
        <v>1674.1071428571429</v>
      </c>
      <c r="R1118" s="445"/>
    </row>
    <row r="1119" spans="2:19">
      <c r="B1119" s="178"/>
      <c r="H1119" s="178"/>
      <c r="I1119" s="179"/>
      <c r="K1119" s="88"/>
      <c r="L1119" s="189"/>
      <c r="N1119" s="178"/>
      <c r="O1119" s="179"/>
      <c r="R1119" s="189"/>
    </row>
    <row r="1120" spans="2:19" ht="21">
      <c r="B1120" s="446" t="s">
        <v>319</v>
      </c>
      <c r="C1120" s="447"/>
      <c r="D1120" s="447"/>
      <c r="E1120" s="447"/>
      <c r="F1120" s="448"/>
      <c r="H1120" s="446" t="s">
        <v>319</v>
      </c>
      <c r="I1120" s="447"/>
      <c r="J1120" s="447"/>
      <c r="K1120" s="447"/>
      <c r="L1120" s="448"/>
      <c r="N1120" s="446" t="s">
        <v>319</v>
      </c>
      <c r="O1120" s="447"/>
      <c r="P1120" s="447"/>
      <c r="Q1120" s="447"/>
      <c r="R1120" s="448"/>
    </row>
    <row r="1121" spans="2:19" ht="18" customHeight="1">
      <c r="B1121" s="194" t="s">
        <v>320</v>
      </c>
      <c r="C1121" s="195"/>
      <c r="D1121" s="435" t="s">
        <v>321</v>
      </c>
      <c r="E1121" s="435"/>
      <c r="F1121" s="196" t="s">
        <v>322</v>
      </c>
      <c r="H1121" s="194" t="s">
        <v>320</v>
      </c>
      <c r="I1121" s="195"/>
      <c r="J1121" s="435" t="s">
        <v>321</v>
      </c>
      <c r="K1121" s="435"/>
      <c r="L1121" s="196" t="s">
        <v>322</v>
      </c>
      <c r="N1121" s="194" t="s">
        <v>320</v>
      </c>
      <c r="O1121" s="195"/>
      <c r="P1121" s="435" t="s">
        <v>321</v>
      </c>
      <c r="Q1121" s="435"/>
      <c r="R1121" s="196" t="s">
        <v>322</v>
      </c>
    </row>
    <row r="1122" spans="2:19">
      <c r="B1122" s="197" t="s">
        <v>278</v>
      </c>
      <c r="C1122" s="201">
        <v>1</v>
      </c>
      <c r="E1122" s="199">
        <f>IF(C1122=0,0,(VLOOKUP(B1122,'RESUMEN RENDIMIENTOS'!$AB$6:$AO$64,13,FALSE)))*C1122</f>
        <v>0.75</v>
      </c>
      <c r="F1122" s="200">
        <f>IF(C1122=0,0,(VLOOKUP(B1122,'RESUMEN RENDIMIENTOS'!$AB$6:$AO$64,14,FALSE)))*C1122</f>
        <v>1.0285714285714287E-2</v>
      </c>
      <c r="H1122" s="197" t="s">
        <v>278</v>
      </c>
      <c r="I1122" s="201">
        <v>1</v>
      </c>
      <c r="K1122" s="199">
        <f>IF(I1122=0,0,(VLOOKUP(H1122,'RESUMEN RENDIMIENTOS'!$AB$6:$AO$64,13,FALSE)))*I1122</f>
        <v>0.75</v>
      </c>
      <c r="L1122" s="200">
        <f>IF(I1122=0,0,(VLOOKUP(H1122,'RESUMEN RENDIMIENTOS'!$AB$6:$AO$64,14,FALSE)))*I1122</f>
        <v>1.0285714285714287E-2</v>
      </c>
      <c r="N1122" s="197" t="s">
        <v>278</v>
      </c>
      <c r="O1122" s="201">
        <v>1</v>
      </c>
      <c r="Q1122" s="199">
        <f>IF(O1122=0,0,(VLOOKUP(N1122,'RESUMEN RENDIMIENTOS'!$AB$6:$AO$64,13,FALSE)))*O1122</f>
        <v>0.75</v>
      </c>
      <c r="R1122" s="200">
        <f>IF(O1122=0,0,(VLOOKUP(N1122,'RESUMEN RENDIMIENTOS'!$AB$6:$AO$64,14,FALSE)))*O1122</f>
        <v>1.0285714285714287E-2</v>
      </c>
    </row>
    <row r="1123" spans="2:19">
      <c r="B1123" s="197" t="s">
        <v>279</v>
      </c>
      <c r="C1123" s="201">
        <v>1</v>
      </c>
      <c r="E1123" s="199">
        <f>IF(C1123=0,0,(VLOOKUP(B1123,'RESUMEN RENDIMIENTOS'!$AB$6:$AO$64,13,FALSE)))*C1123</f>
        <v>2</v>
      </c>
      <c r="F1123" s="200">
        <f>IF(C1123=0,0,(VLOOKUP(B1123,'RESUMEN RENDIMIENTOS'!$AB$6:$AO$64,14,FALSE)))*C1123</f>
        <v>9.5999999999999988E-2</v>
      </c>
      <c r="H1123" s="197" t="s">
        <v>279</v>
      </c>
      <c r="I1123" s="201">
        <v>1</v>
      </c>
      <c r="K1123" s="199">
        <f>IF(I1123=0,0,(VLOOKUP(H1123,'RESUMEN RENDIMIENTOS'!$AB$6:$AO$64,13,FALSE)))*I1123</f>
        <v>2</v>
      </c>
      <c r="L1123" s="200">
        <f>IF(I1123=0,0,(VLOOKUP(H1123,'RESUMEN RENDIMIENTOS'!$AB$6:$AO$64,14,FALSE)))*I1123</f>
        <v>9.5999999999999988E-2</v>
      </c>
      <c r="N1123" s="197" t="s">
        <v>279</v>
      </c>
      <c r="O1123" s="201">
        <v>1</v>
      </c>
      <c r="Q1123" s="199">
        <f>IF(O1123=0,0,(VLOOKUP(N1123,'RESUMEN RENDIMIENTOS'!$AB$6:$AO$64,13,FALSE)))*O1123</f>
        <v>2</v>
      </c>
      <c r="R1123" s="200">
        <f>IF(O1123=0,0,(VLOOKUP(N1123,'RESUMEN RENDIMIENTOS'!$AB$6:$AO$64,14,FALSE)))*O1123</f>
        <v>9.5999999999999988E-2</v>
      </c>
    </row>
    <row r="1124" spans="2:19">
      <c r="B1124" s="197" t="s">
        <v>284</v>
      </c>
      <c r="C1124" s="201">
        <v>0.25</v>
      </c>
      <c r="E1124" s="199">
        <f>IF(C1124=0,0,(VLOOKUP(B1124,'RESUMEN RENDIMIENTOS'!$AB$6:$AO$64,13,FALSE)))*C1124</f>
        <v>0.52500000000000002</v>
      </c>
      <c r="F1124" s="200">
        <f>IF(C1124=0,0,(VLOOKUP(B1124,'RESUMEN RENDIMIENTOS'!$AB$6:$AO$64,14,FALSE)))*C1124</f>
        <v>4.2000000000000003E-2</v>
      </c>
      <c r="H1124" s="197" t="s">
        <v>284</v>
      </c>
      <c r="I1124" s="201">
        <v>0.25</v>
      </c>
      <c r="K1124" s="199">
        <f>IF(I1124=0,0,(VLOOKUP(H1124,'RESUMEN RENDIMIENTOS'!$AB$6:$AO$64,13,FALSE)))*I1124</f>
        <v>0.52500000000000002</v>
      </c>
      <c r="L1124" s="200">
        <f>IF(I1124=0,0,(VLOOKUP(H1124,'RESUMEN RENDIMIENTOS'!$AB$6:$AO$64,14,FALSE)))*I1124</f>
        <v>4.2000000000000003E-2</v>
      </c>
      <c r="N1124" s="197" t="s">
        <v>284</v>
      </c>
      <c r="O1124" s="201">
        <v>0.25</v>
      </c>
      <c r="Q1124" s="199">
        <f>IF(O1124=0,0,(VLOOKUP(N1124,'RESUMEN RENDIMIENTOS'!$AB$6:$AO$64,13,FALSE)))*O1124</f>
        <v>0.52500000000000002</v>
      </c>
      <c r="R1124" s="200">
        <f>IF(O1124=0,0,(VLOOKUP(N1124,'RESUMEN RENDIMIENTOS'!$AB$6:$AO$64,14,FALSE)))*O1124</f>
        <v>4.2000000000000003E-2</v>
      </c>
    </row>
    <row r="1125" spans="2:19">
      <c r="B1125" s="197" t="s">
        <v>283</v>
      </c>
      <c r="C1125" s="201">
        <v>1</v>
      </c>
      <c r="E1125" s="199">
        <f>IF(C1125=0,0,(VLOOKUP(B1125,'RESUMEN RENDIMIENTOS'!$AB$6:$AO$64,13,FALSE)))*C1125</f>
        <v>1.59</v>
      </c>
      <c r="F1125" s="200">
        <f>IF(C1125=0,0,(VLOOKUP(B1125,'RESUMEN RENDIMIENTOS'!$AB$6:$AO$64,14,FALSE)))*C1125</f>
        <v>0.12720000000000001</v>
      </c>
      <c r="H1125" s="197" t="s">
        <v>283</v>
      </c>
      <c r="I1125" s="201">
        <v>1</v>
      </c>
      <c r="K1125" s="199">
        <f>IF(I1125=0,0,(VLOOKUP(H1125,'RESUMEN RENDIMIENTOS'!$AB$6:$AO$64,13,FALSE)))*I1125</f>
        <v>1.59</v>
      </c>
      <c r="L1125" s="200">
        <f>IF(I1125=0,0,(VLOOKUP(H1125,'RESUMEN RENDIMIENTOS'!$AB$6:$AO$64,14,FALSE)))*I1125</f>
        <v>0.12720000000000001</v>
      </c>
      <c r="N1125" s="197" t="s">
        <v>283</v>
      </c>
      <c r="O1125" s="201">
        <v>1</v>
      </c>
      <c r="Q1125" s="199">
        <f>IF(O1125=0,0,(VLOOKUP(N1125,'RESUMEN RENDIMIENTOS'!$AB$6:$AO$64,13,FALSE)))*O1125</f>
        <v>1.59</v>
      </c>
      <c r="R1125" s="200">
        <f>IF(O1125=0,0,(VLOOKUP(N1125,'RESUMEN RENDIMIENTOS'!$AB$6:$AO$64,14,FALSE)))*O1125</f>
        <v>0.12720000000000001</v>
      </c>
    </row>
    <row r="1126" spans="2:19">
      <c r="B1126" s="197" t="s">
        <v>282</v>
      </c>
      <c r="C1126" s="201">
        <v>1</v>
      </c>
      <c r="E1126" s="199">
        <f>IF(C1126=0,0,(VLOOKUP(B1126,'RESUMEN RENDIMIENTOS'!$AB$6:$AO$64,13,FALSE)))*C1126</f>
        <v>2.62</v>
      </c>
      <c r="F1126" s="200">
        <f>IF(C1126=0,0,(VLOOKUP(B1126,'RESUMEN RENDIMIENTOS'!$AB$6:$AO$64,14,FALSE)))*C1126</f>
        <v>6.986666666666666E-2</v>
      </c>
      <c r="H1126" s="197" t="s">
        <v>282</v>
      </c>
      <c r="I1126" s="201">
        <v>1</v>
      </c>
      <c r="K1126" s="199">
        <f>IF(I1126=0,0,(VLOOKUP(H1126,'RESUMEN RENDIMIENTOS'!$AB$6:$AO$64,13,FALSE)))*I1126</f>
        <v>2.62</v>
      </c>
      <c r="L1126" s="200">
        <f>IF(I1126=0,0,(VLOOKUP(H1126,'RESUMEN RENDIMIENTOS'!$AB$6:$AO$64,14,FALSE)))*I1126</f>
        <v>6.986666666666666E-2</v>
      </c>
      <c r="N1126" s="197" t="s">
        <v>282</v>
      </c>
      <c r="O1126" s="201">
        <v>1</v>
      </c>
      <c r="Q1126" s="199">
        <f>IF(O1126=0,0,(VLOOKUP(N1126,'RESUMEN RENDIMIENTOS'!$AB$6:$AO$64,13,FALSE)))*O1126</f>
        <v>2.62</v>
      </c>
      <c r="R1126" s="200">
        <f>IF(O1126=0,0,(VLOOKUP(N1126,'RESUMEN RENDIMIENTOS'!$AB$6:$AO$64,14,FALSE)))*O1126</f>
        <v>6.986666666666666E-2</v>
      </c>
    </row>
    <row r="1127" spans="2:19">
      <c r="B1127" s="197" t="s">
        <v>302</v>
      </c>
      <c r="C1127" s="201">
        <v>1</v>
      </c>
      <c r="E1127" s="199">
        <f>IF(C1127=0,0,(VLOOKUP(B1127,'RESUMEN RENDIMIENTOS'!$AB$6:$AO$64,13,FALSE)))*C1127</f>
        <v>1</v>
      </c>
      <c r="F1127" s="200">
        <f>IF(C1127=0,0,(VLOOKUP(B1127,'RESUMEN RENDIMIENTOS'!$AB$6:$AO$64,14,FALSE)))*C1127</f>
        <v>0.2</v>
      </c>
      <c r="H1127" s="197" t="s">
        <v>302</v>
      </c>
      <c r="I1127" s="201">
        <v>1</v>
      </c>
      <c r="K1127" s="199">
        <f>IF(I1127=0,0,(VLOOKUP(H1127,'RESUMEN RENDIMIENTOS'!$AB$6:$AO$64,13,FALSE)))*I1127</f>
        <v>1</v>
      </c>
      <c r="L1127" s="200">
        <f>IF(I1127=0,0,(VLOOKUP(H1127,'RESUMEN RENDIMIENTOS'!$AB$6:$AO$64,14,FALSE)))*I1127</f>
        <v>0.2</v>
      </c>
      <c r="N1127" s="197" t="s">
        <v>302</v>
      </c>
      <c r="O1127" s="201">
        <v>1</v>
      </c>
      <c r="Q1127" s="199">
        <f>IF(O1127=0,0,(VLOOKUP(N1127,'RESUMEN RENDIMIENTOS'!$AB$6:$AO$64,13,FALSE)))*O1127</f>
        <v>1</v>
      </c>
      <c r="R1127" s="200">
        <f>IF(O1127=0,0,(VLOOKUP(N1127,'RESUMEN RENDIMIENTOS'!$AB$6:$AO$64,14,FALSE)))*O1127</f>
        <v>0.2</v>
      </c>
    </row>
    <row r="1128" spans="2:19">
      <c r="B1128" s="202"/>
      <c r="F1128" s="204">
        <f>SUM(F1122:F1127)</f>
        <v>0.54535238095238103</v>
      </c>
      <c r="G1128" s="205">
        <f>+F1128</f>
        <v>0.54535238095238103</v>
      </c>
      <c r="H1128" s="202"/>
      <c r="I1128" s="179"/>
      <c r="K1128" s="88"/>
      <c r="L1128" s="206">
        <f>SUM(L1122:L1127)</f>
        <v>0.54535238095238103</v>
      </c>
      <c r="M1128" s="205">
        <f>+L1128</f>
        <v>0.54535238095238103</v>
      </c>
      <c r="N1128" s="202"/>
      <c r="O1128" s="179"/>
      <c r="R1128" s="206">
        <f>SUM(R1122:R1127)</f>
        <v>0.54535238095238103</v>
      </c>
      <c r="S1128" s="205">
        <f>+R1128</f>
        <v>0.54535238095238103</v>
      </c>
    </row>
    <row r="1129" spans="2:19">
      <c r="B1129" s="436" t="s">
        <v>324</v>
      </c>
      <c r="C1129" s="437"/>
      <c r="D1129" s="437"/>
      <c r="E1129" s="437"/>
      <c r="F1129" s="437"/>
      <c r="G1129" s="205"/>
      <c r="H1129" s="436" t="s">
        <v>324</v>
      </c>
      <c r="I1129" s="437"/>
      <c r="J1129" s="437"/>
      <c r="K1129" s="437"/>
      <c r="L1129" s="455"/>
      <c r="M1129" s="205"/>
      <c r="N1129" s="436" t="s">
        <v>324</v>
      </c>
      <c r="O1129" s="437"/>
      <c r="P1129" s="437"/>
      <c r="Q1129" s="437"/>
      <c r="R1129" s="455"/>
      <c r="S1129" s="205"/>
    </row>
    <row r="1130" spans="2:19">
      <c r="B1130" s="210" t="s">
        <v>325</v>
      </c>
      <c r="C1130" s="211">
        <v>1</v>
      </c>
      <c r="D1130" s="212">
        <v>21.712335174960327</v>
      </c>
      <c r="E1130" s="213">
        <f>F1116</f>
        <v>0.62787741594789637</v>
      </c>
      <c r="F1130" s="214">
        <f>+IF(C1130&gt;="",0,(D1130*E1130))</f>
        <v>13.632684903848705</v>
      </c>
      <c r="G1130" s="215"/>
      <c r="H1130" s="210" t="s">
        <v>325</v>
      </c>
      <c r="I1130" s="211">
        <v>1</v>
      </c>
      <c r="J1130" s="212">
        <v>21.712335174960327</v>
      </c>
      <c r="K1130" s="213">
        <f>L1116</f>
        <v>0.35126002208318002</v>
      </c>
      <c r="L1130" s="216">
        <f>+IF(I1130&gt;="",0,(J1130*K1130))</f>
        <v>7.6266753330339707</v>
      </c>
      <c r="M1130" s="215"/>
      <c r="N1130" s="210" t="s">
        <v>325</v>
      </c>
      <c r="O1130" s="211">
        <v>1</v>
      </c>
      <c r="P1130" s="212">
        <v>21.712335174960327</v>
      </c>
      <c r="Q1130" s="213">
        <f>R1116</f>
        <v>5.9733333333333333E-2</v>
      </c>
      <c r="R1130" s="214">
        <f>+IF(O1130&gt;="",0,(P1130*Q1130))</f>
        <v>1.2969501544509634</v>
      </c>
      <c r="S1130" s="215"/>
    </row>
    <row r="1131" spans="2:19">
      <c r="B1131" s="210" t="s">
        <v>326</v>
      </c>
      <c r="C1131" s="211"/>
      <c r="D1131" s="212">
        <f>+D1130*25%</f>
        <v>5.4280837937400817</v>
      </c>
      <c r="E1131" s="213">
        <f>F1116</f>
        <v>0.62787741594789637</v>
      </c>
      <c r="F1131" s="214">
        <f>+IF(C1131= "",0,(D1131*E1131))</f>
        <v>0</v>
      </c>
      <c r="G1131" s="215"/>
      <c r="H1131" s="210" t="s">
        <v>326</v>
      </c>
      <c r="I1131" s="211"/>
      <c r="J1131" s="212">
        <f>+J1130*25%</f>
        <v>5.4280837937400817</v>
      </c>
      <c r="K1131" s="213">
        <f>L1116</f>
        <v>0.35126002208318002</v>
      </c>
      <c r="L1131" s="216">
        <f>+IF(I1131= "",0,(J1131*K1131))</f>
        <v>0</v>
      </c>
      <c r="M1131" s="215"/>
      <c r="N1131" s="210" t="s">
        <v>326</v>
      </c>
      <c r="O1131" s="211"/>
      <c r="P1131" s="212">
        <f>+P1130*25%</f>
        <v>5.4280837937400817</v>
      </c>
      <c r="Q1131" s="213">
        <f>R1116</f>
        <v>5.9733333333333333E-2</v>
      </c>
      <c r="R1131" s="214">
        <f>+IF(O1131= "",0,(P1131*Q1131))</f>
        <v>0</v>
      </c>
      <c r="S1131" s="215"/>
    </row>
    <row r="1132" spans="2:19">
      <c r="B1132" s="210" t="s">
        <v>327</v>
      </c>
      <c r="C1132" s="211"/>
      <c r="D1132" s="212">
        <f>+D1130*50%</f>
        <v>10.856167587480163</v>
      </c>
      <c r="E1132" s="213">
        <f>F1116</f>
        <v>0.62787741594789637</v>
      </c>
      <c r="F1132" s="214">
        <f>+IF(C1132= "",0,(D1132*E1132))</f>
        <v>0</v>
      </c>
      <c r="G1132" s="215"/>
      <c r="H1132" s="210" t="s">
        <v>327</v>
      </c>
      <c r="I1132" s="211"/>
      <c r="J1132" s="212">
        <f>+J1130*50%</f>
        <v>10.856167587480163</v>
      </c>
      <c r="K1132" s="213">
        <f>L1116</f>
        <v>0.35126002208318002</v>
      </c>
      <c r="L1132" s="216">
        <f>+IF(I1132= "",0,(J1132*K1132))</f>
        <v>0</v>
      </c>
      <c r="M1132" s="215"/>
      <c r="N1132" s="210" t="s">
        <v>327</v>
      </c>
      <c r="O1132" s="211"/>
      <c r="P1132" s="212">
        <f>+P1130*50%</f>
        <v>10.856167587480163</v>
      </c>
      <c r="Q1132" s="213">
        <f>R1116</f>
        <v>5.9733333333333333E-2</v>
      </c>
      <c r="R1132" s="214">
        <f>+IF(O1132= "",0,(P1132*Q1132))</f>
        <v>0</v>
      </c>
      <c r="S1132" s="215"/>
    </row>
    <row r="1133" spans="2:19">
      <c r="B1133" s="202"/>
      <c r="F1133" s="217">
        <f>SUM(F1130:F1132)</f>
        <v>13.632684903848705</v>
      </c>
      <c r="G1133" s="218"/>
      <c r="H1133" s="202"/>
      <c r="I1133" s="179"/>
      <c r="K1133" s="88"/>
      <c r="L1133" s="219">
        <f>SUM(L1130:L1132)</f>
        <v>7.6266753330339707</v>
      </c>
      <c r="M1133" s="218"/>
      <c r="N1133" s="202"/>
      <c r="O1133" s="179"/>
      <c r="R1133" s="217">
        <f>SUM(R1130:R1132)</f>
        <v>1.2969501544509634</v>
      </c>
      <c r="S1133" s="218"/>
    </row>
    <row r="1134" spans="2:19">
      <c r="B1134" s="202"/>
      <c r="G1134" s="220"/>
      <c r="H1134" s="202"/>
      <c r="I1134" s="179"/>
      <c r="K1134" s="88"/>
      <c r="L1134" s="189"/>
      <c r="M1134" s="220"/>
      <c r="N1134" s="202"/>
      <c r="O1134" s="179"/>
      <c r="R1134" s="189"/>
      <c r="S1134" s="220"/>
    </row>
    <row r="1135" spans="2:19" ht="21">
      <c r="B1135" s="438" t="s">
        <v>328</v>
      </c>
      <c r="C1135" s="439"/>
      <c r="D1135" s="439"/>
      <c r="E1135" s="440"/>
      <c r="F1135" s="221">
        <f>+F1128+F1133</f>
        <v>14.178037284801086</v>
      </c>
      <c r="G1135" s="205">
        <f>+F1135</f>
        <v>14.178037284801086</v>
      </c>
      <c r="H1135" s="438" t="s">
        <v>328</v>
      </c>
      <c r="I1135" s="439"/>
      <c r="J1135" s="439"/>
      <c r="K1135" s="440"/>
      <c r="L1135" s="225">
        <f>+L1128+L1133</f>
        <v>8.1720277139863526</v>
      </c>
      <c r="M1135" s="205">
        <f>+L1135</f>
        <v>8.1720277139863526</v>
      </c>
      <c r="N1135" s="438" t="s">
        <v>328</v>
      </c>
      <c r="O1135" s="439"/>
      <c r="P1135" s="439"/>
      <c r="Q1135" s="440"/>
      <c r="R1135" s="225">
        <f>+R1128+R1133</f>
        <v>1.8423025354033444</v>
      </c>
      <c r="S1135" s="205">
        <f>+R1135</f>
        <v>1.8423025354033444</v>
      </c>
    </row>
    <row r="1136" spans="2:19">
      <c r="B1136" s="202"/>
      <c r="G1136" s="205"/>
      <c r="H1136" s="202"/>
      <c r="I1136" s="179"/>
      <c r="K1136" s="88"/>
      <c r="L1136" s="189"/>
      <c r="M1136" s="205"/>
      <c r="N1136" s="202"/>
      <c r="O1136" s="179"/>
      <c r="R1136" s="189"/>
      <c r="S1136" s="205"/>
    </row>
    <row r="1137" spans="2:19" ht="19">
      <c r="B1137" s="441" t="s">
        <v>329</v>
      </c>
      <c r="C1137" s="442"/>
      <c r="D1137" s="442"/>
      <c r="E1137" s="443"/>
      <c r="F1137" s="226">
        <f>+F1135/$C$37</f>
        <v>0.14178037284801084</v>
      </c>
      <c r="G1137" s="205"/>
      <c r="H1137" s="441" t="s">
        <v>329</v>
      </c>
      <c r="I1137" s="442"/>
      <c r="J1137" s="442"/>
      <c r="K1137" s="443"/>
      <c r="L1137" s="230">
        <f>+L1135/$C$37</f>
        <v>8.1720277139863531E-2</v>
      </c>
      <c r="M1137" s="205"/>
      <c r="N1137" s="441" t="s">
        <v>329</v>
      </c>
      <c r="O1137" s="442"/>
      <c r="P1137" s="442"/>
      <c r="Q1137" s="443"/>
      <c r="R1137" s="230">
        <f>+R1135/$C$37</f>
        <v>1.8423025354033444E-2</v>
      </c>
      <c r="S1137" s="205"/>
    </row>
    <row r="1138" spans="2:19" ht="17" thickBot="1">
      <c r="B1138" s="231"/>
      <c r="C1138" s="232"/>
      <c r="D1138" s="233"/>
      <c r="E1138" s="233"/>
      <c r="F1138" s="233"/>
      <c r="G1138" s="205"/>
      <c r="H1138" s="231"/>
      <c r="I1138" s="232"/>
      <c r="J1138" s="233"/>
      <c r="K1138" s="233"/>
      <c r="L1138" s="234"/>
      <c r="M1138" s="205"/>
      <c r="N1138" s="231"/>
      <c r="O1138" s="232"/>
      <c r="P1138" s="233"/>
      <c r="Q1138" s="233"/>
      <c r="R1138" s="234"/>
      <c r="S1138" s="205"/>
    </row>
    <row r="1139" spans="2:19" ht="24" customHeight="1" thickBot="1">
      <c r="B1139" s="415" t="s">
        <v>312</v>
      </c>
      <c r="C1139" s="416"/>
      <c r="D1139" s="416"/>
      <c r="E1139" s="416"/>
      <c r="F1139" s="416"/>
      <c r="G1139" s="416"/>
      <c r="H1139" s="416"/>
      <c r="I1139" s="416"/>
      <c r="J1139" s="416"/>
      <c r="K1139" s="416"/>
      <c r="L1139" s="416"/>
      <c r="M1139" s="416"/>
      <c r="N1139" s="416"/>
      <c r="O1139" s="416"/>
      <c r="P1139" s="416"/>
      <c r="Q1139" s="416"/>
      <c r="R1139" s="417"/>
    </row>
    <row r="1140" spans="2:19" ht="23.25" customHeight="1">
      <c r="B1140" s="239" t="s">
        <v>16</v>
      </c>
      <c r="C1140" s="459" t="s">
        <v>103</v>
      </c>
      <c r="D1140" s="460"/>
      <c r="E1140" s="460"/>
      <c r="F1140" s="466"/>
      <c r="G1140" s="254"/>
      <c r="H1140" s="239" t="s">
        <v>16</v>
      </c>
      <c r="I1140" s="452" t="s">
        <v>69</v>
      </c>
      <c r="J1140" s="453"/>
      <c r="K1140" s="453"/>
      <c r="L1140" s="465"/>
      <c r="M1140" s="254"/>
      <c r="N1140" s="239" t="s">
        <v>16</v>
      </c>
      <c r="O1140" s="452" t="s">
        <v>140</v>
      </c>
      <c r="P1140" s="453"/>
      <c r="Q1140" s="453"/>
      <c r="R1140" s="465"/>
    </row>
    <row r="1141" spans="2:19" ht="33" thickBot="1">
      <c r="B1141" s="241" t="s">
        <v>313</v>
      </c>
      <c r="C1141" s="242" t="s">
        <v>6</v>
      </c>
      <c r="D1141" s="243" t="s">
        <v>25</v>
      </c>
      <c r="E1141" s="244" t="s">
        <v>314</v>
      </c>
      <c r="F1141" s="245" t="s">
        <v>315</v>
      </c>
      <c r="H1141" s="241" t="s">
        <v>313</v>
      </c>
      <c r="I1141" s="242" t="s">
        <v>6</v>
      </c>
      <c r="J1141" s="243" t="s">
        <v>25</v>
      </c>
      <c r="K1141" s="244" t="s">
        <v>314</v>
      </c>
      <c r="L1141" s="245" t="s">
        <v>315</v>
      </c>
      <c r="N1141" s="241" t="s">
        <v>313</v>
      </c>
      <c r="O1141" s="242" t="s">
        <v>6</v>
      </c>
      <c r="P1141" s="243" t="s">
        <v>25</v>
      </c>
      <c r="Q1141" s="244" t="s">
        <v>314</v>
      </c>
      <c r="R1141" s="245" t="s">
        <v>315</v>
      </c>
    </row>
    <row r="1142" spans="2:19">
      <c r="B1142" s="170" t="s">
        <v>183</v>
      </c>
      <c r="C1142" s="171">
        <f>VLOOKUP(B1142,'RESUMEN RENDIMIENTOS'!$V$6:$W$158,2,FALSE)</f>
        <v>3600</v>
      </c>
      <c r="D1142" s="177" t="s">
        <v>20</v>
      </c>
      <c r="E1142" s="172">
        <v>247</v>
      </c>
      <c r="F1142" s="175">
        <f t="shared" ref="F1142:F1157" si="102">IF(C1142=0,0,(100/C1142)*E1142/$E$37)</f>
        <v>2.7777777777777776E-2</v>
      </c>
      <c r="G1142" s="164">
        <f>+F1142/F1158</f>
        <v>0.20219516827222175</v>
      </c>
      <c r="H1142" s="170" t="s">
        <v>182</v>
      </c>
      <c r="I1142" s="171">
        <f>VLOOKUP(H1142,'RESUMEN RENDIMIENTOS'!$V$6:$W$158,2,FALSE)</f>
        <v>1400</v>
      </c>
      <c r="J1142" s="177" t="s">
        <v>20</v>
      </c>
      <c r="K1142" s="172">
        <v>247</v>
      </c>
      <c r="L1142" s="175">
        <f t="shared" ref="L1142:L1157" si="103">IF(I1142=0,0,(100/I1142)*K1142/$E$37)</f>
        <v>7.1428571428571425E-2</v>
      </c>
      <c r="M1142" s="164">
        <f>+L1142/L1158</f>
        <v>0.11908357423307589</v>
      </c>
      <c r="N1142" s="170" t="s">
        <v>181</v>
      </c>
      <c r="O1142" s="171">
        <f>VLOOKUP(N1142,'RESUMEN RENDIMIENTOS'!$V$6:$W$158,2,FALSE)</f>
        <v>900</v>
      </c>
      <c r="P1142" s="177" t="s">
        <v>20</v>
      </c>
      <c r="Q1142" s="172">
        <v>247</v>
      </c>
      <c r="R1142" s="175">
        <f t="shared" ref="R1142:R1157" si="104">IF(O1142=0,0,(100/O1142)*Q1142/$E$37)</f>
        <v>0.1111111111111111</v>
      </c>
      <c r="S1142" s="164">
        <f>+R1142/R1158</f>
        <v>0.23713637118807634</v>
      </c>
    </row>
    <row r="1143" spans="2:19">
      <c r="B1143" s="170" t="s">
        <v>260</v>
      </c>
      <c r="C1143" s="171">
        <f>VLOOKUP(B1143,'RESUMEN RENDIMIENTOS'!$V$6:$W$158,2,FALSE)</f>
        <v>3000</v>
      </c>
      <c r="D1143" s="177" t="s">
        <v>20</v>
      </c>
      <c r="E1143" s="172">
        <v>247</v>
      </c>
      <c r="F1143" s="173">
        <f t="shared" si="102"/>
        <v>3.3333333333333333E-2</v>
      </c>
      <c r="G1143" s="174">
        <f>+F1143/F1158</f>
        <v>0.24263420192666613</v>
      </c>
      <c r="H1143" s="170" t="s">
        <v>201</v>
      </c>
      <c r="I1143" s="171">
        <f>VLOOKUP(H1143,'RESUMEN RENDIMIENTOS'!$V$6:$W$158,2,FALSE)</f>
        <v>500</v>
      </c>
      <c r="J1143" s="177" t="s">
        <v>20</v>
      </c>
      <c r="K1143" s="172">
        <v>247</v>
      </c>
      <c r="L1143" s="175">
        <f t="shared" si="103"/>
        <v>0.2</v>
      </c>
      <c r="M1143" s="174">
        <f>+L1143/L1158</f>
        <v>0.33343400785261251</v>
      </c>
      <c r="N1143" s="170" t="s">
        <v>201</v>
      </c>
      <c r="O1143" s="171">
        <f>VLOOKUP(N1143,'RESUMEN RENDIMIENTOS'!$V$6:$W$158,2,FALSE)</f>
        <v>500</v>
      </c>
      <c r="P1143" s="177" t="s">
        <v>52</v>
      </c>
      <c r="Q1143" s="172">
        <v>156.42000000000002</v>
      </c>
      <c r="R1143" s="175">
        <f t="shared" si="104"/>
        <v>0.12665587044534415</v>
      </c>
      <c r="S1143" s="174">
        <f>+R1143/R1158</f>
        <v>0.2703124215636844</v>
      </c>
    </row>
    <row r="1144" spans="2:19">
      <c r="B1144" s="170" t="s">
        <v>240</v>
      </c>
      <c r="C1144" s="171">
        <f>VLOOKUP(B1144,'RESUMEN RENDIMIENTOS'!$V$6:$W$158,2,FALSE)</f>
        <v>1000</v>
      </c>
      <c r="D1144" s="177" t="s">
        <v>52</v>
      </c>
      <c r="E1144" s="172">
        <v>156.42000000000002</v>
      </c>
      <c r="F1144" s="173">
        <f t="shared" si="102"/>
        <v>6.3327935222672077E-2</v>
      </c>
      <c r="G1144" s="174">
        <f>+F1144/F1158</f>
        <v>0.46096569067249948</v>
      </c>
      <c r="H1144" s="170" t="s">
        <v>240</v>
      </c>
      <c r="I1144" s="171">
        <f>VLOOKUP(H1144,'RESUMEN RENDIMIENTOS'!$V$6:$W$158,2,FALSE)</f>
        <v>1000</v>
      </c>
      <c r="J1144" s="177" t="s">
        <v>20</v>
      </c>
      <c r="K1144" s="172">
        <v>247</v>
      </c>
      <c r="L1144" s="175">
        <f t="shared" si="103"/>
        <v>0.1</v>
      </c>
      <c r="M1144" s="174">
        <f>+L1144/L1158</f>
        <v>0.16671700392630626</v>
      </c>
      <c r="N1144" s="170" t="s">
        <v>240</v>
      </c>
      <c r="O1144" s="171">
        <f>VLOOKUP(N1144,'RESUMEN RENDIMIENTOS'!$V$6:$W$158,2,FALSE)</f>
        <v>1000</v>
      </c>
      <c r="P1144" s="177" t="s">
        <v>52</v>
      </c>
      <c r="Q1144" s="172">
        <v>156.42000000000002</v>
      </c>
      <c r="R1144" s="175">
        <f t="shared" si="104"/>
        <v>6.3327935222672077E-2</v>
      </c>
      <c r="S1144" s="174">
        <f>+R1144/R1158</f>
        <v>0.1351562107818422</v>
      </c>
    </row>
    <row r="1145" spans="2:19">
      <c r="B1145" s="170" t="s">
        <v>204</v>
      </c>
      <c r="C1145" s="171">
        <f>VLOOKUP(B1145,'RESUMEN RENDIMIENTOS'!$V$6:$W$158,2,FALSE)</f>
        <v>1800</v>
      </c>
      <c r="D1145" s="177" t="s">
        <v>56</v>
      </c>
      <c r="E1145" s="172">
        <v>52.14</v>
      </c>
      <c r="F1145" s="173">
        <f t="shared" si="102"/>
        <v>1.1727395411605937E-2</v>
      </c>
      <c r="G1145" s="174">
        <f>+F1145/F1158</f>
        <v>8.5364016791203576E-2</v>
      </c>
      <c r="H1145" s="170" t="s">
        <v>234</v>
      </c>
      <c r="I1145" s="171">
        <f>VLOOKUP(H1145,'RESUMEN RENDIMIENTOS'!$V$6:$W$158,2,FALSE)</f>
        <v>805</v>
      </c>
      <c r="J1145" s="177" t="s">
        <v>20</v>
      </c>
      <c r="K1145" s="172">
        <v>247</v>
      </c>
      <c r="L1145" s="175">
        <f t="shared" si="103"/>
        <v>0.12422360248447205</v>
      </c>
      <c r="M1145" s="174">
        <f>+L1145/L1158</f>
        <v>0.20710186823143634</v>
      </c>
      <c r="N1145" s="170" t="s">
        <v>234</v>
      </c>
      <c r="O1145" s="171">
        <f>VLOOKUP(N1145,'RESUMEN RENDIMIENTOS'!$V$6:$W$158,2,FALSE)</f>
        <v>805</v>
      </c>
      <c r="P1145" s="177" t="s">
        <v>52</v>
      </c>
      <c r="Q1145" s="172">
        <v>156.42000000000002</v>
      </c>
      <c r="R1145" s="175">
        <f t="shared" si="104"/>
        <v>7.8668242512636113E-2</v>
      </c>
      <c r="S1145" s="174">
        <f>+R1145/R1158</f>
        <v>0.1678959140147108</v>
      </c>
    </row>
    <row r="1146" spans="2:19">
      <c r="B1146" s="170" t="s">
        <v>195</v>
      </c>
      <c r="C1146" s="171">
        <f>VLOOKUP(B1146,'RESUMEN RENDIMIENTOS'!$V$6:$W$158,2,FALSE)</f>
        <v>750</v>
      </c>
      <c r="D1146" s="177" t="s">
        <v>65</v>
      </c>
      <c r="E1146" s="172">
        <v>1</v>
      </c>
      <c r="F1146" s="173">
        <f t="shared" si="102"/>
        <v>5.3981106612685558E-4</v>
      </c>
      <c r="G1146" s="174">
        <f>+F1146/F1158</f>
        <v>3.9292988166261724E-3</v>
      </c>
      <c r="H1146" s="170" t="s">
        <v>190</v>
      </c>
      <c r="I1146" s="171">
        <f>VLOOKUP(H1146,'RESUMEN RENDIMIENTOS'!$V$6:$W$158,2,FALSE)</f>
        <v>960</v>
      </c>
      <c r="J1146" s="177" t="s">
        <v>20</v>
      </c>
      <c r="K1146" s="172">
        <v>247</v>
      </c>
      <c r="L1146" s="175">
        <f t="shared" si="103"/>
        <v>0.10416666666666667</v>
      </c>
      <c r="M1146" s="174">
        <f>+L1146/L1158</f>
        <v>0.17366354575656903</v>
      </c>
      <c r="N1146" s="170" t="s">
        <v>190</v>
      </c>
      <c r="O1146" s="171">
        <f>VLOOKUP(N1146,'RESUMEN RENDIMIENTOS'!$V$6:$W$158,2,FALSE)</f>
        <v>960</v>
      </c>
      <c r="P1146" s="177" t="s">
        <v>56</v>
      </c>
      <c r="Q1146" s="172">
        <v>52.14</v>
      </c>
      <c r="R1146" s="175">
        <f t="shared" si="104"/>
        <v>2.1988866396761134E-2</v>
      </c>
      <c r="S1146" s="174">
        <f>+R1146/R1158</f>
        <v>4.6929239854806307E-2</v>
      </c>
    </row>
    <row r="1147" spans="2:19">
      <c r="B1147" s="170" t="s">
        <v>197</v>
      </c>
      <c r="C1147" s="171">
        <f>VLOOKUP(B1147,'RESUMEN RENDIMIENTOS'!$V$6:$W$158,2,FALSE)</f>
        <v>600</v>
      </c>
      <c r="D1147" s="177" t="s">
        <v>65</v>
      </c>
      <c r="E1147" s="172">
        <v>1</v>
      </c>
      <c r="F1147" s="173">
        <f t="shared" si="102"/>
        <v>6.7476383265856947E-4</v>
      </c>
      <c r="G1147" s="174">
        <f>+F1147/F1158</f>
        <v>4.9116235207827151E-3</v>
      </c>
      <c r="H1147" s="170">
        <v>0</v>
      </c>
      <c r="I1147" s="171">
        <f>VLOOKUP(H1147,'RESUMEN RENDIMIENTOS'!$V$6:$W$158,2,FALSE)</f>
        <v>0</v>
      </c>
      <c r="J1147" s="177"/>
      <c r="K1147" s="172" t="s">
        <v>337</v>
      </c>
      <c r="L1147" s="175">
        <f t="shared" si="103"/>
        <v>0</v>
      </c>
      <c r="M1147" s="174">
        <f>+L1147/L1158</f>
        <v>0</v>
      </c>
      <c r="N1147" s="170" t="s">
        <v>210</v>
      </c>
      <c r="O1147" s="171">
        <f>VLOOKUP(N1147,'RESUMEN RENDIMIENTOS'!$V$6:$W$158,2,FALSE)</f>
        <v>80</v>
      </c>
      <c r="P1147" s="177" t="s">
        <v>58</v>
      </c>
      <c r="Q1147" s="172">
        <v>12</v>
      </c>
      <c r="R1147" s="175">
        <f t="shared" si="104"/>
        <v>6.0728744939271252E-2</v>
      </c>
      <c r="S1147" s="174">
        <f>+R1147/R1158</f>
        <v>0.12960894781534538</v>
      </c>
    </row>
    <row r="1148" spans="2:19">
      <c r="B1148" s="170">
        <v>0</v>
      </c>
      <c r="C1148" s="171">
        <f>VLOOKUP(B1148,'RESUMEN RENDIMIENTOS'!$V$6:$W$158,2,FALSE)</f>
        <v>0</v>
      </c>
      <c r="D1148" s="177"/>
      <c r="E1148" s="172" t="s">
        <v>337</v>
      </c>
      <c r="F1148" s="175">
        <f t="shared" si="102"/>
        <v>0</v>
      </c>
      <c r="G1148" s="174">
        <f>+F1148/F1158</f>
        <v>0</v>
      </c>
      <c r="H1148" s="170">
        <v>0</v>
      </c>
      <c r="I1148" s="171">
        <f>VLOOKUP(H1148,'RESUMEN RENDIMIENTOS'!$V$6:$W$158,2,FALSE)</f>
        <v>0</v>
      </c>
      <c r="J1148" s="177"/>
      <c r="K1148" s="172" t="s">
        <v>337</v>
      </c>
      <c r="L1148" s="175">
        <f t="shared" si="103"/>
        <v>0</v>
      </c>
      <c r="M1148" s="174">
        <f>+L1148/L1158</f>
        <v>0</v>
      </c>
      <c r="N1148" s="170" t="s">
        <v>191</v>
      </c>
      <c r="O1148" s="171">
        <f>VLOOKUP(N1148,'RESUMEN RENDIMIENTOS'!$V$6:$W$158,2,FALSE)</f>
        <v>800</v>
      </c>
      <c r="P1148" s="177" t="s">
        <v>58</v>
      </c>
      <c r="Q1148" s="172">
        <v>12</v>
      </c>
      <c r="R1148" s="175">
        <f t="shared" si="104"/>
        <v>6.0728744939271256E-3</v>
      </c>
      <c r="S1148" s="174">
        <f>+R1148/R1158</f>
        <v>1.2960894781534539E-2</v>
      </c>
    </row>
    <row r="1149" spans="2:19">
      <c r="B1149" s="170">
        <v>0</v>
      </c>
      <c r="C1149" s="171">
        <f>VLOOKUP(B1149,'RESUMEN RENDIMIENTOS'!$V$6:$W$158,2,FALSE)</f>
        <v>0</v>
      </c>
      <c r="D1149" s="177"/>
      <c r="E1149" s="172" t="s">
        <v>337</v>
      </c>
      <c r="F1149" s="175">
        <f t="shared" si="102"/>
        <v>0</v>
      </c>
      <c r="G1149" s="174">
        <f>+F1149/F1158</f>
        <v>0</v>
      </c>
      <c r="H1149" s="170">
        <v>0</v>
      </c>
      <c r="I1149" s="171">
        <f>VLOOKUP(H1149,'RESUMEN RENDIMIENTOS'!$V$6:$W$158,2,FALSE)</f>
        <v>0</v>
      </c>
      <c r="J1149" s="177"/>
      <c r="K1149" s="172" t="s">
        <v>337</v>
      </c>
      <c r="L1149" s="175">
        <f t="shared" si="103"/>
        <v>0</v>
      </c>
      <c r="M1149" s="174">
        <f>+L1149/L1158</f>
        <v>0</v>
      </c>
      <c r="N1149" s="170">
        <v>0</v>
      </c>
      <c r="O1149" s="171">
        <f>VLOOKUP(N1149,'RESUMEN RENDIMIENTOS'!$V$6:$W$158,2,FALSE)</f>
        <v>0</v>
      </c>
      <c r="P1149" s="177"/>
      <c r="Q1149" s="172" t="s">
        <v>337</v>
      </c>
      <c r="R1149" s="175">
        <f t="shared" si="104"/>
        <v>0</v>
      </c>
      <c r="S1149" s="174">
        <f>+R1149/R1158</f>
        <v>0</v>
      </c>
    </row>
    <row r="1150" spans="2:19">
      <c r="B1150" s="170">
        <v>0</v>
      </c>
      <c r="C1150" s="171">
        <f>VLOOKUP(B1150,'RESUMEN RENDIMIENTOS'!$V$6:$W$158,2,FALSE)</f>
        <v>0</v>
      </c>
      <c r="D1150" s="177"/>
      <c r="E1150" s="172" t="s">
        <v>337</v>
      </c>
      <c r="F1150" s="175">
        <f t="shared" si="102"/>
        <v>0</v>
      </c>
      <c r="G1150" s="174">
        <f>+F1150/F1158</f>
        <v>0</v>
      </c>
      <c r="H1150" s="170">
        <v>0</v>
      </c>
      <c r="I1150" s="171">
        <f>VLOOKUP(H1150,'RESUMEN RENDIMIENTOS'!$V$6:$W$158,2,FALSE)</f>
        <v>0</v>
      </c>
      <c r="J1150" s="177"/>
      <c r="K1150" s="172" t="s">
        <v>337</v>
      </c>
      <c r="L1150" s="175">
        <f t="shared" si="103"/>
        <v>0</v>
      </c>
      <c r="M1150" s="174">
        <f>+L1150/L1158</f>
        <v>0</v>
      </c>
      <c r="N1150" s="170">
        <v>0</v>
      </c>
      <c r="O1150" s="171">
        <f>VLOOKUP(N1150,'RESUMEN RENDIMIENTOS'!$V$6:$W$158,2,FALSE)</f>
        <v>0</v>
      </c>
      <c r="P1150" s="177"/>
      <c r="Q1150" s="172" t="s">
        <v>337</v>
      </c>
      <c r="R1150" s="175">
        <f t="shared" si="104"/>
        <v>0</v>
      </c>
      <c r="S1150" s="174">
        <f>+R1150/R1158</f>
        <v>0</v>
      </c>
    </row>
    <row r="1151" spans="2:19">
      <c r="B1151" s="170">
        <v>0</v>
      </c>
      <c r="C1151" s="171">
        <f>VLOOKUP(B1151,'RESUMEN RENDIMIENTOS'!$V$6:$W$158,2,FALSE)</f>
        <v>0</v>
      </c>
      <c r="D1151" s="177"/>
      <c r="E1151" s="172" t="s">
        <v>337</v>
      </c>
      <c r="F1151" s="175">
        <f t="shared" si="102"/>
        <v>0</v>
      </c>
      <c r="G1151" s="174">
        <f>+F1151/F1158</f>
        <v>0</v>
      </c>
      <c r="H1151" s="170">
        <v>0</v>
      </c>
      <c r="I1151" s="171">
        <f>VLOOKUP(H1151,'RESUMEN RENDIMIENTOS'!$V$6:$W$158,2,FALSE)</f>
        <v>0</v>
      </c>
      <c r="J1151" s="177"/>
      <c r="K1151" s="172" t="s">
        <v>337</v>
      </c>
      <c r="L1151" s="175">
        <f t="shared" si="103"/>
        <v>0</v>
      </c>
      <c r="M1151" s="174">
        <f>+L1151/L1158</f>
        <v>0</v>
      </c>
      <c r="N1151" s="170">
        <v>0</v>
      </c>
      <c r="O1151" s="171">
        <f>VLOOKUP(N1151,'RESUMEN RENDIMIENTOS'!$V$6:$W$158,2,FALSE)</f>
        <v>0</v>
      </c>
      <c r="P1151" s="177"/>
      <c r="Q1151" s="172" t="s">
        <v>337</v>
      </c>
      <c r="R1151" s="175">
        <f t="shared" si="104"/>
        <v>0</v>
      </c>
      <c r="S1151" s="174">
        <f>+R1151/R1158</f>
        <v>0</v>
      </c>
    </row>
    <row r="1152" spans="2:19">
      <c r="B1152" s="170">
        <v>0</v>
      </c>
      <c r="C1152" s="171">
        <f>VLOOKUP(B1152,'RESUMEN RENDIMIENTOS'!$V$6:$W$158,2,FALSE)</f>
        <v>0</v>
      </c>
      <c r="D1152" s="177"/>
      <c r="E1152" s="172" t="s">
        <v>337</v>
      </c>
      <c r="F1152" s="175">
        <f t="shared" si="102"/>
        <v>0</v>
      </c>
      <c r="G1152" s="174">
        <f>+F1152/F1158</f>
        <v>0</v>
      </c>
      <c r="H1152" s="170">
        <v>0</v>
      </c>
      <c r="I1152" s="171">
        <f>VLOOKUP(H1152,'RESUMEN RENDIMIENTOS'!$V$6:$W$158,2,FALSE)</f>
        <v>0</v>
      </c>
      <c r="J1152" s="177"/>
      <c r="K1152" s="172" t="s">
        <v>337</v>
      </c>
      <c r="L1152" s="175">
        <f t="shared" si="103"/>
        <v>0</v>
      </c>
      <c r="M1152" s="174">
        <f>+L1152/L1158</f>
        <v>0</v>
      </c>
      <c r="N1152" s="170">
        <v>0</v>
      </c>
      <c r="O1152" s="171">
        <f>VLOOKUP(N1152,'RESUMEN RENDIMIENTOS'!$V$6:$W$158,2,FALSE)</f>
        <v>0</v>
      </c>
      <c r="P1152" s="177"/>
      <c r="Q1152" s="172" t="s">
        <v>337</v>
      </c>
      <c r="R1152" s="175">
        <f t="shared" si="104"/>
        <v>0</v>
      </c>
      <c r="S1152" s="174">
        <f>+R1152/R1158</f>
        <v>0</v>
      </c>
    </row>
    <row r="1153" spans="2:19">
      <c r="B1153" s="170">
        <v>0</v>
      </c>
      <c r="C1153" s="171">
        <f>VLOOKUP(B1153,'RESUMEN RENDIMIENTOS'!$V$6:$W$158,2,FALSE)</f>
        <v>0</v>
      </c>
      <c r="D1153" s="177"/>
      <c r="E1153" s="172" t="s">
        <v>337</v>
      </c>
      <c r="F1153" s="175">
        <f t="shared" si="102"/>
        <v>0</v>
      </c>
      <c r="G1153" s="174">
        <f>+F1153/F1158</f>
        <v>0</v>
      </c>
      <c r="H1153" s="170">
        <v>0</v>
      </c>
      <c r="I1153" s="171">
        <f>VLOOKUP(H1153,'RESUMEN RENDIMIENTOS'!$V$6:$W$158,2,FALSE)</f>
        <v>0</v>
      </c>
      <c r="J1153" s="177"/>
      <c r="K1153" s="172" t="s">
        <v>337</v>
      </c>
      <c r="L1153" s="175">
        <f t="shared" si="103"/>
        <v>0</v>
      </c>
      <c r="M1153" s="174">
        <f>+L1153/L1158</f>
        <v>0</v>
      </c>
      <c r="N1153" s="170">
        <v>0</v>
      </c>
      <c r="O1153" s="171">
        <f>VLOOKUP(N1153,'RESUMEN RENDIMIENTOS'!$V$6:$W$158,2,FALSE)</f>
        <v>0</v>
      </c>
      <c r="P1153" s="177"/>
      <c r="Q1153" s="172" t="s">
        <v>337</v>
      </c>
      <c r="R1153" s="175">
        <f t="shared" si="104"/>
        <v>0</v>
      </c>
      <c r="S1153" s="174">
        <f>+R1153/R1158</f>
        <v>0</v>
      </c>
    </row>
    <row r="1154" spans="2:19">
      <c r="B1154" s="170">
        <v>0</v>
      </c>
      <c r="C1154" s="171">
        <f>VLOOKUP(B1154,'RESUMEN RENDIMIENTOS'!$V$6:$W$158,2,FALSE)</f>
        <v>0</v>
      </c>
      <c r="D1154" s="177"/>
      <c r="E1154" s="172" t="s">
        <v>337</v>
      </c>
      <c r="F1154" s="175">
        <f t="shared" si="102"/>
        <v>0</v>
      </c>
      <c r="G1154" s="174">
        <f>+F1154/F1158</f>
        <v>0</v>
      </c>
      <c r="H1154" s="170">
        <v>0</v>
      </c>
      <c r="I1154" s="171">
        <f>VLOOKUP(H1154,'RESUMEN RENDIMIENTOS'!$V$6:$W$158,2,FALSE)</f>
        <v>0</v>
      </c>
      <c r="J1154" s="177"/>
      <c r="K1154" s="172" t="s">
        <v>337</v>
      </c>
      <c r="L1154" s="175">
        <f t="shared" si="103"/>
        <v>0</v>
      </c>
      <c r="M1154" s="174">
        <f>+L1154/L1158</f>
        <v>0</v>
      </c>
      <c r="N1154" s="170">
        <v>0</v>
      </c>
      <c r="O1154" s="171">
        <f>VLOOKUP(N1154,'RESUMEN RENDIMIENTOS'!$V$6:$W$158,2,FALSE)</f>
        <v>0</v>
      </c>
      <c r="P1154" s="177"/>
      <c r="Q1154" s="172" t="s">
        <v>337</v>
      </c>
      <c r="R1154" s="175">
        <f t="shared" si="104"/>
        <v>0</v>
      </c>
      <c r="S1154" s="174">
        <f>+R1154/R1158</f>
        <v>0</v>
      </c>
    </row>
    <row r="1155" spans="2:19">
      <c r="B1155" s="170">
        <v>0</v>
      </c>
      <c r="C1155" s="171">
        <f>VLOOKUP(B1155,'RESUMEN RENDIMIENTOS'!$V$6:$W$158,2,FALSE)</f>
        <v>0</v>
      </c>
      <c r="D1155" s="177"/>
      <c r="E1155" s="172" t="s">
        <v>337</v>
      </c>
      <c r="F1155" s="175">
        <f t="shared" si="102"/>
        <v>0</v>
      </c>
      <c r="G1155" s="174">
        <f>+F1155/F1158</f>
        <v>0</v>
      </c>
      <c r="H1155" s="170">
        <v>0</v>
      </c>
      <c r="I1155" s="171">
        <f>VLOOKUP(H1155,'RESUMEN RENDIMIENTOS'!$V$6:$W$158,2,FALSE)</f>
        <v>0</v>
      </c>
      <c r="J1155" s="177"/>
      <c r="K1155" s="172" t="s">
        <v>337</v>
      </c>
      <c r="L1155" s="175">
        <f t="shared" si="103"/>
        <v>0</v>
      </c>
      <c r="M1155" s="174">
        <f>+L1155/L1158</f>
        <v>0</v>
      </c>
      <c r="N1155" s="170">
        <v>0</v>
      </c>
      <c r="O1155" s="171">
        <f>VLOOKUP(N1155,'RESUMEN RENDIMIENTOS'!$V$6:$W$158,2,FALSE)</f>
        <v>0</v>
      </c>
      <c r="P1155" s="177"/>
      <c r="Q1155" s="172" t="s">
        <v>337</v>
      </c>
      <c r="R1155" s="175">
        <f t="shared" si="104"/>
        <v>0</v>
      </c>
      <c r="S1155" s="174">
        <f>+R1155/R1158</f>
        <v>0</v>
      </c>
    </row>
    <row r="1156" spans="2:19">
      <c r="B1156" s="170">
        <v>0</v>
      </c>
      <c r="C1156" s="171">
        <f>VLOOKUP(B1156,'RESUMEN RENDIMIENTOS'!$V$6:$W$158,2,FALSE)</f>
        <v>0</v>
      </c>
      <c r="D1156" s="177"/>
      <c r="E1156" s="172" t="s">
        <v>337</v>
      </c>
      <c r="F1156" s="175">
        <f t="shared" si="102"/>
        <v>0</v>
      </c>
      <c r="G1156" s="174">
        <f>+F1156/F1158</f>
        <v>0</v>
      </c>
      <c r="H1156" s="170">
        <v>0</v>
      </c>
      <c r="I1156" s="171">
        <f>VLOOKUP(H1156,'RESUMEN RENDIMIENTOS'!$V$6:$W$158,2,FALSE)</f>
        <v>0</v>
      </c>
      <c r="J1156" s="177"/>
      <c r="K1156" s="172" t="s">
        <v>337</v>
      </c>
      <c r="L1156" s="175">
        <f t="shared" si="103"/>
        <v>0</v>
      </c>
      <c r="M1156" s="174">
        <f>+L1156/L1158</f>
        <v>0</v>
      </c>
      <c r="N1156" s="170">
        <v>0</v>
      </c>
      <c r="O1156" s="171">
        <f>VLOOKUP(N1156,'RESUMEN RENDIMIENTOS'!$V$6:$W$158,2,FALSE)</f>
        <v>0</v>
      </c>
      <c r="P1156" s="177"/>
      <c r="Q1156" s="172" t="s">
        <v>337</v>
      </c>
      <c r="R1156" s="175">
        <f t="shared" si="104"/>
        <v>0</v>
      </c>
      <c r="S1156" s="174">
        <f>+R1156/R1158</f>
        <v>0</v>
      </c>
    </row>
    <row r="1157" spans="2:19">
      <c r="B1157" s="170">
        <v>0</v>
      </c>
      <c r="C1157" s="171">
        <f>VLOOKUP(B1157,'RESUMEN RENDIMIENTOS'!$V$6:$W$158,2,FALSE)</f>
        <v>0</v>
      </c>
      <c r="D1157" s="177"/>
      <c r="E1157" s="172" t="s">
        <v>337</v>
      </c>
      <c r="F1157" s="175">
        <f t="shared" si="102"/>
        <v>0</v>
      </c>
      <c r="G1157" s="174">
        <f>+F1157/F1158</f>
        <v>0</v>
      </c>
      <c r="H1157" s="170">
        <v>0</v>
      </c>
      <c r="I1157" s="171">
        <f>VLOOKUP(H1157,'RESUMEN RENDIMIENTOS'!$V$6:$W$158,2,FALSE)</f>
        <v>0</v>
      </c>
      <c r="J1157" s="177"/>
      <c r="K1157" s="172" t="s">
        <v>337</v>
      </c>
      <c r="L1157" s="175">
        <f t="shared" si="103"/>
        <v>0</v>
      </c>
      <c r="M1157" s="174">
        <f>+L1157/L1158</f>
        <v>0</v>
      </c>
      <c r="N1157" s="170">
        <v>0</v>
      </c>
      <c r="O1157" s="171">
        <f>VLOOKUP(N1157,'RESUMEN RENDIMIENTOS'!$V$6:$W$158,2,FALSE)</f>
        <v>0</v>
      </c>
      <c r="P1157" s="177"/>
      <c r="Q1157" s="172" t="s">
        <v>337</v>
      </c>
      <c r="R1157" s="175">
        <f t="shared" si="104"/>
        <v>0</v>
      </c>
      <c r="S1157" s="174">
        <f>+R1157/R1158</f>
        <v>0</v>
      </c>
    </row>
    <row r="1158" spans="2:19" ht="26.25" customHeight="1" thickBot="1">
      <c r="B1158" s="178"/>
      <c r="E1158" s="90"/>
      <c r="F1158" s="173">
        <f>SUM(F1142:F1157)</f>
        <v>0.13738101664417457</v>
      </c>
      <c r="G1158" s="181">
        <f>+F1158/F1158</f>
        <v>1</v>
      </c>
      <c r="H1158" s="178"/>
      <c r="I1158" s="179"/>
      <c r="J1158" s="182" t="s">
        <v>24</v>
      </c>
      <c r="K1158" s="90"/>
      <c r="L1158" s="173">
        <f>SUM(L1142:L1157)</f>
        <v>0.59981884057971013</v>
      </c>
      <c r="M1158" s="181">
        <f>+L1158/L1158</f>
        <v>1</v>
      </c>
      <c r="N1158" s="178"/>
      <c r="O1158" s="179"/>
      <c r="Q1158" s="90"/>
      <c r="R1158" s="175">
        <f>SUM(R1142:R1157)</f>
        <v>0.46855364512172298</v>
      </c>
      <c r="S1158" s="181">
        <f>+R1158/R1158</f>
        <v>1</v>
      </c>
    </row>
    <row r="1159" spans="2:19" ht="18" customHeight="1">
      <c r="B1159" s="427" t="s">
        <v>317</v>
      </c>
      <c r="C1159" s="428"/>
      <c r="D1159" s="429"/>
      <c r="E1159" s="185">
        <v>0.12</v>
      </c>
      <c r="F1159" s="173">
        <f>+F1158*E1159</f>
        <v>1.6485721997300948E-2</v>
      </c>
      <c r="H1159" s="427" t="s">
        <v>317</v>
      </c>
      <c r="I1159" s="428"/>
      <c r="J1159" s="429"/>
      <c r="K1159" s="185">
        <v>0.12</v>
      </c>
      <c r="L1159" s="173">
        <f>+L1158*K1159</f>
        <v>7.1978260869565214E-2</v>
      </c>
      <c r="N1159" s="427" t="s">
        <v>317</v>
      </c>
      <c r="O1159" s="428"/>
      <c r="P1159" s="429"/>
      <c r="Q1159" s="185">
        <v>0.12</v>
      </c>
      <c r="R1159" s="175">
        <f>+R1158*Q1159</f>
        <v>5.6226437414606756E-2</v>
      </c>
    </row>
    <row r="1160" spans="2:19" ht="18" customHeight="1">
      <c r="B1160" s="178"/>
      <c r="F1160" s="173">
        <f>+F1159+F1158</f>
        <v>0.15386673864147551</v>
      </c>
      <c r="G1160" s="187">
        <f>+F1160/24</f>
        <v>6.4111141100614798E-3</v>
      </c>
      <c r="H1160" s="178"/>
      <c r="I1160" s="179"/>
      <c r="K1160" s="88"/>
      <c r="L1160" s="173">
        <f>+L1159+L1158</f>
        <v>0.6717971014492754</v>
      </c>
      <c r="M1160" s="187">
        <f>+L1160/24</f>
        <v>2.799154589371981E-2</v>
      </c>
      <c r="N1160" s="178"/>
      <c r="O1160" s="179"/>
      <c r="R1160" s="175">
        <f>+R1159+R1158</f>
        <v>0.52478008253632979</v>
      </c>
      <c r="S1160" s="187">
        <f>+R1160/24</f>
        <v>2.1865836772347075E-2</v>
      </c>
    </row>
    <row r="1161" spans="2:19">
      <c r="B1161" s="178"/>
      <c r="D1161" s="188"/>
      <c r="F1161" s="189"/>
      <c r="H1161" s="178"/>
      <c r="I1161" s="179"/>
      <c r="J1161" s="188"/>
      <c r="K1161" s="88"/>
      <c r="L1161" s="189"/>
      <c r="N1161" s="178"/>
      <c r="O1161" s="179"/>
      <c r="P1161" s="188"/>
      <c r="R1161" s="189"/>
    </row>
    <row r="1162" spans="2:19" ht="21">
      <c r="B1162" s="191" t="s">
        <v>318</v>
      </c>
      <c r="C1162" s="192"/>
      <c r="D1162" s="192"/>
      <c r="E1162" s="444">
        <f>IF(F1160=0,0,(100/F1160))</f>
        <v>649.91304087499861</v>
      </c>
      <c r="F1162" s="445"/>
      <c r="H1162" s="191" t="s">
        <v>318</v>
      </c>
      <c r="I1162" s="192"/>
      <c r="J1162" s="192"/>
      <c r="K1162" s="444">
        <f>IF(L1160=0,0,(100/L1160))</f>
        <v>148.85446779134486</v>
      </c>
      <c r="L1162" s="445"/>
      <c r="N1162" s="191" t="s">
        <v>318</v>
      </c>
      <c r="O1162" s="192"/>
      <c r="P1162" s="192"/>
      <c r="Q1162" s="444">
        <f>IF(R1160=0,0,(100/R1160))</f>
        <v>190.55601256184707</v>
      </c>
      <c r="R1162" s="445"/>
    </row>
    <row r="1163" spans="2:19">
      <c r="B1163" s="178"/>
      <c r="H1163" s="178"/>
      <c r="I1163" s="179"/>
      <c r="K1163" s="88"/>
      <c r="L1163" s="189"/>
      <c r="N1163" s="178"/>
      <c r="O1163" s="179"/>
      <c r="R1163" s="189"/>
    </row>
    <row r="1164" spans="2:19" ht="21">
      <c r="B1164" s="446" t="s">
        <v>319</v>
      </c>
      <c r="C1164" s="447"/>
      <c r="D1164" s="447"/>
      <c r="E1164" s="447"/>
      <c r="F1164" s="448"/>
      <c r="H1164" s="446" t="s">
        <v>319</v>
      </c>
      <c r="I1164" s="447"/>
      <c r="J1164" s="447"/>
      <c r="K1164" s="447"/>
      <c r="L1164" s="448"/>
      <c r="N1164" s="446" t="s">
        <v>319</v>
      </c>
      <c r="O1164" s="447"/>
      <c r="P1164" s="447"/>
      <c r="Q1164" s="447"/>
      <c r="R1164" s="448"/>
    </row>
    <row r="1165" spans="2:19" ht="18" customHeight="1">
      <c r="B1165" s="194" t="s">
        <v>320</v>
      </c>
      <c r="C1165" s="195"/>
      <c r="D1165" s="435" t="s">
        <v>321</v>
      </c>
      <c r="E1165" s="435"/>
      <c r="F1165" s="196" t="s">
        <v>322</v>
      </c>
      <c r="H1165" s="194" t="s">
        <v>320</v>
      </c>
      <c r="I1165" s="195"/>
      <c r="J1165" s="435" t="s">
        <v>321</v>
      </c>
      <c r="K1165" s="435"/>
      <c r="L1165" s="196" t="s">
        <v>322</v>
      </c>
      <c r="N1165" s="194" t="s">
        <v>320</v>
      </c>
      <c r="O1165" s="195"/>
      <c r="P1165" s="435" t="s">
        <v>321</v>
      </c>
      <c r="Q1165" s="435"/>
      <c r="R1165" s="196" t="s">
        <v>322</v>
      </c>
    </row>
    <row r="1166" spans="2:19">
      <c r="B1166" s="197" t="s">
        <v>278</v>
      </c>
      <c r="C1166" s="201">
        <v>1</v>
      </c>
      <c r="E1166" s="199">
        <f>IF(C1166=0,0,(VLOOKUP(B1166,'RESUMEN RENDIMIENTOS'!$AB$6:$AO$64,13,FALSE)))*C1166</f>
        <v>0.75</v>
      </c>
      <c r="F1166" s="200">
        <f>IF(C1166=0,0,(VLOOKUP(B1166,'RESUMEN RENDIMIENTOS'!$AB$6:$AO$64,14,FALSE)))*C1166</f>
        <v>1.0285714285714287E-2</v>
      </c>
      <c r="H1166" s="197" t="s">
        <v>278</v>
      </c>
      <c r="I1166" s="201">
        <v>1</v>
      </c>
      <c r="K1166" s="199">
        <f>IF(I1166=0,0,(VLOOKUP(H1166,'RESUMEN RENDIMIENTOS'!$AB$6:$AO$64,13,FALSE)))*I1166</f>
        <v>0.75</v>
      </c>
      <c r="L1166" s="200">
        <f>IF(I1166=0,0,(VLOOKUP(H1166,'RESUMEN RENDIMIENTOS'!$AB$6:$AO$64,14,FALSE)))*I1166</f>
        <v>1.0285714285714287E-2</v>
      </c>
      <c r="N1166" s="197" t="s">
        <v>278</v>
      </c>
      <c r="O1166" s="201">
        <v>1</v>
      </c>
      <c r="Q1166" s="199">
        <f>IF(O1166=0,0,(VLOOKUP(N1166,'RESUMEN RENDIMIENTOS'!$AB$6:$AO$64,13,FALSE)))*O1166</f>
        <v>0.75</v>
      </c>
      <c r="R1166" s="200">
        <f>IF(O1166=0,0,(VLOOKUP(N1166,'RESUMEN RENDIMIENTOS'!$AB$6:$AO$64,14,FALSE)))*O1166</f>
        <v>1.0285714285714287E-2</v>
      </c>
    </row>
    <row r="1167" spans="2:19">
      <c r="B1167" s="197" t="s">
        <v>279</v>
      </c>
      <c r="C1167" s="201">
        <v>1</v>
      </c>
      <c r="E1167" s="199">
        <f>IF(C1167=0,0,(VLOOKUP(B1167,'RESUMEN RENDIMIENTOS'!$AB$6:$AO$64,13,FALSE)))*C1167</f>
        <v>2</v>
      </c>
      <c r="F1167" s="200">
        <f>IF(C1167=0,0,(VLOOKUP(B1167,'RESUMEN RENDIMIENTOS'!$AB$6:$AO$64,14,FALSE)))*C1167</f>
        <v>9.5999999999999988E-2</v>
      </c>
      <c r="H1167" s="197" t="s">
        <v>279</v>
      </c>
      <c r="I1167" s="201">
        <v>1</v>
      </c>
      <c r="K1167" s="199">
        <f>IF(I1167=0,0,(VLOOKUP(H1167,'RESUMEN RENDIMIENTOS'!$AB$6:$AO$64,13,FALSE)))*I1167</f>
        <v>2</v>
      </c>
      <c r="L1167" s="200">
        <f>IF(I1167=0,0,(VLOOKUP(H1167,'RESUMEN RENDIMIENTOS'!$AB$6:$AO$64,14,FALSE)))*I1167</f>
        <v>9.5999999999999988E-2</v>
      </c>
      <c r="N1167" s="197" t="s">
        <v>279</v>
      </c>
      <c r="O1167" s="201">
        <v>1</v>
      </c>
      <c r="Q1167" s="199">
        <f>IF(O1167=0,0,(VLOOKUP(N1167,'RESUMEN RENDIMIENTOS'!$AB$6:$AO$64,13,FALSE)))*O1167</f>
        <v>2</v>
      </c>
      <c r="R1167" s="200">
        <f>IF(O1167=0,0,(VLOOKUP(N1167,'RESUMEN RENDIMIENTOS'!$AB$6:$AO$64,14,FALSE)))*O1167</f>
        <v>9.5999999999999988E-2</v>
      </c>
    </row>
    <row r="1168" spans="2:19">
      <c r="B1168" s="197" t="s">
        <v>284</v>
      </c>
      <c r="C1168" s="201">
        <v>0.25</v>
      </c>
      <c r="E1168" s="199">
        <f>IF(C1168=0,0,(VLOOKUP(B1168,'RESUMEN RENDIMIENTOS'!$AB$6:$AO$64,13,FALSE)))*C1168</f>
        <v>0.52500000000000002</v>
      </c>
      <c r="F1168" s="200">
        <f>IF(C1168=0,0,(VLOOKUP(B1168,'RESUMEN RENDIMIENTOS'!$AB$6:$AO$64,14,FALSE)))*C1168</f>
        <v>4.2000000000000003E-2</v>
      </c>
      <c r="H1168" s="197" t="s">
        <v>284</v>
      </c>
      <c r="I1168" s="201">
        <v>0.25</v>
      </c>
      <c r="K1168" s="199">
        <f>IF(I1168=0,0,(VLOOKUP(H1168,'RESUMEN RENDIMIENTOS'!$AB$6:$AO$64,13,FALSE)))*I1168</f>
        <v>0.52500000000000002</v>
      </c>
      <c r="L1168" s="200">
        <f>IF(I1168=0,0,(VLOOKUP(H1168,'RESUMEN RENDIMIENTOS'!$AB$6:$AO$64,14,FALSE)))*I1168</f>
        <v>4.2000000000000003E-2</v>
      </c>
      <c r="N1168" s="197" t="s">
        <v>284</v>
      </c>
      <c r="O1168" s="201">
        <v>0.25</v>
      </c>
      <c r="Q1168" s="199">
        <f>IF(O1168=0,0,(VLOOKUP(N1168,'RESUMEN RENDIMIENTOS'!$AB$6:$AO$64,13,FALSE)))*O1168</f>
        <v>0.52500000000000002</v>
      </c>
      <c r="R1168" s="200">
        <f>IF(O1168=0,0,(VLOOKUP(N1168,'RESUMEN RENDIMIENTOS'!$AB$6:$AO$64,14,FALSE)))*O1168</f>
        <v>4.2000000000000003E-2</v>
      </c>
    </row>
    <row r="1169" spans="2:19">
      <c r="B1169" s="197" t="s">
        <v>283</v>
      </c>
      <c r="C1169" s="201">
        <v>1</v>
      </c>
      <c r="E1169" s="199">
        <f>IF(C1169=0,0,(VLOOKUP(B1169,'RESUMEN RENDIMIENTOS'!$AB$6:$AO$64,13,FALSE)))*C1169</f>
        <v>1.59</v>
      </c>
      <c r="F1169" s="200">
        <f>IF(C1169=0,0,(VLOOKUP(B1169,'RESUMEN RENDIMIENTOS'!$AB$6:$AO$64,14,FALSE)))*C1169</f>
        <v>0.12720000000000001</v>
      </c>
      <c r="H1169" s="197" t="s">
        <v>283</v>
      </c>
      <c r="I1169" s="201">
        <v>1</v>
      </c>
      <c r="K1169" s="199">
        <f>IF(I1169=0,0,(VLOOKUP(H1169,'RESUMEN RENDIMIENTOS'!$AB$6:$AO$64,13,FALSE)))*I1169</f>
        <v>1.59</v>
      </c>
      <c r="L1169" s="200">
        <f>IF(I1169=0,0,(VLOOKUP(H1169,'RESUMEN RENDIMIENTOS'!$AB$6:$AO$64,14,FALSE)))*I1169</f>
        <v>0.12720000000000001</v>
      </c>
      <c r="N1169" s="197" t="s">
        <v>283</v>
      </c>
      <c r="O1169" s="201">
        <v>1</v>
      </c>
      <c r="Q1169" s="199">
        <f>IF(O1169=0,0,(VLOOKUP(N1169,'RESUMEN RENDIMIENTOS'!$AB$6:$AO$64,13,FALSE)))*O1169</f>
        <v>1.59</v>
      </c>
      <c r="R1169" s="200">
        <f>IF(O1169=0,0,(VLOOKUP(N1169,'RESUMEN RENDIMIENTOS'!$AB$6:$AO$64,14,FALSE)))*O1169</f>
        <v>0.12720000000000001</v>
      </c>
    </row>
    <row r="1170" spans="2:19">
      <c r="B1170" s="197" t="s">
        <v>282</v>
      </c>
      <c r="C1170" s="201">
        <v>1</v>
      </c>
      <c r="E1170" s="199">
        <f>IF(C1170=0,0,(VLOOKUP(B1170,'RESUMEN RENDIMIENTOS'!$AB$6:$AO$64,13,FALSE)))*C1170</f>
        <v>2.62</v>
      </c>
      <c r="F1170" s="200">
        <f>IF(C1170=0,0,(VLOOKUP(B1170,'RESUMEN RENDIMIENTOS'!$AB$6:$AO$64,14,FALSE)))*C1170</f>
        <v>6.986666666666666E-2</v>
      </c>
      <c r="H1170" s="197" t="s">
        <v>282</v>
      </c>
      <c r="I1170" s="201">
        <v>1</v>
      </c>
      <c r="K1170" s="199">
        <f>IF(I1170=0,0,(VLOOKUP(H1170,'RESUMEN RENDIMIENTOS'!$AB$6:$AO$64,13,FALSE)))*I1170</f>
        <v>2.62</v>
      </c>
      <c r="L1170" s="200">
        <f>IF(I1170=0,0,(VLOOKUP(H1170,'RESUMEN RENDIMIENTOS'!$AB$6:$AO$64,14,FALSE)))*I1170</f>
        <v>6.986666666666666E-2</v>
      </c>
      <c r="N1170" s="197" t="s">
        <v>282</v>
      </c>
      <c r="O1170" s="201">
        <v>1</v>
      </c>
      <c r="Q1170" s="199">
        <f>IF(O1170=0,0,(VLOOKUP(N1170,'RESUMEN RENDIMIENTOS'!$AB$6:$AO$64,13,FALSE)))*O1170</f>
        <v>2.62</v>
      </c>
      <c r="R1170" s="200">
        <f>IF(O1170=0,0,(VLOOKUP(N1170,'RESUMEN RENDIMIENTOS'!$AB$6:$AO$64,14,FALSE)))*O1170</f>
        <v>6.986666666666666E-2</v>
      </c>
    </row>
    <row r="1171" spans="2:19">
      <c r="B1171" s="197" t="s">
        <v>302</v>
      </c>
      <c r="C1171" s="201">
        <v>1</v>
      </c>
      <c r="E1171" s="199">
        <f>IF(C1171=0,0,(VLOOKUP(B1171,'RESUMEN RENDIMIENTOS'!$AB$6:$AO$64,13,FALSE)))*C1171</f>
        <v>1</v>
      </c>
      <c r="F1171" s="200">
        <f>IF(C1171=0,0,(VLOOKUP(B1171,'RESUMEN RENDIMIENTOS'!$AB$6:$AO$64,14,FALSE)))*C1171</f>
        <v>0.2</v>
      </c>
      <c r="H1171" s="197" t="s">
        <v>302</v>
      </c>
      <c r="I1171" s="201">
        <v>1</v>
      </c>
      <c r="K1171" s="199">
        <f>IF(I1171=0,0,(VLOOKUP(H1171,'RESUMEN RENDIMIENTOS'!$AB$6:$AO$64,13,FALSE)))*I1171</f>
        <v>1</v>
      </c>
      <c r="L1171" s="200">
        <f>IF(I1171=0,0,(VLOOKUP(H1171,'RESUMEN RENDIMIENTOS'!$AB$6:$AO$64,14,FALSE)))*I1171</f>
        <v>0.2</v>
      </c>
      <c r="N1171" s="197" t="s">
        <v>302</v>
      </c>
      <c r="O1171" s="201">
        <v>1</v>
      </c>
      <c r="Q1171" s="199">
        <f>IF(O1171=0,0,(VLOOKUP(N1171,'RESUMEN RENDIMIENTOS'!$AB$6:$AO$64,13,FALSE)))*O1171</f>
        <v>1</v>
      </c>
      <c r="R1171" s="200">
        <f>IF(O1171=0,0,(VLOOKUP(N1171,'RESUMEN RENDIMIENTOS'!$AB$6:$AO$64,14,FALSE)))*O1171</f>
        <v>0.2</v>
      </c>
    </row>
    <row r="1172" spans="2:19">
      <c r="B1172" s="202"/>
      <c r="F1172" s="204">
        <f>SUM(F1166:F1171)</f>
        <v>0.54535238095238103</v>
      </c>
      <c r="G1172" s="205">
        <f>+F1172</f>
        <v>0.54535238095238103</v>
      </c>
      <c r="H1172" s="202"/>
      <c r="I1172" s="179"/>
      <c r="K1172" s="88"/>
      <c r="L1172" s="206">
        <f>SUM(L1166:L1171)</f>
        <v>0.54535238095238103</v>
      </c>
      <c r="M1172" s="205">
        <f>+L1172</f>
        <v>0.54535238095238103</v>
      </c>
      <c r="N1172" s="202"/>
      <c r="O1172" s="179"/>
      <c r="R1172" s="206">
        <f>SUM(R1166:R1171)</f>
        <v>0.54535238095238103</v>
      </c>
      <c r="S1172" s="205">
        <f>+R1172</f>
        <v>0.54535238095238103</v>
      </c>
    </row>
    <row r="1173" spans="2:19">
      <c r="B1173" s="436" t="s">
        <v>324</v>
      </c>
      <c r="C1173" s="437"/>
      <c r="D1173" s="437"/>
      <c r="E1173" s="437"/>
      <c r="F1173" s="437"/>
      <c r="G1173" s="205"/>
      <c r="H1173" s="436" t="s">
        <v>324</v>
      </c>
      <c r="I1173" s="437"/>
      <c r="J1173" s="437"/>
      <c r="K1173" s="437"/>
      <c r="L1173" s="455"/>
      <c r="M1173" s="205"/>
      <c r="N1173" s="436" t="s">
        <v>324</v>
      </c>
      <c r="O1173" s="437"/>
      <c r="P1173" s="437"/>
      <c r="Q1173" s="437"/>
      <c r="R1173" s="455"/>
      <c r="S1173" s="205"/>
    </row>
    <row r="1174" spans="2:19">
      <c r="B1174" s="210" t="s">
        <v>325</v>
      </c>
      <c r="C1174" s="211">
        <v>1</v>
      </c>
      <c r="D1174" s="212">
        <v>21.712335174960327</v>
      </c>
      <c r="E1174" s="213">
        <f>F1160</f>
        <v>0.15386673864147551</v>
      </c>
      <c r="F1174" s="214">
        <f>+IF(C1174&gt;="",0,(D1174*E1174))</f>
        <v>3.3408062016617359</v>
      </c>
      <c r="G1174" s="215"/>
      <c r="H1174" s="210" t="s">
        <v>325</v>
      </c>
      <c r="I1174" s="211">
        <v>1</v>
      </c>
      <c r="J1174" s="212">
        <v>21.712335174960327</v>
      </c>
      <c r="K1174" s="213">
        <f>L1160</f>
        <v>0.6717971014492754</v>
      </c>
      <c r="L1174" s="216">
        <f>+IF(I1174&gt;="",0,(J1174*K1174))</f>
        <v>14.586283836233493</v>
      </c>
      <c r="M1174" s="215"/>
      <c r="N1174" s="210" t="s">
        <v>325</v>
      </c>
      <c r="O1174" s="211">
        <v>1</v>
      </c>
      <c r="P1174" s="212">
        <v>21.712335174960327</v>
      </c>
      <c r="Q1174" s="213">
        <f>R1160</f>
        <v>0.52478008253632979</v>
      </c>
      <c r="R1174" s="214">
        <f>+IF(O1174&gt;="",0,(P1174*Q1174))</f>
        <v>11.394201045172137</v>
      </c>
      <c r="S1174" s="215"/>
    </row>
    <row r="1175" spans="2:19">
      <c r="B1175" s="210" t="s">
        <v>326</v>
      </c>
      <c r="C1175" s="211"/>
      <c r="D1175" s="212">
        <f>+D1174*25%</f>
        <v>5.4280837937400817</v>
      </c>
      <c r="E1175" s="213">
        <f>F1160</f>
        <v>0.15386673864147551</v>
      </c>
      <c r="F1175" s="214">
        <f>+IF(C1175= "",0,(D1175*E1175))</f>
        <v>0</v>
      </c>
      <c r="G1175" s="215"/>
      <c r="H1175" s="210" t="s">
        <v>326</v>
      </c>
      <c r="I1175" s="211"/>
      <c r="J1175" s="212">
        <f>+J1174*25%</f>
        <v>5.4280837937400817</v>
      </c>
      <c r="K1175" s="213">
        <f>L1160</f>
        <v>0.6717971014492754</v>
      </c>
      <c r="L1175" s="216">
        <f>+IF(I1175= "",0,(J1175*K1175))</f>
        <v>0</v>
      </c>
      <c r="M1175" s="215"/>
      <c r="N1175" s="210" t="s">
        <v>326</v>
      </c>
      <c r="O1175" s="211"/>
      <c r="P1175" s="212">
        <f>+P1174*25%</f>
        <v>5.4280837937400817</v>
      </c>
      <c r="Q1175" s="213">
        <f>R1160</f>
        <v>0.52478008253632979</v>
      </c>
      <c r="R1175" s="214">
        <f>+IF(O1175= "",0,(P1175*Q1175))</f>
        <v>0</v>
      </c>
      <c r="S1175" s="215"/>
    </row>
    <row r="1176" spans="2:19">
      <c r="B1176" s="210" t="s">
        <v>327</v>
      </c>
      <c r="C1176" s="211"/>
      <c r="D1176" s="212">
        <f>+D1174*50%</f>
        <v>10.856167587480163</v>
      </c>
      <c r="E1176" s="213">
        <f>F1160</f>
        <v>0.15386673864147551</v>
      </c>
      <c r="F1176" s="214">
        <f>+IF(C1176= "",0,(D1176*E1176))</f>
        <v>0</v>
      </c>
      <c r="G1176" s="215"/>
      <c r="H1176" s="210" t="s">
        <v>327</v>
      </c>
      <c r="I1176" s="211"/>
      <c r="J1176" s="212">
        <f>+J1174*50%</f>
        <v>10.856167587480163</v>
      </c>
      <c r="K1176" s="213">
        <f>L1160</f>
        <v>0.6717971014492754</v>
      </c>
      <c r="L1176" s="216">
        <f>+IF(I1176= "",0,(J1176*K1176))</f>
        <v>0</v>
      </c>
      <c r="M1176" s="215"/>
      <c r="N1176" s="210" t="s">
        <v>327</v>
      </c>
      <c r="O1176" s="211"/>
      <c r="P1176" s="212">
        <f>+P1174*50%</f>
        <v>10.856167587480163</v>
      </c>
      <c r="Q1176" s="213">
        <f>R1160</f>
        <v>0.52478008253632979</v>
      </c>
      <c r="R1176" s="214">
        <f>+IF(O1176= "",0,(P1176*Q1176))</f>
        <v>0</v>
      </c>
      <c r="S1176" s="215"/>
    </row>
    <row r="1177" spans="2:19">
      <c r="B1177" s="202"/>
      <c r="F1177" s="217">
        <f>SUM(F1174:F1176)</f>
        <v>3.3408062016617359</v>
      </c>
      <c r="G1177" s="218"/>
      <c r="H1177" s="202"/>
      <c r="I1177" s="179"/>
      <c r="K1177" s="88"/>
      <c r="L1177" s="219">
        <f>SUM(L1174:L1176)</f>
        <v>14.586283836233493</v>
      </c>
      <c r="M1177" s="218"/>
      <c r="N1177" s="202"/>
      <c r="O1177" s="179"/>
      <c r="R1177" s="217">
        <f>SUM(R1174:R1176)</f>
        <v>11.394201045172137</v>
      </c>
      <c r="S1177" s="218"/>
    </row>
    <row r="1178" spans="2:19">
      <c r="B1178" s="202"/>
      <c r="G1178" s="220"/>
      <c r="H1178" s="202"/>
      <c r="I1178" s="179"/>
      <c r="K1178" s="88"/>
      <c r="L1178" s="189"/>
      <c r="M1178" s="220"/>
      <c r="N1178" s="202"/>
      <c r="O1178" s="179"/>
      <c r="R1178" s="189"/>
      <c r="S1178" s="220"/>
    </row>
    <row r="1179" spans="2:19" ht="21">
      <c r="B1179" s="438" t="s">
        <v>328</v>
      </c>
      <c r="C1179" s="439"/>
      <c r="D1179" s="439"/>
      <c r="E1179" s="440"/>
      <c r="F1179" s="221">
        <f>+F1172+F1177</f>
        <v>3.886158582614117</v>
      </c>
      <c r="G1179" s="205">
        <f>+F1179</f>
        <v>3.886158582614117</v>
      </c>
      <c r="H1179" s="438" t="s">
        <v>328</v>
      </c>
      <c r="I1179" s="439"/>
      <c r="J1179" s="439"/>
      <c r="K1179" s="440"/>
      <c r="L1179" s="225">
        <f>+L1172+L1177</f>
        <v>15.131636217185875</v>
      </c>
      <c r="M1179" s="205">
        <f>+L1179</f>
        <v>15.131636217185875</v>
      </c>
      <c r="N1179" s="438" t="s">
        <v>328</v>
      </c>
      <c r="O1179" s="439"/>
      <c r="P1179" s="439"/>
      <c r="Q1179" s="440"/>
      <c r="R1179" s="225">
        <f>+R1172+R1177</f>
        <v>11.939553426124519</v>
      </c>
      <c r="S1179" s="205">
        <f>+R1179</f>
        <v>11.939553426124519</v>
      </c>
    </row>
    <row r="1180" spans="2:19">
      <c r="B1180" s="202"/>
      <c r="G1180" s="205"/>
      <c r="H1180" s="202"/>
      <c r="I1180" s="179"/>
      <c r="K1180" s="88"/>
      <c r="L1180" s="189"/>
      <c r="M1180" s="205"/>
      <c r="N1180" s="202"/>
      <c r="O1180" s="179"/>
      <c r="R1180" s="189"/>
      <c r="S1180" s="205"/>
    </row>
    <row r="1181" spans="2:19" ht="19">
      <c r="B1181" s="441" t="s">
        <v>329</v>
      </c>
      <c r="C1181" s="442"/>
      <c r="D1181" s="442"/>
      <c r="E1181" s="443"/>
      <c r="F1181" s="226">
        <f>+F1179/$C$37</f>
        <v>3.8861585826141166E-2</v>
      </c>
      <c r="G1181" s="205"/>
      <c r="H1181" s="441" t="s">
        <v>329</v>
      </c>
      <c r="I1181" s="442"/>
      <c r="J1181" s="442"/>
      <c r="K1181" s="443"/>
      <c r="L1181" s="230">
        <f>+L1179/$C$37</f>
        <v>0.15131636217185876</v>
      </c>
      <c r="M1181" s="205"/>
      <c r="N1181" s="441" t="s">
        <v>329</v>
      </c>
      <c r="O1181" s="442"/>
      <c r="P1181" s="442"/>
      <c r="Q1181" s="443"/>
      <c r="R1181" s="230">
        <f>+R1179/$C$37</f>
        <v>0.11939553426124519</v>
      </c>
      <c r="S1181" s="205"/>
    </row>
    <row r="1182" spans="2:19" ht="17" thickBot="1">
      <c r="B1182" s="231"/>
      <c r="C1182" s="232"/>
      <c r="D1182" s="233"/>
      <c r="E1182" s="233"/>
      <c r="F1182" s="233"/>
      <c r="G1182" s="205"/>
      <c r="H1182" s="231"/>
      <c r="I1182" s="232"/>
      <c r="J1182" s="233"/>
      <c r="K1182" s="233"/>
      <c r="L1182" s="234"/>
      <c r="M1182" s="205"/>
      <c r="N1182" s="231"/>
      <c r="O1182" s="232"/>
      <c r="P1182" s="233"/>
      <c r="Q1182" s="233"/>
      <c r="R1182" s="234"/>
      <c r="S1182" s="205"/>
    </row>
    <row r="1183" spans="2:19" ht="24" customHeight="1" thickBot="1">
      <c r="B1183" s="415" t="s">
        <v>312</v>
      </c>
      <c r="C1183" s="416"/>
      <c r="D1183" s="416"/>
      <c r="E1183" s="416"/>
      <c r="F1183" s="416"/>
      <c r="G1183" s="416"/>
      <c r="H1183" s="416"/>
      <c r="I1183" s="416"/>
      <c r="J1183" s="416"/>
      <c r="K1183" s="416"/>
      <c r="L1183" s="416"/>
      <c r="M1183" s="416"/>
      <c r="N1183" s="416"/>
      <c r="O1183" s="416"/>
      <c r="P1183" s="416"/>
      <c r="Q1183" s="416"/>
      <c r="R1183" s="417"/>
    </row>
    <row r="1184" spans="2:19" ht="23.25" customHeight="1">
      <c r="B1184" s="276" t="s">
        <v>16</v>
      </c>
      <c r="C1184" s="452" t="s">
        <v>78</v>
      </c>
      <c r="D1184" s="453"/>
      <c r="E1184" s="453"/>
      <c r="F1184" s="465"/>
      <c r="G1184" s="254"/>
      <c r="H1184" s="239" t="s">
        <v>16</v>
      </c>
      <c r="I1184" s="452" t="s">
        <v>79</v>
      </c>
      <c r="J1184" s="453"/>
      <c r="K1184" s="453"/>
      <c r="L1184" s="465"/>
      <c r="M1184" s="254"/>
      <c r="N1184" s="239" t="s">
        <v>16</v>
      </c>
      <c r="O1184" s="452" t="s">
        <v>90</v>
      </c>
      <c r="P1184" s="453"/>
      <c r="Q1184" s="453"/>
      <c r="R1184" s="465"/>
    </row>
    <row r="1185" spans="2:19" ht="33" thickBot="1">
      <c r="B1185" s="241" t="s">
        <v>313</v>
      </c>
      <c r="C1185" s="242" t="s">
        <v>6</v>
      </c>
      <c r="D1185" s="243" t="s">
        <v>25</v>
      </c>
      <c r="E1185" s="244" t="s">
        <v>314</v>
      </c>
      <c r="F1185" s="245" t="s">
        <v>315</v>
      </c>
      <c r="H1185" s="241" t="s">
        <v>313</v>
      </c>
      <c r="I1185" s="242" t="s">
        <v>6</v>
      </c>
      <c r="J1185" s="243" t="s">
        <v>25</v>
      </c>
      <c r="K1185" s="244" t="s">
        <v>314</v>
      </c>
      <c r="L1185" s="245" t="s">
        <v>315</v>
      </c>
      <c r="N1185" s="241" t="s">
        <v>313</v>
      </c>
      <c r="O1185" s="242" t="s">
        <v>6</v>
      </c>
      <c r="P1185" s="243" t="s">
        <v>25</v>
      </c>
      <c r="Q1185" s="244" t="s">
        <v>314</v>
      </c>
      <c r="R1185" s="245" t="s">
        <v>315</v>
      </c>
    </row>
    <row r="1186" spans="2:19">
      <c r="B1186" s="165" t="s">
        <v>181</v>
      </c>
      <c r="C1186" s="166">
        <f>VLOOKUP(B1186,'RESUMEN RENDIMIENTOS'!$V$6:$W$158,2,FALSE)</f>
        <v>900</v>
      </c>
      <c r="D1186" s="288" t="s">
        <v>20</v>
      </c>
      <c r="E1186" s="167">
        <v>247</v>
      </c>
      <c r="F1186" s="175">
        <f t="shared" ref="F1186:F1201" si="105">IF(C1186=0,0,(100/C1186)*E1186/$E$37)</f>
        <v>0.1111111111111111</v>
      </c>
      <c r="G1186" s="164">
        <f>+F1186/F1202</f>
        <v>0.25273753148884659</v>
      </c>
      <c r="H1186" s="170" t="s">
        <v>182</v>
      </c>
      <c r="I1186" s="171">
        <f>VLOOKUP(H1186,'RESUMEN RENDIMIENTOS'!$V$6:$W$158,2,FALSE)</f>
        <v>1400</v>
      </c>
      <c r="J1186" s="177" t="s">
        <v>20</v>
      </c>
      <c r="K1186" s="172">
        <v>247</v>
      </c>
      <c r="L1186" s="175">
        <f t="shared" ref="L1186:L1201" si="106">IF(I1186=0,0,(100/I1186)*K1186/$E$37)</f>
        <v>7.1428571428571425E-2</v>
      </c>
      <c r="M1186" s="164">
        <f>+L1186/L1202</f>
        <v>9.7754156519487656E-2</v>
      </c>
      <c r="N1186" s="170" t="s">
        <v>182</v>
      </c>
      <c r="O1186" s="171">
        <f>VLOOKUP(N1186,'RESUMEN RENDIMIENTOS'!$V$6:$W$158,2,FALSE)</f>
        <v>1400</v>
      </c>
      <c r="P1186" s="177" t="s">
        <v>20</v>
      </c>
      <c r="Q1186" s="172">
        <v>247</v>
      </c>
      <c r="R1186" s="175">
        <f t="shared" ref="R1186:R1201" si="107">IF(O1186=0,0,(100/O1186)*Q1186/$E$37)</f>
        <v>7.1428571428571425E-2</v>
      </c>
      <c r="S1186" s="164">
        <f>+R1186/R1202</f>
        <v>0.17116227500303169</v>
      </c>
    </row>
    <row r="1187" spans="2:19">
      <c r="B1187" s="170" t="s">
        <v>202</v>
      </c>
      <c r="C1187" s="289">
        <f>VLOOKUP(B1187,'RESUMEN RENDIMIENTOS'!$V$6:$W$158,2,FALSE)</f>
        <v>550</v>
      </c>
      <c r="D1187" s="290" t="s">
        <v>53</v>
      </c>
      <c r="E1187" s="270">
        <v>123.5</v>
      </c>
      <c r="F1187" s="175">
        <f t="shared" si="105"/>
        <v>9.0909090909090912E-2</v>
      </c>
      <c r="G1187" s="174">
        <f>+F1187/F1202</f>
        <v>0.20678525303632905</v>
      </c>
      <c r="H1187" s="170" t="s">
        <v>203</v>
      </c>
      <c r="I1187" s="171">
        <f>VLOOKUP(H1187,'RESUMEN RENDIMIENTOS'!$V$6:$W$158,2,FALSE)</f>
        <v>600</v>
      </c>
      <c r="J1187" s="177" t="s">
        <v>20</v>
      </c>
      <c r="K1187" s="172">
        <v>247</v>
      </c>
      <c r="L1187" s="175">
        <f t="shared" si="106"/>
        <v>0.16666666666666666</v>
      </c>
      <c r="M1187" s="174">
        <f>+L1187/L1202</f>
        <v>0.22809303187880456</v>
      </c>
      <c r="N1187" s="170" t="s">
        <v>203</v>
      </c>
      <c r="O1187" s="171">
        <f>VLOOKUP(N1187,'RESUMEN RENDIMIENTOS'!$V$6:$W$158,2,FALSE)</f>
        <v>600</v>
      </c>
      <c r="P1187" s="177" t="s">
        <v>20</v>
      </c>
      <c r="Q1187" s="172">
        <v>247</v>
      </c>
      <c r="R1187" s="175">
        <f t="shared" si="107"/>
        <v>0.16666666666666666</v>
      </c>
      <c r="S1187" s="174">
        <f>+R1187/R1202</f>
        <v>0.3993786416737406</v>
      </c>
    </row>
    <row r="1188" spans="2:19">
      <c r="B1188" s="170" t="s">
        <v>190</v>
      </c>
      <c r="C1188" s="289">
        <f>VLOOKUP(B1188,'RESUMEN RENDIMIENTOS'!$V$6:$W$158,2,FALSE)</f>
        <v>960</v>
      </c>
      <c r="D1188" s="290" t="s">
        <v>20</v>
      </c>
      <c r="E1188" s="270">
        <v>247</v>
      </c>
      <c r="F1188" s="175">
        <f t="shared" si="105"/>
        <v>0.10416666666666667</v>
      </c>
      <c r="G1188" s="174">
        <f>+F1188/F1202</f>
        <v>0.23694143577079371</v>
      </c>
      <c r="H1188" s="170" t="s">
        <v>259</v>
      </c>
      <c r="I1188" s="171">
        <f>VLOOKUP(H1188,'RESUMEN RENDIMIENTOS'!$V$6:$W$158,2,FALSE)</f>
        <v>1800</v>
      </c>
      <c r="J1188" s="177" t="s">
        <v>20</v>
      </c>
      <c r="K1188" s="172">
        <v>247</v>
      </c>
      <c r="L1188" s="175">
        <f t="shared" si="106"/>
        <v>5.5555555555555552E-2</v>
      </c>
      <c r="M1188" s="174">
        <f>+L1188/L1202</f>
        <v>7.6031010626268186E-2</v>
      </c>
      <c r="N1188" s="170" t="s">
        <v>190</v>
      </c>
      <c r="O1188" s="171">
        <f>VLOOKUP(N1188,'RESUMEN RENDIMIENTOS'!$V$6:$W$158,2,FALSE)</f>
        <v>960</v>
      </c>
      <c r="P1188" s="177" t="s">
        <v>20</v>
      </c>
      <c r="Q1188" s="172">
        <v>247</v>
      </c>
      <c r="R1188" s="175">
        <f t="shared" si="107"/>
        <v>0.10416666666666667</v>
      </c>
      <c r="S1188" s="174">
        <f>+R1188/R1202</f>
        <v>0.2496116510460879</v>
      </c>
    </row>
    <row r="1189" spans="2:19">
      <c r="B1189" s="170" t="s">
        <v>259</v>
      </c>
      <c r="C1189" s="289">
        <f>VLOOKUP(B1189,'RESUMEN RENDIMIENTOS'!$V$6:$W$158,2,FALSE)</f>
        <v>1800</v>
      </c>
      <c r="D1189" s="290" t="s">
        <v>20</v>
      </c>
      <c r="E1189" s="270">
        <v>247</v>
      </c>
      <c r="F1189" s="175">
        <f t="shared" si="105"/>
        <v>5.5555555555555552E-2</v>
      </c>
      <c r="G1189" s="174">
        <f>+F1189/F1202</f>
        <v>0.12636876574442329</v>
      </c>
      <c r="H1189" s="170" t="s">
        <v>221</v>
      </c>
      <c r="I1189" s="171">
        <f>VLOOKUP(H1189,'RESUMEN RENDIMIENTOS'!$V$6:$W$158,2,FALSE)</f>
        <v>500</v>
      </c>
      <c r="J1189" s="177" t="s">
        <v>20</v>
      </c>
      <c r="K1189" s="172">
        <v>247</v>
      </c>
      <c r="L1189" s="175">
        <f t="shared" si="106"/>
        <v>0.2</v>
      </c>
      <c r="M1189" s="174">
        <f>+L1189/L1202</f>
        <v>0.27371163825456546</v>
      </c>
      <c r="N1189" s="170" t="s">
        <v>254</v>
      </c>
      <c r="O1189" s="171">
        <f>VLOOKUP(N1189,'RESUMEN RENDIMIENTOS'!$V$6:$W$158,2,FALSE)</f>
        <v>2000</v>
      </c>
      <c r="P1189" s="177" t="s">
        <v>30</v>
      </c>
      <c r="Q1189" s="172">
        <v>24</v>
      </c>
      <c r="R1189" s="175">
        <f t="shared" si="107"/>
        <v>4.8582995951417015E-3</v>
      </c>
      <c r="S1189" s="174">
        <f>+R1189/R1202</f>
        <v>1.164180655891066E-2</v>
      </c>
    </row>
    <row r="1190" spans="2:19">
      <c r="B1190" s="170" t="s">
        <v>253</v>
      </c>
      <c r="C1190" s="289">
        <f>VLOOKUP(B1190,'RESUMEN RENDIMIENTOS'!$V$6:$W$158,2,FALSE)</f>
        <v>1500</v>
      </c>
      <c r="D1190" s="290" t="s">
        <v>56</v>
      </c>
      <c r="E1190" s="270">
        <v>52.14</v>
      </c>
      <c r="F1190" s="175">
        <f t="shared" si="105"/>
        <v>1.4072874493927126E-2</v>
      </c>
      <c r="G1190" s="174">
        <f>+F1190/F1202</f>
        <v>3.2010692044927437E-2</v>
      </c>
      <c r="H1190" s="170" t="s">
        <v>190</v>
      </c>
      <c r="I1190" s="171">
        <f>VLOOKUP(H1190,'RESUMEN RENDIMIENTOS'!$V$6:$W$158,2,FALSE)</f>
        <v>960</v>
      </c>
      <c r="J1190" s="177" t="s">
        <v>20</v>
      </c>
      <c r="K1190" s="172">
        <v>247</v>
      </c>
      <c r="L1190" s="175">
        <f t="shared" si="106"/>
        <v>0.10416666666666667</v>
      </c>
      <c r="M1190" s="174">
        <f>+L1190/L1202</f>
        <v>0.14255814492425287</v>
      </c>
      <c r="N1190" s="170" t="s">
        <v>231</v>
      </c>
      <c r="O1190" s="171">
        <f>VLOOKUP(N1190,'RESUMEN RENDIMIENTOS'!$V$6:$W$158,2,FALSE)</f>
        <v>70</v>
      </c>
      <c r="P1190" s="177" t="s">
        <v>60</v>
      </c>
      <c r="Q1190" s="172">
        <v>6</v>
      </c>
      <c r="R1190" s="175">
        <f t="shared" si="107"/>
        <v>3.4702139965297862E-2</v>
      </c>
      <c r="S1190" s="174">
        <f>+R1190/R1202</f>
        <v>8.3155761135076126E-2</v>
      </c>
    </row>
    <row r="1191" spans="2:19">
      <c r="B1191" s="170" t="s">
        <v>254</v>
      </c>
      <c r="C1191" s="289">
        <f>VLOOKUP(B1191,'RESUMEN RENDIMIENTOS'!$V$6:$W$158,2,FALSE)</f>
        <v>2000</v>
      </c>
      <c r="D1191" s="290" t="s">
        <v>56</v>
      </c>
      <c r="E1191" s="270">
        <v>52.14</v>
      </c>
      <c r="F1191" s="175">
        <f t="shared" si="105"/>
        <v>1.0554655870445346E-2</v>
      </c>
      <c r="G1191" s="174">
        <f>+F1191/F1202</f>
        <v>2.4008019033695583E-2</v>
      </c>
      <c r="H1191" s="170" t="s">
        <v>194</v>
      </c>
      <c r="I1191" s="171">
        <f>VLOOKUP(H1191,'RESUMEN RENDIMIENTOS'!$V$6:$W$158,2,FALSE)</f>
        <v>2000</v>
      </c>
      <c r="J1191" s="177" t="s">
        <v>56</v>
      </c>
      <c r="K1191" s="172">
        <v>52.14</v>
      </c>
      <c r="L1191" s="175">
        <f t="shared" si="106"/>
        <v>1.0554655870445346E-2</v>
      </c>
      <c r="M1191" s="174">
        <f>+L1191/L1202</f>
        <v>1.4444660747563811E-2</v>
      </c>
      <c r="N1191" s="170" t="s">
        <v>210</v>
      </c>
      <c r="O1191" s="171">
        <f>VLOOKUP(N1191,'RESUMEN RENDIMIENTOS'!$V$6:$W$158,2,FALSE)</f>
        <v>80</v>
      </c>
      <c r="P1191" s="177" t="s">
        <v>60</v>
      </c>
      <c r="Q1191" s="172">
        <v>6</v>
      </c>
      <c r="R1191" s="175">
        <f t="shared" si="107"/>
        <v>3.0364372469635626E-2</v>
      </c>
      <c r="S1191" s="174">
        <f>+R1191/R1202</f>
        <v>7.2761290993191605E-2</v>
      </c>
    </row>
    <row r="1192" spans="2:19">
      <c r="B1192" s="170" t="s">
        <v>194</v>
      </c>
      <c r="C1192" s="289">
        <f>VLOOKUP(B1192,'RESUMEN RENDIMIENTOS'!$V$6:$W$158,2,FALSE)</f>
        <v>2000</v>
      </c>
      <c r="D1192" s="290" t="s">
        <v>31</v>
      </c>
      <c r="E1192" s="270">
        <v>104.28</v>
      </c>
      <c r="F1192" s="175">
        <f t="shared" si="105"/>
        <v>2.1109311740890691E-2</v>
      </c>
      <c r="G1192" s="174">
        <f>+F1192/F1202</f>
        <v>4.8016038067391166E-2</v>
      </c>
      <c r="H1192" s="170" t="s">
        <v>240</v>
      </c>
      <c r="I1192" s="171">
        <f>VLOOKUP(H1192,'RESUMEN RENDIMIENTOS'!$V$6:$W$158,2,FALSE)</f>
        <v>1000</v>
      </c>
      <c r="J1192" s="177" t="s">
        <v>56</v>
      </c>
      <c r="K1192" s="172">
        <v>52.14</v>
      </c>
      <c r="L1192" s="175">
        <f t="shared" si="106"/>
        <v>2.1109311740890691E-2</v>
      </c>
      <c r="M1192" s="174">
        <f>+L1192/L1202</f>
        <v>2.8889321495127622E-2</v>
      </c>
      <c r="N1192" s="170" t="s">
        <v>230</v>
      </c>
      <c r="O1192" s="171">
        <f>VLOOKUP(N1192,'RESUMEN RENDIMIENTOS'!$V$6:$W$158,2,FALSE)</f>
        <v>900</v>
      </c>
      <c r="P1192" s="177" t="s">
        <v>60</v>
      </c>
      <c r="Q1192" s="172">
        <v>6</v>
      </c>
      <c r="R1192" s="175">
        <f t="shared" si="107"/>
        <v>2.6990553306342779E-3</v>
      </c>
      <c r="S1192" s="174">
        <f>+R1192/R1202</f>
        <v>6.4676703105059205E-3</v>
      </c>
    </row>
    <row r="1193" spans="2:19">
      <c r="B1193" s="170" t="s">
        <v>210</v>
      </c>
      <c r="C1193" s="289">
        <f>VLOOKUP(B1193,'RESUMEN RENDIMIENTOS'!$V$6:$W$158,2,FALSE)</f>
        <v>80</v>
      </c>
      <c r="D1193" s="290" t="s">
        <v>62</v>
      </c>
      <c r="E1193" s="270">
        <v>4</v>
      </c>
      <c r="F1193" s="175">
        <f t="shared" si="105"/>
        <v>2.0242914979757085E-2</v>
      </c>
      <c r="G1193" s="174">
        <f>+F1193/F1202</f>
        <v>4.6045299259101606E-2</v>
      </c>
      <c r="H1193" s="170" t="s">
        <v>214</v>
      </c>
      <c r="I1193" s="171">
        <f>VLOOKUP(H1193,'RESUMEN RENDIMIENTOS'!$V$6:$W$158,2,FALSE)</f>
        <v>60</v>
      </c>
      <c r="J1193" s="177" t="s">
        <v>58</v>
      </c>
      <c r="K1193" s="172">
        <v>12</v>
      </c>
      <c r="L1193" s="175">
        <f t="shared" si="106"/>
        <v>8.0971659919028341E-2</v>
      </c>
      <c r="M1193" s="174">
        <f>+L1193/L1202</f>
        <v>0.11081442844314392</v>
      </c>
      <c r="N1193" s="170" t="s">
        <v>240</v>
      </c>
      <c r="O1193" s="171">
        <f>VLOOKUP(N1193,'RESUMEN RENDIMIENTOS'!$V$6:$W$158,2,FALSE)</f>
        <v>1000</v>
      </c>
      <c r="P1193" s="177" t="s">
        <v>60</v>
      </c>
      <c r="Q1193" s="172">
        <v>6</v>
      </c>
      <c r="R1193" s="175">
        <f t="shared" si="107"/>
        <v>2.4291497975708507E-3</v>
      </c>
      <c r="S1193" s="174">
        <f>+R1193/R1202</f>
        <v>5.8209032794553301E-3</v>
      </c>
    </row>
    <row r="1194" spans="2:19">
      <c r="B1194" s="170" t="s">
        <v>230</v>
      </c>
      <c r="C1194" s="289">
        <f>VLOOKUP(B1194,'RESUMEN RENDIMIENTOS'!$V$6:$W$158,2,FALSE)</f>
        <v>900</v>
      </c>
      <c r="D1194" s="290" t="s">
        <v>62</v>
      </c>
      <c r="E1194" s="270">
        <v>4</v>
      </c>
      <c r="F1194" s="175">
        <f t="shared" si="105"/>
        <v>1.7993702204228519E-3</v>
      </c>
      <c r="G1194" s="174">
        <f>+F1194/F1202</f>
        <v>4.0929154896979202E-3</v>
      </c>
      <c r="H1194" s="170" t="s">
        <v>210</v>
      </c>
      <c r="I1194" s="171">
        <f>VLOOKUP(H1194,'RESUMEN RENDIMIENTOS'!$V$6:$W$158,2,FALSE)</f>
        <v>80</v>
      </c>
      <c r="J1194" s="177" t="s">
        <v>62</v>
      </c>
      <c r="K1194" s="172">
        <v>4</v>
      </c>
      <c r="L1194" s="175">
        <f t="shared" si="106"/>
        <v>2.0242914979757085E-2</v>
      </c>
      <c r="M1194" s="174">
        <f>+L1194/L1202</f>
        <v>2.7703607110785979E-2</v>
      </c>
      <c r="N1194" s="170">
        <v>0</v>
      </c>
      <c r="O1194" s="171">
        <f>VLOOKUP(N1194,'RESUMEN RENDIMIENTOS'!$V$6:$W$158,2,FALSE)</f>
        <v>0</v>
      </c>
      <c r="P1194" s="177"/>
      <c r="Q1194" s="172" t="s">
        <v>337</v>
      </c>
      <c r="R1194" s="175">
        <f t="shared" si="107"/>
        <v>0</v>
      </c>
      <c r="S1194" s="174">
        <f>+R1194/R1202</f>
        <v>0</v>
      </c>
    </row>
    <row r="1195" spans="2:19">
      <c r="B1195" s="170" t="s">
        <v>234</v>
      </c>
      <c r="C1195" s="289">
        <f>VLOOKUP(B1195,'RESUMEN RENDIMIENTOS'!$V$6:$W$158,2,FALSE)</f>
        <v>805</v>
      </c>
      <c r="D1195" s="290" t="s">
        <v>62</v>
      </c>
      <c r="E1195" s="270">
        <v>4</v>
      </c>
      <c r="F1195" s="175">
        <f t="shared" si="105"/>
        <v>2.0117182588578471E-3</v>
      </c>
      <c r="G1195" s="174">
        <f>+F1195/F1202</f>
        <v>4.5759303611529554E-3</v>
      </c>
      <c r="H1195" s="170">
        <v>0</v>
      </c>
      <c r="I1195" s="171">
        <f>VLOOKUP(H1195,'RESUMEN RENDIMIENTOS'!$V$6:$W$158,2,FALSE)</f>
        <v>0</v>
      </c>
      <c r="J1195" s="177"/>
      <c r="K1195" s="172" t="s">
        <v>337</v>
      </c>
      <c r="L1195" s="175">
        <f t="shared" si="106"/>
        <v>0</v>
      </c>
      <c r="M1195" s="174">
        <f>+L1195/L1202</f>
        <v>0</v>
      </c>
      <c r="N1195" s="170">
        <v>0</v>
      </c>
      <c r="O1195" s="171">
        <f>VLOOKUP(N1195,'RESUMEN RENDIMIENTOS'!$V$6:$W$158,2,FALSE)</f>
        <v>0</v>
      </c>
      <c r="P1195" s="177"/>
      <c r="Q1195" s="172" t="s">
        <v>337</v>
      </c>
      <c r="R1195" s="175">
        <f t="shared" si="107"/>
        <v>0</v>
      </c>
      <c r="S1195" s="174">
        <f>+R1195/R1202</f>
        <v>0</v>
      </c>
    </row>
    <row r="1196" spans="2:19">
      <c r="B1196" s="170" t="s">
        <v>237</v>
      </c>
      <c r="C1196" s="171">
        <f>VLOOKUP(B1196,'RESUMEN RENDIMIENTOS'!$V$6:$W$158,2,FALSE)</f>
        <v>250</v>
      </c>
      <c r="D1196" s="161" t="s">
        <v>62</v>
      </c>
      <c r="E1196" s="172">
        <v>4</v>
      </c>
      <c r="F1196" s="175">
        <f t="shared" si="105"/>
        <v>6.4777327935222678E-3</v>
      </c>
      <c r="G1196" s="174">
        <f>+F1196/F1202</f>
        <v>1.4734495762912516E-2</v>
      </c>
      <c r="H1196" s="170">
        <v>0</v>
      </c>
      <c r="I1196" s="171">
        <f>VLOOKUP(H1196,'RESUMEN RENDIMIENTOS'!$V$6:$W$158,2,FALSE)</f>
        <v>0</v>
      </c>
      <c r="J1196" s="177"/>
      <c r="K1196" s="172" t="s">
        <v>337</v>
      </c>
      <c r="L1196" s="175">
        <f t="shared" si="106"/>
        <v>0</v>
      </c>
      <c r="M1196" s="174">
        <f>+L1196/L1202</f>
        <v>0</v>
      </c>
      <c r="N1196" s="170">
        <v>0</v>
      </c>
      <c r="O1196" s="171">
        <f>VLOOKUP(N1196,'RESUMEN RENDIMIENTOS'!$V$6:$W$158,2,FALSE)</f>
        <v>0</v>
      </c>
      <c r="P1196" s="177"/>
      <c r="Q1196" s="172" t="s">
        <v>337</v>
      </c>
      <c r="R1196" s="175">
        <f t="shared" si="107"/>
        <v>0</v>
      </c>
      <c r="S1196" s="174">
        <f>+R1196/R1202</f>
        <v>0</v>
      </c>
    </row>
    <row r="1197" spans="2:19">
      <c r="B1197" s="170" t="s">
        <v>240</v>
      </c>
      <c r="C1197" s="171">
        <f>VLOOKUP(B1197,'RESUMEN RENDIMIENTOS'!$V$6:$W$158,2,FALSE)</f>
        <v>1000</v>
      </c>
      <c r="D1197" s="177" t="s">
        <v>62</v>
      </c>
      <c r="E1197" s="172">
        <v>4</v>
      </c>
      <c r="F1197" s="175">
        <f t="shared" si="105"/>
        <v>1.6194331983805669E-3</v>
      </c>
      <c r="G1197" s="174">
        <f>+F1197/F1202</f>
        <v>3.6836239407281291E-3</v>
      </c>
      <c r="H1197" s="170">
        <v>0</v>
      </c>
      <c r="I1197" s="171">
        <f>VLOOKUP(H1197,'RESUMEN RENDIMIENTOS'!$V$6:$W$158,2,FALSE)</f>
        <v>0</v>
      </c>
      <c r="J1197" s="177"/>
      <c r="K1197" s="172" t="s">
        <v>337</v>
      </c>
      <c r="L1197" s="175">
        <f t="shared" si="106"/>
        <v>0</v>
      </c>
      <c r="M1197" s="174">
        <f>+L1197/L1202</f>
        <v>0</v>
      </c>
      <c r="N1197" s="170">
        <v>0</v>
      </c>
      <c r="O1197" s="171">
        <f>VLOOKUP(N1197,'RESUMEN RENDIMIENTOS'!$V$6:$W$158,2,FALSE)</f>
        <v>0</v>
      </c>
      <c r="P1197" s="177"/>
      <c r="Q1197" s="172" t="s">
        <v>337</v>
      </c>
      <c r="R1197" s="175">
        <f t="shared" si="107"/>
        <v>0</v>
      </c>
      <c r="S1197" s="174">
        <f>+R1197/R1202</f>
        <v>0</v>
      </c>
    </row>
    <row r="1198" spans="2:19">
      <c r="B1198" s="170">
        <v>0</v>
      </c>
      <c r="C1198" s="171">
        <f>VLOOKUP(B1198,'RESUMEN RENDIMIENTOS'!$V$6:$W$158,2,FALSE)</f>
        <v>0</v>
      </c>
      <c r="D1198" s="177"/>
      <c r="E1198" s="172" t="s">
        <v>337</v>
      </c>
      <c r="F1198" s="175">
        <f t="shared" si="105"/>
        <v>0</v>
      </c>
      <c r="G1198" s="174">
        <f>+F1198/F1202</f>
        <v>0</v>
      </c>
      <c r="H1198" s="170">
        <v>0</v>
      </c>
      <c r="I1198" s="171">
        <f>VLOOKUP(H1198,'RESUMEN RENDIMIENTOS'!$V$6:$W$158,2,FALSE)</f>
        <v>0</v>
      </c>
      <c r="J1198" s="177"/>
      <c r="K1198" s="172" t="s">
        <v>337</v>
      </c>
      <c r="L1198" s="175">
        <f t="shared" si="106"/>
        <v>0</v>
      </c>
      <c r="M1198" s="174">
        <f>+L1198/L1202</f>
        <v>0</v>
      </c>
      <c r="N1198" s="170">
        <v>0</v>
      </c>
      <c r="O1198" s="171">
        <f>VLOOKUP(N1198,'RESUMEN RENDIMIENTOS'!$V$6:$W$158,2,FALSE)</f>
        <v>0</v>
      </c>
      <c r="P1198" s="177"/>
      <c r="Q1198" s="172" t="s">
        <v>337</v>
      </c>
      <c r="R1198" s="175">
        <f t="shared" si="107"/>
        <v>0</v>
      </c>
      <c r="S1198" s="174">
        <f>+R1198/R1202</f>
        <v>0</v>
      </c>
    </row>
    <row r="1199" spans="2:19">
      <c r="B1199" s="170">
        <v>0</v>
      </c>
      <c r="C1199" s="171">
        <f>VLOOKUP(B1199,'RESUMEN RENDIMIENTOS'!$V$6:$W$158,2,FALSE)</f>
        <v>0</v>
      </c>
      <c r="D1199" s="177"/>
      <c r="E1199" s="172" t="s">
        <v>337</v>
      </c>
      <c r="F1199" s="175">
        <f t="shared" si="105"/>
        <v>0</v>
      </c>
      <c r="G1199" s="174">
        <f>+F1199/F1202</f>
        <v>0</v>
      </c>
      <c r="H1199" s="170">
        <v>0</v>
      </c>
      <c r="I1199" s="171">
        <f>VLOOKUP(H1199,'RESUMEN RENDIMIENTOS'!$V$6:$W$158,2,FALSE)</f>
        <v>0</v>
      </c>
      <c r="J1199" s="177"/>
      <c r="K1199" s="172" t="s">
        <v>337</v>
      </c>
      <c r="L1199" s="175">
        <f t="shared" si="106"/>
        <v>0</v>
      </c>
      <c r="M1199" s="174">
        <f>+L1199/L1202</f>
        <v>0</v>
      </c>
      <c r="N1199" s="170">
        <v>0</v>
      </c>
      <c r="O1199" s="171">
        <f>VLOOKUP(N1199,'RESUMEN RENDIMIENTOS'!$V$6:$W$158,2,FALSE)</f>
        <v>0</v>
      </c>
      <c r="P1199" s="177"/>
      <c r="Q1199" s="172" t="s">
        <v>337</v>
      </c>
      <c r="R1199" s="175">
        <f t="shared" si="107"/>
        <v>0</v>
      </c>
      <c r="S1199" s="174">
        <f>+R1199/R1202</f>
        <v>0</v>
      </c>
    </row>
    <row r="1200" spans="2:19">
      <c r="B1200" s="170">
        <v>0</v>
      </c>
      <c r="C1200" s="171">
        <f>VLOOKUP(B1200,'RESUMEN RENDIMIENTOS'!$V$6:$W$158,2,FALSE)</f>
        <v>0</v>
      </c>
      <c r="D1200" s="177"/>
      <c r="E1200" s="172" t="s">
        <v>337</v>
      </c>
      <c r="F1200" s="175">
        <f t="shared" si="105"/>
        <v>0</v>
      </c>
      <c r="G1200" s="174">
        <f>+F1200/F1202</f>
        <v>0</v>
      </c>
      <c r="H1200" s="170">
        <v>0</v>
      </c>
      <c r="I1200" s="171">
        <f>VLOOKUP(H1200,'RESUMEN RENDIMIENTOS'!$V$6:$W$158,2,FALSE)</f>
        <v>0</v>
      </c>
      <c r="J1200" s="177"/>
      <c r="K1200" s="172" t="s">
        <v>337</v>
      </c>
      <c r="L1200" s="175">
        <f t="shared" si="106"/>
        <v>0</v>
      </c>
      <c r="M1200" s="174">
        <f>+L1200/L1202</f>
        <v>0</v>
      </c>
      <c r="N1200" s="170">
        <v>0</v>
      </c>
      <c r="O1200" s="171">
        <f>VLOOKUP(N1200,'RESUMEN RENDIMIENTOS'!$V$6:$W$158,2,FALSE)</f>
        <v>0</v>
      </c>
      <c r="P1200" s="177"/>
      <c r="Q1200" s="172" t="s">
        <v>337</v>
      </c>
      <c r="R1200" s="175">
        <f t="shared" si="107"/>
        <v>0</v>
      </c>
      <c r="S1200" s="174">
        <f>+R1200/R1202</f>
        <v>0</v>
      </c>
    </row>
    <row r="1201" spans="2:19">
      <c r="B1201" s="170">
        <v>0</v>
      </c>
      <c r="C1201" s="171">
        <f>VLOOKUP(B1201,'RESUMEN RENDIMIENTOS'!$V$6:$W$158,2,FALSE)</f>
        <v>0</v>
      </c>
      <c r="D1201" s="177"/>
      <c r="E1201" s="172" t="s">
        <v>337</v>
      </c>
      <c r="F1201" s="175">
        <f t="shared" si="105"/>
        <v>0</v>
      </c>
      <c r="G1201" s="174">
        <f>+F1201/F1202</f>
        <v>0</v>
      </c>
      <c r="H1201" s="170">
        <v>0</v>
      </c>
      <c r="I1201" s="171">
        <f>VLOOKUP(H1201,'RESUMEN RENDIMIENTOS'!$V$6:$W$158,2,FALSE)</f>
        <v>0</v>
      </c>
      <c r="J1201" s="177"/>
      <c r="K1201" s="172" t="s">
        <v>337</v>
      </c>
      <c r="L1201" s="175">
        <f t="shared" si="106"/>
        <v>0</v>
      </c>
      <c r="M1201" s="174">
        <f>+L1201/L1202</f>
        <v>0</v>
      </c>
      <c r="N1201" s="170">
        <v>0</v>
      </c>
      <c r="O1201" s="171">
        <f>VLOOKUP(N1201,'RESUMEN RENDIMIENTOS'!$V$6:$W$158,2,FALSE)</f>
        <v>0</v>
      </c>
      <c r="P1201" s="177"/>
      <c r="Q1201" s="172" t="s">
        <v>337</v>
      </c>
      <c r="R1201" s="175">
        <f t="shared" si="107"/>
        <v>0</v>
      </c>
      <c r="S1201" s="174">
        <f>+R1201/R1202</f>
        <v>0</v>
      </c>
    </row>
    <row r="1202" spans="2:19" ht="26.25" customHeight="1" thickBot="1">
      <c r="B1202" s="178"/>
      <c r="E1202" s="90"/>
      <c r="F1202" s="173">
        <f>SUM(F1186:F1201)</f>
        <v>0.43963043579862804</v>
      </c>
      <c r="G1202" s="181">
        <f>+F1202/F1202</f>
        <v>1</v>
      </c>
      <c r="H1202" s="178"/>
      <c r="I1202" s="179"/>
      <c r="J1202" s="182" t="s">
        <v>24</v>
      </c>
      <c r="K1202" s="90"/>
      <c r="L1202" s="173">
        <f>SUM(L1186:L1201)</f>
        <v>0.73069600282758174</v>
      </c>
      <c r="M1202" s="181">
        <f>+L1202/L1202</f>
        <v>1</v>
      </c>
      <c r="N1202" s="178"/>
      <c r="O1202" s="179"/>
      <c r="Q1202" s="90"/>
      <c r="R1202" s="175">
        <f>SUM(R1186:R1201)</f>
        <v>0.41731492192018516</v>
      </c>
      <c r="S1202" s="181">
        <f>+R1202/R1202</f>
        <v>1</v>
      </c>
    </row>
    <row r="1203" spans="2:19" ht="18" customHeight="1">
      <c r="B1203" s="427" t="s">
        <v>317</v>
      </c>
      <c r="C1203" s="428"/>
      <c r="D1203" s="429"/>
      <c r="E1203" s="185">
        <v>0.12</v>
      </c>
      <c r="F1203" s="173">
        <f>+F1202*E1203</f>
        <v>5.2755652295835363E-2</v>
      </c>
      <c r="H1203" s="427" t="s">
        <v>317</v>
      </c>
      <c r="I1203" s="428"/>
      <c r="J1203" s="429"/>
      <c r="K1203" s="185">
        <v>0.12</v>
      </c>
      <c r="L1203" s="173">
        <f>+L1202*K1203</f>
        <v>8.7683520339309803E-2</v>
      </c>
      <c r="N1203" s="427" t="s">
        <v>317</v>
      </c>
      <c r="O1203" s="428"/>
      <c r="P1203" s="429"/>
      <c r="Q1203" s="185">
        <v>0.12</v>
      </c>
      <c r="R1203" s="175">
        <f>+R1202*Q1203</f>
        <v>5.0077790630422218E-2</v>
      </c>
    </row>
    <row r="1204" spans="2:19" ht="18" customHeight="1">
      <c r="B1204" s="178"/>
      <c r="F1204" s="173">
        <f>+F1203+F1202</f>
        <v>0.49238608809446338</v>
      </c>
      <c r="G1204" s="187">
        <f>+F1204/24</f>
        <v>2.0516087003935975E-2</v>
      </c>
      <c r="H1204" s="178"/>
      <c r="I1204" s="179"/>
      <c r="K1204" s="88"/>
      <c r="L1204" s="173">
        <f>+L1203+L1202</f>
        <v>0.81837952316689155</v>
      </c>
      <c r="M1204" s="187">
        <f>+L1204/24</f>
        <v>3.4099146798620479E-2</v>
      </c>
      <c r="N1204" s="178"/>
      <c r="O1204" s="179"/>
      <c r="R1204" s="175">
        <f>+R1203+R1202</f>
        <v>0.46739271255060738</v>
      </c>
      <c r="S1204" s="187">
        <f>+R1204/24</f>
        <v>1.9474696356275308E-2</v>
      </c>
    </row>
    <row r="1205" spans="2:19">
      <c r="B1205" s="178"/>
      <c r="D1205" s="188"/>
      <c r="F1205" s="189"/>
      <c r="H1205" s="178"/>
      <c r="I1205" s="179"/>
      <c r="J1205" s="188"/>
      <c r="K1205" s="88"/>
      <c r="L1205" s="189"/>
      <c r="N1205" s="178"/>
      <c r="O1205" s="179"/>
      <c r="P1205" s="188"/>
      <c r="R1205" s="189"/>
    </row>
    <row r="1206" spans="2:19" ht="21">
      <c r="B1206" s="191" t="s">
        <v>318</v>
      </c>
      <c r="C1206" s="192"/>
      <c r="D1206" s="192"/>
      <c r="E1206" s="444">
        <f>IF(F1204=0,0,(100/F1204))</f>
        <v>203.0926592321089</v>
      </c>
      <c r="F1206" s="445"/>
      <c r="H1206" s="191" t="s">
        <v>318</v>
      </c>
      <c r="I1206" s="192"/>
      <c r="J1206" s="192"/>
      <c r="K1206" s="444">
        <f>IF(L1204=0,0,(100/L1204))</f>
        <v>122.19269564935958</v>
      </c>
      <c r="L1206" s="445"/>
      <c r="N1206" s="191" t="s">
        <v>318</v>
      </c>
      <c r="O1206" s="192"/>
      <c r="P1206" s="192"/>
      <c r="Q1206" s="444">
        <f>IF(R1204=0,0,(100/R1204))</f>
        <v>213.95284375378961</v>
      </c>
      <c r="R1206" s="445"/>
    </row>
    <row r="1207" spans="2:19">
      <c r="B1207" s="178"/>
      <c r="H1207" s="178"/>
      <c r="I1207" s="179"/>
      <c r="K1207" s="88"/>
      <c r="L1207" s="189"/>
      <c r="N1207" s="178"/>
      <c r="O1207" s="179"/>
      <c r="R1207" s="189"/>
    </row>
    <row r="1208" spans="2:19" ht="21">
      <c r="B1208" s="446" t="s">
        <v>319</v>
      </c>
      <c r="C1208" s="447"/>
      <c r="D1208" s="447"/>
      <c r="E1208" s="447"/>
      <c r="F1208" s="448"/>
      <c r="H1208" s="446" t="s">
        <v>319</v>
      </c>
      <c r="I1208" s="447"/>
      <c r="J1208" s="447"/>
      <c r="K1208" s="447"/>
      <c r="L1208" s="448"/>
      <c r="N1208" s="446" t="s">
        <v>319</v>
      </c>
      <c r="O1208" s="447"/>
      <c r="P1208" s="447"/>
      <c r="Q1208" s="447"/>
      <c r="R1208" s="448"/>
    </row>
    <row r="1209" spans="2:19" ht="18" customHeight="1">
      <c r="B1209" s="194" t="s">
        <v>320</v>
      </c>
      <c r="C1209" s="195"/>
      <c r="D1209" s="435" t="s">
        <v>321</v>
      </c>
      <c r="E1209" s="435"/>
      <c r="F1209" s="196" t="s">
        <v>322</v>
      </c>
      <c r="H1209" s="194" t="s">
        <v>320</v>
      </c>
      <c r="I1209" s="195"/>
      <c r="J1209" s="435" t="s">
        <v>321</v>
      </c>
      <c r="K1209" s="435"/>
      <c r="L1209" s="196" t="s">
        <v>322</v>
      </c>
      <c r="N1209" s="194" t="s">
        <v>320</v>
      </c>
      <c r="O1209" s="195"/>
      <c r="P1209" s="435" t="s">
        <v>321</v>
      </c>
      <c r="Q1209" s="435"/>
      <c r="R1209" s="196" t="s">
        <v>322</v>
      </c>
    </row>
    <row r="1210" spans="2:19">
      <c r="B1210" s="197" t="s">
        <v>278</v>
      </c>
      <c r="C1210" s="201">
        <v>1</v>
      </c>
      <c r="E1210" s="199">
        <f>IF(C1210=0,0,(VLOOKUP(B1210,'RESUMEN RENDIMIENTOS'!$AB$6:$AO$64,13,FALSE)))*C1210</f>
        <v>0.75</v>
      </c>
      <c r="F1210" s="200">
        <f>IF(C1210=0,0,(VLOOKUP(B1210,'RESUMEN RENDIMIENTOS'!$AB$6:$AO$64,14,FALSE)))*C1210</f>
        <v>1.0285714285714287E-2</v>
      </c>
      <c r="H1210" s="197" t="s">
        <v>278</v>
      </c>
      <c r="I1210" s="201">
        <v>1</v>
      </c>
      <c r="K1210" s="199">
        <f>IF(I1210=0,0,(VLOOKUP(H1210,'RESUMEN RENDIMIENTOS'!$AB$6:$AO$64,13,FALSE)))*I1210</f>
        <v>0.75</v>
      </c>
      <c r="L1210" s="200">
        <f>IF(I1210=0,0,(VLOOKUP(H1210,'RESUMEN RENDIMIENTOS'!$AB$6:$AO$64,14,FALSE)))*I1210</f>
        <v>1.0285714285714287E-2</v>
      </c>
      <c r="N1210" s="197" t="s">
        <v>278</v>
      </c>
      <c r="O1210" s="198">
        <v>1</v>
      </c>
      <c r="Q1210" s="199">
        <f>IF(O1210=0,0,(VLOOKUP(N1210,'RESUMEN RENDIMIENTOS'!$AB$6:$AO$64,13,FALSE)))*O1210</f>
        <v>0.75</v>
      </c>
      <c r="R1210" s="200">
        <f>IF(O1210=0,0,(VLOOKUP(N1210,'RESUMEN RENDIMIENTOS'!$AB$6:$AO$64,14,FALSE)))*O1210</f>
        <v>1.0285714285714287E-2</v>
      </c>
    </row>
    <row r="1211" spans="2:19">
      <c r="B1211" s="197" t="s">
        <v>279</v>
      </c>
      <c r="C1211" s="201">
        <v>1</v>
      </c>
      <c r="E1211" s="199">
        <f>IF(C1211=0,0,(VLOOKUP(B1211,'RESUMEN RENDIMIENTOS'!$AB$6:$AO$64,13,FALSE)))*C1211</f>
        <v>2</v>
      </c>
      <c r="F1211" s="200">
        <f>IF(C1211=0,0,(VLOOKUP(B1211,'RESUMEN RENDIMIENTOS'!$AB$6:$AO$64,14,FALSE)))*C1211</f>
        <v>9.5999999999999988E-2</v>
      </c>
      <c r="H1211" s="197" t="s">
        <v>279</v>
      </c>
      <c r="I1211" s="201">
        <v>1</v>
      </c>
      <c r="K1211" s="199">
        <f>IF(I1211=0,0,(VLOOKUP(H1211,'RESUMEN RENDIMIENTOS'!$AB$6:$AO$64,13,FALSE)))*I1211</f>
        <v>2</v>
      </c>
      <c r="L1211" s="200">
        <f>IF(I1211=0,0,(VLOOKUP(H1211,'RESUMEN RENDIMIENTOS'!$AB$6:$AO$64,14,FALSE)))*I1211</f>
        <v>9.5999999999999988E-2</v>
      </c>
      <c r="N1211" s="197" t="s">
        <v>279</v>
      </c>
      <c r="O1211" s="198">
        <v>1</v>
      </c>
      <c r="Q1211" s="199">
        <f>IF(O1211=0,0,(VLOOKUP(N1211,'RESUMEN RENDIMIENTOS'!$AB$6:$AO$64,13,FALSE)))*O1211</f>
        <v>2</v>
      </c>
      <c r="R1211" s="200">
        <f>IF(O1211=0,0,(VLOOKUP(N1211,'RESUMEN RENDIMIENTOS'!$AB$6:$AO$64,14,FALSE)))*O1211</f>
        <v>9.5999999999999988E-2</v>
      </c>
    </row>
    <row r="1212" spans="2:19">
      <c r="B1212" s="197" t="s">
        <v>284</v>
      </c>
      <c r="C1212" s="201">
        <v>0.25</v>
      </c>
      <c r="E1212" s="199">
        <f>IF(C1212=0,0,(VLOOKUP(B1212,'RESUMEN RENDIMIENTOS'!$AB$6:$AO$64,13,FALSE)))*C1212</f>
        <v>0.52500000000000002</v>
      </c>
      <c r="F1212" s="200">
        <f>IF(C1212=0,0,(VLOOKUP(B1212,'RESUMEN RENDIMIENTOS'!$AB$6:$AO$64,14,FALSE)))*C1212</f>
        <v>4.2000000000000003E-2</v>
      </c>
      <c r="H1212" s="197" t="s">
        <v>284</v>
      </c>
      <c r="I1212" s="201">
        <v>0.25</v>
      </c>
      <c r="K1212" s="199">
        <f>IF(I1212=0,0,(VLOOKUP(H1212,'RESUMEN RENDIMIENTOS'!$AB$6:$AO$64,13,FALSE)))*I1212</f>
        <v>0.52500000000000002</v>
      </c>
      <c r="L1212" s="200">
        <f>IF(I1212=0,0,(VLOOKUP(H1212,'RESUMEN RENDIMIENTOS'!$AB$6:$AO$64,14,FALSE)))*I1212</f>
        <v>4.2000000000000003E-2</v>
      </c>
      <c r="N1212" s="197" t="s">
        <v>284</v>
      </c>
      <c r="O1212" s="198">
        <v>0.25</v>
      </c>
      <c r="Q1212" s="199">
        <f>IF(O1212=0,0,(VLOOKUP(N1212,'RESUMEN RENDIMIENTOS'!$AB$6:$AO$64,13,FALSE)))*O1212</f>
        <v>0.52500000000000002</v>
      </c>
      <c r="R1212" s="200">
        <f>IF(O1212=0,0,(VLOOKUP(N1212,'RESUMEN RENDIMIENTOS'!$AB$6:$AO$64,14,FALSE)))*O1212</f>
        <v>4.2000000000000003E-2</v>
      </c>
    </row>
    <row r="1213" spans="2:19">
      <c r="B1213" s="197" t="s">
        <v>283</v>
      </c>
      <c r="C1213" s="201">
        <v>1</v>
      </c>
      <c r="E1213" s="199">
        <f>IF(C1213=0,0,(VLOOKUP(B1213,'RESUMEN RENDIMIENTOS'!$AB$6:$AO$64,13,FALSE)))*C1213</f>
        <v>1.59</v>
      </c>
      <c r="F1213" s="200">
        <f>IF(C1213=0,0,(VLOOKUP(B1213,'RESUMEN RENDIMIENTOS'!$AB$6:$AO$64,14,FALSE)))*C1213</f>
        <v>0.12720000000000001</v>
      </c>
      <c r="H1213" s="197" t="s">
        <v>283</v>
      </c>
      <c r="I1213" s="201">
        <v>1</v>
      </c>
      <c r="K1213" s="199">
        <f>IF(I1213=0,0,(VLOOKUP(H1213,'RESUMEN RENDIMIENTOS'!$AB$6:$AO$64,13,FALSE)))*I1213</f>
        <v>1.59</v>
      </c>
      <c r="L1213" s="200">
        <f>IF(I1213=0,0,(VLOOKUP(H1213,'RESUMEN RENDIMIENTOS'!$AB$6:$AO$64,14,FALSE)))*I1213</f>
        <v>0.12720000000000001</v>
      </c>
      <c r="N1213" s="197" t="s">
        <v>283</v>
      </c>
      <c r="O1213" s="198">
        <v>1</v>
      </c>
      <c r="Q1213" s="199">
        <f>IF(O1213=0,0,(VLOOKUP(N1213,'RESUMEN RENDIMIENTOS'!$AB$6:$AO$64,13,FALSE)))*O1213</f>
        <v>1.59</v>
      </c>
      <c r="R1213" s="200">
        <f>IF(O1213=0,0,(VLOOKUP(N1213,'RESUMEN RENDIMIENTOS'!$AB$6:$AO$64,14,FALSE)))*O1213</f>
        <v>0.12720000000000001</v>
      </c>
    </row>
    <row r="1214" spans="2:19">
      <c r="B1214" s="197" t="s">
        <v>282</v>
      </c>
      <c r="C1214" s="201">
        <v>1</v>
      </c>
      <c r="E1214" s="199">
        <f>IF(C1214=0,0,(VLOOKUP(B1214,'RESUMEN RENDIMIENTOS'!$AB$6:$AO$64,13,FALSE)))*C1214</f>
        <v>2.62</v>
      </c>
      <c r="F1214" s="200">
        <f>IF(C1214=0,0,(VLOOKUP(B1214,'RESUMEN RENDIMIENTOS'!$AB$6:$AO$64,14,FALSE)))*C1214</f>
        <v>6.986666666666666E-2</v>
      </c>
      <c r="H1214" s="197" t="s">
        <v>282</v>
      </c>
      <c r="I1214" s="201">
        <v>1</v>
      </c>
      <c r="K1214" s="199">
        <f>IF(I1214=0,0,(VLOOKUP(H1214,'RESUMEN RENDIMIENTOS'!$AB$6:$AO$64,13,FALSE)))*I1214</f>
        <v>2.62</v>
      </c>
      <c r="L1214" s="200">
        <f>IF(I1214=0,0,(VLOOKUP(H1214,'RESUMEN RENDIMIENTOS'!$AB$6:$AO$64,14,FALSE)))*I1214</f>
        <v>6.986666666666666E-2</v>
      </c>
      <c r="N1214" s="197" t="s">
        <v>282</v>
      </c>
      <c r="O1214" s="198">
        <v>1</v>
      </c>
      <c r="Q1214" s="199">
        <f>IF(O1214=0,0,(VLOOKUP(N1214,'RESUMEN RENDIMIENTOS'!$AB$6:$AO$64,13,FALSE)))*O1214</f>
        <v>2.62</v>
      </c>
      <c r="R1214" s="200">
        <f>IF(O1214=0,0,(VLOOKUP(N1214,'RESUMEN RENDIMIENTOS'!$AB$6:$AO$64,14,FALSE)))*O1214</f>
        <v>6.986666666666666E-2</v>
      </c>
    </row>
    <row r="1215" spans="2:19">
      <c r="B1215" s="197" t="s">
        <v>302</v>
      </c>
      <c r="C1215" s="201">
        <v>1</v>
      </c>
      <c r="E1215" s="199">
        <f>IF(C1215=0,0,(VLOOKUP(B1215,'RESUMEN RENDIMIENTOS'!$AB$6:$AO$64,13,FALSE)))*C1215</f>
        <v>1</v>
      </c>
      <c r="F1215" s="200">
        <f>IF(C1215=0,0,(VLOOKUP(B1215,'RESUMEN RENDIMIENTOS'!$AB$6:$AO$64,14,FALSE)))*C1215</f>
        <v>0.2</v>
      </c>
      <c r="H1215" s="197" t="s">
        <v>302</v>
      </c>
      <c r="I1215" s="201">
        <v>1</v>
      </c>
      <c r="K1215" s="199">
        <f>IF(I1215=0,0,(VLOOKUP(H1215,'RESUMEN RENDIMIENTOS'!$AB$6:$AO$64,13,FALSE)))*I1215</f>
        <v>1</v>
      </c>
      <c r="L1215" s="200">
        <f>IF(I1215=0,0,(VLOOKUP(H1215,'RESUMEN RENDIMIENTOS'!$AB$6:$AO$64,14,FALSE)))*I1215</f>
        <v>0.2</v>
      </c>
      <c r="N1215" s="197" t="s">
        <v>302</v>
      </c>
      <c r="O1215" s="198">
        <v>1</v>
      </c>
      <c r="Q1215" s="199">
        <f>IF(O1215=0,0,(VLOOKUP(N1215,'RESUMEN RENDIMIENTOS'!$AB$6:$AO$64,13,FALSE)))*O1215</f>
        <v>1</v>
      </c>
      <c r="R1215" s="200">
        <f>IF(O1215=0,0,(VLOOKUP(N1215,'RESUMEN RENDIMIENTOS'!$AB$6:$AO$64,14,FALSE)))*O1215</f>
        <v>0.2</v>
      </c>
    </row>
    <row r="1216" spans="2:19">
      <c r="B1216" s="202"/>
      <c r="F1216" s="204">
        <f>SUM(F1210:F1215)</f>
        <v>0.54535238095238103</v>
      </c>
      <c r="G1216" s="205">
        <f>+F1216</f>
        <v>0.54535238095238103</v>
      </c>
      <c r="H1216" s="202"/>
      <c r="I1216" s="179"/>
      <c r="K1216" s="88"/>
      <c r="L1216" s="206">
        <f>SUM(L1210:L1215)</f>
        <v>0.54535238095238103</v>
      </c>
      <c r="M1216" s="205">
        <f>+L1216</f>
        <v>0.54535238095238103</v>
      </c>
      <c r="N1216" s="202"/>
      <c r="O1216" s="179"/>
      <c r="R1216" s="206">
        <f>SUM(R1210:R1215)</f>
        <v>0.54535238095238103</v>
      </c>
      <c r="S1216" s="205">
        <f>+R1216</f>
        <v>0.54535238095238103</v>
      </c>
    </row>
    <row r="1217" spans="2:19">
      <c r="B1217" s="436" t="s">
        <v>324</v>
      </c>
      <c r="C1217" s="437"/>
      <c r="D1217" s="437"/>
      <c r="E1217" s="437"/>
      <c r="F1217" s="437"/>
      <c r="G1217" s="205"/>
      <c r="H1217" s="436" t="s">
        <v>324</v>
      </c>
      <c r="I1217" s="437"/>
      <c r="J1217" s="437"/>
      <c r="K1217" s="437"/>
      <c r="L1217" s="455"/>
      <c r="M1217" s="205"/>
      <c r="N1217" s="436" t="s">
        <v>324</v>
      </c>
      <c r="O1217" s="437"/>
      <c r="P1217" s="437"/>
      <c r="Q1217" s="437"/>
      <c r="R1217" s="455"/>
      <c r="S1217" s="205"/>
    </row>
    <row r="1218" spans="2:19">
      <c r="B1218" s="210" t="s">
        <v>325</v>
      </c>
      <c r="C1218" s="211">
        <v>1</v>
      </c>
      <c r="D1218" s="212">
        <v>21.712335174960327</v>
      </c>
      <c r="E1218" s="213">
        <f>F1204</f>
        <v>0.49238608809446338</v>
      </c>
      <c r="F1218" s="214">
        <f>+IF(C1218&gt;="",0,(D1218*E1218))</f>
        <v>10.690851780194532</v>
      </c>
      <c r="G1218" s="215"/>
      <c r="H1218" s="210" t="s">
        <v>325</v>
      </c>
      <c r="I1218" s="211">
        <v>1</v>
      </c>
      <c r="J1218" s="212">
        <v>21.712335174960327</v>
      </c>
      <c r="K1218" s="213">
        <f>L1204</f>
        <v>0.81837952316689155</v>
      </c>
      <c r="L1218" s="216">
        <f>+IF(I1218&gt;="",0,(J1218*K1218))</f>
        <v>17.768930507323759</v>
      </c>
      <c r="M1218" s="215"/>
      <c r="N1218" s="210" t="s">
        <v>325</v>
      </c>
      <c r="O1218" s="211">
        <v>1</v>
      </c>
      <c r="P1218" s="212">
        <v>21.712335174960327</v>
      </c>
      <c r="Q1218" s="213">
        <f>R1204</f>
        <v>0.46739271255060738</v>
      </c>
      <c r="R1218" s="214">
        <f>+IF(O1218&gt;="",0,(P1218*Q1218))</f>
        <v>10.148187233232674</v>
      </c>
      <c r="S1218" s="215"/>
    </row>
    <row r="1219" spans="2:19">
      <c r="B1219" s="210" t="s">
        <v>326</v>
      </c>
      <c r="C1219" s="211"/>
      <c r="D1219" s="212">
        <f>+D1218*25%</f>
        <v>5.4280837937400817</v>
      </c>
      <c r="E1219" s="213">
        <f>F1204</f>
        <v>0.49238608809446338</v>
      </c>
      <c r="F1219" s="214">
        <f>+IF(C1219= "",0,(D1219*E1219))</f>
        <v>0</v>
      </c>
      <c r="G1219" s="215"/>
      <c r="H1219" s="210" t="s">
        <v>326</v>
      </c>
      <c r="I1219" s="211"/>
      <c r="J1219" s="212">
        <f>+J1218*25%</f>
        <v>5.4280837937400817</v>
      </c>
      <c r="K1219" s="213">
        <f>L1204</f>
        <v>0.81837952316689155</v>
      </c>
      <c r="L1219" s="216">
        <f>+IF(I1219= "",0,(J1219*K1219))</f>
        <v>0</v>
      </c>
      <c r="M1219" s="215"/>
      <c r="N1219" s="210" t="s">
        <v>326</v>
      </c>
      <c r="O1219" s="211"/>
      <c r="P1219" s="212">
        <f>+P1218*25%</f>
        <v>5.4280837937400817</v>
      </c>
      <c r="Q1219" s="213">
        <f>R1204</f>
        <v>0.46739271255060738</v>
      </c>
      <c r="R1219" s="214">
        <f>+IF(O1219= "",0,(P1219*Q1219))</f>
        <v>0</v>
      </c>
      <c r="S1219" s="215"/>
    </row>
    <row r="1220" spans="2:19">
      <c r="B1220" s="210" t="s">
        <v>327</v>
      </c>
      <c r="C1220" s="211"/>
      <c r="D1220" s="212">
        <f>+D1218*50%</f>
        <v>10.856167587480163</v>
      </c>
      <c r="E1220" s="213">
        <f>F1204</f>
        <v>0.49238608809446338</v>
      </c>
      <c r="F1220" s="214">
        <f>+IF(C1220= "",0,(D1220*E1220))</f>
        <v>0</v>
      </c>
      <c r="G1220" s="215"/>
      <c r="H1220" s="210" t="s">
        <v>327</v>
      </c>
      <c r="I1220" s="211"/>
      <c r="J1220" s="212">
        <f>+J1218*50%</f>
        <v>10.856167587480163</v>
      </c>
      <c r="K1220" s="213">
        <f>L1204</f>
        <v>0.81837952316689155</v>
      </c>
      <c r="L1220" s="216">
        <f>+IF(I1220= "",0,(J1220*K1220))</f>
        <v>0</v>
      </c>
      <c r="M1220" s="215"/>
      <c r="N1220" s="210" t="s">
        <v>327</v>
      </c>
      <c r="O1220" s="211"/>
      <c r="P1220" s="212">
        <f>+P1218*50%</f>
        <v>10.856167587480163</v>
      </c>
      <c r="Q1220" s="213">
        <f>R1204</f>
        <v>0.46739271255060738</v>
      </c>
      <c r="R1220" s="214">
        <f>+IF(O1220= "",0,(P1220*Q1220))</f>
        <v>0</v>
      </c>
      <c r="S1220" s="215"/>
    </row>
    <row r="1221" spans="2:19">
      <c r="B1221" s="202"/>
      <c r="F1221" s="217">
        <f>SUM(F1218:F1220)</f>
        <v>10.690851780194532</v>
      </c>
      <c r="G1221" s="218"/>
      <c r="H1221" s="202"/>
      <c r="I1221" s="179"/>
      <c r="K1221" s="88"/>
      <c r="L1221" s="219">
        <f>SUM(L1218:L1220)</f>
        <v>17.768930507323759</v>
      </c>
      <c r="M1221" s="218"/>
      <c r="N1221" s="202"/>
      <c r="O1221" s="179"/>
      <c r="R1221" s="217">
        <f>SUM(R1218:R1220)</f>
        <v>10.148187233232674</v>
      </c>
      <c r="S1221" s="218"/>
    </row>
    <row r="1222" spans="2:19">
      <c r="B1222" s="202"/>
      <c r="G1222" s="220"/>
      <c r="H1222" s="202"/>
      <c r="I1222" s="179"/>
      <c r="K1222" s="88"/>
      <c r="L1222" s="189"/>
      <c r="M1222" s="220"/>
      <c r="N1222" s="202"/>
      <c r="O1222" s="179"/>
      <c r="R1222" s="189"/>
      <c r="S1222" s="220"/>
    </row>
    <row r="1223" spans="2:19" ht="21">
      <c r="B1223" s="438" t="s">
        <v>328</v>
      </c>
      <c r="C1223" s="439"/>
      <c r="D1223" s="439"/>
      <c r="E1223" s="440"/>
      <c r="F1223" s="221">
        <f>+F1216+F1221</f>
        <v>11.236204161146912</v>
      </c>
      <c r="G1223" s="205">
        <f>+F1223</f>
        <v>11.236204161146912</v>
      </c>
      <c r="H1223" s="438" t="s">
        <v>328</v>
      </c>
      <c r="I1223" s="439"/>
      <c r="J1223" s="439"/>
      <c r="K1223" s="440"/>
      <c r="L1223" s="225">
        <f>+L1216+L1221</f>
        <v>18.314282888276139</v>
      </c>
      <c r="M1223" s="205">
        <f>+L1223</f>
        <v>18.314282888276139</v>
      </c>
      <c r="N1223" s="438" t="s">
        <v>328</v>
      </c>
      <c r="O1223" s="439"/>
      <c r="P1223" s="439"/>
      <c r="Q1223" s="440"/>
      <c r="R1223" s="225">
        <f>+R1216+R1221</f>
        <v>10.693539614185056</v>
      </c>
      <c r="S1223" s="205">
        <f>+R1223</f>
        <v>10.693539614185056</v>
      </c>
    </row>
    <row r="1224" spans="2:19">
      <c r="B1224" s="202"/>
      <c r="G1224" s="205"/>
      <c r="H1224" s="202"/>
      <c r="I1224" s="179"/>
      <c r="K1224" s="88"/>
      <c r="L1224" s="189"/>
      <c r="M1224" s="205"/>
      <c r="N1224" s="202"/>
      <c r="O1224" s="179"/>
      <c r="R1224" s="189"/>
      <c r="S1224" s="205"/>
    </row>
    <row r="1225" spans="2:19" ht="19">
      <c r="B1225" s="441" t="s">
        <v>329</v>
      </c>
      <c r="C1225" s="442"/>
      <c r="D1225" s="442"/>
      <c r="E1225" s="443"/>
      <c r="F1225" s="226">
        <f>+F1223/$C$37</f>
        <v>0.11236204161146912</v>
      </c>
      <c r="G1225" s="205"/>
      <c r="H1225" s="441" t="s">
        <v>329</v>
      </c>
      <c r="I1225" s="442"/>
      <c r="J1225" s="442"/>
      <c r="K1225" s="443"/>
      <c r="L1225" s="230">
        <f>+L1223/$C$37</f>
        <v>0.1831428288827614</v>
      </c>
      <c r="M1225" s="205"/>
      <c r="N1225" s="441" t="s">
        <v>329</v>
      </c>
      <c r="O1225" s="442"/>
      <c r="P1225" s="442"/>
      <c r="Q1225" s="443"/>
      <c r="R1225" s="230">
        <f>+R1223/$C$37</f>
        <v>0.10693539614185056</v>
      </c>
      <c r="S1225" s="205"/>
    </row>
    <row r="1226" spans="2:19" ht="17" thickBot="1">
      <c r="B1226" s="231"/>
      <c r="C1226" s="232"/>
      <c r="D1226" s="233"/>
      <c r="E1226" s="233"/>
      <c r="F1226" s="233"/>
      <c r="G1226" s="205"/>
      <c r="H1226" s="231"/>
      <c r="I1226" s="232"/>
      <c r="J1226" s="233"/>
      <c r="K1226" s="233"/>
      <c r="L1226" s="234"/>
      <c r="M1226" s="205"/>
      <c r="N1226" s="231"/>
      <c r="O1226" s="232"/>
      <c r="P1226" s="233"/>
      <c r="Q1226" s="233"/>
      <c r="R1226" s="234"/>
      <c r="S1226" s="205"/>
    </row>
    <row r="1227" spans="2:19" ht="24" customHeight="1" thickBot="1">
      <c r="B1227" s="415" t="s">
        <v>312</v>
      </c>
      <c r="C1227" s="416"/>
      <c r="D1227" s="416"/>
      <c r="E1227" s="416"/>
      <c r="F1227" s="416"/>
      <c r="G1227" s="416"/>
      <c r="H1227" s="416"/>
      <c r="I1227" s="416"/>
      <c r="J1227" s="416"/>
      <c r="K1227" s="416"/>
      <c r="L1227" s="416"/>
      <c r="M1227" s="416"/>
      <c r="N1227" s="416"/>
      <c r="O1227" s="416"/>
      <c r="P1227" s="416"/>
      <c r="Q1227" s="416"/>
      <c r="R1227" s="417"/>
    </row>
    <row r="1228" spans="2:19" ht="23.25" customHeight="1">
      <c r="B1228" s="276" t="s">
        <v>16</v>
      </c>
      <c r="C1228" s="452" t="s">
        <v>10</v>
      </c>
      <c r="D1228" s="453"/>
      <c r="E1228" s="453"/>
      <c r="F1228" s="465"/>
      <c r="G1228" s="254"/>
      <c r="H1228" s="239" t="s">
        <v>16</v>
      </c>
      <c r="I1228" s="452" t="s">
        <v>96</v>
      </c>
      <c r="J1228" s="453"/>
      <c r="K1228" s="453"/>
      <c r="L1228" s="465"/>
      <c r="M1228" s="254"/>
      <c r="N1228" s="239" t="s">
        <v>16</v>
      </c>
      <c r="O1228" s="452" t="s">
        <v>77</v>
      </c>
      <c r="P1228" s="453"/>
      <c r="Q1228" s="453"/>
      <c r="R1228" s="465"/>
    </row>
    <row r="1229" spans="2:19" ht="33" thickBot="1">
      <c r="B1229" s="241" t="s">
        <v>313</v>
      </c>
      <c r="C1229" s="242" t="s">
        <v>6</v>
      </c>
      <c r="D1229" s="243" t="s">
        <v>25</v>
      </c>
      <c r="E1229" s="244" t="s">
        <v>314</v>
      </c>
      <c r="F1229" s="245" t="s">
        <v>315</v>
      </c>
      <c r="H1229" s="241" t="s">
        <v>313</v>
      </c>
      <c r="I1229" s="242" t="s">
        <v>6</v>
      </c>
      <c r="J1229" s="243" t="s">
        <v>25</v>
      </c>
      <c r="K1229" s="244" t="s">
        <v>314</v>
      </c>
      <c r="L1229" s="245" t="s">
        <v>315</v>
      </c>
      <c r="N1229" s="241" t="s">
        <v>313</v>
      </c>
      <c r="O1229" s="242" t="s">
        <v>6</v>
      </c>
      <c r="P1229" s="243" t="s">
        <v>25</v>
      </c>
      <c r="Q1229" s="244" t="s">
        <v>314</v>
      </c>
      <c r="R1229" s="245" t="s">
        <v>315</v>
      </c>
    </row>
    <row r="1230" spans="2:19">
      <c r="B1230" s="165" t="s">
        <v>182</v>
      </c>
      <c r="C1230" s="171">
        <f>VLOOKUP(B1230,'RESUMEN RENDIMIENTOS'!$V$6:$W$158,2,FALSE)</f>
        <v>1400</v>
      </c>
      <c r="D1230" s="288" t="s">
        <v>20</v>
      </c>
      <c r="E1230" s="167">
        <v>247</v>
      </c>
      <c r="F1230" s="175">
        <f t="shared" ref="F1230:F1245" si="108">IF(C1230=0,0,(100/C1230)*E1230/$E$37)</f>
        <v>7.1428571428571425E-2</v>
      </c>
      <c r="G1230" s="164">
        <f>+F1230/F1246</f>
        <v>0.28321326215104481</v>
      </c>
      <c r="H1230" s="170" t="s">
        <v>181</v>
      </c>
      <c r="I1230" s="171">
        <f>VLOOKUP(H1230,'RESUMEN RENDIMIENTOS'!$V$6:$W$158,2,FALSE)</f>
        <v>900</v>
      </c>
      <c r="J1230" s="177" t="s">
        <v>20</v>
      </c>
      <c r="K1230" s="172">
        <v>247</v>
      </c>
      <c r="L1230" s="175">
        <f t="shared" ref="L1230:L1245" si="109">IF(I1230=0,0,(100/I1230)*K1230/$E$37)</f>
        <v>0.1111111111111111</v>
      </c>
      <c r="M1230" s="164">
        <f>+L1230/L1246</f>
        <v>0.2865589469028238</v>
      </c>
      <c r="N1230" s="170" t="s">
        <v>181</v>
      </c>
      <c r="O1230" s="171">
        <f>VLOOKUP(N1230,'RESUMEN RENDIMIENTOS'!$V$6:$W$158,2,FALSE)</f>
        <v>900</v>
      </c>
      <c r="P1230" s="177" t="s">
        <v>20</v>
      </c>
      <c r="Q1230" s="172">
        <v>247</v>
      </c>
      <c r="R1230" s="175">
        <f t="shared" ref="R1230:R1245" si="110">IF(O1230=0,0,(100/O1230)*Q1230/$E$37)</f>
        <v>0.1111111111111111</v>
      </c>
      <c r="S1230" s="164">
        <f>+R1230/R1246</f>
        <v>0.2865589469028238</v>
      </c>
    </row>
    <row r="1231" spans="2:19">
      <c r="B1231" s="170" t="s">
        <v>201</v>
      </c>
      <c r="C1231" s="171">
        <f>VLOOKUP(B1231,'RESUMEN RENDIMIENTOS'!$V$6:$W$158,2,FALSE)</f>
        <v>500</v>
      </c>
      <c r="D1231" s="290" t="s">
        <v>53</v>
      </c>
      <c r="E1231" s="270">
        <v>123.5</v>
      </c>
      <c r="F1231" s="175">
        <f t="shared" si="108"/>
        <v>0.1</v>
      </c>
      <c r="G1231" s="174">
        <f>+F1231/F1246</f>
        <v>0.3964985670114628</v>
      </c>
      <c r="H1231" s="170" t="s">
        <v>203</v>
      </c>
      <c r="I1231" s="171">
        <f>VLOOKUP(H1231,'RESUMEN RENDIMIENTOS'!$V$6:$W$158,2,FALSE)</f>
        <v>600</v>
      </c>
      <c r="J1231" s="177" t="s">
        <v>56</v>
      </c>
      <c r="K1231" s="172">
        <v>52.14</v>
      </c>
      <c r="L1231" s="175">
        <f t="shared" si="109"/>
        <v>3.5182186234817815E-2</v>
      </c>
      <c r="M1231" s="174">
        <f>+L1231/L1246</f>
        <v>9.0735932134695746E-2</v>
      </c>
      <c r="N1231" s="170" t="s">
        <v>203</v>
      </c>
      <c r="O1231" s="171">
        <f>VLOOKUP(N1231,'RESUMEN RENDIMIENTOS'!$V$6:$W$158,2,FALSE)</f>
        <v>600</v>
      </c>
      <c r="P1231" s="177" t="s">
        <v>56</v>
      </c>
      <c r="Q1231" s="172">
        <v>52.14</v>
      </c>
      <c r="R1231" s="175">
        <f t="shared" si="110"/>
        <v>3.5182186234817815E-2</v>
      </c>
      <c r="S1231" s="174">
        <f>+R1231/R1246</f>
        <v>9.0735932134695746E-2</v>
      </c>
    </row>
    <row r="1232" spans="2:19">
      <c r="B1232" s="170" t="s">
        <v>259</v>
      </c>
      <c r="C1232" s="171">
        <f>VLOOKUP(B1232,'RESUMEN RENDIMIENTOS'!$V$6:$W$158,2,FALSE)</f>
        <v>1800</v>
      </c>
      <c r="D1232" s="290" t="s">
        <v>20</v>
      </c>
      <c r="E1232" s="270">
        <v>247</v>
      </c>
      <c r="F1232" s="175">
        <f t="shared" si="108"/>
        <v>5.5555555555555552E-2</v>
      </c>
      <c r="G1232" s="174">
        <f>+F1232/F1246</f>
        <v>0.22027698167303486</v>
      </c>
      <c r="H1232" s="170" t="s">
        <v>190</v>
      </c>
      <c r="I1232" s="171">
        <f>VLOOKUP(H1232,'RESUMEN RENDIMIENTOS'!$V$6:$W$158,2,FALSE)</f>
        <v>960</v>
      </c>
      <c r="J1232" s="177" t="s">
        <v>52</v>
      </c>
      <c r="K1232" s="172">
        <v>156.42000000000002</v>
      </c>
      <c r="L1232" s="175">
        <f t="shared" si="109"/>
        <v>6.5966599190283415E-2</v>
      </c>
      <c r="M1232" s="174">
        <f>+L1232/L1246</f>
        <v>0.17012987275255456</v>
      </c>
      <c r="N1232" s="170" t="s">
        <v>190</v>
      </c>
      <c r="O1232" s="171">
        <f>VLOOKUP(N1232,'RESUMEN RENDIMIENTOS'!$V$6:$W$158,2,FALSE)</f>
        <v>960</v>
      </c>
      <c r="P1232" s="177" t="s">
        <v>52</v>
      </c>
      <c r="Q1232" s="172">
        <v>156.42000000000002</v>
      </c>
      <c r="R1232" s="175">
        <f t="shared" si="110"/>
        <v>6.5966599190283415E-2</v>
      </c>
      <c r="S1232" s="174">
        <f>+R1232/R1246</f>
        <v>0.17012987275255456</v>
      </c>
    </row>
    <row r="1233" spans="2:19">
      <c r="B1233" s="170" t="s">
        <v>254</v>
      </c>
      <c r="C1233" s="171">
        <f>VLOOKUP(B1233,'RESUMEN RENDIMIENTOS'!$V$6:$W$158,2,FALSE)</f>
        <v>2000</v>
      </c>
      <c r="D1233" s="290" t="s">
        <v>30</v>
      </c>
      <c r="E1233" s="270">
        <v>24</v>
      </c>
      <c r="F1233" s="175">
        <f t="shared" si="108"/>
        <v>4.8582995951417015E-3</v>
      </c>
      <c r="G1233" s="174">
        <f>+F1233/F1246</f>
        <v>1.9263088275860544E-2</v>
      </c>
      <c r="H1233" s="170" t="s">
        <v>254</v>
      </c>
      <c r="I1233" s="171">
        <f>VLOOKUP(H1233,'RESUMEN RENDIMIENTOS'!$V$6:$W$158,2,FALSE)</f>
        <v>2000</v>
      </c>
      <c r="J1233" s="177" t="s">
        <v>56</v>
      </c>
      <c r="K1233" s="172">
        <v>52.14</v>
      </c>
      <c r="L1233" s="175">
        <f t="shared" si="109"/>
        <v>1.0554655870445346E-2</v>
      </c>
      <c r="M1233" s="174">
        <f>+L1233/L1246</f>
        <v>2.722077964040873E-2</v>
      </c>
      <c r="N1233" s="170" t="s">
        <v>254</v>
      </c>
      <c r="O1233" s="171">
        <f>VLOOKUP(N1233,'RESUMEN RENDIMIENTOS'!$V$6:$W$158,2,FALSE)</f>
        <v>2000</v>
      </c>
      <c r="P1233" s="177" t="s">
        <v>56</v>
      </c>
      <c r="Q1233" s="172">
        <v>52.14</v>
      </c>
      <c r="R1233" s="175">
        <f t="shared" si="110"/>
        <v>1.0554655870445346E-2</v>
      </c>
      <c r="S1233" s="174">
        <f>+R1233/R1246</f>
        <v>2.722077964040873E-2</v>
      </c>
    </row>
    <row r="1234" spans="2:19">
      <c r="B1234" s="170" t="s">
        <v>194</v>
      </c>
      <c r="C1234" s="171">
        <f>VLOOKUP(B1234,'RESUMEN RENDIMIENTOS'!$V$6:$W$158,2,FALSE)</f>
        <v>2000</v>
      </c>
      <c r="D1234" s="290" t="s">
        <v>30</v>
      </c>
      <c r="E1234" s="270">
        <v>24</v>
      </c>
      <c r="F1234" s="175">
        <f t="shared" si="108"/>
        <v>4.8582995951417015E-3</v>
      </c>
      <c r="G1234" s="174">
        <f>+F1234/F1246</f>
        <v>1.9263088275860544E-2</v>
      </c>
      <c r="H1234" s="170" t="s">
        <v>253</v>
      </c>
      <c r="I1234" s="171">
        <f>VLOOKUP(H1234,'RESUMEN RENDIMIENTOS'!$V$6:$W$158,2,FALSE)</f>
        <v>1500</v>
      </c>
      <c r="J1234" s="177" t="s">
        <v>20</v>
      </c>
      <c r="K1234" s="172">
        <v>247</v>
      </c>
      <c r="L1234" s="175">
        <f t="shared" si="109"/>
        <v>6.6666666666666666E-2</v>
      </c>
      <c r="M1234" s="174">
        <f>+L1234/L1246</f>
        <v>0.17193536814169427</v>
      </c>
      <c r="N1234" s="170" t="s">
        <v>253</v>
      </c>
      <c r="O1234" s="171">
        <f>VLOOKUP(N1234,'RESUMEN RENDIMIENTOS'!$V$6:$W$158,2,FALSE)</f>
        <v>1500</v>
      </c>
      <c r="P1234" s="177" t="s">
        <v>20</v>
      </c>
      <c r="Q1234" s="172">
        <v>247</v>
      </c>
      <c r="R1234" s="175">
        <f t="shared" si="110"/>
        <v>6.6666666666666666E-2</v>
      </c>
      <c r="S1234" s="174">
        <f>+R1234/R1246</f>
        <v>0.17193536814169427</v>
      </c>
    </row>
    <row r="1235" spans="2:19">
      <c r="B1235" s="170" t="s">
        <v>230</v>
      </c>
      <c r="C1235" s="171">
        <f>VLOOKUP(B1235,'RESUMEN RENDIMIENTOS'!$V$6:$W$158,2,FALSE)</f>
        <v>900</v>
      </c>
      <c r="D1235" s="290" t="s">
        <v>58</v>
      </c>
      <c r="E1235" s="270">
        <v>12</v>
      </c>
      <c r="F1235" s="175">
        <f t="shared" si="108"/>
        <v>5.3981106612685558E-3</v>
      </c>
      <c r="G1235" s="174">
        <f>+F1235/F1246</f>
        <v>2.1403431417622822E-2</v>
      </c>
      <c r="H1235" s="170" t="s">
        <v>259</v>
      </c>
      <c r="I1235" s="171">
        <f>VLOOKUP(H1235,'RESUMEN RENDIMIENTOS'!$V$6:$W$158,2,FALSE)</f>
        <v>1800</v>
      </c>
      <c r="J1235" s="177" t="s">
        <v>20</v>
      </c>
      <c r="K1235" s="172">
        <v>247</v>
      </c>
      <c r="L1235" s="175">
        <f t="shared" si="109"/>
        <v>5.5555555555555552E-2</v>
      </c>
      <c r="M1235" s="174">
        <f>+L1235/L1246</f>
        <v>0.1432794734514119</v>
      </c>
      <c r="N1235" s="170" t="s">
        <v>259</v>
      </c>
      <c r="O1235" s="171">
        <f>VLOOKUP(N1235,'RESUMEN RENDIMIENTOS'!$V$6:$W$158,2,FALSE)</f>
        <v>1800</v>
      </c>
      <c r="P1235" s="177" t="s">
        <v>20</v>
      </c>
      <c r="Q1235" s="172">
        <v>247</v>
      </c>
      <c r="R1235" s="175">
        <f t="shared" si="110"/>
        <v>5.5555555555555552E-2</v>
      </c>
      <c r="S1235" s="174">
        <f>+R1235/R1246</f>
        <v>0.1432794734514119</v>
      </c>
    </row>
    <row r="1236" spans="2:19">
      <c r="B1236" s="170" t="s">
        <v>234</v>
      </c>
      <c r="C1236" s="171">
        <f>VLOOKUP(B1236,'RESUMEN RENDIMIENTOS'!$V$6:$W$158,2,FALSE)</f>
        <v>805</v>
      </c>
      <c r="D1236" s="290" t="s">
        <v>62</v>
      </c>
      <c r="E1236" s="270">
        <v>4</v>
      </c>
      <c r="F1236" s="175">
        <f t="shared" si="108"/>
        <v>2.0117182588578471E-3</v>
      </c>
      <c r="G1236" s="174">
        <f>+F1236/F1246</f>
        <v>7.9764340686793132E-3</v>
      </c>
      <c r="H1236" s="170" t="s">
        <v>194</v>
      </c>
      <c r="I1236" s="171">
        <f>VLOOKUP(H1236,'RESUMEN RENDIMIENTOS'!$V$6:$W$158,2,FALSE)</f>
        <v>2000</v>
      </c>
      <c r="J1236" s="177" t="s">
        <v>56</v>
      </c>
      <c r="K1236" s="172">
        <v>52.14</v>
      </c>
      <c r="L1236" s="175">
        <f t="shared" si="109"/>
        <v>1.0554655870445346E-2</v>
      </c>
      <c r="M1236" s="174">
        <f>+L1236/L1246</f>
        <v>2.722077964040873E-2</v>
      </c>
      <c r="N1236" s="170" t="s">
        <v>194</v>
      </c>
      <c r="O1236" s="171">
        <f>VLOOKUP(N1236,'RESUMEN RENDIMIENTOS'!$V$6:$W$158,2,FALSE)</f>
        <v>2000</v>
      </c>
      <c r="P1236" s="177" t="s">
        <v>56</v>
      </c>
      <c r="Q1236" s="172">
        <v>52.14</v>
      </c>
      <c r="R1236" s="175">
        <f t="shared" si="110"/>
        <v>1.0554655870445346E-2</v>
      </c>
      <c r="S1236" s="174">
        <f>+R1236/R1246</f>
        <v>2.722077964040873E-2</v>
      </c>
    </row>
    <row r="1237" spans="2:19">
      <c r="B1237" s="170" t="s">
        <v>237</v>
      </c>
      <c r="C1237" s="171">
        <f>VLOOKUP(B1237,'RESUMEN RENDIMIENTOS'!$V$6:$W$158,2,FALSE)</f>
        <v>250</v>
      </c>
      <c r="D1237" s="290" t="s">
        <v>62</v>
      </c>
      <c r="E1237" s="270">
        <v>4</v>
      </c>
      <c r="F1237" s="175">
        <f t="shared" si="108"/>
        <v>6.4777327935222678E-3</v>
      </c>
      <c r="G1237" s="174">
        <f>+F1237/F1246</f>
        <v>2.568411770114739E-2</v>
      </c>
      <c r="H1237" s="170" t="s">
        <v>210</v>
      </c>
      <c r="I1237" s="171">
        <f>VLOOKUP(H1237,'RESUMEN RENDIMIENTOS'!$V$6:$W$158,2,FALSE)</f>
        <v>80</v>
      </c>
      <c r="J1237" s="177" t="s">
        <v>62</v>
      </c>
      <c r="K1237" s="172">
        <v>4</v>
      </c>
      <c r="L1237" s="175">
        <f t="shared" si="109"/>
        <v>2.0242914979757085E-2</v>
      </c>
      <c r="M1237" s="174">
        <f>+L1237/L1246</f>
        <v>5.2207095589583287E-2</v>
      </c>
      <c r="N1237" s="170" t="s">
        <v>210</v>
      </c>
      <c r="O1237" s="171">
        <f>VLOOKUP(N1237,'RESUMEN RENDIMIENTOS'!$V$6:$W$158,2,FALSE)</f>
        <v>80</v>
      </c>
      <c r="P1237" s="177" t="s">
        <v>62</v>
      </c>
      <c r="Q1237" s="172">
        <v>4</v>
      </c>
      <c r="R1237" s="175">
        <f t="shared" si="110"/>
        <v>2.0242914979757085E-2</v>
      </c>
      <c r="S1237" s="174">
        <f>+R1237/R1246</f>
        <v>5.2207095589583287E-2</v>
      </c>
    </row>
    <row r="1238" spans="2:19">
      <c r="B1238" s="170" t="s">
        <v>240</v>
      </c>
      <c r="C1238" s="171">
        <f>VLOOKUP(B1238,'RESUMEN RENDIMIENTOS'!$V$6:$W$158,2,FALSE)</f>
        <v>1000</v>
      </c>
      <c r="D1238" s="290" t="s">
        <v>62</v>
      </c>
      <c r="E1238" s="270">
        <v>4</v>
      </c>
      <c r="F1238" s="175">
        <f t="shared" si="108"/>
        <v>1.6194331983805669E-3</v>
      </c>
      <c r="G1238" s="174">
        <f>+F1238/F1246</f>
        <v>6.4210294252868474E-3</v>
      </c>
      <c r="H1238" s="170" t="s">
        <v>230</v>
      </c>
      <c r="I1238" s="171">
        <f>VLOOKUP(H1238,'RESUMEN RENDIMIENTOS'!$V$6:$W$158,2,FALSE)</f>
        <v>900</v>
      </c>
      <c r="J1238" s="177" t="s">
        <v>62</v>
      </c>
      <c r="K1238" s="172">
        <v>4</v>
      </c>
      <c r="L1238" s="175">
        <f t="shared" si="109"/>
        <v>1.7993702204228519E-3</v>
      </c>
      <c r="M1238" s="174">
        <f>+L1238/L1246</f>
        <v>4.6406307190740691E-3</v>
      </c>
      <c r="N1238" s="170" t="s">
        <v>230</v>
      </c>
      <c r="O1238" s="171">
        <f>VLOOKUP(N1238,'RESUMEN RENDIMIENTOS'!$V$6:$W$158,2,FALSE)</f>
        <v>900</v>
      </c>
      <c r="P1238" s="177" t="s">
        <v>62</v>
      </c>
      <c r="Q1238" s="172">
        <v>4</v>
      </c>
      <c r="R1238" s="175">
        <f t="shared" si="110"/>
        <v>1.7993702204228519E-3</v>
      </c>
      <c r="S1238" s="174">
        <f>+R1238/R1246</f>
        <v>4.6406307190740691E-3</v>
      </c>
    </row>
    <row r="1239" spans="2:19">
      <c r="B1239" s="170">
        <v>0</v>
      </c>
      <c r="C1239" s="171">
        <f>VLOOKUP(B1239,'RESUMEN RENDIMIENTOS'!$V$6:$W$158,2,FALSE)</f>
        <v>0</v>
      </c>
      <c r="D1239" s="177"/>
      <c r="E1239" s="270" t="s">
        <v>337</v>
      </c>
      <c r="F1239" s="175">
        <f t="shared" si="108"/>
        <v>0</v>
      </c>
      <c r="G1239" s="174">
        <f>+F1239/F1246</f>
        <v>0</v>
      </c>
      <c r="H1239" s="170" t="s">
        <v>234</v>
      </c>
      <c r="I1239" s="171">
        <f>VLOOKUP(H1239,'RESUMEN RENDIMIENTOS'!$V$6:$W$158,2,FALSE)</f>
        <v>805</v>
      </c>
      <c r="J1239" s="177" t="s">
        <v>62</v>
      </c>
      <c r="K1239" s="172">
        <v>4</v>
      </c>
      <c r="L1239" s="175">
        <f t="shared" si="109"/>
        <v>2.0117182588578471E-3</v>
      </c>
      <c r="M1239" s="174">
        <f>+L1239/L1246</f>
        <v>5.1882827915113823E-3</v>
      </c>
      <c r="N1239" s="170" t="s">
        <v>234</v>
      </c>
      <c r="O1239" s="171">
        <f>VLOOKUP(N1239,'RESUMEN RENDIMIENTOS'!$V$6:$W$158,2,FALSE)</f>
        <v>805</v>
      </c>
      <c r="P1239" s="177" t="s">
        <v>62</v>
      </c>
      <c r="Q1239" s="172">
        <v>4</v>
      </c>
      <c r="R1239" s="175">
        <f t="shared" si="110"/>
        <v>2.0117182588578471E-3</v>
      </c>
      <c r="S1239" s="174">
        <f>+R1239/R1246</f>
        <v>5.1882827915113823E-3</v>
      </c>
    </row>
    <row r="1240" spans="2:19">
      <c r="B1240" s="170">
        <v>0</v>
      </c>
      <c r="C1240" s="171">
        <f>VLOOKUP(B1240,'RESUMEN RENDIMIENTOS'!$V$6:$W$158,2,FALSE)</f>
        <v>0</v>
      </c>
      <c r="D1240" s="177"/>
      <c r="E1240" s="172" t="s">
        <v>337</v>
      </c>
      <c r="F1240" s="175">
        <f t="shared" si="108"/>
        <v>0</v>
      </c>
      <c r="G1240" s="174">
        <f>+F1240/F1246</f>
        <v>0</v>
      </c>
      <c r="H1240" s="170" t="s">
        <v>237</v>
      </c>
      <c r="I1240" s="171">
        <f>VLOOKUP(H1240,'RESUMEN RENDIMIENTOS'!$V$6:$W$158,2,FALSE)</f>
        <v>250</v>
      </c>
      <c r="J1240" s="177" t="s">
        <v>62</v>
      </c>
      <c r="K1240" s="172">
        <v>4</v>
      </c>
      <c r="L1240" s="175">
        <f t="shared" si="109"/>
        <v>6.4777327935222678E-3</v>
      </c>
      <c r="M1240" s="174">
        <f>+L1240/L1246</f>
        <v>1.6706270588666652E-2</v>
      </c>
      <c r="N1240" s="170" t="s">
        <v>237</v>
      </c>
      <c r="O1240" s="171">
        <f>VLOOKUP(N1240,'RESUMEN RENDIMIENTOS'!$V$6:$W$158,2,FALSE)</f>
        <v>250</v>
      </c>
      <c r="P1240" s="177" t="s">
        <v>62</v>
      </c>
      <c r="Q1240" s="172">
        <v>4</v>
      </c>
      <c r="R1240" s="175">
        <f t="shared" si="110"/>
        <v>6.4777327935222678E-3</v>
      </c>
      <c r="S1240" s="174">
        <f>+R1240/R1246</f>
        <v>1.6706270588666652E-2</v>
      </c>
    </row>
    <row r="1241" spans="2:19">
      <c r="B1241" s="170">
        <v>0</v>
      </c>
      <c r="C1241" s="171">
        <f>VLOOKUP(B1241,'RESUMEN RENDIMIENTOS'!$V$6:$W$158,2,FALSE)</f>
        <v>0</v>
      </c>
      <c r="D1241" s="177"/>
      <c r="E1241" s="172" t="s">
        <v>337</v>
      </c>
      <c r="F1241" s="175">
        <f t="shared" si="108"/>
        <v>0</v>
      </c>
      <c r="G1241" s="174">
        <f>+F1241/F1246</f>
        <v>0</v>
      </c>
      <c r="H1241" s="170" t="s">
        <v>240</v>
      </c>
      <c r="I1241" s="171">
        <f>VLOOKUP(H1241,'RESUMEN RENDIMIENTOS'!$V$6:$W$158,2,FALSE)</f>
        <v>1000</v>
      </c>
      <c r="J1241" s="177" t="s">
        <v>62</v>
      </c>
      <c r="K1241" s="172">
        <v>4</v>
      </c>
      <c r="L1241" s="175">
        <f t="shared" si="109"/>
        <v>1.6194331983805669E-3</v>
      </c>
      <c r="M1241" s="174">
        <f>+L1241/L1246</f>
        <v>4.1765676471666631E-3</v>
      </c>
      <c r="N1241" s="170" t="s">
        <v>240</v>
      </c>
      <c r="O1241" s="171">
        <f>VLOOKUP(N1241,'RESUMEN RENDIMIENTOS'!$V$6:$W$158,2,FALSE)</f>
        <v>1000</v>
      </c>
      <c r="P1241" s="177" t="s">
        <v>62</v>
      </c>
      <c r="Q1241" s="172">
        <v>4</v>
      </c>
      <c r="R1241" s="175">
        <f t="shared" si="110"/>
        <v>1.6194331983805669E-3</v>
      </c>
      <c r="S1241" s="174">
        <f>+R1241/R1246</f>
        <v>4.1765676471666631E-3</v>
      </c>
    </row>
    <row r="1242" spans="2:19">
      <c r="B1242" s="170">
        <v>0</v>
      </c>
      <c r="C1242" s="171">
        <f>VLOOKUP(B1242,'RESUMEN RENDIMIENTOS'!$V$6:$W$158,2,FALSE)</f>
        <v>0</v>
      </c>
      <c r="D1242" s="177"/>
      <c r="E1242" s="172" t="s">
        <v>337</v>
      </c>
      <c r="F1242" s="175">
        <f t="shared" si="108"/>
        <v>0</v>
      </c>
      <c r="G1242" s="174">
        <f>+F1242/F1246</f>
        <v>0</v>
      </c>
      <c r="H1242" s="170">
        <v>0</v>
      </c>
      <c r="I1242" s="171">
        <f>VLOOKUP(H1242,'RESUMEN RENDIMIENTOS'!$V$6:$W$158,2,FALSE)</f>
        <v>0</v>
      </c>
      <c r="J1242" s="177"/>
      <c r="K1242" s="172" t="s">
        <v>337</v>
      </c>
      <c r="L1242" s="175">
        <f t="shared" si="109"/>
        <v>0</v>
      </c>
      <c r="M1242" s="174">
        <f>+L1242/L1246</f>
        <v>0</v>
      </c>
      <c r="N1242" s="170">
        <v>0</v>
      </c>
      <c r="O1242" s="171">
        <f>VLOOKUP(N1242,'RESUMEN RENDIMIENTOS'!$V$6:$W$158,2,FALSE)</f>
        <v>0</v>
      </c>
      <c r="P1242" s="177"/>
      <c r="Q1242" s="172" t="s">
        <v>337</v>
      </c>
      <c r="R1242" s="175">
        <f t="shared" si="110"/>
        <v>0</v>
      </c>
      <c r="S1242" s="174">
        <f>+R1242/R1246</f>
        <v>0</v>
      </c>
    </row>
    <row r="1243" spans="2:19">
      <c r="B1243" s="170">
        <v>0</v>
      </c>
      <c r="C1243" s="171">
        <f>VLOOKUP(B1243,'RESUMEN RENDIMIENTOS'!$V$6:$W$158,2,FALSE)</f>
        <v>0</v>
      </c>
      <c r="D1243" s="177"/>
      <c r="E1243" s="172" t="s">
        <v>337</v>
      </c>
      <c r="F1243" s="175">
        <f t="shared" si="108"/>
        <v>0</v>
      </c>
      <c r="G1243" s="174">
        <f>+F1243/F1246</f>
        <v>0</v>
      </c>
      <c r="H1243" s="170">
        <v>0</v>
      </c>
      <c r="I1243" s="171">
        <f>VLOOKUP(H1243,'RESUMEN RENDIMIENTOS'!$V$6:$W$158,2,FALSE)</f>
        <v>0</v>
      </c>
      <c r="J1243" s="177"/>
      <c r="K1243" s="172" t="s">
        <v>337</v>
      </c>
      <c r="L1243" s="175">
        <f t="shared" si="109"/>
        <v>0</v>
      </c>
      <c r="M1243" s="174">
        <f>+L1243/L1246</f>
        <v>0</v>
      </c>
      <c r="N1243" s="170">
        <v>0</v>
      </c>
      <c r="O1243" s="171">
        <f>VLOOKUP(N1243,'RESUMEN RENDIMIENTOS'!$V$6:$W$158,2,FALSE)</f>
        <v>0</v>
      </c>
      <c r="P1243" s="177"/>
      <c r="Q1243" s="172" t="s">
        <v>337</v>
      </c>
      <c r="R1243" s="175">
        <f t="shared" si="110"/>
        <v>0</v>
      </c>
      <c r="S1243" s="174">
        <f>+R1243/R1246</f>
        <v>0</v>
      </c>
    </row>
    <row r="1244" spans="2:19">
      <c r="B1244" s="170">
        <v>0</v>
      </c>
      <c r="C1244" s="171">
        <f>VLOOKUP(B1244,'RESUMEN RENDIMIENTOS'!$V$6:$W$158,2,FALSE)</f>
        <v>0</v>
      </c>
      <c r="D1244" s="177"/>
      <c r="E1244" s="172" t="s">
        <v>337</v>
      </c>
      <c r="F1244" s="175">
        <f t="shared" si="108"/>
        <v>0</v>
      </c>
      <c r="G1244" s="174">
        <f>+F1244/F1246</f>
        <v>0</v>
      </c>
      <c r="H1244" s="170">
        <v>0</v>
      </c>
      <c r="I1244" s="171">
        <f>VLOOKUP(H1244,'RESUMEN RENDIMIENTOS'!$V$6:$W$158,2,FALSE)</f>
        <v>0</v>
      </c>
      <c r="J1244" s="177"/>
      <c r="K1244" s="172" t="s">
        <v>337</v>
      </c>
      <c r="L1244" s="175">
        <f t="shared" si="109"/>
        <v>0</v>
      </c>
      <c r="M1244" s="174">
        <f>+L1244/L1246</f>
        <v>0</v>
      </c>
      <c r="N1244" s="170">
        <v>0</v>
      </c>
      <c r="O1244" s="171">
        <f>VLOOKUP(N1244,'RESUMEN RENDIMIENTOS'!$V$6:$W$158,2,FALSE)</f>
        <v>0</v>
      </c>
      <c r="P1244" s="177"/>
      <c r="Q1244" s="172" t="s">
        <v>337</v>
      </c>
      <c r="R1244" s="175">
        <f t="shared" si="110"/>
        <v>0</v>
      </c>
      <c r="S1244" s="174">
        <f>+R1244/R1246</f>
        <v>0</v>
      </c>
    </row>
    <row r="1245" spans="2:19">
      <c r="B1245" s="170">
        <v>0</v>
      </c>
      <c r="C1245" s="171">
        <f>VLOOKUP(B1245,'RESUMEN RENDIMIENTOS'!$V$6:$W$158,2,FALSE)</f>
        <v>0</v>
      </c>
      <c r="D1245" s="177"/>
      <c r="E1245" s="172" t="s">
        <v>337</v>
      </c>
      <c r="F1245" s="175">
        <f t="shared" si="108"/>
        <v>0</v>
      </c>
      <c r="G1245" s="174">
        <f>+F1245/F1246</f>
        <v>0</v>
      </c>
      <c r="H1245" s="170">
        <v>0</v>
      </c>
      <c r="I1245" s="171">
        <f>VLOOKUP(H1245,'RESUMEN RENDIMIENTOS'!$V$6:$W$158,2,FALSE)</f>
        <v>0</v>
      </c>
      <c r="J1245" s="177"/>
      <c r="K1245" s="172" t="s">
        <v>337</v>
      </c>
      <c r="L1245" s="175">
        <f t="shared" si="109"/>
        <v>0</v>
      </c>
      <c r="M1245" s="174">
        <f>+L1245/L1246</f>
        <v>0</v>
      </c>
      <c r="N1245" s="170">
        <v>0</v>
      </c>
      <c r="O1245" s="171">
        <f>VLOOKUP(N1245,'RESUMEN RENDIMIENTOS'!$V$6:$W$158,2,FALSE)</f>
        <v>0</v>
      </c>
      <c r="P1245" s="177"/>
      <c r="Q1245" s="172" t="s">
        <v>337</v>
      </c>
      <c r="R1245" s="175">
        <f t="shared" si="110"/>
        <v>0</v>
      </c>
      <c r="S1245" s="174">
        <f>+R1245/R1246</f>
        <v>0</v>
      </c>
    </row>
    <row r="1246" spans="2:19" ht="26.25" customHeight="1" thickBot="1">
      <c r="B1246" s="178"/>
      <c r="E1246" s="90"/>
      <c r="F1246" s="173">
        <f>SUM(F1230:F1245)</f>
        <v>0.25220772108643963</v>
      </c>
      <c r="G1246" s="181">
        <f>+F1246/F1246</f>
        <v>1</v>
      </c>
      <c r="H1246" s="178"/>
      <c r="I1246" s="179"/>
      <c r="J1246" s="182" t="s">
        <v>24</v>
      </c>
      <c r="K1246" s="90"/>
      <c r="L1246" s="173">
        <f>SUM(L1230:L1245)</f>
        <v>0.38774259995026594</v>
      </c>
      <c r="M1246" s="181">
        <f>+L1246/L1246</f>
        <v>1</v>
      </c>
      <c r="N1246" s="178"/>
      <c r="O1246" s="179"/>
      <c r="Q1246" s="90"/>
      <c r="R1246" s="175">
        <f>SUM(R1230:R1245)</f>
        <v>0.38774259995026594</v>
      </c>
      <c r="S1246" s="181">
        <f>+R1246/R1246</f>
        <v>1</v>
      </c>
    </row>
    <row r="1247" spans="2:19" ht="18" customHeight="1">
      <c r="B1247" s="427" t="s">
        <v>317</v>
      </c>
      <c r="C1247" s="428"/>
      <c r="D1247" s="429"/>
      <c r="E1247" s="185">
        <v>0.12</v>
      </c>
      <c r="F1247" s="173">
        <f>+F1246*E1247</f>
        <v>3.0264926530372754E-2</v>
      </c>
      <c r="H1247" s="427" t="s">
        <v>317</v>
      </c>
      <c r="I1247" s="428"/>
      <c r="J1247" s="429"/>
      <c r="K1247" s="185">
        <v>0.12</v>
      </c>
      <c r="L1247" s="173">
        <f>+L1246*K1247</f>
        <v>4.652911199403191E-2</v>
      </c>
      <c r="N1247" s="427" t="s">
        <v>317</v>
      </c>
      <c r="O1247" s="428"/>
      <c r="P1247" s="429"/>
      <c r="Q1247" s="185">
        <v>0.12</v>
      </c>
      <c r="R1247" s="175">
        <f>+R1246*Q1247</f>
        <v>4.652911199403191E-2</v>
      </c>
    </row>
    <row r="1248" spans="2:19" ht="18" customHeight="1">
      <c r="B1248" s="178"/>
      <c r="F1248" s="173">
        <f>+F1247+F1246</f>
        <v>0.2824726476168124</v>
      </c>
      <c r="G1248" s="187">
        <f>+F1248/24</f>
        <v>1.1769693650700517E-2</v>
      </c>
      <c r="H1248" s="178"/>
      <c r="I1248" s="179"/>
      <c r="K1248" s="88"/>
      <c r="L1248" s="173">
        <f>+L1247+L1246</f>
        <v>0.43427171194429787</v>
      </c>
      <c r="M1248" s="187">
        <f>+L1248/24</f>
        <v>1.8094654664345743E-2</v>
      </c>
      <c r="N1248" s="178"/>
      <c r="O1248" s="179"/>
      <c r="R1248" s="175">
        <f>+R1247+R1246</f>
        <v>0.43427171194429787</v>
      </c>
      <c r="S1248" s="187">
        <f>+R1248/24</f>
        <v>1.8094654664345743E-2</v>
      </c>
    </row>
    <row r="1249" spans="2:19">
      <c r="B1249" s="178"/>
      <c r="D1249" s="188"/>
      <c r="F1249" s="189"/>
      <c r="H1249" s="178"/>
      <c r="I1249" s="179"/>
      <c r="J1249" s="188"/>
      <c r="K1249" s="88"/>
      <c r="L1249" s="189"/>
      <c r="N1249" s="178"/>
      <c r="O1249" s="179"/>
      <c r="P1249" s="188"/>
      <c r="R1249" s="189"/>
    </row>
    <row r="1250" spans="2:19" ht="21">
      <c r="B1250" s="191" t="s">
        <v>318</v>
      </c>
      <c r="C1250" s="192"/>
      <c r="D1250" s="192"/>
      <c r="E1250" s="444">
        <f>IF(F1248=0,0,(100/F1248))</f>
        <v>354.01657768880602</v>
      </c>
      <c r="F1250" s="445"/>
      <c r="H1250" s="191" t="s">
        <v>318</v>
      </c>
      <c r="I1250" s="192"/>
      <c r="J1250" s="192"/>
      <c r="K1250" s="444">
        <f>IF(L1248=0,0,(100/L1248))</f>
        <v>230.27058233262628</v>
      </c>
      <c r="L1250" s="445"/>
      <c r="N1250" s="191" t="s">
        <v>318</v>
      </c>
      <c r="O1250" s="192"/>
      <c r="P1250" s="192"/>
      <c r="Q1250" s="444">
        <f>IF(R1248=0,0,(100/R1248))</f>
        <v>230.27058233262628</v>
      </c>
      <c r="R1250" s="445"/>
    </row>
    <row r="1251" spans="2:19">
      <c r="B1251" s="178"/>
      <c r="H1251" s="178"/>
      <c r="I1251" s="179"/>
      <c r="K1251" s="88"/>
      <c r="L1251" s="189"/>
      <c r="N1251" s="178"/>
      <c r="O1251" s="179"/>
      <c r="R1251" s="189"/>
    </row>
    <row r="1252" spans="2:19" ht="21">
      <c r="B1252" s="446" t="s">
        <v>319</v>
      </c>
      <c r="C1252" s="447"/>
      <c r="D1252" s="447"/>
      <c r="E1252" s="447"/>
      <c r="F1252" s="448"/>
      <c r="H1252" s="446" t="s">
        <v>319</v>
      </c>
      <c r="I1252" s="447"/>
      <c r="J1252" s="447"/>
      <c r="K1252" s="447"/>
      <c r="L1252" s="448"/>
      <c r="N1252" s="446" t="s">
        <v>319</v>
      </c>
      <c r="O1252" s="447"/>
      <c r="P1252" s="447"/>
      <c r="Q1252" s="447"/>
      <c r="R1252" s="448"/>
    </row>
    <row r="1253" spans="2:19" ht="18" customHeight="1">
      <c r="B1253" s="194" t="s">
        <v>320</v>
      </c>
      <c r="C1253" s="195"/>
      <c r="D1253" s="435" t="s">
        <v>321</v>
      </c>
      <c r="E1253" s="435"/>
      <c r="F1253" s="196" t="s">
        <v>322</v>
      </c>
      <c r="H1253" s="194" t="s">
        <v>320</v>
      </c>
      <c r="I1253" s="195"/>
      <c r="J1253" s="435" t="s">
        <v>321</v>
      </c>
      <c r="K1253" s="435"/>
      <c r="L1253" s="196" t="s">
        <v>322</v>
      </c>
      <c r="N1253" s="194" t="s">
        <v>320</v>
      </c>
      <c r="O1253" s="195"/>
      <c r="P1253" s="435" t="s">
        <v>321</v>
      </c>
      <c r="Q1253" s="435"/>
      <c r="R1253" s="196" t="s">
        <v>322</v>
      </c>
    </row>
    <row r="1254" spans="2:19">
      <c r="B1254" s="197" t="s">
        <v>278</v>
      </c>
      <c r="C1254" s="201">
        <v>1</v>
      </c>
      <c r="E1254" s="199">
        <f>IF(C1254=0,0,(VLOOKUP(B1254,'RESUMEN RENDIMIENTOS'!$AB$6:$AO$64,13,FALSE)))*C1254</f>
        <v>0.75</v>
      </c>
      <c r="F1254" s="200">
        <f>IF(C1254=0,0,(VLOOKUP(B1254,'RESUMEN RENDIMIENTOS'!$AB$6:$AO$64,14,FALSE)))*C1254</f>
        <v>1.0285714285714287E-2</v>
      </c>
      <c r="H1254" s="197" t="s">
        <v>278</v>
      </c>
      <c r="I1254" s="201">
        <v>1</v>
      </c>
      <c r="K1254" s="199">
        <f>IF(I1254=0,0,(VLOOKUP(H1254,'RESUMEN RENDIMIENTOS'!$AB$6:$AO$64,13,FALSE)))*I1254</f>
        <v>0.75</v>
      </c>
      <c r="L1254" s="200">
        <f>IF(I1254=0,0,(VLOOKUP(H1254,'RESUMEN RENDIMIENTOS'!$AB$6:$AO$64,14,FALSE)))*I1254</f>
        <v>1.0285714285714287E-2</v>
      </c>
      <c r="N1254" s="197" t="s">
        <v>278</v>
      </c>
      <c r="O1254" s="198">
        <v>1</v>
      </c>
      <c r="Q1254" s="199">
        <f>IF(O1254=0,0,(VLOOKUP(N1254,'RESUMEN RENDIMIENTOS'!$AB$6:$AO$64,13,FALSE)))*O1254</f>
        <v>0.75</v>
      </c>
      <c r="R1254" s="200">
        <f>IF(O1254=0,0,(VLOOKUP(N1254,'RESUMEN RENDIMIENTOS'!$AB$6:$AO$64,14,FALSE)))*O1254</f>
        <v>1.0285714285714287E-2</v>
      </c>
    </row>
    <row r="1255" spans="2:19">
      <c r="B1255" s="197" t="s">
        <v>279</v>
      </c>
      <c r="C1255" s="201">
        <v>1</v>
      </c>
      <c r="E1255" s="199">
        <f>IF(C1255=0,0,(VLOOKUP(B1255,'RESUMEN RENDIMIENTOS'!$AB$6:$AO$64,13,FALSE)))*C1255</f>
        <v>2</v>
      </c>
      <c r="F1255" s="200">
        <f>IF(C1255=0,0,(VLOOKUP(B1255,'RESUMEN RENDIMIENTOS'!$AB$6:$AO$64,14,FALSE)))*C1255</f>
        <v>9.5999999999999988E-2</v>
      </c>
      <c r="H1255" s="197" t="s">
        <v>279</v>
      </c>
      <c r="I1255" s="201">
        <v>1</v>
      </c>
      <c r="K1255" s="199">
        <f>IF(I1255=0,0,(VLOOKUP(H1255,'RESUMEN RENDIMIENTOS'!$AB$6:$AO$64,13,FALSE)))*I1255</f>
        <v>2</v>
      </c>
      <c r="L1255" s="200">
        <f>IF(I1255=0,0,(VLOOKUP(H1255,'RESUMEN RENDIMIENTOS'!$AB$6:$AO$64,14,FALSE)))*I1255</f>
        <v>9.5999999999999988E-2</v>
      </c>
      <c r="N1255" s="197" t="s">
        <v>279</v>
      </c>
      <c r="O1255" s="198">
        <v>1</v>
      </c>
      <c r="Q1255" s="199">
        <f>IF(O1255=0,0,(VLOOKUP(N1255,'RESUMEN RENDIMIENTOS'!$AB$6:$AO$64,13,FALSE)))*O1255</f>
        <v>2</v>
      </c>
      <c r="R1255" s="200">
        <f>IF(O1255=0,0,(VLOOKUP(N1255,'RESUMEN RENDIMIENTOS'!$AB$6:$AO$64,14,FALSE)))*O1255</f>
        <v>9.5999999999999988E-2</v>
      </c>
    </row>
    <row r="1256" spans="2:19">
      <c r="B1256" s="197" t="s">
        <v>284</v>
      </c>
      <c r="C1256" s="201">
        <v>0.25</v>
      </c>
      <c r="E1256" s="199">
        <f>IF(C1256=0,0,(VLOOKUP(B1256,'RESUMEN RENDIMIENTOS'!$AB$6:$AO$64,13,FALSE)))*C1256</f>
        <v>0.52500000000000002</v>
      </c>
      <c r="F1256" s="200">
        <f>IF(C1256=0,0,(VLOOKUP(B1256,'RESUMEN RENDIMIENTOS'!$AB$6:$AO$64,14,FALSE)))*C1256</f>
        <v>4.2000000000000003E-2</v>
      </c>
      <c r="H1256" s="197" t="s">
        <v>284</v>
      </c>
      <c r="I1256" s="201">
        <v>0.25</v>
      </c>
      <c r="K1256" s="199">
        <f>IF(I1256=0,0,(VLOOKUP(H1256,'RESUMEN RENDIMIENTOS'!$AB$6:$AO$64,13,FALSE)))*I1256</f>
        <v>0.52500000000000002</v>
      </c>
      <c r="L1256" s="200">
        <f>IF(I1256=0,0,(VLOOKUP(H1256,'RESUMEN RENDIMIENTOS'!$AB$6:$AO$64,14,FALSE)))*I1256</f>
        <v>4.2000000000000003E-2</v>
      </c>
      <c r="N1256" s="197" t="s">
        <v>284</v>
      </c>
      <c r="O1256" s="198">
        <v>0.25</v>
      </c>
      <c r="Q1256" s="199">
        <f>IF(O1256=0,0,(VLOOKUP(N1256,'RESUMEN RENDIMIENTOS'!$AB$6:$AO$64,13,FALSE)))*O1256</f>
        <v>0.52500000000000002</v>
      </c>
      <c r="R1256" s="200">
        <f>IF(O1256=0,0,(VLOOKUP(N1256,'RESUMEN RENDIMIENTOS'!$AB$6:$AO$64,14,FALSE)))*O1256</f>
        <v>4.2000000000000003E-2</v>
      </c>
    </row>
    <row r="1257" spans="2:19">
      <c r="B1257" s="197" t="s">
        <v>283</v>
      </c>
      <c r="C1257" s="201">
        <v>1</v>
      </c>
      <c r="E1257" s="199">
        <f>IF(C1257=0,0,(VLOOKUP(B1257,'RESUMEN RENDIMIENTOS'!$AB$6:$AO$64,13,FALSE)))*C1257</f>
        <v>1.59</v>
      </c>
      <c r="F1257" s="200">
        <f>IF(C1257=0,0,(VLOOKUP(B1257,'RESUMEN RENDIMIENTOS'!$AB$6:$AO$64,14,FALSE)))*C1257</f>
        <v>0.12720000000000001</v>
      </c>
      <c r="H1257" s="197" t="s">
        <v>283</v>
      </c>
      <c r="I1257" s="201">
        <v>1</v>
      </c>
      <c r="K1257" s="199">
        <f>IF(I1257=0,0,(VLOOKUP(H1257,'RESUMEN RENDIMIENTOS'!$AB$6:$AO$64,13,FALSE)))*I1257</f>
        <v>1.59</v>
      </c>
      <c r="L1257" s="200">
        <f>IF(I1257=0,0,(VLOOKUP(H1257,'RESUMEN RENDIMIENTOS'!$AB$6:$AO$64,14,FALSE)))*I1257</f>
        <v>0.12720000000000001</v>
      </c>
      <c r="N1257" s="197" t="s">
        <v>283</v>
      </c>
      <c r="O1257" s="198">
        <v>1</v>
      </c>
      <c r="Q1257" s="199">
        <f>IF(O1257=0,0,(VLOOKUP(N1257,'RESUMEN RENDIMIENTOS'!$AB$6:$AO$64,13,FALSE)))*O1257</f>
        <v>1.59</v>
      </c>
      <c r="R1257" s="200">
        <f>IF(O1257=0,0,(VLOOKUP(N1257,'RESUMEN RENDIMIENTOS'!$AB$6:$AO$64,14,FALSE)))*O1257</f>
        <v>0.12720000000000001</v>
      </c>
    </row>
    <row r="1258" spans="2:19">
      <c r="B1258" s="197" t="s">
        <v>282</v>
      </c>
      <c r="C1258" s="201">
        <v>1</v>
      </c>
      <c r="E1258" s="199">
        <f>IF(C1258=0,0,(VLOOKUP(B1258,'RESUMEN RENDIMIENTOS'!$AB$6:$AO$64,13,FALSE)))*C1258</f>
        <v>2.62</v>
      </c>
      <c r="F1258" s="200">
        <f>IF(C1258=0,0,(VLOOKUP(B1258,'RESUMEN RENDIMIENTOS'!$AB$6:$AO$64,14,FALSE)))*C1258</f>
        <v>6.986666666666666E-2</v>
      </c>
      <c r="H1258" s="197" t="s">
        <v>282</v>
      </c>
      <c r="I1258" s="201">
        <v>1</v>
      </c>
      <c r="K1258" s="199">
        <f>IF(I1258=0,0,(VLOOKUP(H1258,'RESUMEN RENDIMIENTOS'!$AB$6:$AO$64,13,FALSE)))*I1258</f>
        <v>2.62</v>
      </c>
      <c r="L1258" s="200">
        <f>IF(I1258=0,0,(VLOOKUP(H1258,'RESUMEN RENDIMIENTOS'!$AB$6:$AO$64,14,FALSE)))*I1258</f>
        <v>6.986666666666666E-2</v>
      </c>
      <c r="N1258" s="197" t="s">
        <v>282</v>
      </c>
      <c r="O1258" s="198">
        <v>1</v>
      </c>
      <c r="Q1258" s="199">
        <f>IF(O1258=0,0,(VLOOKUP(N1258,'RESUMEN RENDIMIENTOS'!$AB$6:$AO$64,13,FALSE)))*O1258</f>
        <v>2.62</v>
      </c>
      <c r="R1258" s="200">
        <f>IF(O1258=0,0,(VLOOKUP(N1258,'RESUMEN RENDIMIENTOS'!$AB$6:$AO$64,14,FALSE)))*O1258</f>
        <v>6.986666666666666E-2</v>
      </c>
    </row>
    <row r="1259" spans="2:19">
      <c r="B1259" s="197" t="s">
        <v>302</v>
      </c>
      <c r="C1259" s="201">
        <v>1</v>
      </c>
      <c r="E1259" s="199">
        <f>IF(C1259=0,0,(VLOOKUP(B1259,'RESUMEN RENDIMIENTOS'!$AB$6:$AO$64,13,FALSE)))*C1259</f>
        <v>1</v>
      </c>
      <c r="F1259" s="200">
        <f>IF(C1259=0,0,(VLOOKUP(B1259,'RESUMEN RENDIMIENTOS'!$AB$6:$AO$64,14,FALSE)))*C1259</f>
        <v>0.2</v>
      </c>
      <c r="H1259" s="197" t="s">
        <v>302</v>
      </c>
      <c r="I1259" s="201">
        <v>1</v>
      </c>
      <c r="K1259" s="199">
        <f>IF(I1259=0,0,(VLOOKUP(H1259,'RESUMEN RENDIMIENTOS'!$AB$6:$AO$64,13,FALSE)))*I1259</f>
        <v>1</v>
      </c>
      <c r="L1259" s="200">
        <f>IF(I1259=0,0,(VLOOKUP(H1259,'RESUMEN RENDIMIENTOS'!$AB$6:$AO$64,14,FALSE)))*I1259</f>
        <v>0.2</v>
      </c>
      <c r="N1259" s="197" t="s">
        <v>302</v>
      </c>
      <c r="O1259" s="198">
        <v>1</v>
      </c>
      <c r="Q1259" s="199">
        <f>IF(O1259=0,0,(VLOOKUP(N1259,'RESUMEN RENDIMIENTOS'!$AB$6:$AO$64,13,FALSE)))*O1259</f>
        <v>1</v>
      </c>
      <c r="R1259" s="200">
        <f>IF(O1259=0,0,(VLOOKUP(N1259,'RESUMEN RENDIMIENTOS'!$AB$6:$AO$64,14,FALSE)))*O1259</f>
        <v>0.2</v>
      </c>
    </row>
    <row r="1260" spans="2:19">
      <c r="B1260" s="202"/>
      <c r="F1260" s="204">
        <f>SUM(F1254:F1259)</f>
        <v>0.54535238095238103</v>
      </c>
      <c r="G1260" s="205">
        <f>+F1260</f>
        <v>0.54535238095238103</v>
      </c>
      <c r="H1260" s="202"/>
      <c r="I1260" s="179"/>
      <c r="K1260" s="88"/>
      <c r="L1260" s="206">
        <f>SUM(L1254:L1259)</f>
        <v>0.54535238095238103</v>
      </c>
      <c r="M1260" s="205">
        <f>+L1260</f>
        <v>0.54535238095238103</v>
      </c>
      <c r="N1260" s="202"/>
      <c r="O1260" s="179"/>
      <c r="R1260" s="206">
        <f>SUM(R1254:R1259)</f>
        <v>0.54535238095238103</v>
      </c>
      <c r="S1260" s="205">
        <f>+R1260</f>
        <v>0.54535238095238103</v>
      </c>
    </row>
    <row r="1261" spans="2:19">
      <c r="B1261" s="436" t="s">
        <v>324</v>
      </c>
      <c r="C1261" s="437"/>
      <c r="D1261" s="437"/>
      <c r="E1261" s="437"/>
      <c r="F1261" s="437"/>
      <c r="G1261" s="205"/>
      <c r="H1261" s="436" t="s">
        <v>324</v>
      </c>
      <c r="I1261" s="437"/>
      <c r="J1261" s="437"/>
      <c r="K1261" s="437"/>
      <c r="L1261" s="455"/>
      <c r="M1261" s="205"/>
      <c r="N1261" s="436" t="s">
        <v>324</v>
      </c>
      <c r="O1261" s="437"/>
      <c r="P1261" s="437"/>
      <c r="Q1261" s="437"/>
      <c r="R1261" s="455"/>
      <c r="S1261" s="205"/>
    </row>
    <row r="1262" spans="2:19">
      <c r="B1262" s="210" t="s">
        <v>325</v>
      </c>
      <c r="C1262" s="211">
        <v>1</v>
      </c>
      <c r="D1262" s="212">
        <v>21.712335174960327</v>
      </c>
      <c r="E1262" s="213">
        <f>F1248</f>
        <v>0.2824726476168124</v>
      </c>
      <c r="F1262" s="214">
        <f>+IF(C1262&gt;="",0,(D1262*E1262))</f>
        <v>6.1331408028146894</v>
      </c>
      <c r="G1262" s="215"/>
      <c r="H1262" s="210" t="s">
        <v>325</v>
      </c>
      <c r="I1262" s="211">
        <v>1</v>
      </c>
      <c r="J1262" s="212">
        <v>21.712335174960327</v>
      </c>
      <c r="K1262" s="213">
        <f>L1248</f>
        <v>0.43427171194429787</v>
      </c>
      <c r="L1262" s="216">
        <f>+IF(I1262&gt;="",0,(J1262*K1262))</f>
        <v>9.4290529667384178</v>
      </c>
      <c r="M1262" s="215"/>
      <c r="N1262" s="210" t="s">
        <v>325</v>
      </c>
      <c r="O1262" s="211">
        <v>1</v>
      </c>
      <c r="P1262" s="212">
        <v>21.712335174960327</v>
      </c>
      <c r="Q1262" s="213">
        <f>R1248</f>
        <v>0.43427171194429787</v>
      </c>
      <c r="R1262" s="214">
        <f>+IF(O1262&gt;="",0,(P1262*Q1262))</f>
        <v>9.4290529667384178</v>
      </c>
      <c r="S1262" s="215"/>
    </row>
    <row r="1263" spans="2:19">
      <c r="B1263" s="210" t="s">
        <v>326</v>
      </c>
      <c r="C1263" s="211"/>
      <c r="D1263" s="212">
        <f>+D1262*25%</f>
        <v>5.4280837937400817</v>
      </c>
      <c r="E1263" s="213">
        <f>F1248</f>
        <v>0.2824726476168124</v>
      </c>
      <c r="F1263" s="214">
        <f>+IF(C1263= "",0,(D1263*E1263))</f>
        <v>0</v>
      </c>
      <c r="G1263" s="215"/>
      <c r="H1263" s="210" t="s">
        <v>326</v>
      </c>
      <c r="I1263" s="211"/>
      <c r="J1263" s="212">
        <f>+J1262*25%</f>
        <v>5.4280837937400817</v>
      </c>
      <c r="K1263" s="213">
        <f>L1248</f>
        <v>0.43427171194429787</v>
      </c>
      <c r="L1263" s="216">
        <f>+IF(I1263= "",0,(J1263*K1263))</f>
        <v>0</v>
      </c>
      <c r="M1263" s="215"/>
      <c r="N1263" s="210" t="s">
        <v>326</v>
      </c>
      <c r="O1263" s="211"/>
      <c r="P1263" s="212">
        <f>+P1262*25%</f>
        <v>5.4280837937400817</v>
      </c>
      <c r="Q1263" s="213">
        <f>R1248</f>
        <v>0.43427171194429787</v>
      </c>
      <c r="R1263" s="214">
        <f>+IF(O1263= "",0,(P1263*Q1263))</f>
        <v>0</v>
      </c>
      <c r="S1263" s="215"/>
    </row>
    <row r="1264" spans="2:19">
      <c r="B1264" s="210" t="s">
        <v>327</v>
      </c>
      <c r="C1264" s="211"/>
      <c r="D1264" s="212">
        <f>+D1262*50%</f>
        <v>10.856167587480163</v>
      </c>
      <c r="E1264" s="213">
        <f>F1248</f>
        <v>0.2824726476168124</v>
      </c>
      <c r="F1264" s="214">
        <f>+IF(C1264= "",0,(D1264*E1264))</f>
        <v>0</v>
      </c>
      <c r="G1264" s="215"/>
      <c r="H1264" s="210" t="s">
        <v>327</v>
      </c>
      <c r="I1264" s="211"/>
      <c r="J1264" s="212">
        <f>+J1262*50%</f>
        <v>10.856167587480163</v>
      </c>
      <c r="K1264" s="213">
        <f>L1248</f>
        <v>0.43427171194429787</v>
      </c>
      <c r="L1264" s="216">
        <f>+IF(I1264= "",0,(J1264*K1264))</f>
        <v>0</v>
      </c>
      <c r="M1264" s="215"/>
      <c r="N1264" s="210" t="s">
        <v>327</v>
      </c>
      <c r="O1264" s="211"/>
      <c r="P1264" s="212">
        <f>+P1262*50%</f>
        <v>10.856167587480163</v>
      </c>
      <c r="Q1264" s="213">
        <f>R1248</f>
        <v>0.43427171194429787</v>
      </c>
      <c r="R1264" s="214">
        <f>+IF(O1264= "",0,(P1264*Q1264))</f>
        <v>0</v>
      </c>
      <c r="S1264" s="215"/>
    </row>
    <row r="1265" spans="2:19">
      <c r="B1265" s="202"/>
      <c r="F1265" s="217">
        <f>SUM(F1262:F1264)</f>
        <v>6.1331408028146894</v>
      </c>
      <c r="G1265" s="218"/>
      <c r="H1265" s="202"/>
      <c r="I1265" s="179"/>
      <c r="K1265" s="88"/>
      <c r="L1265" s="219">
        <f>SUM(L1262:L1264)</f>
        <v>9.4290529667384178</v>
      </c>
      <c r="M1265" s="218"/>
      <c r="N1265" s="202"/>
      <c r="O1265" s="179"/>
      <c r="R1265" s="217">
        <f>SUM(R1262:R1264)</f>
        <v>9.4290529667384178</v>
      </c>
      <c r="S1265" s="218"/>
    </row>
    <row r="1266" spans="2:19">
      <c r="B1266" s="202"/>
      <c r="G1266" s="220"/>
      <c r="H1266" s="202"/>
      <c r="I1266" s="179"/>
      <c r="K1266" s="88"/>
      <c r="L1266" s="189"/>
      <c r="M1266" s="220"/>
      <c r="N1266" s="202"/>
      <c r="O1266" s="179"/>
      <c r="R1266" s="189"/>
      <c r="S1266" s="220"/>
    </row>
    <row r="1267" spans="2:19" ht="21">
      <c r="B1267" s="438" t="s">
        <v>328</v>
      </c>
      <c r="C1267" s="439"/>
      <c r="D1267" s="439"/>
      <c r="E1267" s="440"/>
      <c r="F1267" s="221">
        <f>+F1260+F1265</f>
        <v>6.6784931837670705</v>
      </c>
      <c r="G1267" s="205">
        <f>+F1267</f>
        <v>6.6784931837670705</v>
      </c>
      <c r="H1267" s="438" t="s">
        <v>328</v>
      </c>
      <c r="I1267" s="439"/>
      <c r="J1267" s="439"/>
      <c r="K1267" s="440"/>
      <c r="L1267" s="225">
        <f>+L1260+L1265</f>
        <v>9.9744053476907979</v>
      </c>
      <c r="M1267" s="205">
        <f>+L1267</f>
        <v>9.9744053476907979</v>
      </c>
      <c r="N1267" s="438" t="s">
        <v>328</v>
      </c>
      <c r="O1267" s="439"/>
      <c r="P1267" s="439"/>
      <c r="Q1267" s="440"/>
      <c r="R1267" s="225">
        <f>+R1260+R1265</f>
        <v>9.9744053476907979</v>
      </c>
      <c r="S1267" s="205">
        <f>+R1267</f>
        <v>9.9744053476907979</v>
      </c>
    </row>
    <row r="1268" spans="2:19">
      <c r="B1268" s="202"/>
      <c r="G1268" s="205"/>
      <c r="H1268" s="202"/>
      <c r="I1268" s="179"/>
      <c r="K1268" s="88"/>
      <c r="L1268" s="189"/>
      <c r="M1268" s="205"/>
      <c r="N1268" s="202"/>
      <c r="O1268" s="179"/>
      <c r="R1268" s="189"/>
      <c r="S1268" s="205"/>
    </row>
    <row r="1269" spans="2:19" ht="19">
      <c r="B1269" s="441" t="s">
        <v>329</v>
      </c>
      <c r="C1269" s="442"/>
      <c r="D1269" s="442"/>
      <c r="E1269" s="443"/>
      <c r="F1269" s="226">
        <f>+F1267/$C$37</f>
        <v>6.6784931837670702E-2</v>
      </c>
      <c r="G1269" s="205"/>
      <c r="H1269" s="441" t="s">
        <v>329</v>
      </c>
      <c r="I1269" s="442"/>
      <c r="J1269" s="442"/>
      <c r="K1269" s="443"/>
      <c r="L1269" s="230">
        <f>+L1267/$C$37</f>
        <v>9.9744053476907985E-2</v>
      </c>
      <c r="M1269" s="205"/>
      <c r="N1269" s="441" t="s">
        <v>329</v>
      </c>
      <c r="O1269" s="442"/>
      <c r="P1269" s="442"/>
      <c r="Q1269" s="443"/>
      <c r="R1269" s="230">
        <f>+R1267/$C$37</f>
        <v>9.9744053476907985E-2</v>
      </c>
      <c r="S1269" s="205"/>
    </row>
    <row r="1270" spans="2:19" ht="17" thickBot="1">
      <c r="B1270" s="231"/>
      <c r="C1270" s="232"/>
      <c r="D1270" s="233"/>
      <c r="E1270" s="233"/>
      <c r="F1270" s="233"/>
      <c r="G1270" s="205"/>
      <c r="H1270" s="231"/>
      <c r="I1270" s="232"/>
      <c r="J1270" s="233"/>
      <c r="K1270" s="233"/>
      <c r="L1270" s="234"/>
      <c r="M1270" s="205"/>
      <c r="N1270" s="231"/>
      <c r="O1270" s="232"/>
      <c r="P1270" s="233"/>
      <c r="Q1270" s="233"/>
      <c r="R1270" s="234"/>
      <c r="S1270" s="205"/>
    </row>
    <row r="1271" spans="2:19" ht="24" customHeight="1" thickBot="1">
      <c r="B1271" s="415" t="s">
        <v>312</v>
      </c>
      <c r="C1271" s="416"/>
      <c r="D1271" s="416"/>
      <c r="E1271" s="416"/>
      <c r="F1271" s="416"/>
      <c r="G1271" s="416"/>
      <c r="H1271" s="416"/>
      <c r="I1271" s="416"/>
      <c r="J1271" s="416"/>
      <c r="K1271" s="416"/>
      <c r="L1271" s="416"/>
      <c r="M1271" s="416"/>
      <c r="N1271" s="416"/>
      <c r="O1271" s="416"/>
      <c r="P1271" s="416"/>
      <c r="Q1271" s="416"/>
      <c r="R1271" s="417"/>
    </row>
    <row r="1272" spans="2:19" ht="23.25" customHeight="1">
      <c r="B1272" s="276" t="s">
        <v>16</v>
      </c>
      <c r="C1272" s="452" t="s">
        <v>119</v>
      </c>
      <c r="D1272" s="453"/>
      <c r="E1272" s="453"/>
      <c r="F1272" s="465"/>
      <c r="G1272" s="254"/>
      <c r="H1272" s="239" t="s">
        <v>16</v>
      </c>
      <c r="I1272" s="452" t="s">
        <v>115</v>
      </c>
      <c r="J1272" s="453"/>
      <c r="K1272" s="453"/>
      <c r="L1272" s="465"/>
      <c r="M1272" s="254"/>
      <c r="N1272" s="239" t="s">
        <v>16</v>
      </c>
      <c r="O1272" s="452" t="s">
        <v>76</v>
      </c>
      <c r="P1272" s="453"/>
      <c r="Q1272" s="453"/>
      <c r="R1272" s="465"/>
    </row>
    <row r="1273" spans="2:19" ht="33" thickBot="1">
      <c r="B1273" s="241" t="s">
        <v>313</v>
      </c>
      <c r="C1273" s="242" t="s">
        <v>6</v>
      </c>
      <c r="D1273" s="243" t="s">
        <v>25</v>
      </c>
      <c r="E1273" s="244" t="s">
        <v>314</v>
      </c>
      <c r="F1273" s="245" t="s">
        <v>315</v>
      </c>
      <c r="H1273" s="241" t="s">
        <v>313</v>
      </c>
      <c r="I1273" s="242" t="s">
        <v>6</v>
      </c>
      <c r="J1273" s="243" t="s">
        <v>25</v>
      </c>
      <c r="K1273" s="244" t="s">
        <v>314</v>
      </c>
      <c r="L1273" s="245" t="s">
        <v>315</v>
      </c>
      <c r="N1273" s="241" t="s">
        <v>313</v>
      </c>
      <c r="O1273" s="242" t="s">
        <v>6</v>
      </c>
      <c r="P1273" s="243" t="s">
        <v>25</v>
      </c>
      <c r="Q1273" s="244" t="s">
        <v>314</v>
      </c>
      <c r="R1273" s="245" t="s">
        <v>315</v>
      </c>
    </row>
    <row r="1274" spans="2:19">
      <c r="B1274" s="165" t="s">
        <v>179</v>
      </c>
      <c r="C1274" s="171">
        <f>VLOOKUP(B1274,'RESUMEN RENDIMIENTOS'!$V$6:$W$158,2,FALSE)</f>
        <v>400</v>
      </c>
      <c r="D1274" s="288" t="s">
        <v>20</v>
      </c>
      <c r="E1274" s="167">
        <v>247</v>
      </c>
      <c r="F1274" s="175">
        <f t="shared" ref="F1274:F1289" si="111">IF(C1274=0,0,(100/C1274)*E1274/$E$37)</f>
        <v>0.25</v>
      </c>
      <c r="G1274" s="164">
        <f>+F1274/F1290</f>
        <v>0.38107328829022674</v>
      </c>
      <c r="H1274" s="170" t="s">
        <v>181</v>
      </c>
      <c r="I1274" s="171">
        <f>VLOOKUP(H1274,'RESUMEN RENDIMIENTOS'!$V$6:$W$158,2,FALSE)</f>
        <v>900</v>
      </c>
      <c r="J1274" s="177" t="s">
        <v>20</v>
      </c>
      <c r="K1274" s="172">
        <v>247</v>
      </c>
      <c r="L1274" s="175">
        <f t="shared" ref="L1274:L1289" si="112">IF(I1274=0,0,(100/I1274)*K1274/$E$37)</f>
        <v>0.1111111111111111</v>
      </c>
      <c r="M1274" s="164">
        <f>+L1274/L1290</f>
        <v>0.21485156922927609</v>
      </c>
      <c r="N1274" s="170" t="s">
        <v>182</v>
      </c>
      <c r="O1274" s="171">
        <f>VLOOKUP(N1274,'RESUMEN RENDIMIENTOS'!$V$6:$W$158,2,FALSE)</f>
        <v>1400</v>
      </c>
      <c r="P1274" s="177" t="s">
        <v>20</v>
      </c>
      <c r="Q1274" s="172">
        <v>247</v>
      </c>
      <c r="R1274" s="175">
        <f t="shared" ref="R1274:R1289" si="113">IF(O1274=0,0,(100/O1274)*Q1274/$E$37)</f>
        <v>7.1428571428571425E-2</v>
      </c>
      <c r="S1274" s="164">
        <f>+R1274/R1290</f>
        <v>0.14180634183653901</v>
      </c>
    </row>
    <row r="1275" spans="2:19">
      <c r="B1275" s="170" t="s">
        <v>202</v>
      </c>
      <c r="C1275" s="171">
        <f>VLOOKUP(B1275,'RESUMEN RENDIMIENTOS'!$V$6:$W$158,2,FALSE)</f>
        <v>550</v>
      </c>
      <c r="D1275" s="290" t="s">
        <v>20</v>
      </c>
      <c r="E1275" s="270">
        <v>247</v>
      </c>
      <c r="F1275" s="175">
        <f t="shared" si="111"/>
        <v>0.18181818181818182</v>
      </c>
      <c r="G1275" s="174">
        <f>+F1275/F1290</f>
        <v>0.27714420966561948</v>
      </c>
      <c r="H1275" s="170" t="s">
        <v>202</v>
      </c>
      <c r="I1275" s="171">
        <f>VLOOKUP(H1275,'RESUMEN RENDIMIENTOS'!$V$6:$W$158,2,FALSE)</f>
        <v>550</v>
      </c>
      <c r="J1275" s="177" t="s">
        <v>20</v>
      </c>
      <c r="K1275" s="172">
        <v>247</v>
      </c>
      <c r="L1275" s="175">
        <f t="shared" si="112"/>
        <v>0.18181818181818182</v>
      </c>
      <c r="M1275" s="174">
        <f>+L1275/L1290</f>
        <v>0.35157529510245183</v>
      </c>
      <c r="N1275" s="170" t="s">
        <v>199</v>
      </c>
      <c r="O1275" s="171">
        <f>VLOOKUP(N1275,'RESUMEN RENDIMIENTOS'!$V$6:$W$158,2,FALSE)</f>
        <v>300</v>
      </c>
      <c r="P1275" s="177" t="s">
        <v>31</v>
      </c>
      <c r="Q1275" s="172">
        <v>104.28</v>
      </c>
      <c r="R1275" s="175">
        <f t="shared" si="113"/>
        <v>0.14072874493927126</v>
      </c>
      <c r="S1275" s="174">
        <f>+R1275/R1290</f>
        <v>0.27938719915519572</v>
      </c>
    </row>
    <row r="1276" spans="2:19">
      <c r="B1276" s="170" t="s">
        <v>240</v>
      </c>
      <c r="C1276" s="171">
        <f>VLOOKUP(B1276,'RESUMEN RENDIMIENTOS'!$V$6:$W$158,2,FALSE)</f>
        <v>1000</v>
      </c>
      <c r="D1276" s="290" t="s">
        <v>20</v>
      </c>
      <c r="E1276" s="270">
        <v>247</v>
      </c>
      <c r="F1276" s="175">
        <f t="shared" si="111"/>
        <v>0.1</v>
      </c>
      <c r="G1276" s="174">
        <f>+F1276/F1290</f>
        <v>0.15242931531609072</v>
      </c>
      <c r="H1276" s="170" t="s">
        <v>240</v>
      </c>
      <c r="I1276" s="171">
        <f>VLOOKUP(H1276,'RESUMEN RENDIMIENTOS'!$V$6:$W$158,2,FALSE)</f>
        <v>1000</v>
      </c>
      <c r="J1276" s="177" t="s">
        <v>20</v>
      </c>
      <c r="K1276" s="172">
        <v>247</v>
      </c>
      <c r="L1276" s="175">
        <f t="shared" si="112"/>
        <v>0.1</v>
      </c>
      <c r="M1276" s="174">
        <f>+L1276/L1290</f>
        <v>0.19336641230634852</v>
      </c>
      <c r="N1276" s="170" t="s">
        <v>190</v>
      </c>
      <c r="O1276" s="171">
        <f>VLOOKUP(N1276,'RESUMEN RENDIMIENTOS'!$V$6:$W$158,2,FALSE)</f>
        <v>960</v>
      </c>
      <c r="P1276" s="177" t="s">
        <v>336</v>
      </c>
      <c r="Q1276" s="172">
        <v>156.42000000000002</v>
      </c>
      <c r="R1276" s="175">
        <f t="shared" si="113"/>
        <v>6.5966599190283415E-2</v>
      </c>
      <c r="S1276" s="174">
        <f>+R1276/R1290</f>
        <v>0.13096274960399804</v>
      </c>
    </row>
    <row r="1277" spans="2:19">
      <c r="B1277" s="170" t="s">
        <v>234</v>
      </c>
      <c r="C1277" s="171">
        <f>VLOOKUP(B1277,'RESUMEN RENDIMIENTOS'!$V$6:$W$158,2,FALSE)</f>
        <v>805</v>
      </c>
      <c r="D1277" s="290" t="s">
        <v>20</v>
      </c>
      <c r="E1277" s="270">
        <v>247</v>
      </c>
      <c r="F1277" s="175">
        <f t="shared" si="111"/>
        <v>0.12422360248447205</v>
      </c>
      <c r="G1277" s="174">
        <f>+F1277/F1290</f>
        <v>0.18935318672806298</v>
      </c>
      <c r="H1277" s="170" t="s">
        <v>234</v>
      </c>
      <c r="I1277" s="171">
        <f>VLOOKUP(H1277,'RESUMEN RENDIMIENTOS'!$V$6:$W$158,2,FALSE)</f>
        <v>805</v>
      </c>
      <c r="J1277" s="177" t="s">
        <v>20</v>
      </c>
      <c r="K1277" s="172">
        <v>247</v>
      </c>
      <c r="L1277" s="175">
        <f t="shared" si="112"/>
        <v>0.12422360248447205</v>
      </c>
      <c r="M1277" s="174">
        <f>+L1277/L1290</f>
        <v>0.24020672336192359</v>
      </c>
      <c r="N1277" s="170" t="s">
        <v>191</v>
      </c>
      <c r="O1277" s="171">
        <f>VLOOKUP(N1277,'RESUMEN RENDIMIENTOS'!$V$6:$W$158,2,FALSE)</f>
        <v>800</v>
      </c>
      <c r="P1277" s="177" t="s">
        <v>30</v>
      </c>
      <c r="Q1277" s="172">
        <v>24</v>
      </c>
      <c r="R1277" s="175">
        <f t="shared" si="113"/>
        <v>1.2145748987854251E-2</v>
      </c>
      <c r="S1277" s="174">
        <f>+R1277/R1290</f>
        <v>2.4112819259654406E-2</v>
      </c>
    </row>
    <row r="1278" spans="2:19">
      <c r="B1278" s="170">
        <v>0</v>
      </c>
      <c r="C1278" s="171">
        <f>VLOOKUP(B1278,'RESUMEN RENDIMIENTOS'!$V$6:$W$158,2,FALSE)</f>
        <v>0</v>
      </c>
      <c r="D1278" s="290"/>
      <c r="E1278" s="270" t="s">
        <v>337</v>
      </c>
      <c r="F1278" s="175">
        <f t="shared" si="111"/>
        <v>0</v>
      </c>
      <c r="G1278" s="174">
        <f>+F1278/F1290</f>
        <v>0</v>
      </c>
      <c r="H1278" s="170">
        <v>0</v>
      </c>
      <c r="I1278" s="171">
        <f>VLOOKUP(H1278,'RESUMEN RENDIMIENTOS'!$V$6:$W$158,2,FALSE)</f>
        <v>0</v>
      </c>
      <c r="J1278" s="177"/>
      <c r="K1278" s="172" t="s">
        <v>337</v>
      </c>
      <c r="L1278" s="175">
        <f t="shared" si="112"/>
        <v>0</v>
      </c>
      <c r="M1278" s="174">
        <f>+L1278/L1290</f>
        <v>0</v>
      </c>
      <c r="N1278" s="170" t="s">
        <v>196</v>
      </c>
      <c r="O1278" s="171">
        <f>VLOOKUP(N1278,'RESUMEN RENDIMIENTOS'!$V$6:$W$158,2,FALSE)</f>
        <v>550</v>
      </c>
      <c r="P1278" s="177" t="s">
        <v>30</v>
      </c>
      <c r="Q1278" s="172">
        <v>24</v>
      </c>
      <c r="R1278" s="175">
        <f t="shared" si="113"/>
        <v>1.7666543982333454E-2</v>
      </c>
      <c r="S1278" s="174">
        <f>+R1278/R1290</f>
        <v>3.5073191650406406E-2</v>
      </c>
    </row>
    <row r="1279" spans="2:19">
      <c r="B1279" s="170">
        <v>0</v>
      </c>
      <c r="C1279" s="171">
        <f>VLOOKUP(B1279,'RESUMEN RENDIMIENTOS'!$V$6:$W$158,2,FALSE)</f>
        <v>0</v>
      </c>
      <c r="D1279" s="290"/>
      <c r="E1279" s="270" t="s">
        <v>337</v>
      </c>
      <c r="F1279" s="175">
        <f t="shared" si="111"/>
        <v>0</v>
      </c>
      <c r="G1279" s="174">
        <f>+F1279/F1290</f>
        <v>0</v>
      </c>
      <c r="H1279" s="170">
        <v>0</v>
      </c>
      <c r="I1279" s="171">
        <f>VLOOKUP(H1279,'RESUMEN RENDIMIENTOS'!$V$6:$W$158,2,FALSE)</f>
        <v>0</v>
      </c>
      <c r="J1279" s="177"/>
      <c r="K1279" s="172" t="s">
        <v>337</v>
      </c>
      <c r="L1279" s="175">
        <f t="shared" si="112"/>
        <v>0</v>
      </c>
      <c r="M1279" s="174">
        <f>+L1279/L1290</f>
        <v>0</v>
      </c>
      <c r="N1279" s="170" t="s">
        <v>210</v>
      </c>
      <c r="O1279" s="171">
        <f>VLOOKUP(N1279,'RESUMEN RENDIMIENTOS'!$V$6:$W$158,2,FALSE)</f>
        <v>80</v>
      </c>
      <c r="P1279" s="177" t="s">
        <v>60</v>
      </c>
      <c r="Q1279" s="172">
        <v>6</v>
      </c>
      <c r="R1279" s="175">
        <f t="shared" si="113"/>
        <v>3.0364372469635626E-2</v>
      </c>
      <c r="S1279" s="174">
        <f>+R1279/R1290</f>
        <v>6.0282048149136014E-2</v>
      </c>
    </row>
    <row r="1280" spans="2:19">
      <c r="B1280" s="170">
        <v>0</v>
      </c>
      <c r="C1280" s="171">
        <f>VLOOKUP(B1280,'RESUMEN RENDIMIENTOS'!$V$6:$W$158,2,FALSE)</f>
        <v>0</v>
      </c>
      <c r="D1280" s="290"/>
      <c r="E1280" s="270" t="s">
        <v>337</v>
      </c>
      <c r="F1280" s="175">
        <f t="shared" si="111"/>
        <v>0</v>
      </c>
      <c r="G1280" s="174">
        <f>+F1280/F1290</f>
        <v>0</v>
      </c>
      <c r="H1280" s="170">
        <v>0</v>
      </c>
      <c r="I1280" s="171">
        <f>VLOOKUP(H1280,'RESUMEN RENDIMIENTOS'!$V$6:$W$158,2,FALSE)</f>
        <v>0</v>
      </c>
      <c r="J1280" s="177"/>
      <c r="K1280" s="172" t="s">
        <v>337</v>
      </c>
      <c r="L1280" s="175">
        <f t="shared" si="112"/>
        <v>0</v>
      </c>
      <c r="M1280" s="174">
        <f>+L1280/L1290</f>
        <v>0</v>
      </c>
      <c r="N1280" s="170" t="s">
        <v>240</v>
      </c>
      <c r="O1280" s="171">
        <f>VLOOKUP(N1280,'RESUMEN RENDIMIENTOS'!$V$6:$W$158,2,FALSE)</f>
        <v>1000</v>
      </c>
      <c r="P1280" s="177" t="s">
        <v>52</v>
      </c>
      <c r="Q1280" s="172">
        <v>156.42000000000002</v>
      </c>
      <c r="R1280" s="175">
        <f t="shared" si="113"/>
        <v>6.3327935222672077E-2</v>
      </c>
      <c r="S1280" s="174">
        <f>+R1280/R1290</f>
        <v>0.12572423961983811</v>
      </c>
    </row>
    <row r="1281" spans="2:19">
      <c r="B1281" s="170">
        <v>0</v>
      </c>
      <c r="C1281" s="171">
        <f>VLOOKUP(B1281,'RESUMEN RENDIMIENTOS'!$V$6:$W$158,2,FALSE)</f>
        <v>0</v>
      </c>
      <c r="D1281" s="290"/>
      <c r="E1281" s="270" t="s">
        <v>337</v>
      </c>
      <c r="F1281" s="175">
        <f t="shared" si="111"/>
        <v>0</v>
      </c>
      <c r="G1281" s="174">
        <f>+F1281/F1290</f>
        <v>0</v>
      </c>
      <c r="H1281" s="170">
        <v>0</v>
      </c>
      <c r="I1281" s="171">
        <f>VLOOKUP(H1281,'RESUMEN RENDIMIENTOS'!$V$6:$W$158,2,FALSE)</f>
        <v>0</v>
      </c>
      <c r="J1281" s="177"/>
      <c r="K1281" s="172" t="s">
        <v>337</v>
      </c>
      <c r="L1281" s="175">
        <f t="shared" si="112"/>
        <v>0</v>
      </c>
      <c r="M1281" s="174">
        <f>+L1281/L1290</f>
        <v>0</v>
      </c>
      <c r="N1281" s="170" t="s">
        <v>259</v>
      </c>
      <c r="O1281" s="171">
        <f>VLOOKUP(N1281,'RESUMEN RENDIMIENTOS'!$V$6:$W$158,2,FALSE)</f>
        <v>1800</v>
      </c>
      <c r="P1281" s="177" t="s">
        <v>20</v>
      </c>
      <c r="Q1281" s="172">
        <v>247</v>
      </c>
      <c r="R1281" s="175">
        <f t="shared" si="113"/>
        <v>5.5555555555555552E-2</v>
      </c>
      <c r="S1281" s="174">
        <f>+R1281/R1290</f>
        <v>0.11029382142841923</v>
      </c>
    </row>
    <row r="1282" spans="2:19">
      <c r="B1282" s="170">
        <v>0</v>
      </c>
      <c r="C1282" s="171">
        <f>VLOOKUP(B1282,'RESUMEN RENDIMIENTOS'!$V$6:$W$158,2,FALSE)</f>
        <v>0</v>
      </c>
      <c r="D1282" s="290"/>
      <c r="E1282" s="270" t="s">
        <v>337</v>
      </c>
      <c r="F1282" s="175">
        <f t="shared" si="111"/>
        <v>0</v>
      </c>
      <c r="G1282" s="174">
        <f>+F1282/F1290</f>
        <v>0</v>
      </c>
      <c r="H1282" s="170">
        <v>0</v>
      </c>
      <c r="I1282" s="171">
        <f>VLOOKUP(H1282,'RESUMEN RENDIMIENTOS'!$V$6:$W$158,2,FALSE)</f>
        <v>0</v>
      </c>
      <c r="J1282" s="177"/>
      <c r="K1282" s="172" t="s">
        <v>337</v>
      </c>
      <c r="L1282" s="175">
        <f t="shared" si="112"/>
        <v>0</v>
      </c>
      <c r="M1282" s="174">
        <f>+L1282/L1290</f>
        <v>0</v>
      </c>
      <c r="N1282" s="170" t="s">
        <v>234</v>
      </c>
      <c r="O1282" s="171">
        <f>VLOOKUP(N1282,'RESUMEN RENDIMIENTOS'!$V$6:$W$158,2,FALSE)</f>
        <v>805</v>
      </c>
      <c r="P1282" s="177" t="s">
        <v>58</v>
      </c>
      <c r="Q1282" s="172">
        <v>12</v>
      </c>
      <c r="R1282" s="175">
        <f t="shared" si="113"/>
        <v>6.0351547765735408E-3</v>
      </c>
      <c r="S1282" s="174">
        <f>+R1282/R1290</f>
        <v>1.1981525097964922E-2</v>
      </c>
    </row>
    <row r="1283" spans="2:19">
      <c r="B1283" s="170">
        <v>0</v>
      </c>
      <c r="C1283" s="171">
        <f>VLOOKUP(B1283,'RESUMEN RENDIMIENTOS'!$V$6:$W$158,2,FALSE)</f>
        <v>0</v>
      </c>
      <c r="D1283" s="290"/>
      <c r="E1283" s="270" t="s">
        <v>337</v>
      </c>
      <c r="F1283" s="175">
        <f t="shared" si="111"/>
        <v>0</v>
      </c>
      <c r="G1283" s="174">
        <f>+F1283/F1290</f>
        <v>0</v>
      </c>
      <c r="H1283" s="170">
        <v>0</v>
      </c>
      <c r="I1283" s="171">
        <f>VLOOKUP(H1283,'RESUMEN RENDIMIENTOS'!$V$6:$W$158,2,FALSE)</f>
        <v>0</v>
      </c>
      <c r="J1283" s="177"/>
      <c r="K1283" s="172" t="s">
        <v>337</v>
      </c>
      <c r="L1283" s="175">
        <f t="shared" si="112"/>
        <v>0</v>
      </c>
      <c r="M1283" s="174">
        <f>+L1283/L1290</f>
        <v>0</v>
      </c>
      <c r="N1283" s="170" t="s">
        <v>223</v>
      </c>
      <c r="O1283" s="171">
        <f>VLOOKUP(N1283,'RESUMEN RENDIMIENTOS'!$V$6:$W$158,2,FALSE)</f>
        <v>10</v>
      </c>
      <c r="P1283" s="177" t="s">
        <v>65</v>
      </c>
      <c r="Q1283" s="172">
        <v>1</v>
      </c>
      <c r="R1283" s="175">
        <f t="shared" si="113"/>
        <v>4.048582995951417E-2</v>
      </c>
      <c r="S1283" s="174">
        <f>+R1283/R1290</f>
        <v>8.0376064198848032E-2</v>
      </c>
    </row>
    <row r="1284" spans="2:19">
      <c r="B1284" s="170">
        <v>0</v>
      </c>
      <c r="C1284" s="171">
        <f>VLOOKUP(B1284,'RESUMEN RENDIMIENTOS'!$V$6:$W$158,2,FALSE)</f>
        <v>0</v>
      </c>
      <c r="D1284" s="290"/>
      <c r="E1284" s="172" t="s">
        <v>337</v>
      </c>
      <c r="F1284" s="175">
        <f t="shared" si="111"/>
        <v>0</v>
      </c>
      <c r="G1284" s="174">
        <f>+F1284/F1290</f>
        <v>0</v>
      </c>
      <c r="H1284" s="170">
        <v>0</v>
      </c>
      <c r="I1284" s="171">
        <f>VLOOKUP(H1284,'RESUMEN RENDIMIENTOS'!$V$6:$W$158,2,FALSE)</f>
        <v>0</v>
      </c>
      <c r="J1284" s="177"/>
      <c r="K1284" s="172" t="s">
        <v>337</v>
      </c>
      <c r="L1284" s="175">
        <f t="shared" si="112"/>
        <v>0</v>
      </c>
      <c r="M1284" s="174">
        <f>+L1284/L1290</f>
        <v>0</v>
      </c>
      <c r="N1284" s="170">
        <v>0</v>
      </c>
      <c r="O1284" s="171">
        <f>VLOOKUP(N1284,'RESUMEN RENDIMIENTOS'!$V$6:$W$158,2,FALSE)</f>
        <v>0</v>
      </c>
      <c r="P1284" s="177"/>
      <c r="Q1284" s="172" t="s">
        <v>337</v>
      </c>
      <c r="R1284" s="175">
        <f t="shared" si="113"/>
        <v>0</v>
      </c>
      <c r="S1284" s="174">
        <f>+R1284/R1290</f>
        <v>0</v>
      </c>
    </row>
    <row r="1285" spans="2:19">
      <c r="B1285" s="170">
        <v>0</v>
      </c>
      <c r="C1285" s="171">
        <f>VLOOKUP(B1285,'RESUMEN RENDIMIENTOS'!$V$6:$W$158,2,FALSE)</f>
        <v>0</v>
      </c>
      <c r="D1285" s="290"/>
      <c r="E1285" s="172" t="s">
        <v>337</v>
      </c>
      <c r="F1285" s="175">
        <f t="shared" si="111"/>
        <v>0</v>
      </c>
      <c r="G1285" s="174">
        <f>+F1285/F1290</f>
        <v>0</v>
      </c>
      <c r="H1285" s="170">
        <v>0</v>
      </c>
      <c r="I1285" s="171">
        <f>VLOOKUP(H1285,'RESUMEN RENDIMIENTOS'!$V$6:$W$158,2,FALSE)</f>
        <v>0</v>
      </c>
      <c r="J1285" s="177"/>
      <c r="K1285" s="172" t="s">
        <v>337</v>
      </c>
      <c r="L1285" s="175">
        <f t="shared" si="112"/>
        <v>0</v>
      </c>
      <c r="M1285" s="174">
        <f>+L1285/L1290</f>
        <v>0</v>
      </c>
      <c r="N1285" s="170">
        <v>0</v>
      </c>
      <c r="O1285" s="171">
        <f>VLOOKUP(N1285,'RESUMEN RENDIMIENTOS'!$V$6:$W$158,2,FALSE)</f>
        <v>0</v>
      </c>
      <c r="P1285" s="177"/>
      <c r="Q1285" s="172" t="s">
        <v>337</v>
      </c>
      <c r="R1285" s="175">
        <f t="shared" si="113"/>
        <v>0</v>
      </c>
      <c r="S1285" s="174">
        <f>+R1285/R1290</f>
        <v>0</v>
      </c>
    </row>
    <row r="1286" spans="2:19">
      <c r="B1286" s="170">
        <v>0</v>
      </c>
      <c r="C1286" s="171">
        <f>VLOOKUP(B1286,'RESUMEN RENDIMIENTOS'!$V$6:$W$158,2,FALSE)</f>
        <v>0</v>
      </c>
      <c r="D1286" s="177"/>
      <c r="E1286" s="172" t="s">
        <v>337</v>
      </c>
      <c r="F1286" s="175">
        <f t="shared" si="111"/>
        <v>0</v>
      </c>
      <c r="G1286" s="174">
        <f>+F1286/F1290</f>
        <v>0</v>
      </c>
      <c r="H1286" s="170">
        <v>0</v>
      </c>
      <c r="I1286" s="171">
        <f>VLOOKUP(H1286,'RESUMEN RENDIMIENTOS'!$V$6:$W$158,2,FALSE)</f>
        <v>0</v>
      </c>
      <c r="J1286" s="177"/>
      <c r="K1286" s="172" t="s">
        <v>337</v>
      </c>
      <c r="L1286" s="175">
        <f t="shared" si="112"/>
        <v>0</v>
      </c>
      <c r="M1286" s="174">
        <f>+L1286/L1290</f>
        <v>0</v>
      </c>
      <c r="N1286" s="170">
        <v>0</v>
      </c>
      <c r="O1286" s="171">
        <f>VLOOKUP(N1286,'RESUMEN RENDIMIENTOS'!$V$6:$W$158,2,FALSE)</f>
        <v>0</v>
      </c>
      <c r="P1286" s="177"/>
      <c r="Q1286" s="172" t="s">
        <v>337</v>
      </c>
      <c r="R1286" s="175">
        <f t="shared" si="113"/>
        <v>0</v>
      </c>
      <c r="S1286" s="174">
        <f>+R1286/R1290</f>
        <v>0</v>
      </c>
    </row>
    <row r="1287" spans="2:19">
      <c r="B1287" s="170">
        <v>0</v>
      </c>
      <c r="C1287" s="171">
        <f>VLOOKUP(B1287,'RESUMEN RENDIMIENTOS'!$V$6:$W$158,2,FALSE)</f>
        <v>0</v>
      </c>
      <c r="D1287" s="177"/>
      <c r="E1287" s="172" t="s">
        <v>337</v>
      </c>
      <c r="F1287" s="175">
        <f t="shared" si="111"/>
        <v>0</v>
      </c>
      <c r="G1287" s="174">
        <f>+F1287/F1290</f>
        <v>0</v>
      </c>
      <c r="H1287" s="170">
        <v>0</v>
      </c>
      <c r="I1287" s="171">
        <f>VLOOKUP(H1287,'RESUMEN RENDIMIENTOS'!$V$6:$W$158,2,FALSE)</f>
        <v>0</v>
      </c>
      <c r="J1287" s="177"/>
      <c r="K1287" s="172" t="s">
        <v>337</v>
      </c>
      <c r="L1287" s="175">
        <f t="shared" si="112"/>
        <v>0</v>
      </c>
      <c r="M1287" s="174">
        <f>+L1287/L1290</f>
        <v>0</v>
      </c>
      <c r="N1287" s="170">
        <v>0</v>
      </c>
      <c r="O1287" s="171">
        <f>VLOOKUP(N1287,'RESUMEN RENDIMIENTOS'!$V$6:$W$158,2,FALSE)</f>
        <v>0</v>
      </c>
      <c r="P1287" s="177"/>
      <c r="Q1287" s="172" t="s">
        <v>337</v>
      </c>
      <c r="R1287" s="175">
        <f t="shared" si="113"/>
        <v>0</v>
      </c>
      <c r="S1287" s="174">
        <f>+R1287/R1290</f>
        <v>0</v>
      </c>
    </row>
    <row r="1288" spans="2:19">
      <c r="B1288" s="170">
        <v>0</v>
      </c>
      <c r="C1288" s="171">
        <f>VLOOKUP(B1288,'RESUMEN RENDIMIENTOS'!$V$6:$W$158,2,FALSE)</f>
        <v>0</v>
      </c>
      <c r="D1288" s="177"/>
      <c r="E1288" s="172" t="s">
        <v>337</v>
      </c>
      <c r="F1288" s="175">
        <f t="shared" si="111"/>
        <v>0</v>
      </c>
      <c r="G1288" s="174">
        <f>+F1288/F1290</f>
        <v>0</v>
      </c>
      <c r="H1288" s="170">
        <v>0</v>
      </c>
      <c r="I1288" s="171">
        <f>VLOOKUP(H1288,'RESUMEN RENDIMIENTOS'!$V$6:$W$158,2,FALSE)</f>
        <v>0</v>
      </c>
      <c r="J1288" s="177"/>
      <c r="K1288" s="172" t="s">
        <v>337</v>
      </c>
      <c r="L1288" s="175">
        <f t="shared" si="112"/>
        <v>0</v>
      </c>
      <c r="M1288" s="174">
        <f>+L1288/L1290</f>
        <v>0</v>
      </c>
      <c r="N1288" s="170">
        <v>0</v>
      </c>
      <c r="O1288" s="171">
        <f>VLOOKUP(N1288,'RESUMEN RENDIMIENTOS'!$V$6:$W$158,2,FALSE)</f>
        <v>0</v>
      </c>
      <c r="P1288" s="177"/>
      <c r="Q1288" s="172" t="s">
        <v>337</v>
      </c>
      <c r="R1288" s="175">
        <f t="shared" si="113"/>
        <v>0</v>
      </c>
      <c r="S1288" s="174">
        <f>+R1288/R1290</f>
        <v>0</v>
      </c>
    </row>
    <row r="1289" spans="2:19">
      <c r="B1289" s="170">
        <v>0</v>
      </c>
      <c r="C1289" s="171">
        <f>VLOOKUP(B1289,'RESUMEN RENDIMIENTOS'!$V$6:$W$158,2,FALSE)</f>
        <v>0</v>
      </c>
      <c r="D1289" s="177"/>
      <c r="E1289" s="172" t="s">
        <v>337</v>
      </c>
      <c r="F1289" s="175">
        <f t="shared" si="111"/>
        <v>0</v>
      </c>
      <c r="G1289" s="174">
        <f>+F1289/F1290</f>
        <v>0</v>
      </c>
      <c r="H1289" s="170">
        <v>0</v>
      </c>
      <c r="I1289" s="171">
        <f>VLOOKUP(H1289,'RESUMEN RENDIMIENTOS'!$V$6:$W$158,2,FALSE)</f>
        <v>0</v>
      </c>
      <c r="J1289" s="177"/>
      <c r="K1289" s="172" t="s">
        <v>337</v>
      </c>
      <c r="L1289" s="175">
        <f t="shared" si="112"/>
        <v>0</v>
      </c>
      <c r="M1289" s="174">
        <f>+L1289/L1290</f>
        <v>0</v>
      </c>
      <c r="N1289" s="170">
        <v>0</v>
      </c>
      <c r="O1289" s="171">
        <f>VLOOKUP(N1289,'RESUMEN RENDIMIENTOS'!$V$6:$W$158,2,FALSE)</f>
        <v>0</v>
      </c>
      <c r="P1289" s="177"/>
      <c r="Q1289" s="172" t="s">
        <v>337</v>
      </c>
      <c r="R1289" s="175">
        <f t="shared" si="113"/>
        <v>0</v>
      </c>
      <c r="S1289" s="174">
        <f>+R1289/R1290</f>
        <v>0</v>
      </c>
    </row>
    <row r="1290" spans="2:19" ht="26.25" customHeight="1" thickBot="1">
      <c r="B1290" s="178"/>
      <c r="E1290" s="90"/>
      <c r="F1290" s="173">
        <f>SUM(F1274:F1289)</f>
        <v>0.65604178430265392</v>
      </c>
      <c r="G1290" s="181">
        <f>+F1290/F1290</f>
        <v>1</v>
      </c>
      <c r="H1290" s="178"/>
      <c r="I1290" s="179"/>
      <c r="J1290" s="182" t="s">
        <v>24</v>
      </c>
      <c r="K1290" s="90"/>
      <c r="L1290" s="173">
        <f>SUM(L1274:L1289)</f>
        <v>0.51715289541376497</v>
      </c>
      <c r="M1290" s="181">
        <f>+L1290/L1290</f>
        <v>1</v>
      </c>
      <c r="N1290" s="178"/>
      <c r="O1290" s="179"/>
      <c r="Q1290" s="90"/>
      <c r="R1290" s="175">
        <f>SUM(R1274:R1289)</f>
        <v>0.50370505651226483</v>
      </c>
      <c r="S1290" s="181">
        <f>+R1290/R1290</f>
        <v>1</v>
      </c>
    </row>
    <row r="1291" spans="2:19" ht="18" customHeight="1">
      <c r="B1291" s="427" t="s">
        <v>317</v>
      </c>
      <c r="C1291" s="428"/>
      <c r="D1291" s="429"/>
      <c r="E1291" s="185">
        <v>0.12</v>
      </c>
      <c r="F1291" s="173">
        <f>+F1290*E1291</f>
        <v>7.8725014116318465E-2</v>
      </c>
      <c r="H1291" s="427" t="s">
        <v>317</v>
      </c>
      <c r="I1291" s="428"/>
      <c r="J1291" s="429"/>
      <c r="K1291" s="185">
        <v>0.12</v>
      </c>
      <c r="L1291" s="173">
        <f>+L1290*K1291</f>
        <v>6.2058347449651795E-2</v>
      </c>
      <c r="N1291" s="427" t="s">
        <v>317</v>
      </c>
      <c r="O1291" s="428"/>
      <c r="P1291" s="429"/>
      <c r="Q1291" s="185">
        <v>0.12</v>
      </c>
      <c r="R1291" s="175">
        <f>+R1290*Q1291</f>
        <v>6.0444606781471774E-2</v>
      </c>
    </row>
    <row r="1292" spans="2:19" ht="18" customHeight="1">
      <c r="B1292" s="178"/>
      <c r="F1292" s="173">
        <f>+F1291+F1290</f>
        <v>0.73476679841897241</v>
      </c>
      <c r="G1292" s="187">
        <f>+F1292/24</f>
        <v>3.0615283267457185E-2</v>
      </c>
      <c r="H1292" s="178"/>
      <c r="I1292" s="179"/>
      <c r="K1292" s="88"/>
      <c r="L1292" s="173">
        <f>+L1291+L1290</f>
        <v>0.57921124286341674</v>
      </c>
      <c r="M1292" s="187">
        <f>+L1292/24</f>
        <v>2.4133801785975698E-2</v>
      </c>
      <c r="N1292" s="178"/>
      <c r="O1292" s="179"/>
      <c r="R1292" s="175">
        <f>+R1291+R1290</f>
        <v>0.56414966329373661</v>
      </c>
      <c r="S1292" s="187">
        <f>+R1292/24</f>
        <v>2.3506235970572359E-2</v>
      </c>
    </row>
    <row r="1293" spans="2:19">
      <c r="B1293" s="178"/>
      <c r="D1293" s="188"/>
      <c r="F1293" s="189"/>
      <c r="H1293" s="178"/>
      <c r="I1293" s="179"/>
      <c r="J1293" s="188"/>
      <c r="K1293" s="88"/>
      <c r="L1293" s="189"/>
      <c r="N1293" s="178"/>
      <c r="O1293" s="179"/>
      <c r="P1293" s="188"/>
      <c r="R1293" s="189"/>
    </row>
    <row r="1294" spans="2:19" ht="21">
      <c r="B1294" s="191" t="s">
        <v>318</v>
      </c>
      <c r="C1294" s="192"/>
      <c r="D1294" s="192"/>
      <c r="E1294" s="444">
        <f>IF(F1292=0,0,(100/F1292))</f>
        <v>136.09760296079526</v>
      </c>
      <c r="F1294" s="445"/>
      <c r="H1294" s="191" t="s">
        <v>318</v>
      </c>
      <c r="I1294" s="192"/>
      <c r="J1294" s="192"/>
      <c r="K1294" s="444">
        <f>IF(L1292=0,0,(100/L1292))</f>
        <v>172.6485824163826</v>
      </c>
      <c r="L1294" s="445"/>
      <c r="N1294" s="191" t="s">
        <v>318</v>
      </c>
      <c r="O1294" s="192"/>
      <c r="P1294" s="192"/>
      <c r="Q1294" s="444">
        <f>IF(R1292=0,0,(100/R1292))</f>
        <v>177.25792729567377</v>
      </c>
      <c r="R1294" s="445"/>
    </row>
    <row r="1295" spans="2:19">
      <c r="B1295" s="178"/>
      <c r="H1295" s="178"/>
      <c r="I1295" s="179"/>
      <c r="K1295" s="88"/>
      <c r="L1295" s="189"/>
      <c r="N1295" s="178"/>
      <c r="O1295" s="179"/>
      <c r="R1295" s="189"/>
    </row>
    <row r="1296" spans="2:19" ht="21">
      <c r="B1296" s="446" t="s">
        <v>319</v>
      </c>
      <c r="C1296" s="447"/>
      <c r="D1296" s="447"/>
      <c r="E1296" s="447"/>
      <c r="F1296" s="448"/>
      <c r="H1296" s="446" t="s">
        <v>319</v>
      </c>
      <c r="I1296" s="447"/>
      <c r="J1296" s="447"/>
      <c r="K1296" s="447"/>
      <c r="L1296" s="448"/>
      <c r="N1296" s="446" t="s">
        <v>319</v>
      </c>
      <c r="O1296" s="447"/>
      <c r="P1296" s="447"/>
      <c r="Q1296" s="447"/>
      <c r="R1296" s="448"/>
    </row>
    <row r="1297" spans="2:19" ht="18" customHeight="1">
      <c r="B1297" s="194" t="s">
        <v>320</v>
      </c>
      <c r="C1297" s="195"/>
      <c r="D1297" s="435" t="s">
        <v>321</v>
      </c>
      <c r="E1297" s="435"/>
      <c r="F1297" s="196" t="s">
        <v>322</v>
      </c>
      <c r="H1297" s="194" t="s">
        <v>320</v>
      </c>
      <c r="I1297" s="195"/>
      <c r="J1297" s="435" t="s">
        <v>321</v>
      </c>
      <c r="K1297" s="435"/>
      <c r="L1297" s="196" t="s">
        <v>322</v>
      </c>
      <c r="N1297" s="194" t="s">
        <v>320</v>
      </c>
      <c r="O1297" s="195"/>
      <c r="P1297" s="435" t="s">
        <v>321</v>
      </c>
      <c r="Q1297" s="435"/>
      <c r="R1297" s="196" t="s">
        <v>322</v>
      </c>
    </row>
    <row r="1298" spans="2:19">
      <c r="B1298" s="197" t="s">
        <v>278</v>
      </c>
      <c r="C1298" s="201">
        <v>1</v>
      </c>
      <c r="E1298" s="199">
        <f>IF(C1298=0,0,(VLOOKUP(B1298,'RESUMEN RENDIMIENTOS'!$AB$6:$AO$64,13,FALSE)))*C1298</f>
        <v>0.75</v>
      </c>
      <c r="F1298" s="200">
        <f>IF(C1298=0,0,(VLOOKUP(B1298,'RESUMEN RENDIMIENTOS'!$AB$6:$AO$64,14,FALSE)))*C1298</f>
        <v>1.0285714285714287E-2</v>
      </c>
      <c r="H1298" s="197" t="s">
        <v>278</v>
      </c>
      <c r="I1298" s="201">
        <v>1</v>
      </c>
      <c r="K1298" s="199">
        <f>IF(I1298=0,0,(VLOOKUP(H1298,'RESUMEN RENDIMIENTOS'!$AB$6:$AO$64,13,FALSE)))*I1298</f>
        <v>0.75</v>
      </c>
      <c r="L1298" s="200">
        <f>IF(I1298=0,0,(VLOOKUP(H1298,'RESUMEN RENDIMIENTOS'!$AB$6:$AO$64,14,FALSE)))*I1298</f>
        <v>1.0285714285714287E-2</v>
      </c>
      <c r="N1298" s="197" t="s">
        <v>278</v>
      </c>
      <c r="O1298" s="198">
        <v>1</v>
      </c>
      <c r="Q1298" s="199">
        <f>IF(O1298=0,0,(VLOOKUP(N1298,'RESUMEN RENDIMIENTOS'!$AB$6:$AO$64,13,FALSE)))*O1298</f>
        <v>0.75</v>
      </c>
      <c r="R1298" s="200">
        <f>IF(O1298=0,0,(VLOOKUP(N1298,'RESUMEN RENDIMIENTOS'!$AB$6:$AO$64,14,FALSE)))*O1298</f>
        <v>1.0285714285714287E-2</v>
      </c>
    </row>
    <row r="1299" spans="2:19">
      <c r="B1299" s="197" t="s">
        <v>279</v>
      </c>
      <c r="C1299" s="201">
        <v>1</v>
      </c>
      <c r="E1299" s="199">
        <f>IF(C1299=0,0,(VLOOKUP(B1299,'RESUMEN RENDIMIENTOS'!$AB$6:$AO$64,13,FALSE)))*C1299</f>
        <v>2</v>
      </c>
      <c r="F1299" s="200">
        <f>IF(C1299=0,0,(VLOOKUP(B1299,'RESUMEN RENDIMIENTOS'!$AB$6:$AO$64,14,FALSE)))*C1299</f>
        <v>9.5999999999999988E-2</v>
      </c>
      <c r="H1299" s="197" t="s">
        <v>279</v>
      </c>
      <c r="I1299" s="201">
        <v>1</v>
      </c>
      <c r="K1299" s="199">
        <f>IF(I1299=0,0,(VLOOKUP(H1299,'RESUMEN RENDIMIENTOS'!$AB$6:$AO$64,13,FALSE)))*I1299</f>
        <v>2</v>
      </c>
      <c r="L1299" s="200">
        <f>IF(I1299=0,0,(VLOOKUP(H1299,'RESUMEN RENDIMIENTOS'!$AB$6:$AO$64,14,FALSE)))*I1299</f>
        <v>9.5999999999999988E-2</v>
      </c>
      <c r="N1299" s="197" t="s">
        <v>279</v>
      </c>
      <c r="O1299" s="198">
        <v>1</v>
      </c>
      <c r="Q1299" s="199">
        <f>IF(O1299=0,0,(VLOOKUP(N1299,'RESUMEN RENDIMIENTOS'!$AB$6:$AO$64,13,FALSE)))*O1299</f>
        <v>2</v>
      </c>
      <c r="R1299" s="200">
        <f>IF(O1299=0,0,(VLOOKUP(N1299,'RESUMEN RENDIMIENTOS'!$AB$6:$AO$64,14,FALSE)))*O1299</f>
        <v>9.5999999999999988E-2</v>
      </c>
    </row>
    <row r="1300" spans="2:19">
      <c r="B1300" s="197" t="s">
        <v>284</v>
      </c>
      <c r="C1300" s="201">
        <v>0.25</v>
      </c>
      <c r="E1300" s="199">
        <f>IF(C1300=0,0,(VLOOKUP(B1300,'RESUMEN RENDIMIENTOS'!$AB$6:$AO$64,13,FALSE)))*C1300</f>
        <v>0.52500000000000002</v>
      </c>
      <c r="F1300" s="200">
        <f>IF(C1300=0,0,(VLOOKUP(B1300,'RESUMEN RENDIMIENTOS'!$AB$6:$AO$64,14,FALSE)))*C1300</f>
        <v>4.2000000000000003E-2</v>
      </c>
      <c r="H1300" s="197" t="s">
        <v>284</v>
      </c>
      <c r="I1300" s="201">
        <v>0.25</v>
      </c>
      <c r="K1300" s="199">
        <f>IF(I1300=0,0,(VLOOKUP(H1300,'RESUMEN RENDIMIENTOS'!$AB$6:$AO$64,13,FALSE)))*I1300</f>
        <v>0.52500000000000002</v>
      </c>
      <c r="L1300" s="200">
        <f>IF(I1300=0,0,(VLOOKUP(H1300,'RESUMEN RENDIMIENTOS'!$AB$6:$AO$64,14,FALSE)))*I1300</f>
        <v>4.2000000000000003E-2</v>
      </c>
      <c r="N1300" s="197" t="s">
        <v>284</v>
      </c>
      <c r="O1300" s="198">
        <v>0.25</v>
      </c>
      <c r="Q1300" s="199">
        <f>IF(O1300=0,0,(VLOOKUP(N1300,'RESUMEN RENDIMIENTOS'!$AB$6:$AO$64,13,FALSE)))*O1300</f>
        <v>0.52500000000000002</v>
      </c>
      <c r="R1300" s="200">
        <f>IF(O1300=0,0,(VLOOKUP(N1300,'RESUMEN RENDIMIENTOS'!$AB$6:$AO$64,14,FALSE)))*O1300</f>
        <v>4.2000000000000003E-2</v>
      </c>
    </row>
    <row r="1301" spans="2:19">
      <c r="B1301" s="197" t="s">
        <v>283</v>
      </c>
      <c r="C1301" s="201">
        <v>1</v>
      </c>
      <c r="E1301" s="199">
        <f>IF(C1301=0,0,(VLOOKUP(B1301,'RESUMEN RENDIMIENTOS'!$AB$6:$AO$64,13,FALSE)))*C1301</f>
        <v>1.59</v>
      </c>
      <c r="F1301" s="200">
        <f>IF(C1301=0,0,(VLOOKUP(B1301,'RESUMEN RENDIMIENTOS'!$AB$6:$AO$64,14,FALSE)))*C1301</f>
        <v>0.12720000000000001</v>
      </c>
      <c r="H1301" s="197" t="s">
        <v>283</v>
      </c>
      <c r="I1301" s="201">
        <v>1</v>
      </c>
      <c r="K1301" s="199">
        <f>IF(I1301=0,0,(VLOOKUP(H1301,'RESUMEN RENDIMIENTOS'!$AB$6:$AO$64,13,FALSE)))*I1301</f>
        <v>1.59</v>
      </c>
      <c r="L1301" s="200">
        <f>IF(I1301=0,0,(VLOOKUP(H1301,'RESUMEN RENDIMIENTOS'!$AB$6:$AO$64,14,FALSE)))*I1301</f>
        <v>0.12720000000000001</v>
      </c>
      <c r="N1301" s="197" t="s">
        <v>283</v>
      </c>
      <c r="O1301" s="198">
        <v>1</v>
      </c>
      <c r="Q1301" s="199">
        <f>IF(O1301=0,0,(VLOOKUP(N1301,'RESUMEN RENDIMIENTOS'!$AB$6:$AO$64,13,FALSE)))*O1301</f>
        <v>1.59</v>
      </c>
      <c r="R1301" s="200">
        <f>IF(O1301=0,0,(VLOOKUP(N1301,'RESUMEN RENDIMIENTOS'!$AB$6:$AO$64,14,FALSE)))*O1301</f>
        <v>0.12720000000000001</v>
      </c>
    </row>
    <row r="1302" spans="2:19">
      <c r="B1302" s="197" t="s">
        <v>282</v>
      </c>
      <c r="C1302" s="201">
        <v>1</v>
      </c>
      <c r="E1302" s="199">
        <f>IF(C1302=0,0,(VLOOKUP(B1302,'RESUMEN RENDIMIENTOS'!$AB$6:$AO$64,13,FALSE)))*C1302</f>
        <v>2.62</v>
      </c>
      <c r="F1302" s="200">
        <f>IF(C1302=0,0,(VLOOKUP(B1302,'RESUMEN RENDIMIENTOS'!$AB$6:$AO$64,14,FALSE)))*C1302</f>
        <v>6.986666666666666E-2</v>
      </c>
      <c r="H1302" s="197" t="s">
        <v>282</v>
      </c>
      <c r="I1302" s="201">
        <v>1</v>
      </c>
      <c r="K1302" s="199">
        <f>IF(I1302=0,0,(VLOOKUP(H1302,'RESUMEN RENDIMIENTOS'!$AB$6:$AO$64,13,FALSE)))*I1302</f>
        <v>2.62</v>
      </c>
      <c r="L1302" s="200">
        <f>IF(I1302=0,0,(VLOOKUP(H1302,'RESUMEN RENDIMIENTOS'!$AB$6:$AO$64,14,FALSE)))*I1302</f>
        <v>6.986666666666666E-2</v>
      </c>
      <c r="N1302" s="197" t="s">
        <v>282</v>
      </c>
      <c r="O1302" s="198">
        <v>1</v>
      </c>
      <c r="Q1302" s="199">
        <f>IF(O1302=0,0,(VLOOKUP(N1302,'RESUMEN RENDIMIENTOS'!$AB$6:$AO$64,13,FALSE)))*O1302</f>
        <v>2.62</v>
      </c>
      <c r="R1302" s="200">
        <f>IF(O1302=0,0,(VLOOKUP(N1302,'RESUMEN RENDIMIENTOS'!$AB$6:$AO$64,14,FALSE)))*O1302</f>
        <v>6.986666666666666E-2</v>
      </c>
    </row>
    <row r="1303" spans="2:19">
      <c r="B1303" s="197" t="s">
        <v>302</v>
      </c>
      <c r="C1303" s="201">
        <v>1</v>
      </c>
      <c r="E1303" s="199">
        <f>IF(C1303=0,0,(VLOOKUP(B1303,'RESUMEN RENDIMIENTOS'!$AB$6:$AO$64,13,FALSE)))*C1303</f>
        <v>1</v>
      </c>
      <c r="F1303" s="200">
        <f>IF(C1303=0,0,(VLOOKUP(B1303,'RESUMEN RENDIMIENTOS'!$AB$6:$AO$64,14,FALSE)))*C1303</f>
        <v>0.2</v>
      </c>
      <c r="H1303" s="197" t="s">
        <v>302</v>
      </c>
      <c r="I1303" s="201">
        <v>1</v>
      </c>
      <c r="K1303" s="199">
        <f>IF(I1303=0,0,(VLOOKUP(H1303,'RESUMEN RENDIMIENTOS'!$AB$6:$AO$64,13,FALSE)))*I1303</f>
        <v>1</v>
      </c>
      <c r="L1303" s="200">
        <f>IF(I1303=0,0,(VLOOKUP(H1303,'RESUMEN RENDIMIENTOS'!$AB$6:$AO$64,14,FALSE)))*I1303</f>
        <v>0.2</v>
      </c>
      <c r="N1303" s="197" t="s">
        <v>302</v>
      </c>
      <c r="O1303" s="198">
        <v>1</v>
      </c>
      <c r="Q1303" s="199">
        <f>IF(O1303=0,0,(VLOOKUP(N1303,'RESUMEN RENDIMIENTOS'!$AB$6:$AO$64,13,FALSE)))*O1303</f>
        <v>1</v>
      </c>
      <c r="R1303" s="200">
        <f>IF(O1303=0,0,(VLOOKUP(N1303,'RESUMEN RENDIMIENTOS'!$AB$6:$AO$64,14,FALSE)))*O1303</f>
        <v>0.2</v>
      </c>
    </row>
    <row r="1304" spans="2:19">
      <c r="B1304" s="202"/>
      <c r="F1304" s="204">
        <f>SUM(F1298:F1303)</f>
        <v>0.54535238095238103</v>
      </c>
      <c r="G1304" s="205">
        <f>+F1304</f>
        <v>0.54535238095238103</v>
      </c>
      <c r="H1304" s="202"/>
      <c r="I1304" s="179"/>
      <c r="K1304" s="88"/>
      <c r="L1304" s="206">
        <f>SUM(L1298:L1303)</f>
        <v>0.54535238095238103</v>
      </c>
      <c r="M1304" s="205">
        <f>+L1304</f>
        <v>0.54535238095238103</v>
      </c>
      <c r="N1304" s="202"/>
      <c r="O1304" s="179"/>
      <c r="R1304" s="206">
        <f>SUM(R1298:R1303)</f>
        <v>0.54535238095238103</v>
      </c>
      <c r="S1304" s="205">
        <f>+R1304</f>
        <v>0.54535238095238103</v>
      </c>
    </row>
    <row r="1305" spans="2:19">
      <c r="B1305" s="436" t="s">
        <v>324</v>
      </c>
      <c r="C1305" s="437"/>
      <c r="D1305" s="437"/>
      <c r="E1305" s="437"/>
      <c r="F1305" s="437"/>
      <c r="G1305" s="205"/>
      <c r="H1305" s="436" t="s">
        <v>324</v>
      </c>
      <c r="I1305" s="437"/>
      <c r="J1305" s="437"/>
      <c r="K1305" s="437"/>
      <c r="L1305" s="455"/>
      <c r="M1305" s="205"/>
      <c r="N1305" s="436" t="s">
        <v>324</v>
      </c>
      <c r="O1305" s="437"/>
      <c r="P1305" s="437"/>
      <c r="Q1305" s="437"/>
      <c r="R1305" s="455"/>
      <c r="S1305" s="205"/>
    </row>
    <row r="1306" spans="2:19">
      <c r="B1306" s="210" t="s">
        <v>325</v>
      </c>
      <c r="C1306" s="211">
        <v>1</v>
      </c>
      <c r="D1306" s="212">
        <v>21.712335174960327</v>
      </c>
      <c r="E1306" s="213">
        <f>F1292</f>
        <v>0.73476679841897241</v>
      </c>
      <c r="F1306" s="214">
        <f>+IF(C1306&gt;="",0,(D1306*E1306))</f>
        <v>15.953503002705238</v>
      </c>
      <c r="G1306" s="215"/>
      <c r="H1306" s="210" t="s">
        <v>325</v>
      </c>
      <c r="I1306" s="211">
        <v>1</v>
      </c>
      <c r="J1306" s="212">
        <v>21.712335174960327</v>
      </c>
      <c r="K1306" s="213">
        <f>L1292</f>
        <v>0.57921124286341674</v>
      </c>
      <c r="L1306" s="216">
        <f>+IF(I1306&gt;="",0,(J1306*K1306))</f>
        <v>12.576028642155851</v>
      </c>
      <c r="M1306" s="215"/>
      <c r="N1306" s="210" t="s">
        <v>325</v>
      </c>
      <c r="O1306" s="211">
        <v>1</v>
      </c>
      <c r="P1306" s="212">
        <v>21.712335174960327</v>
      </c>
      <c r="Q1306" s="213">
        <f>R1292</f>
        <v>0.56414966329373661</v>
      </c>
      <c r="R1306" s="214">
        <f>+IF(O1306&gt;="",0,(P1306*Q1306))</f>
        <v>12.249006578274622</v>
      </c>
      <c r="S1306" s="215"/>
    </row>
    <row r="1307" spans="2:19">
      <c r="B1307" s="210" t="s">
        <v>326</v>
      </c>
      <c r="C1307" s="211"/>
      <c r="D1307" s="212">
        <f>+D1306*25%</f>
        <v>5.4280837937400817</v>
      </c>
      <c r="E1307" s="213">
        <f>F1292</f>
        <v>0.73476679841897241</v>
      </c>
      <c r="F1307" s="214">
        <f>+IF(C1307= "",0,(D1307*E1307))</f>
        <v>0</v>
      </c>
      <c r="G1307" s="215"/>
      <c r="H1307" s="210" t="s">
        <v>326</v>
      </c>
      <c r="I1307" s="211"/>
      <c r="J1307" s="212">
        <f>+J1306*25%</f>
        <v>5.4280837937400817</v>
      </c>
      <c r="K1307" s="213">
        <f>L1292</f>
        <v>0.57921124286341674</v>
      </c>
      <c r="L1307" s="216">
        <f>+IF(I1307= "",0,(J1307*K1307))</f>
        <v>0</v>
      </c>
      <c r="M1307" s="215"/>
      <c r="N1307" s="210" t="s">
        <v>326</v>
      </c>
      <c r="O1307" s="211"/>
      <c r="P1307" s="212">
        <f>+P1306*25%</f>
        <v>5.4280837937400817</v>
      </c>
      <c r="Q1307" s="213">
        <f>R1292</f>
        <v>0.56414966329373661</v>
      </c>
      <c r="R1307" s="214">
        <f>+IF(O1307= "",0,(P1307*Q1307))</f>
        <v>0</v>
      </c>
      <c r="S1307" s="215"/>
    </row>
    <row r="1308" spans="2:19">
      <c r="B1308" s="210" t="s">
        <v>327</v>
      </c>
      <c r="C1308" s="211"/>
      <c r="D1308" s="212">
        <f>+D1306*50%</f>
        <v>10.856167587480163</v>
      </c>
      <c r="E1308" s="213">
        <f>F1292</f>
        <v>0.73476679841897241</v>
      </c>
      <c r="F1308" s="214">
        <f>+IF(C1308= "",0,(D1308*E1308))</f>
        <v>0</v>
      </c>
      <c r="G1308" s="215"/>
      <c r="H1308" s="210" t="s">
        <v>327</v>
      </c>
      <c r="I1308" s="211"/>
      <c r="J1308" s="212">
        <f>+J1306*50%</f>
        <v>10.856167587480163</v>
      </c>
      <c r="K1308" s="213">
        <f>L1292</f>
        <v>0.57921124286341674</v>
      </c>
      <c r="L1308" s="216">
        <f>+IF(I1308= "",0,(J1308*K1308))</f>
        <v>0</v>
      </c>
      <c r="M1308" s="215"/>
      <c r="N1308" s="210" t="s">
        <v>327</v>
      </c>
      <c r="O1308" s="211"/>
      <c r="P1308" s="212">
        <f>+P1306*50%</f>
        <v>10.856167587480163</v>
      </c>
      <c r="Q1308" s="213">
        <f>R1292</f>
        <v>0.56414966329373661</v>
      </c>
      <c r="R1308" s="214">
        <f>+IF(O1308= "",0,(P1308*Q1308))</f>
        <v>0</v>
      </c>
      <c r="S1308" s="215"/>
    </row>
    <row r="1309" spans="2:19">
      <c r="B1309" s="202"/>
      <c r="F1309" s="217">
        <f>SUM(F1306:F1308)</f>
        <v>15.953503002705238</v>
      </c>
      <c r="G1309" s="218"/>
      <c r="H1309" s="202"/>
      <c r="I1309" s="179"/>
      <c r="K1309" s="88"/>
      <c r="L1309" s="219">
        <f>SUM(L1306:L1308)</f>
        <v>12.576028642155851</v>
      </c>
      <c r="M1309" s="218"/>
      <c r="N1309" s="202"/>
      <c r="O1309" s="179"/>
      <c r="R1309" s="217">
        <f>SUM(R1306:R1308)</f>
        <v>12.249006578274622</v>
      </c>
      <c r="S1309" s="218"/>
    </row>
    <row r="1310" spans="2:19">
      <c r="B1310" s="202"/>
      <c r="G1310" s="220"/>
      <c r="H1310" s="202"/>
      <c r="I1310" s="179"/>
      <c r="K1310" s="88"/>
      <c r="L1310" s="189"/>
      <c r="M1310" s="220"/>
      <c r="N1310" s="202"/>
      <c r="O1310" s="179"/>
      <c r="R1310" s="189"/>
      <c r="S1310" s="220"/>
    </row>
    <row r="1311" spans="2:19" ht="21">
      <c r="B1311" s="438" t="s">
        <v>328</v>
      </c>
      <c r="C1311" s="439"/>
      <c r="D1311" s="439"/>
      <c r="E1311" s="440"/>
      <c r="F1311" s="221">
        <f>+F1304+F1309</f>
        <v>16.49885538365762</v>
      </c>
      <c r="G1311" s="205">
        <f>+F1311</f>
        <v>16.49885538365762</v>
      </c>
      <c r="H1311" s="438" t="s">
        <v>328</v>
      </c>
      <c r="I1311" s="439"/>
      <c r="J1311" s="439"/>
      <c r="K1311" s="440"/>
      <c r="L1311" s="225">
        <f>+L1304+L1309</f>
        <v>13.121381023108231</v>
      </c>
      <c r="M1311" s="205">
        <f>+L1311</f>
        <v>13.121381023108231</v>
      </c>
      <c r="N1311" s="438" t="s">
        <v>328</v>
      </c>
      <c r="O1311" s="439"/>
      <c r="P1311" s="439"/>
      <c r="Q1311" s="440"/>
      <c r="R1311" s="225">
        <f>+R1304+R1309</f>
        <v>12.794358959227004</v>
      </c>
      <c r="S1311" s="205">
        <f>+R1311</f>
        <v>12.794358959227004</v>
      </c>
    </row>
    <row r="1312" spans="2:19">
      <c r="B1312" s="202"/>
      <c r="G1312" s="205"/>
      <c r="H1312" s="202"/>
      <c r="I1312" s="179"/>
      <c r="K1312" s="88"/>
      <c r="L1312" s="189"/>
      <c r="M1312" s="205"/>
      <c r="N1312" s="202"/>
      <c r="O1312" s="179"/>
      <c r="R1312" s="189"/>
      <c r="S1312" s="205"/>
    </row>
    <row r="1313" spans="2:19" ht="19">
      <c r="B1313" s="441" t="s">
        <v>329</v>
      </c>
      <c r="C1313" s="442"/>
      <c r="D1313" s="442"/>
      <c r="E1313" s="443"/>
      <c r="F1313" s="226">
        <f>+F1311/$C$37</f>
        <v>0.16498855383657621</v>
      </c>
      <c r="G1313" s="205"/>
      <c r="H1313" s="441" t="s">
        <v>329</v>
      </c>
      <c r="I1313" s="442"/>
      <c r="J1313" s="442"/>
      <c r="K1313" s="443"/>
      <c r="L1313" s="230">
        <f>+L1311/$C$37</f>
        <v>0.13121381023108231</v>
      </c>
      <c r="M1313" s="205"/>
      <c r="N1313" s="441" t="s">
        <v>329</v>
      </c>
      <c r="O1313" s="442"/>
      <c r="P1313" s="442"/>
      <c r="Q1313" s="443"/>
      <c r="R1313" s="230">
        <f>+R1311/$C$37</f>
        <v>0.12794358959227004</v>
      </c>
      <c r="S1313" s="205"/>
    </row>
    <row r="1314" spans="2:19" ht="17" thickBot="1">
      <c r="B1314" s="231"/>
      <c r="C1314" s="232"/>
      <c r="D1314" s="233"/>
      <c r="E1314" s="233"/>
      <c r="F1314" s="233"/>
      <c r="G1314" s="205"/>
      <c r="H1314" s="231"/>
      <c r="I1314" s="232"/>
      <c r="J1314" s="233"/>
      <c r="K1314" s="233"/>
      <c r="L1314" s="234"/>
      <c r="M1314" s="205"/>
      <c r="N1314" s="231"/>
      <c r="O1314" s="232"/>
      <c r="P1314" s="233"/>
      <c r="Q1314" s="233"/>
      <c r="R1314" s="234"/>
      <c r="S1314" s="205"/>
    </row>
    <row r="1315" spans="2:19" ht="24" customHeight="1" thickBot="1">
      <c r="B1315" s="415" t="s">
        <v>312</v>
      </c>
      <c r="C1315" s="416"/>
      <c r="D1315" s="416"/>
      <c r="E1315" s="416"/>
      <c r="F1315" s="416"/>
      <c r="G1315" s="416"/>
      <c r="H1315" s="416"/>
      <c r="I1315" s="416"/>
      <c r="J1315" s="416"/>
      <c r="K1315" s="416"/>
      <c r="L1315" s="416"/>
      <c r="M1315" s="416"/>
      <c r="N1315" s="416"/>
      <c r="O1315" s="416"/>
      <c r="P1315" s="416"/>
      <c r="Q1315" s="416"/>
      <c r="R1315" s="417"/>
    </row>
    <row r="1316" spans="2:19" ht="23.25" customHeight="1">
      <c r="B1316" s="276" t="s">
        <v>16</v>
      </c>
      <c r="C1316" s="452" t="s">
        <v>114</v>
      </c>
      <c r="D1316" s="453"/>
      <c r="E1316" s="453"/>
      <c r="F1316" s="465"/>
      <c r="G1316" s="254"/>
      <c r="H1316" s="239" t="s">
        <v>16</v>
      </c>
      <c r="I1316" s="452" t="s">
        <v>111</v>
      </c>
      <c r="J1316" s="453"/>
      <c r="K1316" s="453"/>
      <c r="L1316" s="465"/>
      <c r="M1316" s="254"/>
      <c r="N1316" s="239" t="s">
        <v>16</v>
      </c>
      <c r="O1316" s="452" t="s">
        <v>143</v>
      </c>
      <c r="P1316" s="453"/>
      <c r="Q1316" s="453"/>
      <c r="R1316" s="465"/>
    </row>
    <row r="1317" spans="2:19" ht="33" thickBot="1">
      <c r="B1317" s="241" t="s">
        <v>313</v>
      </c>
      <c r="C1317" s="242" t="s">
        <v>6</v>
      </c>
      <c r="D1317" s="243" t="s">
        <v>25</v>
      </c>
      <c r="E1317" s="244" t="s">
        <v>314</v>
      </c>
      <c r="F1317" s="245" t="s">
        <v>315</v>
      </c>
      <c r="H1317" s="241" t="s">
        <v>313</v>
      </c>
      <c r="I1317" s="242" t="s">
        <v>6</v>
      </c>
      <c r="J1317" s="243" t="s">
        <v>25</v>
      </c>
      <c r="K1317" s="244" t="s">
        <v>314</v>
      </c>
      <c r="L1317" s="245" t="s">
        <v>315</v>
      </c>
      <c r="N1317" s="241" t="s">
        <v>313</v>
      </c>
      <c r="O1317" s="242" t="s">
        <v>6</v>
      </c>
      <c r="P1317" s="243" t="s">
        <v>25</v>
      </c>
      <c r="Q1317" s="244" t="s">
        <v>314</v>
      </c>
      <c r="R1317" s="245" t="s">
        <v>315</v>
      </c>
    </row>
    <row r="1318" spans="2:19" ht="17" thickBot="1">
      <c r="B1318" s="165" t="s">
        <v>252</v>
      </c>
      <c r="C1318" s="171">
        <f>VLOOKUP(B1318,'RESUMEN RENDIMIENTOS'!$V$6:$W$158,2,FALSE)</f>
        <v>3000</v>
      </c>
      <c r="D1318" s="288" t="s">
        <v>20</v>
      </c>
      <c r="E1318" s="167">
        <v>247</v>
      </c>
      <c r="F1318" s="175">
        <f t="shared" ref="F1318:F1333" si="114">IF(C1318=0,0,(100/C1318)*E1318/$E$37)</f>
        <v>3.3333333333333333E-2</v>
      </c>
      <c r="G1318" s="164">
        <f>+F1318/F1334</f>
        <v>0.34071315263121599</v>
      </c>
      <c r="H1318" s="165" t="s">
        <v>252</v>
      </c>
      <c r="I1318" s="171">
        <f>VLOOKUP(H1318,'RESUMEN RENDIMIENTOS'!$V$6:$W$158,2,FALSE)</f>
        <v>3000</v>
      </c>
      <c r="J1318" s="288" t="s">
        <v>20</v>
      </c>
      <c r="K1318" s="167">
        <v>247</v>
      </c>
      <c r="L1318" s="175">
        <f t="shared" ref="L1318:L1333" si="115">IF(I1318=0,0,(100/I1318)*K1318/$E$37)</f>
        <v>3.3333333333333333E-2</v>
      </c>
      <c r="M1318" s="164">
        <f>+L1318/L1334</f>
        <v>0.73974243785564542</v>
      </c>
      <c r="N1318" s="170" t="s">
        <v>182</v>
      </c>
      <c r="O1318" s="171">
        <f>VLOOKUP(N1318,'RESUMEN RENDIMIENTOS'!$V$6:$W$158,2,FALSE)</f>
        <v>1400</v>
      </c>
      <c r="P1318" s="177" t="s">
        <v>20</v>
      </c>
      <c r="Q1318" s="172">
        <v>247</v>
      </c>
      <c r="R1318" s="175">
        <f t="shared" ref="R1318:R1333" si="116">IF(O1318=0,0,(100/O1318)*Q1318/$E$37)</f>
        <v>7.1428571428571425E-2</v>
      </c>
      <c r="S1318" s="164">
        <f>+R1318/R1334</f>
        <v>1</v>
      </c>
    </row>
    <row r="1319" spans="2:19" ht="17" thickBot="1">
      <c r="B1319" s="165" t="s">
        <v>179</v>
      </c>
      <c r="C1319" s="171">
        <f>VLOOKUP(B1319,'RESUMEN RENDIMIENTOS'!$V$6:$W$158,2,FALSE)</f>
        <v>400</v>
      </c>
      <c r="D1319" s="288" t="s">
        <v>56</v>
      </c>
      <c r="E1319" s="270">
        <v>52.14</v>
      </c>
      <c r="F1319" s="175">
        <f t="shared" si="114"/>
        <v>5.2773279352226719E-2</v>
      </c>
      <c r="G1319" s="174">
        <f>+F1319/F1334</f>
        <v>0.53941651148355063</v>
      </c>
      <c r="H1319" s="170" t="s">
        <v>259</v>
      </c>
      <c r="I1319" s="171">
        <f>VLOOKUP(H1319,'RESUMEN RENDIMIENTOS'!$V$6:$W$158,2,FALSE)</f>
        <v>1800</v>
      </c>
      <c r="J1319" s="288" t="s">
        <v>56</v>
      </c>
      <c r="K1319" s="270">
        <v>52.14</v>
      </c>
      <c r="L1319" s="175">
        <f t="shared" si="115"/>
        <v>1.1727395411605937E-2</v>
      </c>
      <c r="M1319" s="174">
        <f>+L1319/L1334</f>
        <v>0.26025756214435458</v>
      </c>
      <c r="N1319" s="170">
        <v>0</v>
      </c>
      <c r="O1319" s="171">
        <f>VLOOKUP(N1319,'RESUMEN RENDIMIENTOS'!$V$6:$W$158,2,FALSE)</f>
        <v>0</v>
      </c>
      <c r="P1319" s="177"/>
      <c r="Q1319" s="172" t="s">
        <v>337</v>
      </c>
      <c r="R1319" s="175">
        <f t="shared" si="116"/>
        <v>0</v>
      </c>
      <c r="S1319" s="174">
        <f>+R1319/R1334</f>
        <v>0</v>
      </c>
    </row>
    <row r="1320" spans="2:19">
      <c r="B1320" s="170" t="s">
        <v>259</v>
      </c>
      <c r="C1320" s="171">
        <f>VLOOKUP(B1320,'RESUMEN RENDIMIENTOS'!$V$6:$W$158,2,FALSE)</f>
        <v>1800</v>
      </c>
      <c r="D1320" s="288" t="s">
        <v>56</v>
      </c>
      <c r="E1320" s="270">
        <v>52.14</v>
      </c>
      <c r="F1320" s="175">
        <f t="shared" si="114"/>
        <v>1.1727395411605937E-2</v>
      </c>
      <c r="G1320" s="174">
        <f>+F1320/F1334</f>
        <v>0.11987033588523346</v>
      </c>
      <c r="H1320" s="170">
        <v>0</v>
      </c>
      <c r="I1320" s="171">
        <f>VLOOKUP(H1320,'RESUMEN RENDIMIENTOS'!$V$6:$W$158,2,FALSE)</f>
        <v>0</v>
      </c>
      <c r="J1320" s="290"/>
      <c r="K1320" s="270" t="s">
        <v>337</v>
      </c>
      <c r="L1320" s="175">
        <f t="shared" si="115"/>
        <v>0</v>
      </c>
      <c r="M1320" s="174">
        <f>+L1320/L1334</f>
        <v>0</v>
      </c>
      <c r="N1320" s="170">
        <v>0</v>
      </c>
      <c r="O1320" s="171">
        <f>VLOOKUP(N1320,'RESUMEN RENDIMIENTOS'!$V$6:$W$158,2,FALSE)</f>
        <v>0</v>
      </c>
      <c r="P1320" s="177"/>
      <c r="Q1320" s="172" t="s">
        <v>337</v>
      </c>
      <c r="R1320" s="175">
        <f t="shared" si="116"/>
        <v>0</v>
      </c>
      <c r="S1320" s="174">
        <f>+R1320/R1334</f>
        <v>0</v>
      </c>
    </row>
    <row r="1321" spans="2:19">
      <c r="B1321" s="170">
        <v>0</v>
      </c>
      <c r="C1321" s="171">
        <f>VLOOKUP(B1321,'RESUMEN RENDIMIENTOS'!$V$6:$W$158,2,FALSE)</f>
        <v>0</v>
      </c>
      <c r="D1321" s="290"/>
      <c r="E1321" s="270" t="s">
        <v>337</v>
      </c>
      <c r="F1321" s="175">
        <f t="shared" si="114"/>
        <v>0</v>
      </c>
      <c r="G1321" s="174">
        <f>+F1321/F1334</f>
        <v>0</v>
      </c>
      <c r="H1321" s="170">
        <v>0</v>
      </c>
      <c r="I1321" s="171">
        <f>VLOOKUP(H1321,'RESUMEN RENDIMIENTOS'!$V$6:$W$158,2,FALSE)</f>
        <v>0</v>
      </c>
      <c r="J1321" s="290"/>
      <c r="K1321" s="270" t="s">
        <v>337</v>
      </c>
      <c r="L1321" s="175">
        <f t="shared" si="115"/>
        <v>0</v>
      </c>
      <c r="M1321" s="174">
        <f>+L1321/L1334</f>
        <v>0</v>
      </c>
      <c r="N1321" s="170">
        <v>0</v>
      </c>
      <c r="O1321" s="171">
        <f>VLOOKUP(N1321,'RESUMEN RENDIMIENTOS'!$V$6:$W$158,2,FALSE)</f>
        <v>0</v>
      </c>
      <c r="P1321" s="177"/>
      <c r="Q1321" s="172" t="s">
        <v>337</v>
      </c>
      <c r="R1321" s="175">
        <f t="shared" si="116"/>
        <v>0</v>
      </c>
      <c r="S1321" s="174">
        <f>+R1321/R1334</f>
        <v>0</v>
      </c>
    </row>
    <row r="1322" spans="2:19">
      <c r="B1322" s="170">
        <v>0</v>
      </c>
      <c r="C1322" s="171">
        <f>VLOOKUP(B1322,'RESUMEN RENDIMIENTOS'!$V$6:$W$158,2,FALSE)</f>
        <v>0</v>
      </c>
      <c r="D1322" s="290"/>
      <c r="E1322" s="270" t="s">
        <v>337</v>
      </c>
      <c r="F1322" s="175">
        <f t="shared" si="114"/>
        <v>0</v>
      </c>
      <c r="G1322" s="174">
        <f>+F1322/F1334</f>
        <v>0</v>
      </c>
      <c r="H1322" s="170">
        <v>0</v>
      </c>
      <c r="I1322" s="171">
        <f>VLOOKUP(H1322,'RESUMEN RENDIMIENTOS'!$V$6:$W$158,2,FALSE)</f>
        <v>0</v>
      </c>
      <c r="J1322" s="290"/>
      <c r="K1322" s="270" t="s">
        <v>337</v>
      </c>
      <c r="L1322" s="175">
        <f t="shared" si="115"/>
        <v>0</v>
      </c>
      <c r="M1322" s="174">
        <f>+L1322/L1334</f>
        <v>0</v>
      </c>
      <c r="N1322" s="170">
        <v>0</v>
      </c>
      <c r="O1322" s="171">
        <f>VLOOKUP(N1322,'RESUMEN RENDIMIENTOS'!$V$6:$W$158,2,FALSE)</f>
        <v>0</v>
      </c>
      <c r="P1322" s="177"/>
      <c r="Q1322" s="172" t="s">
        <v>337</v>
      </c>
      <c r="R1322" s="175">
        <f t="shared" si="116"/>
        <v>0</v>
      </c>
      <c r="S1322" s="174">
        <f>+R1322/R1334</f>
        <v>0</v>
      </c>
    </row>
    <row r="1323" spans="2:19">
      <c r="B1323" s="170">
        <v>0</v>
      </c>
      <c r="C1323" s="171">
        <f>VLOOKUP(B1323,'RESUMEN RENDIMIENTOS'!$V$6:$W$158,2,FALSE)</f>
        <v>0</v>
      </c>
      <c r="D1323" s="290"/>
      <c r="E1323" s="270" t="s">
        <v>337</v>
      </c>
      <c r="F1323" s="175">
        <f t="shared" si="114"/>
        <v>0</v>
      </c>
      <c r="G1323" s="174">
        <f>+F1323/F1334</f>
        <v>0</v>
      </c>
      <c r="H1323" s="170">
        <v>0</v>
      </c>
      <c r="I1323" s="171">
        <f>VLOOKUP(H1323,'RESUMEN RENDIMIENTOS'!$V$6:$W$158,2,FALSE)</f>
        <v>0</v>
      </c>
      <c r="J1323" s="290"/>
      <c r="K1323" s="270" t="s">
        <v>337</v>
      </c>
      <c r="L1323" s="175">
        <f t="shared" si="115"/>
        <v>0</v>
      </c>
      <c r="M1323" s="174">
        <f>+L1323/L1334</f>
        <v>0</v>
      </c>
      <c r="N1323" s="170">
        <v>0</v>
      </c>
      <c r="O1323" s="171">
        <f>VLOOKUP(N1323,'RESUMEN RENDIMIENTOS'!$V$6:$W$158,2,FALSE)</f>
        <v>0</v>
      </c>
      <c r="P1323" s="177"/>
      <c r="Q1323" s="172" t="s">
        <v>337</v>
      </c>
      <c r="R1323" s="175">
        <f t="shared" si="116"/>
        <v>0</v>
      </c>
      <c r="S1323" s="174">
        <f>+R1323/R1334</f>
        <v>0</v>
      </c>
    </row>
    <row r="1324" spans="2:19">
      <c r="B1324" s="170">
        <v>0</v>
      </c>
      <c r="C1324" s="171">
        <f>VLOOKUP(B1324,'RESUMEN RENDIMIENTOS'!$V$6:$W$158,2,FALSE)</f>
        <v>0</v>
      </c>
      <c r="D1324" s="290"/>
      <c r="E1324" s="270" t="s">
        <v>337</v>
      </c>
      <c r="F1324" s="175">
        <f t="shared" si="114"/>
        <v>0</v>
      </c>
      <c r="G1324" s="174">
        <f>+F1324/F1334</f>
        <v>0</v>
      </c>
      <c r="H1324" s="170">
        <v>0</v>
      </c>
      <c r="I1324" s="171">
        <f>VLOOKUP(H1324,'RESUMEN RENDIMIENTOS'!$V$6:$W$158,2,FALSE)</f>
        <v>0</v>
      </c>
      <c r="J1324" s="290"/>
      <c r="K1324" s="270" t="s">
        <v>337</v>
      </c>
      <c r="L1324" s="175">
        <f t="shared" si="115"/>
        <v>0</v>
      </c>
      <c r="M1324" s="174">
        <f>+L1324/L1334</f>
        <v>0</v>
      </c>
      <c r="N1324" s="170">
        <v>0</v>
      </c>
      <c r="O1324" s="171">
        <f>VLOOKUP(N1324,'RESUMEN RENDIMIENTOS'!$V$6:$W$158,2,FALSE)</f>
        <v>0</v>
      </c>
      <c r="P1324" s="177"/>
      <c r="Q1324" s="172" t="s">
        <v>337</v>
      </c>
      <c r="R1324" s="175">
        <f t="shared" si="116"/>
        <v>0</v>
      </c>
      <c r="S1324" s="174">
        <f>+R1324/R1334</f>
        <v>0</v>
      </c>
    </row>
    <row r="1325" spans="2:19">
      <c r="B1325" s="170">
        <v>0</v>
      </c>
      <c r="C1325" s="171">
        <f>VLOOKUP(B1325,'RESUMEN RENDIMIENTOS'!$V$6:$W$158,2,FALSE)</f>
        <v>0</v>
      </c>
      <c r="D1325" s="290"/>
      <c r="E1325" s="270" t="s">
        <v>337</v>
      </c>
      <c r="F1325" s="175">
        <f t="shared" si="114"/>
        <v>0</v>
      </c>
      <c r="G1325" s="174">
        <f>+F1325/F1334</f>
        <v>0</v>
      </c>
      <c r="H1325" s="170">
        <v>0</v>
      </c>
      <c r="I1325" s="171">
        <f>VLOOKUP(H1325,'RESUMEN RENDIMIENTOS'!$V$6:$W$158,2,FALSE)</f>
        <v>0</v>
      </c>
      <c r="J1325" s="290"/>
      <c r="K1325" s="270" t="s">
        <v>337</v>
      </c>
      <c r="L1325" s="175">
        <f t="shared" si="115"/>
        <v>0</v>
      </c>
      <c r="M1325" s="174">
        <f>+L1325/L1334</f>
        <v>0</v>
      </c>
      <c r="N1325" s="170">
        <v>0</v>
      </c>
      <c r="O1325" s="171">
        <f>VLOOKUP(N1325,'RESUMEN RENDIMIENTOS'!$V$6:$W$158,2,FALSE)</f>
        <v>0</v>
      </c>
      <c r="P1325" s="177"/>
      <c r="Q1325" s="172" t="s">
        <v>337</v>
      </c>
      <c r="R1325" s="175">
        <f t="shared" si="116"/>
        <v>0</v>
      </c>
      <c r="S1325" s="174">
        <f>+R1325/R1334</f>
        <v>0</v>
      </c>
    </row>
    <row r="1326" spans="2:19">
      <c r="B1326" s="170">
        <v>0</v>
      </c>
      <c r="C1326" s="171">
        <f>VLOOKUP(B1326,'RESUMEN RENDIMIENTOS'!$V$6:$W$158,2,FALSE)</f>
        <v>0</v>
      </c>
      <c r="D1326" s="290"/>
      <c r="E1326" s="270" t="s">
        <v>337</v>
      </c>
      <c r="F1326" s="175">
        <f t="shared" si="114"/>
        <v>0</v>
      </c>
      <c r="G1326" s="174">
        <f>+F1326/F1334</f>
        <v>0</v>
      </c>
      <c r="H1326" s="170">
        <v>0</v>
      </c>
      <c r="I1326" s="171">
        <f>VLOOKUP(H1326,'RESUMEN RENDIMIENTOS'!$V$6:$W$158,2,FALSE)</f>
        <v>0</v>
      </c>
      <c r="J1326" s="290"/>
      <c r="K1326" s="270" t="s">
        <v>337</v>
      </c>
      <c r="L1326" s="175">
        <f t="shared" si="115"/>
        <v>0</v>
      </c>
      <c r="M1326" s="174">
        <f>+L1326/L1334</f>
        <v>0</v>
      </c>
      <c r="N1326" s="170">
        <v>0</v>
      </c>
      <c r="O1326" s="171">
        <f>VLOOKUP(N1326,'RESUMEN RENDIMIENTOS'!$V$6:$W$158,2,FALSE)</f>
        <v>0</v>
      </c>
      <c r="P1326" s="177"/>
      <c r="Q1326" s="172" t="s">
        <v>337</v>
      </c>
      <c r="R1326" s="175">
        <f t="shared" si="116"/>
        <v>0</v>
      </c>
      <c r="S1326" s="174">
        <f>+R1326/R1334</f>
        <v>0</v>
      </c>
    </row>
    <row r="1327" spans="2:19">
      <c r="B1327" s="170">
        <v>0</v>
      </c>
      <c r="C1327" s="171">
        <f>VLOOKUP(B1327,'RESUMEN RENDIMIENTOS'!$V$6:$W$158,2,FALSE)</f>
        <v>0</v>
      </c>
      <c r="D1327" s="290"/>
      <c r="E1327" s="270" t="s">
        <v>337</v>
      </c>
      <c r="F1327" s="175">
        <f t="shared" si="114"/>
        <v>0</v>
      </c>
      <c r="G1327" s="174">
        <f>+F1327/F1334</f>
        <v>0</v>
      </c>
      <c r="H1327" s="170">
        <v>0</v>
      </c>
      <c r="I1327" s="171">
        <f>VLOOKUP(H1327,'RESUMEN RENDIMIENTOS'!$V$6:$W$158,2,FALSE)</f>
        <v>0</v>
      </c>
      <c r="J1327" s="177"/>
      <c r="K1327" s="172" t="s">
        <v>337</v>
      </c>
      <c r="L1327" s="175">
        <f t="shared" si="115"/>
        <v>0</v>
      </c>
      <c r="M1327" s="174">
        <f>+L1327/L1334</f>
        <v>0</v>
      </c>
      <c r="N1327" s="170">
        <v>0</v>
      </c>
      <c r="O1327" s="171">
        <f>VLOOKUP(N1327,'RESUMEN RENDIMIENTOS'!$V$6:$W$158,2,FALSE)</f>
        <v>0</v>
      </c>
      <c r="P1327" s="177"/>
      <c r="Q1327" s="172" t="s">
        <v>337</v>
      </c>
      <c r="R1327" s="175">
        <f t="shared" si="116"/>
        <v>0</v>
      </c>
      <c r="S1327" s="174">
        <f>+R1327/R1334</f>
        <v>0</v>
      </c>
    </row>
    <row r="1328" spans="2:19">
      <c r="B1328" s="170">
        <v>0</v>
      </c>
      <c r="C1328" s="171">
        <f>VLOOKUP(B1328,'RESUMEN RENDIMIENTOS'!$V$6:$W$158,2,FALSE)</f>
        <v>0</v>
      </c>
      <c r="D1328" s="290"/>
      <c r="E1328" s="172" t="s">
        <v>337</v>
      </c>
      <c r="F1328" s="175">
        <f t="shared" si="114"/>
        <v>0</v>
      </c>
      <c r="G1328" s="174">
        <f>+F1328/F1334</f>
        <v>0</v>
      </c>
      <c r="H1328" s="170">
        <v>0</v>
      </c>
      <c r="I1328" s="171">
        <f>VLOOKUP(H1328,'RESUMEN RENDIMIENTOS'!$V$6:$W$158,2,FALSE)</f>
        <v>0</v>
      </c>
      <c r="J1328" s="177"/>
      <c r="K1328" s="172" t="s">
        <v>337</v>
      </c>
      <c r="L1328" s="175">
        <f t="shared" si="115"/>
        <v>0</v>
      </c>
      <c r="M1328" s="174">
        <f>+L1328/L1334</f>
        <v>0</v>
      </c>
      <c r="N1328" s="170">
        <v>0</v>
      </c>
      <c r="O1328" s="171">
        <f>VLOOKUP(N1328,'RESUMEN RENDIMIENTOS'!$V$6:$W$158,2,FALSE)</f>
        <v>0</v>
      </c>
      <c r="P1328" s="177"/>
      <c r="Q1328" s="172" t="s">
        <v>337</v>
      </c>
      <c r="R1328" s="175">
        <f t="shared" si="116"/>
        <v>0</v>
      </c>
      <c r="S1328" s="174">
        <f>+R1328/R1334</f>
        <v>0</v>
      </c>
    </row>
    <row r="1329" spans="2:19">
      <c r="B1329" s="170">
        <v>0</v>
      </c>
      <c r="C1329" s="171">
        <f>VLOOKUP(B1329,'RESUMEN RENDIMIENTOS'!$V$6:$W$158,2,FALSE)</f>
        <v>0</v>
      </c>
      <c r="D1329" s="290"/>
      <c r="E1329" s="172" t="s">
        <v>337</v>
      </c>
      <c r="F1329" s="175">
        <f t="shared" si="114"/>
        <v>0</v>
      </c>
      <c r="G1329" s="174">
        <f>+F1329/F1334</f>
        <v>0</v>
      </c>
      <c r="H1329" s="170">
        <v>0</v>
      </c>
      <c r="I1329" s="171">
        <f>VLOOKUP(H1329,'RESUMEN RENDIMIENTOS'!$V$6:$W$158,2,FALSE)</f>
        <v>0</v>
      </c>
      <c r="J1329" s="177"/>
      <c r="K1329" s="172" t="s">
        <v>337</v>
      </c>
      <c r="L1329" s="175">
        <f t="shared" si="115"/>
        <v>0</v>
      </c>
      <c r="M1329" s="174">
        <f>+L1329/L1334</f>
        <v>0</v>
      </c>
      <c r="N1329" s="170">
        <v>0</v>
      </c>
      <c r="O1329" s="171">
        <f>VLOOKUP(N1329,'RESUMEN RENDIMIENTOS'!$V$6:$W$158,2,FALSE)</f>
        <v>0</v>
      </c>
      <c r="P1329" s="177"/>
      <c r="Q1329" s="172" t="s">
        <v>337</v>
      </c>
      <c r="R1329" s="175">
        <f t="shared" si="116"/>
        <v>0</v>
      </c>
      <c r="S1329" s="174">
        <f>+R1329/R1334</f>
        <v>0</v>
      </c>
    </row>
    <row r="1330" spans="2:19">
      <c r="B1330" s="170">
        <v>0</v>
      </c>
      <c r="C1330" s="171">
        <f>VLOOKUP(B1330,'RESUMEN RENDIMIENTOS'!$V$6:$W$158,2,FALSE)</f>
        <v>0</v>
      </c>
      <c r="D1330" s="177"/>
      <c r="E1330" s="172" t="s">
        <v>337</v>
      </c>
      <c r="F1330" s="175">
        <f t="shared" si="114"/>
        <v>0</v>
      </c>
      <c r="G1330" s="174">
        <f>+F1330/F1334</f>
        <v>0</v>
      </c>
      <c r="H1330" s="170">
        <v>0</v>
      </c>
      <c r="I1330" s="171">
        <f>VLOOKUP(H1330,'RESUMEN RENDIMIENTOS'!$V$6:$W$158,2,FALSE)</f>
        <v>0</v>
      </c>
      <c r="J1330" s="177"/>
      <c r="K1330" s="172" t="s">
        <v>337</v>
      </c>
      <c r="L1330" s="175">
        <f t="shared" si="115"/>
        <v>0</v>
      </c>
      <c r="M1330" s="174">
        <f>+L1330/L1334</f>
        <v>0</v>
      </c>
      <c r="N1330" s="170">
        <v>0</v>
      </c>
      <c r="O1330" s="171">
        <f>VLOOKUP(N1330,'RESUMEN RENDIMIENTOS'!$V$6:$W$158,2,FALSE)</f>
        <v>0</v>
      </c>
      <c r="P1330" s="177"/>
      <c r="Q1330" s="172" t="s">
        <v>337</v>
      </c>
      <c r="R1330" s="175">
        <f t="shared" si="116"/>
        <v>0</v>
      </c>
      <c r="S1330" s="174">
        <f>+R1330/R1334</f>
        <v>0</v>
      </c>
    </row>
    <row r="1331" spans="2:19">
      <c r="B1331" s="170">
        <v>0</v>
      </c>
      <c r="C1331" s="171">
        <f>VLOOKUP(B1331,'RESUMEN RENDIMIENTOS'!$V$6:$W$158,2,FALSE)</f>
        <v>0</v>
      </c>
      <c r="D1331" s="177"/>
      <c r="E1331" s="172" t="s">
        <v>337</v>
      </c>
      <c r="F1331" s="175">
        <f t="shared" si="114"/>
        <v>0</v>
      </c>
      <c r="G1331" s="174">
        <f>+F1331/F1334</f>
        <v>0</v>
      </c>
      <c r="H1331" s="170">
        <v>0</v>
      </c>
      <c r="I1331" s="171">
        <f>VLOOKUP(H1331,'RESUMEN RENDIMIENTOS'!$V$6:$W$158,2,FALSE)</f>
        <v>0</v>
      </c>
      <c r="J1331" s="177"/>
      <c r="K1331" s="172" t="s">
        <v>337</v>
      </c>
      <c r="L1331" s="175">
        <f t="shared" si="115"/>
        <v>0</v>
      </c>
      <c r="M1331" s="174">
        <f>+L1331/L1334</f>
        <v>0</v>
      </c>
      <c r="N1331" s="170">
        <v>0</v>
      </c>
      <c r="O1331" s="171">
        <f>VLOOKUP(N1331,'RESUMEN RENDIMIENTOS'!$V$6:$W$158,2,FALSE)</f>
        <v>0</v>
      </c>
      <c r="P1331" s="177"/>
      <c r="Q1331" s="172" t="s">
        <v>337</v>
      </c>
      <c r="R1331" s="175">
        <f t="shared" si="116"/>
        <v>0</v>
      </c>
      <c r="S1331" s="174">
        <f>+R1331/R1334</f>
        <v>0</v>
      </c>
    </row>
    <row r="1332" spans="2:19">
      <c r="B1332" s="170">
        <v>0</v>
      </c>
      <c r="C1332" s="171">
        <f>VLOOKUP(B1332,'RESUMEN RENDIMIENTOS'!$V$6:$W$158,2,FALSE)</f>
        <v>0</v>
      </c>
      <c r="D1332" s="177"/>
      <c r="E1332" s="172" t="s">
        <v>337</v>
      </c>
      <c r="F1332" s="175">
        <f t="shared" si="114"/>
        <v>0</v>
      </c>
      <c r="G1332" s="174">
        <f>+F1332/F1334</f>
        <v>0</v>
      </c>
      <c r="H1332" s="170">
        <v>0</v>
      </c>
      <c r="I1332" s="171">
        <f>VLOOKUP(H1332,'RESUMEN RENDIMIENTOS'!$V$6:$W$158,2,FALSE)</f>
        <v>0</v>
      </c>
      <c r="J1332" s="177"/>
      <c r="K1332" s="172" t="s">
        <v>337</v>
      </c>
      <c r="L1332" s="175">
        <f t="shared" si="115"/>
        <v>0</v>
      </c>
      <c r="M1332" s="174">
        <f>+L1332/L1334</f>
        <v>0</v>
      </c>
      <c r="N1332" s="170">
        <v>0</v>
      </c>
      <c r="O1332" s="171">
        <f>VLOOKUP(N1332,'RESUMEN RENDIMIENTOS'!$V$6:$W$158,2,FALSE)</f>
        <v>0</v>
      </c>
      <c r="P1332" s="177"/>
      <c r="Q1332" s="172" t="s">
        <v>337</v>
      </c>
      <c r="R1332" s="175">
        <f t="shared" si="116"/>
        <v>0</v>
      </c>
      <c r="S1332" s="174">
        <f>+R1332/R1334</f>
        <v>0</v>
      </c>
    </row>
    <row r="1333" spans="2:19">
      <c r="B1333" s="170">
        <v>0</v>
      </c>
      <c r="C1333" s="171">
        <f>VLOOKUP(B1333,'RESUMEN RENDIMIENTOS'!$V$6:$W$158,2,FALSE)</f>
        <v>0</v>
      </c>
      <c r="D1333" s="177"/>
      <c r="E1333" s="172" t="s">
        <v>337</v>
      </c>
      <c r="F1333" s="175">
        <f t="shared" si="114"/>
        <v>0</v>
      </c>
      <c r="G1333" s="174">
        <f>+F1333/F1334</f>
        <v>0</v>
      </c>
      <c r="H1333" s="170">
        <v>0</v>
      </c>
      <c r="I1333" s="171">
        <f>VLOOKUP(H1333,'RESUMEN RENDIMIENTOS'!$V$6:$W$158,2,FALSE)</f>
        <v>0</v>
      </c>
      <c r="J1333" s="177"/>
      <c r="K1333" s="172" t="s">
        <v>337</v>
      </c>
      <c r="L1333" s="175">
        <f t="shared" si="115"/>
        <v>0</v>
      </c>
      <c r="M1333" s="174">
        <f>+L1333/L1334</f>
        <v>0</v>
      </c>
      <c r="N1333" s="170">
        <v>0</v>
      </c>
      <c r="O1333" s="171">
        <f>VLOOKUP(N1333,'RESUMEN RENDIMIENTOS'!$V$6:$W$158,2,FALSE)</f>
        <v>0</v>
      </c>
      <c r="P1333" s="177"/>
      <c r="Q1333" s="172" t="s">
        <v>337</v>
      </c>
      <c r="R1333" s="175">
        <f t="shared" si="116"/>
        <v>0</v>
      </c>
      <c r="S1333" s="174">
        <f>+R1333/R1334</f>
        <v>0</v>
      </c>
    </row>
    <row r="1334" spans="2:19" ht="26.25" customHeight="1" thickBot="1">
      <c r="B1334" s="178"/>
      <c r="E1334" s="90"/>
      <c r="F1334" s="173">
        <f>SUM(F1318:F1333)</f>
        <v>9.7834008097165984E-2</v>
      </c>
      <c r="G1334" s="181">
        <f>+F1334/F1334</f>
        <v>1</v>
      </c>
      <c r="H1334" s="178"/>
      <c r="I1334" s="179"/>
      <c r="J1334" s="182" t="s">
        <v>24</v>
      </c>
      <c r="K1334" s="90"/>
      <c r="L1334" s="173">
        <f>SUM(L1318:L1333)</f>
        <v>4.5060728744939271E-2</v>
      </c>
      <c r="M1334" s="181">
        <f>+L1334/L1334</f>
        <v>1</v>
      </c>
      <c r="N1334" s="178"/>
      <c r="O1334" s="179"/>
      <c r="Q1334" s="90"/>
      <c r="R1334" s="175">
        <f>SUM(R1318:R1333)</f>
        <v>7.1428571428571425E-2</v>
      </c>
      <c r="S1334" s="181">
        <f>+R1334/R1334</f>
        <v>1</v>
      </c>
    </row>
    <row r="1335" spans="2:19" ht="18" customHeight="1">
      <c r="B1335" s="427" t="s">
        <v>317</v>
      </c>
      <c r="C1335" s="428"/>
      <c r="D1335" s="429"/>
      <c r="E1335" s="185">
        <v>0.12</v>
      </c>
      <c r="F1335" s="173">
        <f>+F1334*E1335</f>
        <v>1.1740080971659917E-2</v>
      </c>
      <c r="H1335" s="427" t="s">
        <v>317</v>
      </c>
      <c r="I1335" s="428"/>
      <c r="J1335" s="429"/>
      <c r="K1335" s="185">
        <v>0.12</v>
      </c>
      <c r="L1335" s="173">
        <f>+L1334*K1335</f>
        <v>5.4072874493927125E-3</v>
      </c>
      <c r="N1335" s="427" t="s">
        <v>317</v>
      </c>
      <c r="O1335" s="428"/>
      <c r="P1335" s="429"/>
      <c r="Q1335" s="185">
        <v>0.12</v>
      </c>
      <c r="R1335" s="175">
        <f>+R1334*Q1335</f>
        <v>8.5714285714285701E-3</v>
      </c>
    </row>
    <row r="1336" spans="2:19" ht="18" customHeight="1">
      <c r="B1336" s="178"/>
      <c r="F1336" s="173">
        <f>+F1335+F1334</f>
        <v>0.1095740890688259</v>
      </c>
      <c r="G1336" s="187">
        <f>+F1336/24</f>
        <v>4.5655870445344129E-3</v>
      </c>
      <c r="H1336" s="178"/>
      <c r="I1336" s="179"/>
      <c r="K1336" s="88"/>
      <c r="L1336" s="173">
        <f>+L1335+L1334</f>
        <v>5.0468016194331985E-2</v>
      </c>
      <c r="M1336" s="187">
        <f>+L1336/24</f>
        <v>2.1028340080971662E-3</v>
      </c>
      <c r="N1336" s="178"/>
      <c r="O1336" s="179"/>
      <c r="R1336" s="175">
        <f>+R1335+R1334</f>
        <v>7.9999999999999988E-2</v>
      </c>
      <c r="S1336" s="187">
        <f>+R1336/24</f>
        <v>3.3333333333333327E-3</v>
      </c>
    </row>
    <row r="1337" spans="2:19">
      <c r="B1337" s="178"/>
      <c r="D1337" s="188"/>
      <c r="F1337" s="189"/>
      <c r="H1337" s="178"/>
      <c r="I1337" s="179"/>
      <c r="J1337" s="188"/>
      <c r="K1337" s="88"/>
      <c r="L1337" s="189"/>
      <c r="N1337" s="178"/>
      <c r="O1337" s="179"/>
      <c r="P1337" s="188"/>
      <c r="R1337" s="189"/>
    </row>
    <row r="1338" spans="2:19" ht="21">
      <c r="B1338" s="191" t="s">
        <v>318</v>
      </c>
      <c r="C1338" s="192"/>
      <c r="D1338" s="192"/>
      <c r="E1338" s="444">
        <f>IF(F1336=0,0,(100/F1336))</f>
        <v>912.62451597647134</v>
      </c>
      <c r="F1338" s="445"/>
      <c r="H1338" s="191" t="s">
        <v>318</v>
      </c>
      <c r="I1338" s="192"/>
      <c r="J1338" s="192"/>
      <c r="K1338" s="444">
        <f>IF(L1336=0,0,(100/L1336))</f>
        <v>1981.4529585419073</v>
      </c>
      <c r="L1338" s="445"/>
      <c r="N1338" s="191" t="s">
        <v>318</v>
      </c>
      <c r="O1338" s="192"/>
      <c r="P1338" s="192"/>
      <c r="Q1338" s="444">
        <f>IF(R1336=0,0,(100/R1336))</f>
        <v>1250.0000000000002</v>
      </c>
      <c r="R1338" s="445"/>
    </row>
    <row r="1339" spans="2:19">
      <c r="B1339" s="178"/>
      <c r="H1339" s="178"/>
      <c r="I1339" s="179"/>
      <c r="K1339" s="88"/>
      <c r="L1339" s="189"/>
      <c r="N1339" s="178"/>
      <c r="O1339" s="179"/>
      <c r="R1339" s="189"/>
    </row>
    <row r="1340" spans="2:19" ht="21">
      <c r="B1340" s="446" t="s">
        <v>319</v>
      </c>
      <c r="C1340" s="447"/>
      <c r="D1340" s="447"/>
      <c r="E1340" s="447"/>
      <c r="F1340" s="448"/>
      <c r="H1340" s="446" t="s">
        <v>319</v>
      </c>
      <c r="I1340" s="447"/>
      <c r="J1340" s="447"/>
      <c r="K1340" s="447"/>
      <c r="L1340" s="448"/>
      <c r="N1340" s="446" t="s">
        <v>319</v>
      </c>
      <c r="O1340" s="447"/>
      <c r="P1340" s="447"/>
      <c r="Q1340" s="447"/>
      <c r="R1340" s="448"/>
    </row>
    <row r="1341" spans="2:19" ht="18" customHeight="1">
      <c r="B1341" s="194" t="s">
        <v>320</v>
      </c>
      <c r="C1341" s="195"/>
      <c r="D1341" s="435" t="s">
        <v>321</v>
      </c>
      <c r="E1341" s="435"/>
      <c r="F1341" s="196" t="s">
        <v>322</v>
      </c>
      <c r="H1341" s="194" t="s">
        <v>320</v>
      </c>
      <c r="I1341" s="195"/>
      <c r="J1341" s="435" t="s">
        <v>321</v>
      </c>
      <c r="K1341" s="435"/>
      <c r="L1341" s="196" t="s">
        <v>322</v>
      </c>
      <c r="N1341" s="194" t="s">
        <v>320</v>
      </c>
      <c r="O1341" s="195"/>
      <c r="P1341" s="435" t="s">
        <v>321</v>
      </c>
      <c r="Q1341" s="435"/>
      <c r="R1341" s="196" t="s">
        <v>322</v>
      </c>
    </row>
    <row r="1342" spans="2:19">
      <c r="B1342" s="197" t="s">
        <v>278</v>
      </c>
      <c r="C1342" s="201">
        <v>1</v>
      </c>
      <c r="E1342" s="199">
        <f>IF(C1342=0,0,(VLOOKUP(B1342,'RESUMEN RENDIMIENTOS'!$AB$6:$AO$64,13,FALSE)))*C1342</f>
        <v>0.75</v>
      </c>
      <c r="F1342" s="200">
        <f>IF(C1342=0,0,(VLOOKUP(B1342,'RESUMEN RENDIMIENTOS'!$AB$6:$AO$64,14,FALSE)))*C1342</f>
        <v>1.0285714285714287E-2</v>
      </c>
      <c r="H1342" s="197" t="s">
        <v>278</v>
      </c>
      <c r="I1342" s="201">
        <v>1</v>
      </c>
      <c r="K1342" s="199">
        <f>IF(I1342=0,0,(VLOOKUP(H1342,'RESUMEN RENDIMIENTOS'!$AB$6:$AO$64,13,FALSE)))*I1342</f>
        <v>0.75</v>
      </c>
      <c r="L1342" s="200">
        <f>IF(I1342=0,0,(VLOOKUP(H1342,'RESUMEN RENDIMIENTOS'!$AB$6:$AO$64,14,FALSE)))*I1342</f>
        <v>1.0285714285714287E-2</v>
      </c>
      <c r="N1342" s="197" t="s">
        <v>278</v>
      </c>
      <c r="O1342" s="198">
        <v>1</v>
      </c>
      <c r="Q1342" s="199">
        <f>IF(O1342=0,0,(VLOOKUP(N1342,'RESUMEN RENDIMIENTOS'!$AB$6:$AO$64,13,FALSE)))*O1342</f>
        <v>0.75</v>
      </c>
      <c r="R1342" s="200">
        <f>IF(O1342=0,0,(VLOOKUP(N1342,'RESUMEN RENDIMIENTOS'!$AB$6:$AO$64,14,FALSE)))*O1342</f>
        <v>1.0285714285714287E-2</v>
      </c>
    </row>
    <row r="1343" spans="2:19">
      <c r="B1343" s="197" t="s">
        <v>279</v>
      </c>
      <c r="C1343" s="201">
        <v>1</v>
      </c>
      <c r="E1343" s="199">
        <f>IF(C1343=0,0,(VLOOKUP(B1343,'RESUMEN RENDIMIENTOS'!$AB$6:$AO$64,13,FALSE)))*C1343</f>
        <v>2</v>
      </c>
      <c r="F1343" s="200">
        <f>IF(C1343=0,0,(VLOOKUP(B1343,'RESUMEN RENDIMIENTOS'!$AB$6:$AO$64,14,FALSE)))*C1343</f>
        <v>9.5999999999999988E-2</v>
      </c>
      <c r="H1343" s="197" t="s">
        <v>279</v>
      </c>
      <c r="I1343" s="201">
        <v>1</v>
      </c>
      <c r="K1343" s="199">
        <f>IF(I1343=0,0,(VLOOKUP(H1343,'RESUMEN RENDIMIENTOS'!$AB$6:$AO$64,13,FALSE)))*I1343</f>
        <v>2</v>
      </c>
      <c r="L1343" s="200">
        <f>IF(I1343=0,0,(VLOOKUP(H1343,'RESUMEN RENDIMIENTOS'!$AB$6:$AO$64,14,FALSE)))*I1343</f>
        <v>9.5999999999999988E-2</v>
      </c>
      <c r="N1343" s="197" t="s">
        <v>279</v>
      </c>
      <c r="O1343" s="198">
        <v>1</v>
      </c>
      <c r="Q1343" s="199">
        <f>IF(O1343=0,0,(VLOOKUP(N1343,'RESUMEN RENDIMIENTOS'!$AB$6:$AO$64,13,FALSE)))*O1343</f>
        <v>2</v>
      </c>
      <c r="R1343" s="200">
        <f>IF(O1343=0,0,(VLOOKUP(N1343,'RESUMEN RENDIMIENTOS'!$AB$6:$AO$64,14,FALSE)))*O1343</f>
        <v>9.5999999999999988E-2</v>
      </c>
    </row>
    <row r="1344" spans="2:19">
      <c r="B1344" s="197" t="s">
        <v>284</v>
      </c>
      <c r="C1344" s="201">
        <v>0.25</v>
      </c>
      <c r="E1344" s="199">
        <f>IF(C1344=0,0,(VLOOKUP(B1344,'RESUMEN RENDIMIENTOS'!$AB$6:$AO$64,13,FALSE)))*C1344</f>
        <v>0.52500000000000002</v>
      </c>
      <c r="F1344" s="200">
        <f>IF(C1344=0,0,(VLOOKUP(B1344,'RESUMEN RENDIMIENTOS'!$AB$6:$AO$64,14,FALSE)))*C1344</f>
        <v>4.2000000000000003E-2</v>
      </c>
      <c r="H1344" s="197" t="s">
        <v>284</v>
      </c>
      <c r="I1344" s="201">
        <v>0.25</v>
      </c>
      <c r="K1344" s="199">
        <f>IF(I1344=0,0,(VLOOKUP(H1344,'RESUMEN RENDIMIENTOS'!$AB$6:$AO$64,13,FALSE)))*I1344</f>
        <v>0.52500000000000002</v>
      </c>
      <c r="L1344" s="200">
        <f>IF(I1344=0,0,(VLOOKUP(H1344,'RESUMEN RENDIMIENTOS'!$AB$6:$AO$64,14,FALSE)))*I1344</f>
        <v>4.2000000000000003E-2</v>
      </c>
      <c r="N1344" s="197" t="s">
        <v>284</v>
      </c>
      <c r="O1344" s="198">
        <v>0.25</v>
      </c>
      <c r="Q1344" s="199">
        <f>IF(O1344=0,0,(VLOOKUP(N1344,'RESUMEN RENDIMIENTOS'!$AB$6:$AO$64,13,FALSE)))*O1344</f>
        <v>0.52500000000000002</v>
      </c>
      <c r="R1344" s="200">
        <f>IF(O1344=0,0,(VLOOKUP(N1344,'RESUMEN RENDIMIENTOS'!$AB$6:$AO$64,14,FALSE)))*O1344</f>
        <v>4.2000000000000003E-2</v>
      </c>
    </row>
    <row r="1345" spans="2:19">
      <c r="B1345" s="197" t="s">
        <v>283</v>
      </c>
      <c r="C1345" s="201">
        <v>1</v>
      </c>
      <c r="E1345" s="199">
        <f>IF(C1345=0,0,(VLOOKUP(B1345,'RESUMEN RENDIMIENTOS'!$AB$6:$AO$64,13,FALSE)))*C1345</f>
        <v>1.59</v>
      </c>
      <c r="F1345" s="200">
        <f>IF(C1345=0,0,(VLOOKUP(B1345,'RESUMEN RENDIMIENTOS'!$AB$6:$AO$64,14,FALSE)))*C1345</f>
        <v>0.12720000000000001</v>
      </c>
      <c r="H1345" s="197" t="s">
        <v>283</v>
      </c>
      <c r="I1345" s="201">
        <v>1</v>
      </c>
      <c r="K1345" s="199">
        <f>IF(I1345=0,0,(VLOOKUP(H1345,'RESUMEN RENDIMIENTOS'!$AB$6:$AO$64,13,FALSE)))*I1345</f>
        <v>1.59</v>
      </c>
      <c r="L1345" s="200">
        <f>IF(I1345=0,0,(VLOOKUP(H1345,'RESUMEN RENDIMIENTOS'!$AB$6:$AO$64,14,FALSE)))*I1345</f>
        <v>0.12720000000000001</v>
      </c>
      <c r="N1345" s="197" t="s">
        <v>283</v>
      </c>
      <c r="O1345" s="198">
        <v>1</v>
      </c>
      <c r="Q1345" s="199">
        <f>IF(O1345=0,0,(VLOOKUP(N1345,'RESUMEN RENDIMIENTOS'!$AB$6:$AO$64,13,FALSE)))*O1345</f>
        <v>1.59</v>
      </c>
      <c r="R1345" s="200">
        <f>IF(O1345=0,0,(VLOOKUP(N1345,'RESUMEN RENDIMIENTOS'!$AB$6:$AO$64,14,FALSE)))*O1345</f>
        <v>0.12720000000000001</v>
      </c>
    </row>
    <row r="1346" spans="2:19">
      <c r="B1346" s="197" t="s">
        <v>282</v>
      </c>
      <c r="C1346" s="201">
        <v>1</v>
      </c>
      <c r="E1346" s="199">
        <f>IF(C1346=0,0,(VLOOKUP(B1346,'RESUMEN RENDIMIENTOS'!$AB$6:$AO$64,13,FALSE)))*C1346</f>
        <v>2.62</v>
      </c>
      <c r="F1346" s="200">
        <f>IF(C1346=0,0,(VLOOKUP(B1346,'RESUMEN RENDIMIENTOS'!$AB$6:$AO$64,14,FALSE)))*C1346</f>
        <v>6.986666666666666E-2</v>
      </c>
      <c r="H1346" s="197" t="s">
        <v>282</v>
      </c>
      <c r="I1346" s="201">
        <v>1</v>
      </c>
      <c r="K1346" s="199">
        <f>IF(I1346=0,0,(VLOOKUP(H1346,'RESUMEN RENDIMIENTOS'!$AB$6:$AO$64,13,FALSE)))*I1346</f>
        <v>2.62</v>
      </c>
      <c r="L1346" s="200">
        <f>IF(I1346=0,0,(VLOOKUP(H1346,'RESUMEN RENDIMIENTOS'!$AB$6:$AO$64,14,FALSE)))*I1346</f>
        <v>6.986666666666666E-2</v>
      </c>
      <c r="N1346" s="197" t="s">
        <v>282</v>
      </c>
      <c r="O1346" s="198">
        <v>1</v>
      </c>
      <c r="Q1346" s="199">
        <f>IF(O1346=0,0,(VLOOKUP(N1346,'RESUMEN RENDIMIENTOS'!$AB$6:$AO$64,13,FALSE)))*O1346</f>
        <v>2.62</v>
      </c>
      <c r="R1346" s="200">
        <f>IF(O1346=0,0,(VLOOKUP(N1346,'RESUMEN RENDIMIENTOS'!$AB$6:$AO$64,14,FALSE)))*O1346</f>
        <v>6.986666666666666E-2</v>
      </c>
    </row>
    <row r="1347" spans="2:19">
      <c r="B1347" s="197" t="s">
        <v>302</v>
      </c>
      <c r="C1347" s="201">
        <v>1</v>
      </c>
      <c r="E1347" s="199">
        <f>IF(C1347=0,0,(VLOOKUP(B1347,'RESUMEN RENDIMIENTOS'!$AB$6:$AO$64,13,FALSE)))*C1347</f>
        <v>1</v>
      </c>
      <c r="F1347" s="200">
        <f>IF(C1347=0,0,(VLOOKUP(B1347,'RESUMEN RENDIMIENTOS'!$AB$6:$AO$64,14,FALSE)))*C1347</f>
        <v>0.2</v>
      </c>
      <c r="H1347" s="197" t="s">
        <v>302</v>
      </c>
      <c r="I1347" s="201">
        <v>1</v>
      </c>
      <c r="K1347" s="199">
        <f>IF(I1347=0,0,(VLOOKUP(H1347,'RESUMEN RENDIMIENTOS'!$AB$6:$AO$64,13,FALSE)))*I1347</f>
        <v>1</v>
      </c>
      <c r="L1347" s="200">
        <f>IF(I1347=0,0,(VLOOKUP(H1347,'RESUMEN RENDIMIENTOS'!$AB$6:$AO$64,14,FALSE)))*I1347</f>
        <v>0.2</v>
      </c>
      <c r="N1347" s="197" t="s">
        <v>302</v>
      </c>
      <c r="O1347" s="198">
        <v>1</v>
      </c>
      <c r="Q1347" s="199">
        <f>IF(O1347=0,0,(VLOOKUP(N1347,'RESUMEN RENDIMIENTOS'!$AB$6:$AO$64,13,FALSE)))*O1347</f>
        <v>1</v>
      </c>
      <c r="R1347" s="200">
        <f>IF(O1347=0,0,(VLOOKUP(N1347,'RESUMEN RENDIMIENTOS'!$AB$6:$AO$64,14,FALSE)))*O1347</f>
        <v>0.2</v>
      </c>
    </row>
    <row r="1348" spans="2:19">
      <c r="B1348" s="202"/>
      <c r="F1348" s="204">
        <f>SUM(F1342:F1347)</f>
        <v>0.54535238095238103</v>
      </c>
      <c r="G1348" s="205">
        <f>+F1348</f>
        <v>0.54535238095238103</v>
      </c>
      <c r="H1348" s="202"/>
      <c r="I1348" s="179"/>
      <c r="K1348" s="88"/>
      <c r="L1348" s="206">
        <f>SUM(L1342:L1347)</f>
        <v>0.54535238095238103</v>
      </c>
      <c r="M1348" s="205">
        <f>+L1348</f>
        <v>0.54535238095238103</v>
      </c>
      <c r="N1348" s="202"/>
      <c r="O1348" s="179"/>
      <c r="R1348" s="206">
        <f>SUM(R1342:R1347)</f>
        <v>0.54535238095238103</v>
      </c>
      <c r="S1348" s="205">
        <f>+R1348</f>
        <v>0.54535238095238103</v>
      </c>
    </row>
    <row r="1349" spans="2:19">
      <c r="B1349" s="436" t="s">
        <v>324</v>
      </c>
      <c r="C1349" s="437"/>
      <c r="D1349" s="437"/>
      <c r="E1349" s="437"/>
      <c r="F1349" s="437"/>
      <c r="G1349" s="205"/>
      <c r="H1349" s="436" t="s">
        <v>324</v>
      </c>
      <c r="I1349" s="437"/>
      <c r="J1349" s="437"/>
      <c r="K1349" s="437"/>
      <c r="L1349" s="455"/>
      <c r="M1349" s="205"/>
      <c r="N1349" s="436" t="s">
        <v>324</v>
      </c>
      <c r="O1349" s="437"/>
      <c r="P1349" s="437"/>
      <c r="Q1349" s="437"/>
      <c r="R1349" s="455"/>
      <c r="S1349" s="205"/>
    </row>
    <row r="1350" spans="2:19">
      <c r="B1350" s="210" t="s">
        <v>325</v>
      </c>
      <c r="C1350" s="211">
        <v>1</v>
      </c>
      <c r="D1350" s="212">
        <v>21.712335174960327</v>
      </c>
      <c r="E1350" s="213">
        <f>F1336</f>
        <v>0.1095740890688259</v>
      </c>
      <c r="F1350" s="214">
        <f>+IF(C1350&gt;="",0,(D1350*E1350))</f>
        <v>2.3791093483533046</v>
      </c>
      <c r="G1350" s="215"/>
      <c r="H1350" s="210" t="s">
        <v>325</v>
      </c>
      <c r="I1350" s="211">
        <v>1</v>
      </c>
      <c r="J1350" s="212">
        <v>21.712335174960327</v>
      </c>
      <c r="K1350" s="213">
        <f>L1336</f>
        <v>5.0468016194331985E-2</v>
      </c>
      <c r="L1350" s="216">
        <f>+IF(I1350&gt;="",0,(J1350*K1350))</f>
        <v>1.0957784832266617</v>
      </c>
      <c r="M1350" s="215"/>
      <c r="N1350" s="210" t="s">
        <v>325</v>
      </c>
      <c r="O1350" s="211">
        <v>1</v>
      </c>
      <c r="P1350" s="212">
        <v>21.712335174960327</v>
      </c>
      <c r="Q1350" s="213">
        <f>R1336</f>
        <v>7.9999999999999988E-2</v>
      </c>
      <c r="R1350" s="214">
        <f>+IF(O1350&gt;="",0,(P1350*Q1350))</f>
        <v>1.7369868139968259</v>
      </c>
      <c r="S1350" s="215"/>
    </row>
    <row r="1351" spans="2:19">
      <c r="B1351" s="210" t="s">
        <v>326</v>
      </c>
      <c r="C1351" s="211"/>
      <c r="D1351" s="212">
        <f>+D1350*25%</f>
        <v>5.4280837937400817</v>
      </c>
      <c r="E1351" s="213">
        <f>F1336</f>
        <v>0.1095740890688259</v>
      </c>
      <c r="F1351" s="214">
        <f>+IF(C1351= "",0,(D1351*E1351))</f>
        <v>0</v>
      </c>
      <c r="G1351" s="215"/>
      <c r="H1351" s="210" t="s">
        <v>326</v>
      </c>
      <c r="I1351" s="211"/>
      <c r="J1351" s="212">
        <f>+J1350*25%</f>
        <v>5.4280837937400817</v>
      </c>
      <c r="K1351" s="213">
        <f>L1336</f>
        <v>5.0468016194331985E-2</v>
      </c>
      <c r="L1351" s="216">
        <f>+IF(I1351= "",0,(J1351*K1351))</f>
        <v>0</v>
      </c>
      <c r="M1351" s="215"/>
      <c r="N1351" s="210" t="s">
        <v>326</v>
      </c>
      <c r="O1351" s="211"/>
      <c r="P1351" s="212">
        <f>+P1350*25%</f>
        <v>5.4280837937400817</v>
      </c>
      <c r="Q1351" s="213">
        <f>R1336</f>
        <v>7.9999999999999988E-2</v>
      </c>
      <c r="R1351" s="214">
        <f>+IF(O1351= "",0,(P1351*Q1351))</f>
        <v>0</v>
      </c>
      <c r="S1351" s="215"/>
    </row>
    <row r="1352" spans="2:19">
      <c r="B1352" s="210" t="s">
        <v>327</v>
      </c>
      <c r="C1352" s="211"/>
      <c r="D1352" s="212">
        <f>+D1350*50%</f>
        <v>10.856167587480163</v>
      </c>
      <c r="E1352" s="213">
        <f>F1336</f>
        <v>0.1095740890688259</v>
      </c>
      <c r="F1352" s="214">
        <f>+IF(C1352= "",0,(D1352*E1352))</f>
        <v>0</v>
      </c>
      <c r="G1352" s="215"/>
      <c r="H1352" s="210" t="s">
        <v>327</v>
      </c>
      <c r="I1352" s="211"/>
      <c r="J1352" s="212">
        <f>+J1350*50%</f>
        <v>10.856167587480163</v>
      </c>
      <c r="K1352" s="213">
        <f>L1336</f>
        <v>5.0468016194331985E-2</v>
      </c>
      <c r="L1352" s="216">
        <f>+IF(I1352= "",0,(J1352*K1352))</f>
        <v>0</v>
      </c>
      <c r="M1352" s="215"/>
      <c r="N1352" s="210" t="s">
        <v>327</v>
      </c>
      <c r="O1352" s="211"/>
      <c r="P1352" s="212">
        <f>+P1350*50%</f>
        <v>10.856167587480163</v>
      </c>
      <c r="Q1352" s="213">
        <f>R1336</f>
        <v>7.9999999999999988E-2</v>
      </c>
      <c r="R1352" s="214">
        <f>+IF(O1352= "",0,(P1352*Q1352))</f>
        <v>0</v>
      </c>
      <c r="S1352" s="215"/>
    </row>
    <row r="1353" spans="2:19">
      <c r="B1353" s="202"/>
      <c r="F1353" s="217">
        <f>SUM(F1350:F1352)</f>
        <v>2.3791093483533046</v>
      </c>
      <c r="G1353" s="218"/>
      <c r="H1353" s="202"/>
      <c r="I1353" s="179"/>
      <c r="K1353" s="88"/>
      <c r="L1353" s="219">
        <f>SUM(L1350:L1352)</f>
        <v>1.0957784832266617</v>
      </c>
      <c r="M1353" s="218"/>
      <c r="N1353" s="202"/>
      <c r="O1353" s="179"/>
      <c r="R1353" s="217">
        <f>SUM(R1350:R1352)</f>
        <v>1.7369868139968259</v>
      </c>
      <c r="S1353" s="218"/>
    </row>
    <row r="1354" spans="2:19">
      <c r="B1354" s="202"/>
      <c r="G1354" s="220"/>
      <c r="H1354" s="202"/>
      <c r="I1354" s="179"/>
      <c r="K1354" s="88"/>
      <c r="L1354" s="189"/>
      <c r="M1354" s="220"/>
      <c r="N1354" s="202"/>
      <c r="O1354" s="179"/>
      <c r="R1354" s="189"/>
      <c r="S1354" s="220"/>
    </row>
    <row r="1355" spans="2:19" ht="21">
      <c r="B1355" s="438" t="s">
        <v>328</v>
      </c>
      <c r="C1355" s="439"/>
      <c r="D1355" s="439"/>
      <c r="E1355" s="440"/>
      <c r="F1355" s="221">
        <f>+F1348+F1353</f>
        <v>2.9244617293056856</v>
      </c>
      <c r="G1355" s="205">
        <f>+F1355</f>
        <v>2.9244617293056856</v>
      </c>
      <c r="H1355" s="438" t="s">
        <v>328</v>
      </c>
      <c r="I1355" s="439"/>
      <c r="J1355" s="439"/>
      <c r="K1355" s="440"/>
      <c r="L1355" s="225">
        <f>+L1348+L1353</f>
        <v>1.6411308641790427</v>
      </c>
      <c r="M1355" s="205">
        <f>+L1355</f>
        <v>1.6411308641790427</v>
      </c>
      <c r="N1355" s="438" t="s">
        <v>328</v>
      </c>
      <c r="O1355" s="439"/>
      <c r="P1355" s="439"/>
      <c r="Q1355" s="440"/>
      <c r="R1355" s="225">
        <f>+R1348+R1353</f>
        <v>2.2823391949492069</v>
      </c>
      <c r="S1355" s="205">
        <f>+R1355</f>
        <v>2.2823391949492069</v>
      </c>
    </row>
    <row r="1356" spans="2:19">
      <c r="B1356" s="202"/>
      <c r="G1356" s="205"/>
      <c r="H1356" s="202"/>
      <c r="I1356" s="179"/>
      <c r="K1356" s="88"/>
      <c r="L1356" s="189"/>
      <c r="M1356" s="205"/>
      <c r="N1356" s="202"/>
      <c r="O1356" s="179"/>
      <c r="R1356" s="189"/>
      <c r="S1356" s="205"/>
    </row>
    <row r="1357" spans="2:19" ht="19">
      <c r="B1357" s="441" t="s">
        <v>329</v>
      </c>
      <c r="C1357" s="442"/>
      <c r="D1357" s="442"/>
      <c r="E1357" s="443"/>
      <c r="F1357" s="226">
        <f>+F1355/$C$37</f>
        <v>2.9244617293056857E-2</v>
      </c>
      <c r="G1357" s="205"/>
      <c r="H1357" s="441" t="s">
        <v>329</v>
      </c>
      <c r="I1357" s="442"/>
      <c r="J1357" s="442"/>
      <c r="K1357" s="443"/>
      <c r="L1357" s="230">
        <f>+L1355/$C$37</f>
        <v>1.6411308641790426E-2</v>
      </c>
      <c r="M1357" s="205"/>
      <c r="N1357" s="441" t="s">
        <v>329</v>
      </c>
      <c r="O1357" s="442"/>
      <c r="P1357" s="442"/>
      <c r="Q1357" s="443"/>
      <c r="R1357" s="230">
        <f>+R1355/$C$37</f>
        <v>2.282339194949207E-2</v>
      </c>
      <c r="S1357" s="205"/>
    </row>
    <row r="1358" spans="2:19" ht="17" thickBot="1">
      <c r="B1358" s="231"/>
      <c r="C1358" s="232"/>
      <c r="D1358" s="233"/>
      <c r="E1358" s="233"/>
      <c r="F1358" s="233"/>
      <c r="G1358" s="205"/>
      <c r="H1358" s="231"/>
      <c r="I1358" s="232"/>
      <c r="J1358" s="233"/>
      <c r="K1358" s="233"/>
      <c r="L1358" s="234"/>
      <c r="M1358" s="205"/>
      <c r="N1358" s="231"/>
      <c r="O1358" s="232"/>
      <c r="P1358" s="233"/>
      <c r="Q1358" s="233"/>
      <c r="R1358" s="234"/>
      <c r="S1358" s="205"/>
    </row>
    <row r="1359" spans="2:19" ht="24" customHeight="1" thickBot="1">
      <c r="B1359" s="415" t="s">
        <v>312</v>
      </c>
      <c r="C1359" s="416"/>
      <c r="D1359" s="416"/>
      <c r="E1359" s="416"/>
      <c r="F1359" s="416"/>
      <c r="G1359" s="416"/>
      <c r="H1359" s="416"/>
      <c r="I1359" s="416"/>
      <c r="J1359" s="416"/>
      <c r="K1359" s="416"/>
      <c r="L1359" s="416"/>
      <c r="M1359" s="416"/>
      <c r="N1359" s="416"/>
      <c r="O1359" s="416"/>
      <c r="P1359" s="416"/>
      <c r="Q1359" s="416"/>
      <c r="R1359" s="417"/>
    </row>
    <row r="1360" spans="2:19" ht="23.25" customHeight="1">
      <c r="B1360" s="276" t="s">
        <v>16</v>
      </c>
      <c r="C1360" s="452" t="s">
        <v>144</v>
      </c>
      <c r="D1360" s="453"/>
      <c r="E1360" s="453"/>
      <c r="F1360" s="465"/>
      <c r="G1360" s="254"/>
      <c r="H1360" s="239" t="s">
        <v>16</v>
      </c>
      <c r="I1360" s="452" t="s">
        <v>145</v>
      </c>
      <c r="J1360" s="453"/>
      <c r="K1360" s="453"/>
      <c r="L1360" s="465"/>
      <c r="M1360" s="254"/>
      <c r="N1360" s="239" t="s">
        <v>16</v>
      </c>
      <c r="O1360" s="452" t="s">
        <v>146</v>
      </c>
      <c r="P1360" s="453"/>
      <c r="Q1360" s="453"/>
      <c r="R1360" s="465"/>
    </row>
    <row r="1361" spans="2:19" ht="33" thickBot="1">
      <c r="B1361" s="241" t="s">
        <v>313</v>
      </c>
      <c r="C1361" s="242" t="s">
        <v>6</v>
      </c>
      <c r="D1361" s="243" t="s">
        <v>25</v>
      </c>
      <c r="E1361" s="244" t="s">
        <v>314</v>
      </c>
      <c r="F1361" s="245" t="s">
        <v>315</v>
      </c>
      <c r="H1361" s="241" t="s">
        <v>313</v>
      </c>
      <c r="I1361" s="242" t="s">
        <v>6</v>
      </c>
      <c r="J1361" s="243" t="s">
        <v>25</v>
      </c>
      <c r="K1361" s="244" t="s">
        <v>314</v>
      </c>
      <c r="L1361" s="245" t="s">
        <v>315</v>
      </c>
      <c r="N1361" s="241" t="s">
        <v>313</v>
      </c>
      <c r="O1361" s="242" t="s">
        <v>6</v>
      </c>
      <c r="P1361" s="243" t="s">
        <v>25</v>
      </c>
      <c r="Q1361" s="244" t="s">
        <v>314</v>
      </c>
      <c r="R1361" s="245" t="s">
        <v>315</v>
      </c>
    </row>
    <row r="1362" spans="2:19">
      <c r="B1362" s="170" t="s">
        <v>182</v>
      </c>
      <c r="C1362" s="171">
        <f>VLOOKUP(B1362,'RESUMEN RENDIMIENTOS'!$V$6:$W$158,2,FALSE)</f>
        <v>1400</v>
      </c>
      <c r="D1362" s="177" t="s">
        <v>20</v>
      </c>
      <c r="E1362" s="172">
        <v>247</v>
      </c>
      <c r="F1362" s="175">
        <f t="shared" ref="F1362:F1377" si="117">IF(C1362=0,0,(100/C1362)*E1362/$E$37)</f>
        <v>7.1428571428571425E-2</v>
      </c>
      <c r="G1362" s="164">
        <f>+F1362/F1378</f>
        <v>1</v>
      </c>
      <c r="H1362" s="170" t="s">
        <v>182</v>
      </c>
      <c r="I1362" s="171">
        <f>VLOOKUP(H1362,'RESUMEN RENDIMIENTOS'!$V$6:$W$158,2,FALSE)</f>
        <v>1400</v>
      </c>
      <c r="J1362" s="177" t="s">
        <v>20</v>
      </c>
      <c r="K1362" s="172">
        <v>247</v>
      </c>
      <c r="L1362" s="175">
        <f t="shared" ref="L1362:L1377" si="118">IF(I1362=0,0,(100/I1362)*K1362/$E$37)</f>
        <v>7.1428571428571425E-2</v>
      </c>
      <c r="M1362" s="164">
        <f>+L1362/L1378</f>
        <v>1</v>
      </c>
      <c r="N1362" s="170" t="s">
        <v>182</v>
      </c>
      <c r="O1362" s="171">
        <f>VLOOKUP(N1362,'RESUMEN RENDIMIENTOS'!$V$6:$W$158,2,FALSE)</f>
        <v>1400</v>
      </c>
      <c r="P1362" s="177" t="s">
        <v>20</v>
      </c>
      <c r="Q1362" s="172">
        <v>247</v>
      </c>
      <c r="R1362" s="175">
        <f t="shared" ref="R1362:R1377" si="119">IF(O1362=0,0,(100/O1362)*Q1362/$E$37)</f>
        <v>7.1428571428571425E-2</v>
      </c>
      <c r="S1362" s="164">
        <f>+R1362/R1378</f>
        <v>1</v>
      </c>
    </row>
    <row r="1363" spans="2:19">
      <c r="B1363" s="170">
        <v>0</v>
      </c>
      <c r="C1363" s="171">
        <f>VLOOKUP(B1363,'RESUMEN RENDIMIENTOS'!$V$6:$W$158,2,FALSE)</f>
        <v>0</v>
      </c>
      <c r="D1363" s="177"/>
      <c r="E1363" s="172" t="s">
        <v>337</v>
      </c>
      <c r="F1363" s="175">
        <f t="shared" si="117"/>
        <v>0</v>
      </c>
      <c r="G1363" s="174">
        <f>+F1363/F1378</f>
        <v>0</v>
      </c>
      <c r="H1363" s="170">
        <v>0</v>
      </c>
      <c r="I1363" s="171">
        <f>VLOOKUP(H1363,'RESUMEN RENDIMIENTOS'!$V$6:$W$158,2,FALSE)</f>
        <v>0</v>
      </c>
      <c r="J1363" s="177"/>
      <c r="K1363" s="172" t="s">
        <v>337</v>
      </c>
      <c r="L1363" s="175">
        <f t="shared" si="118"/>
        <v>0</v>
      </c>
      <c r="M1363" s="174">
        <f>+L1363/L1378</f>
        <v>0</v>
      </c>
      <c r="N1363" s="170">
        <v>0</v>
      </c>
      <c r="O1363" s="171">
        <f>VLOOKUP(N1363,'RESUMEN RENDIMIENTOS'!$V$6:$W$158,2,FALSE)</f>
        <v>0</v>
      </c>
      <c r="P1363" s="177"/>
      <c r="Q1363" s="172" t="s">
        <v>337</v>
      </c>
      <c r="R1363" s="175">
        <f t="shared" si="119"/>
        <v>0</v>
      </c>
      <c r="S1363" s="174">
        <f>+R1363/R1378</f>
        <v>0</v>
      </c>
    </row>
    <row r="1364" spans="2:19">
      <c r="B1364" s="170">
        <v>0</v>
      </c>
      <c r="C1364" s="171">
        <f>VLOOKUP(B1364,'RESUMEN RENDIMIENTOS'!$V$6:$W$158,2,FALSE)</f>
        <v>0</v>
      </c>
      <c r="D1364" s="177"/>
      <c r="E1364" s="172" t="s">
        <v>337</v>
      </c>
      <c r="F1364" s="175">
        <f t="shared" si="117"/>
        <v>0</v>
      </c>
      <c r="G1364" s="174">
        <f>+F1364/F1378</f>
        <v>0</v>
      </c>
      <c r="H1364" s="170">
        <v>0</v>
      </c>
      <c r="I1364" s="171">
        <f>VLOOKUP(H1364,'RESUMEN RENDIMIENTOS'!$V$6:$W$158,2,FALSE)</f>
        <v>0</v>
      </c>
      <c r="J1364" s="177"/>
      <c r="K1364" s="172" t="s">
        <v>337</v>
      </c>
      <c r="L1364" s="175">
        <f t="shared" si="118"/>
        <v>0</v>
      </c>
      <c r="M1364" s="174">
        <f>+L1364/L1378</f>
        <v>0</v>
      </c>
      <c r="N1364" s="170">
        <v>0</v>
      </c>
      <c r="O1364" s="171">
        <f>VLOOKUP(N1364,'RESUMEN RENDIMIENTOS'!$V$6:$W$158,2,FALSE)</f>
        <v>0</v>
      </c>
      <c r="P1364" s="177"/>
      <c r="Q1364" s="172" t="s">
        <v>337</v>
      </c>
      <c r="R1364" s="175">
        <f t="shared" si="119"/>
        <v>0</v>
      </c>
      <c r="S1364" s="174">
        <f>+R1364/R1378</f>
        <v>0</v>
      </c>
    </row>
    <row r="1365" spans="2:19">
      <c r="B1365" s="170">
        <v>0</v>
      </c>
      <c r="C1365" s="171">
        <f>VLOOKUP(B1365,'RESUMEN RENDIMIENTOS'!$V$6:$W$158,2,FALSE)</f>
        <v>0</v>
      </c>
      <c r="D1365" s="177"/>
      <c r="E1365" s="172" t="s">
        <v>337</v>
      </c>
      <c r="F1365" s="175">
        <f t="shared" si="117"/>
        <v>0</v>
      </c>
      <c r="G1365" s="174">
        <f>+F1365/F1378</f>
        <v>0</v>
      </c>
      <c r="H1365" s="170">
        <v>0</v>
      </c>
      <c r="I1365" s="171">
        <f>VLOOKUP(H1365,'RESUMEN RENDIMIENTOS'!$V$6:$W$158,2,FALSE)</f>
        <v>0</v>
      </c>
      <c r="J1365" s="177"/>
      <c r="K1365" s="172" t="s">
        <v>337</v>
      </c>
      <c r="L1365" s="175">
        <f t="shared" si="118"/>
        <v>0</v>
      </c>
      <c r="M1365" s="174">
        <f>+L1365/L1378</f>
        <v>0</v>
      </c>
      <c r="N1365" s="170">
        <v>0</v>
      </c>
      <c r="O1365" s="171">
        <f>VLOOKUP(N1365,'RESUMEN RENDIMIENTOS'!$V$6:$W$158,2,FALSE)</f>
        <v>0</v>
      </c>
      <c r="P1365" s="177"/>
      <c r="Q1365" s="172" t="s">
        <v>337</v>
      </c>
      <c r="R1365" s="175">
        <f t="shared" si="119"/>
        <v>0</v>
      </c>
      <c r="S1365" s="174">
        <f>+R1365/R1378</f>
        <v>0</v>
      </c>
    </row>
    <row r="1366" spans="2:19">
      <c r="B1366" s="170">
        <v>0</v>
      </c>
      <c r="C1366" s="171">
        <f>VLOOKUP(B1366,'RESUMEN RENDIMIENTOS'!$V$6:$W$158,2,FALSE)</f>
        <v>0</v>
      </c>
      <c r="D1366" s="177"/>
      <c r="E1366" s="172" t="s">
        <v>337</v>
      </c>
      <c r="F1366" s="175">
        <f t="shared" si="117"/>
        <v>0</v>
      </c>
      <c r="G1366" s="174">
        <f>+F1366/F1378</f>
        <v>0</v>
      </c>
      <c r="H1366" s="170">
        <v>0</v>
      </c>
      <c r="I1366" s="171">
        <f>VLOOKUP(H1366,'RESUMEN RENDIMIENTOS'!$V$6:$W$158,2,FALSE)</f>
        <v>0</v>
      </c>
      <c r="J1366" s="177"/>
      <c r="K1366" s="172" t="s">
        <v>337</v>
      </c>
      <c r="L1366" s="175">
        <f t="shared" si="118"/>
        <v>0</v>
      </c>
      <c r="M1366" s="174">
        <f>+L1366/L1378</f>
        <v>0</v>
      </c>
      <c r="N1366" s="170">
        <v>0</v>
      </c>
      <c r="O1366" s="171">
        <f>VLOOKUP(N1366,'RESUMEN RENDIMIENTOS'!$V$6:$W$158,2,FALSE)</f>
        <v>0</v>
      </c>
      <c r="P1366" s="177"/>
      <c r="Q1366" s="172" t="s">
        <v>337</v>
      </c>
      <c r="R1366" s="175">
        <f t="shared" si="119"/>
        <v>0</v>
      </c>
      <c r="S1366" s="174">
        <f>+R1366/R1378</f>
        <v>0</v>
      </c>
    </row>
    <row r="1367" spans="2:19">
      <c r="B1367" s="170">
        <v>0</v>
      </c>
      <c r="C1367" s="171">
        <f>VLOOKUP(B1367,'RESUMEN RENDIMIENTOS'!$V$6:$W$158,2,FALSE)</f>
        <v>0</v>
      </c>
      <c r="D1367" s="177"/>
      <c r="E1367" s="172" t="s">
        <v>337</v>
      </c>
      <c r="F1367" s="175">
        <f t="shared" si="117"/>
        <v>0</v>
      </c>
      <c r="G1367" s="174">
        <f>+F1367/F1378</f>
        <v>0</v>
      </c>
      <c r="H1367" s="170">
        <v>0</v>
      </c>
      <c r="I1367" s="171">
        <f>VLOOKUP(H1367,'RESUMEN RENDIMIENTOS'!$V$6:$W$158,2,FALSE)</f>
        <v>0</v>
      </c>
      <c r="J1367" s="177"/>
      <c r="K1367" s="172" t="s">
        <v>337</v>
      </c>
      <c r="L1367" s="175">
        <f t="shared" si="118"/>
        <v>0</v>
      </c>
      <c r="M1367" s="174">
        <f>+L1367/L1378</f>
        <v>0</v>
      </c>
      <c r="N1367" s="170">
        <v>0</v>
      </c>
      <c r="O1367" s="171">
        <f>VLOOKUP(N1367,'RESUMEN RENDIMIENTOS'!$V$6:$W$158,2,FALSE)</f>
        <v>0</v>
      </c>
      <c r="P1367" s="177"/>
      <c r="Q1367" s="172" t="s">
        <v>337</v>
      </c>
      <c r="R1367" s="175">
        <f t="shared" si="119"/>
        <v>0</v>
      </c>
      <c r="S1367" s="174">
        <f>+R1367/R1378</f>
        <v>0</v>
      </c>
    </row>
    <row r="1368" spans="2:19">
      <c r="B1368" s="170">
        <v>0</v>
      </c>
      <c r="C1368" s="171">
        <f>VLOOKUP(B1368,'RESUMEN RENDIMIENTOS'!$V$6:$W$158,2,FALSE)</f>
        <v>0</v>
      </c>
      <c r="D1368" s="177"/>
      <c r="E1368" s="172" t="s">
        <v>337</v>
      </c>
      <c r="F1368" s="175">
        <f t="shared" si="117"/>
        <v>0</v>
      </c>
      <c r="G1368" s="174">
        <f>+F1368/F1378</f>
        <v>0</v>
      </c>
      <c r="H1368" s="170">
        <v>0</v>
      </c>
      <c r="I1368" s="171">
        <f>VLOOKUP(H1368,'RESUMEN RENDIMIENTOS'!$V$6:$W$158,2,FALSE)</f>
        <v>0</v>
      </c>
      <c r="J1368" s="177"/>
      <c r="K1368" s="172" t="s">
        <v>337</v>
      </c>
      <c r="L1368" s="175">
        <f t="shared" si="118"/>
        <v>0</v>
      </c>
      <c r="M1368" s="174">
        <f>+L1368/L1378</f>
        <v>0</v>
      </c>
      <c r="N1368" s="170">
        <v>0</v>
      </c>
      <c r="O1368" s="171">
        <f>VLOOKUP(N1368,'RESUMEN RENDIMIENTOS'!$V$6:$W$158,2,FALSE)</f>
        <v>0</v>
      </c>
      <c r="P1368" s="177"/>
      <c r="Q1368" s="172" t="s">
        <v>337</v>
      </c>
      <c r="R1368" s="175">
        <f t="shared" si="119"/>
        <v>0</v>
      </c>
      <c r="S1368" s="174">
        <f>+R1368/R1378</f>
        <v>0</v>
      </c>
    </row>
    <row r="1369" spans="2:19">
      <c r="B1369" s="170">
        <v>0</v>
      </c>
      <c r="C1369" s="171">
        <f>VLOOKUP(B1369,'RESUMEN RENDIMIENTOS'!$V$6:$W$158,2,FALSE)</f>
        <v>0</v>
      </c>
      <c r="D1369" s="177"/>
      <c r="E1369" s="172" t="s">
        <v>337</v>
      </c>
      <c r="F1369" s="175">
        <f t="shared" si="117"/>
        <v>0</v>
      </c>
      <c r="G1369" s="174">
        <f>+F1369/F1378</f>
        <v>0</v>
      </c>
      <c r="H1369" s="170">
        <v>0</v>
      </c>
      <c r="I1369" s="171">
        <f>VLOOKUP(H1369,'RESUMEN RENDIMIENTOS'!$V$6:$W$158,2,FALSE)</f>
        <v>0</v>
      </c>
      <c r="J1369" s="177"/>
      <c r="K1369" s="172" t="s">
        <v>337</v>
      </c>
      <c r="L1369" s="175">
        <f t="shared" si="118"/>
        <v>0</v>
      </c>
      <c r="M1369" s="174">
        <f>+L1369/L1378</f>
        <v>0</v>
      </c>
      <c r="N1369" s="170">
        <v>0</v>
      </c>
      <c r="O1369" s="171">
        <f>VLOOKUP(N1369,'RESUMEN RENDIMIENTOS'!$V$6:$W$158,2,FALSE)</f>
        <v>0</v>
      </c>
      <c r="P1369" s="177"/>
      <c r="Q1369" s="172" t="s">
        <v>337</v>
      </c>
      <c r="R1369" s="175">
        <f t="shared" si="119"/>
        <v>0</v>
      </c>
      <c r="S1369" s="174">
        <f>+R1369/R1378</f>
        <v>0</v>
      </c>
    </row>
    <row r="1370" spans="2:19">
      <c r="B1370" s="170">
        <v>0</v>
      </c>
      <c r="C1370" s="171">
        <f>VLOOKUP(B1370,'RESUMEN RENDIMIENTOS'!$V$6:$W$158,2,FALSE)</f>
        <v>0</v>
      </c>
      <c r="D1370" s="177"/>
      <c r="E1370" s="172" t="s">
        <v>337</v>
      </c>
      <c r="F1370" s="175">
        <f t="shared" si="117"/>
        <v>0</v>
      </c>
      <c r="G1370" s="174">
        <f>+F1370/F1378</f>
        <v>0</v>
      </c>
      <c r="H1370" s="170">
        <v>0</v>
      </c>
      <c r="I1370" s="171">
        <f>VLOOKUP(H1370,'RESUMEN RENDIMIENTOS'!$V$6:$W$158,2,FALSE)</f>
        <v>0</v>
      </c>
      <c r="J1370" s="177"/>
      <c r="K1370" s="172" t="s">
        <v>337</v>
      </c>
      <c r="L1370" s="175">
        <f t="shared" si="118"/>
        <v>0</v>
      </c>
      <c r="M1370" s="174">
        <f>+L1370/L1378</f>
        <v>0</v>
      </c>
      <c r="N1370" s="170">
        <v>0</v>
      </c>
      <c r="O1370" s="171">
        <f>VLOOKUP(N1370,'RESUMEN RENDIMIENTOS'!$V$6:$W$158,2,FALSE)</f>
        <v>0</v>
      </c>
      <c r="P1370" s="177"/>
      <c r="Q1370" s="172" t="s">
        <v>337</v>
      </c>
      <c r="R1370" s="175">
        <f t="shared" si="119"/>
        <v>0</v>
      </c>
      <c r="S1370" s="174">
        <f>+R1370/R1378</f>
        <v>0</v>
      </c>
    </row>
    <row r="1371" spans="2:19">
      <c r="B1371" s="170">
        <v>0</v>
      </c>
      <c r="C1371" s="171">
        <f>VLOOKUP(B1371,'RESUMEN RENDIMIENTOS'!$V$6:$W$158,2,FALSE)</f>
        <v>0</v>
      </c>
      <c r="D1371" s="290"/>
      <c r="E1371" s="270" t="s">
        <v>337</v>
      </c>
      <c r="F1371" s="175">
        <f t="shared" si="117"/>
        <v>0</v>
      </c>
      <c r="G1371" s="174">
        <f>+F1371/F1378</f>
        <v>0</v>
      </c>
      <c r="H1371" s="170">
        <v>0</v>
      </c>
      <c r="I1371" s="171">
        <f>VLOOKUP(H1371,'RESUMEN RENDIMIENTOS'!$V$6:$W$158,2,FALSE)</f>
        <v>0</v>
      </c>
      <c r="J1371" s="177"/>
      <c r="K1371" s="172" t="s">
        <v>337</v>
      </c>
      <c r="L1371" s="175">
        <f t="shared" si="118"/>
        <v>0</v>
      </c>
      <c r="M1371" s="174">
        <f>+L1371/L1378</f>
        <v>0</v>
      </c>
      <c r="N1371" s="170">
        <v>0</v>
      </c>
      <c r="O1371" s="171">
        <f>VLOOKUP(N1371,'RESUMEN RENDIMIENTOS'!$V$6:$W$158,2,FALSE)</f>
        <v>0</v>
      </c>
      <c r="P1371" s="177"/>
      <c r="Q1371" s="172" t="s">
        <v>337</v>
      </c>
      <c r="R1371" s="175">
        <f t="shared" si="119"/>
        <v>0</v>
      </c>
      <c r="S1371" s="174">
        <f>+R1371/R1378</f>
        <v>0</v>
      </c>
    </row>
    <row r="1372" spans="2:19">
      <c r="B1372" s="170">
        <v>0</v>
      </c>
      <c r="C1372" s="171">
        <f>VLOOKUP(B1372,'RESUMEN RENDIMIENTOS'!$V$6:$W$158,2,FALSE)</f>
        <v>0</v>
      </c>
      <c r="D1372" s="290"/>
      <c r="E1372" s="172" t="s">
        <v>337</v>
      </c>
      <c r="F1372" s="175">
        <f t="shared" si="117"/>
        <v>0</v>
      </c>
      <c r="G1372" s="174">
        <f>+F1372/F1378</f>
        <v>0</v>
      </c>
      <c r="H1372" s="170">
        <v>0</v>
      </c>
      <c r="I1372" s="171">
        <f>VLOOKUP(H1372,'RESUMEN RENDIMIENTOS'!$V$6:$W$158,2,FALSE)</f>
        <v>0</v>
      </c>
      <c r="J1372" s="177"/>
      <c r="K1372" s="172" t="s">
        <v>337</v>
      </c>
      <c r="L1372" s="175">
        <f t="shared" si="118"/>
        <v>0</v>
      </c>
      <c r="M1372" s="174">
        <f>+L1372/L1378</f>
        <v>0</v>
      </c>
      <c r="N1372" s="170">
        <v>0</v>
      </c>
      <c r="O1372" s="171">
        <f>VLOOKUP(N1372,'RESUMEN RENDIMIENTOS'!$V$6:$W$158,2,FALSE)</f>
        <v>0</v>
      </c>
      <c r="P1372" s="177"/>
      <c r="Q1372" s="172" t="s">
        <v>337</v>
      </c>
      <c r="R1372" s="175">
        <f t="shared" si="119"/>
        <v>0</v>
      </c>
      <c r="S1372" s="174">
        <f>+R1372/R1378</f>
        <v>0</v>
      </c>
    </row>
    <row r="1373" spans="2:19">
      <c r="B1373" s="170">
        <v>0</v>
      </c>
      <c r="C1373" s="171">
        <f>VLOOKUP(B1373,'RESUMEN RENDIMIENTOS'!$V$6:$W$158,2,FALSE)</f>
        <v>0</v>
      </c>
      <c r="D1373" s="290"/>
      <c r="E1373" s="172" t="s">
        <v>337</v>
      </c>
      <c r="F1373" s="175">
        <f t="shared" si="117"/>
        <v>0</v>
      </c>
      <c r="G1373" s="174">
        <f>+F1373/F1378</f>
        <v>0</v>
      </c>
      <c r="H1373" s="170">
        <v>0</v>
      </c>
      <c r="I1373" s="171">
        <f>VLOOKUP(H1373,'RESUMEN RENDIMIENTOS'!$V$6:$W$158,2,FALSE)</f>
        <v>0</v>
      </c>
      <c r="J1373" s="177"/>
      <c r="K1373" s="172" t="s">
        <v>337</v>
      </c>
      <c r="L1373" s="175">
        <f t="shared" si="118"/>
        <v>0</v>
      </c>
      <c r="M1373" s="174">
        <f>+L1373/L1378</f>
        <v>0</v>
      </c>
      <c r="N1373" s="170">
        <v>0</v>
      </c>
      <c r="O1373" s="171">
        <f>VLOOKUP(N1373,'RESUMEN RENDIMIENTOS'!$V$6:$W$158,2,FALSE)</f>
        <v>0</v>
      </c>
      <c r="P1373" s="177"/>
      <c r="Q1373" s="172" t="s">
        <v>337</v>
      </c>
      <c r="R1373" s="175">
        <f t="shared" si="119"/>
        <v>0</v>
      </c>
      <c r="S1373" s="174">
        <f>+R1373/R1378</f>
        <v>0</v>
      </c>
    </row>
    <row r="1374" spans="2:19">
      <c r="B1374" s="170">
        <v>0</v>
      </c>
      <c r="C1374" s="171">
        <f>VLOOKUP(B1374,'RESUMEN RENDIMIENTOS'!$V$6:$W$158,2,FALSE)</f>
        <v>0</v>
      </c>
      <c r="D1374" s="177"/>
      <c r="E1374" s="172" t="s">
        <v>337</v>
      </c>
      <c r="F1374" s="175">
        <f t="shared" si="117"/>
        <v>0</v>
      </c>
      <c r="G1374" s="174">
        <f>+F1374/F1378</f>
        <v>0</v>
      </c>
      <c r="H1374" s="170">
        <v>0</v>
      </c>
      <c r="I1374" s="171">
        <f>VLOOKUP(H1374,'RESUMEN RENDIMIENTOS'!$V$6:$W$158,2,FALSE)</f>
        <v>0</v>
      </c>
      <c r="J1374" s="177"/>
      <c r="K1374" s="172" t="s">
        <v>337</v>
      </c>
      <c r="L1374" s="175">
        <f t="shared" si="118"/>
        <v>0</v>
      </c>
      <c r="M1374" s="174">
        <f>+L1374/L1378</f>
        <v>0</v>
      </c>
      <c r="N1374" s="170">
        <v>0</v>
      </c>
      <c r="O1374" s="171">
        <f>VLOOKUP(N1374,'RESUMEN RENDIMIENTOS'!$V$6:$W$158,2,FALSE)</f>
        <v>0</v>
      </c>
      <c r="P1374" s="177"/>
      <c r="Q1374" s="172" t="s">
        <v>337</v>
      </c>
      <c r="R1374" s="175">
        <f t="shared" si="119"/>
        <v>0</v>
      </c>
      <c r="S1374" s="174">
        <f>+R1374/R1378</f>
        <v>0</v>
      </c>
    </row>
    <row r="1375" spans="2:19">
      <c r="B1375" s="170">
        <v>0</v>
      </c>
      <c r="C1375" s="171">
        <f>VLOOKUP(B1375,'RESUMEN RENDIMIENTOS'!$V$6:$W$158,2,FALSE)</f>
        <v>0</v>
      </c>
      <c r="D1375" s="177"/>
      <c r="E1375" s="172" t="s">
        <v>337</v>
      </c>
      <c r="F1375" s="175">
        <f t="shared" si="117"/>
        <v>0</v>
      </c>
      <c r="G1375" s="174">
        <f>+F1375/F1378</f>
        <v>0</v>
      </c>
      <c r="H1375" s="170">
        <v>0</v>
      </c>
      <c r="I1375" s="171">
        <f>VLOOKUP(H1375,'RESUMEN RENDIMIENTOS'!$V$6:$W$158,2,FALSE)</f>
        <v>0</v>
      </c>
      <c r="J1375" s="177"/>
      <c r="K1375" s="172" t="s">
        <v>337</v>
      </c>
      <c r="L1375" s="175">
        <f t="shared" si="118"/>
        <v>0</v>
      </c>
      <c r="M1375" s="174">
        <f>+L1375/L1378</f>
        <v>0</v>
      </c>
      <c r="N1375" s="170">
        <v>0</v>
      </c>
      <c r="O1375" s="171">
        <f>VLOOKUP(N1375,'RESUMEN RENDIMIENTOS'!$V$6:$W$158,2,FALSE)</f>
        <v>0</v>
      </c>
      <c r="P1375" s="177"/>
      <c r="Q1375" s="172" t="s">
        <v>337</v>
      </c>
      <c r="R1375" s="175">
        <f t="shared" si="119"/>
        <v>0</v>
      </c>
      <c r="S1375" s="174">
        <f>+R1375/R1378</f>
        <v>0</v>
      </c>
    </row>
    <row r="1376" spans="2:19">
      <c r="B1376" s="170">
        <v>0</v>
      </c>
      <c r="C1376" s="171">
        <f>VLOOKUP(B1376,'RESUMEN RENDIMIENTOS'!$V$6:$W$158,2,FALSE)</f>
        <v>0</v>
      </c>
      <c r="D1376" s="177"/>
      <c r="E1376" s="172" t="s">
        <v>337</v>
      </c>
      <c r="F1376" s="175">
        <f t="shared" si="117"/>
        <v>0</v>
      </c>
      <c r="G1376" s="174">
        <f>+F1376/F1378</f>
        <v>0</v>
      </c>
      <c r="H1376" s="170">
        <v>0</v>
      </c>
      <c r="I1376" s="171">
        <f>VLOOKUP(H1376,'RESUMEN RENDIMIENTOS'!$V$6:$W$158,2,FALSE)</f>
        <v>0</v>
      </c>
      <c r="J1376" s="177"/>
      <c r="K1376" s="172" t="s">
        <v>337</v>
      </c>
      <c r="L1376" s="175">
        <f t="shared" si="118"/>
        <v>0</v>
      </c>
      <c r="M1376" s="174">
        <f>+L1376/L1378</f>
        <v>0</v>
      </c>
      <c r="N1376" s="170">
        <v>0</v>
      </c>
      <c r="O1376" s="171">
        <f>VLOOKUP(N1376,'RESUMEN RENDIMIENTOS'!$V$6:$W$158,2,FALSE)</f>
        <v>0</v>
      </c>
      <c r="P1376" s="177"/>
      <c r="Q1376" s="172" t="s">
        <v>337</v>
      </c>
      <c r="R1376" s="175">
        <f t="shared" si="119"/>
        <v>0</v>
      </c>
      <c r="S1376" s="174">
        <f>+R1376/R1378</f>
        <v>0</v>
      </c>
    </row>
    <row r="1377" spans="2:19">
      <c r="B1377" s="170">
        <v>0</v>
      </c>
      <c r="C1377" s="171">
        <f>VLOOKUP(B1377,'RESUMEN RENDIMIENTOS'!$V$6:$W$158,2,FALSE)</f>
        <v>0</v>
      </c>
      <c r="D1377" s="177"/>
      <c r="E1377" s="172" t="s">
        <v>337</v>
      </c>
      <c r="F1377" s="175">
        <f t="shared" si="117"/>
        <v>0</v>
      </c>
      <c r="G1377" s="174">
        <f>+F1377/F1378</f>
        <v>0</v>
      </c>
      <c r="H1377" s="170">
        <v>0</v>
      </c>
      <c r="I1377" s="171">
        <f>VLOOKUP(H1377,'RESUMEN RENDIMIENTOS'!$V$6:$W$158,2,FALSE)</f>
        <v>0</v>
      </c>
      <c r="J1377" s="177"/>
      <c r="K1377" s="172" t="s">
        <v>337</v>
      </c>
      <c r="L1377" s="175">
        <f t="shared" si="118"/>
        <v>0</v>
      </c>
      <c r="M1377" s="174">
        <f>+L1377/L1378</f>
        <v>0</v>
      </c>
      <c r="N1377" s="170">
        <v>0</v>
      </c>
      <c r="O1377" s="171">
        <f>VLOOKUP(N1377,'RESUMEN RENDIMIENTOS'!$V$6:$W$158,2,FALSE)</f>
        <v>0</v>
      </c>
      <c r="P1377" s="177"/>
      <c r="Q1377" s="172" t="s">
        <v>337</v>
      </c>
      <c r="R1377" s="175">
        <f t="shared" si="119"/>
        <v>0</v>
      </c>
      <c r="S1377" s="174">
        <f>+R1377/R1378</f>
        <v>0</v>
      </c>
    </row>
    <row r="1378" spans="2:19" ht="26.25" customHeight="1" thickBot="1">
      <c r="B1378" s="178"/>
      <c r="E1378" s="90"/>
      <c r="F1378" s="173">
        <f>SUM(F1362:F1377)</f>
        <v>7.1428571428571425E-2</v>
      </c>
      <c r="G1378" s="181">
        <f>+F1378/F1378</f>
        <v>1</v>
      </c>
      <c r="H1378" s="178"/>
      <c r="I1378" s="179"/>
      <c r="J1378" s="182" t="s">
        <v>24</v>
      </c>
      <c r="K1378" s="90"/>
      <c r="L1378" s="173">
        <f>SUM(L1362:L1377)</f>
        <v>7.1428571428571425E-2</v>
      </c>
      <c r="M1378" s="181">
        <f>+L1378/L1378</f>
        <v>1</v>
      </c>
      <c r="N1378" s="178"/>
      <c r="O1378" s="179"/>
      <c r="Q1378" s="90"/>
      <c r="R1378" s="175">
        <f>SUM(R1362:R1377)</f>
        <v>7.1428571428571425E-2</v>
      </c>
      <c r="S1378" s="181">
        <f>+R1378/R1378</f>
        <v>1</v>
      </c>
    </row>
    <row r="1379" spans="2:19" ht="18" customHeight="1">
      <c r="B1379" s="427" t="s">
        <v>317</v>
      </c>
      <c r="C1379" s="428"/>
      <c r="D1379" s="429"/>
      <c r="E1379" s="185">
        <v>0.12</v>
      </c>
      <c r="F1379" s="173">
        <f>+F1378*E1379</f>
        <v>8.5714285714285701E-3</v>
      </c>
      <c r="H1379" s="427" t="s">
        <v>317</v>
      </c>
      <c r="I1379" s="428"/>
      <c r="J1379" s="429"/>
      <c r="K1379" s="185">
        <v>0.12</v>
      </c>
      <c r="L1379" s="173">
        <f>+L1378*K1379</f>
        <v>8.5714285714285701E-3</v>
      </c>
      <c r="N1379" s="427" t="s">
        <v>317</v>
      </c>
      <c r="O1379" s="428"/>
      <c r="P1379" s="429"/>
      <c r="Q1379" s="185">
        <v>0.12</v>
      </c>
      <c r="R1379" s="175">
        <f>+R1378*Q1379</f>
        <v>8.5714285714285701E-3</v>
      </c>
    </row>
    <row r="1380" spans="2:19" ht="18" customHeight="1">
      <c r="B1380" s="178"/>
      <c r="F1380" s="173">
        <f>+F1379+F1378</f>
        <v>7.9999999999999988E-2</v>
      </c>
      <c r="G1380" s="187">
        <f>+F1380/24</f>
        <v>3.3333333333333327E-3</v>
      </c>
      <c r="H1380" s="178"/>
      <c r="I1380" s="179"/>
      <c r="K1380" s="88"/>
      <c r="L1380" s="173">
        <f>+L1379+L1378</f>
        <v>7.9999999999999988E-2</v>
      </c>
      <c r="M1380" s="187">
        <f>+L1380/24</f>
        <v>3.3333333333333327E-3</v>
      </c>
      <c r="N1380" s="178"/>
      <c r="O1380" s="179"/>
      <c r="R1380" s="175">
        <f>+R1379+R1378</f>
        <v>7.9999999999999988E-2</v>
      </c>
      <c r="S1380" s="187">
        <f>+R1380/24</f>
        <v>3.3333333333333327E-3</v>
      </c>
    </row>
    <row r="1381" spans="2:19">
      <c r="B1381" s="178"/>
      <c r="D1381" s="188"/>
      <c r="F1381" s="189"/>
      <c r="H1381" s="178"/>
      <c r="I1381" s="179"/>
      <c r="J1381" s="188"/>
      <c r="K1381" s="88"/>
      <c r="L1381" s="189"/>
      <c r="N1381" s="178"/>
      <c r="O1381" s="179"/>
      <c r="P1381" s="188"/>
      <c r="R1381" s="189"/>
    </row>
    <row r="1382" spans="2:19" ht="21">
      <c r="B1382" s="191" t="s">
        <v>318</v>
      </c>
      <c r="C1382" s="192"/>
      <c r="D1382" s="192"/>
      <c r="E1382" s="444">
        <f>IF(F1380=0,0,(100/F1380))</f>
        <v>1250.0000000000002</v>
      </c>
      <c r="F1382" s="445"/>
      <c r="H1382" s="191" t="s">
        <v>318</v>
      </c>
      <c r="I1382" s="192"/>
      <c r="J1382" s="192"/>
      <c r="K1382" s="444">
        <f>IF(L1380=0,0,(100/L1380))</f>
        <v>1250.0000000000002</v>
      </c>
      <c r="L1382" s="445"/>
      <c r="N1382" s="191" t="s">
        <v>318</v>
      </c>
      <c r="O1382" s="192"/>
      <c r="P1382" s="192"/>
      <c r="Q1382" s="444">
        <f>IF(R1380=0,0,(100/R1380))</f>
        <v>1250.0000000000002</v>
      </c>
      <c r="R1382" s="445"/>
    </row>
    <row r="1383" spans="2:19">
      <c r="B1383" s="178"/>
      <c r="H1383" s="178"/>
      <c r="I1383" s="179"/>
      <c r="K1383" s="88"/>
      <c r="L1383" s="189"/>
      <c r="N1383" s="178"/>
      <c r="O1383" s="179"/>
      <c r="R1383" s="189"/>
    </row>
    <row r="1384" spans="2:19" ht="21">
      <c r="B1384" s="446" t="s">
        <v>319</v>
      </c>
      <c r="C1384" s="447"/>
      <c r="D1384" s="447"/>
      <c r="E1384" s="447"/>
      <c r="F1384" s="448"/>
      <c r="H1384" s="446" t="s">
        <v>319</v>
      </c>
      <c r="I1384" s="447"/>
      <c r="J1384" s="447"/>
      <c r="K1384" s="447"/>
      <c r="L1384" s="448"/>
      <c r="N1384" s="446" t="s">
        <v>319</v>
      </c>
      <c r="O1384" s="447"/>
      <c r="P1384" s="447"/>
      <c r="Q1384" s="447"/>
      <c r="R1384" s="448"/>
    </row>
    <row r="1385" spans="2:19" ht="18" customHeight="1">
      <c r="B1385" s="194" t="s">
        <v>320</v>
      </c>
      <c r="C1385" s="195"/>
      <c r="D1385" s="435" t="s">
        <v>321</v>
      </c>
      <c r="E1385" s="435"/>
      <c r="F1385" s="196" t="s">
        <v>322</v>
      </c>
      <c r="H1385" s="194" t="s">
        <v>320</v>
      </c>
      <c r="I1385" s="195"/>
      <c r="J1385" s="435" t="s">
        <v>321</v>
      </c>
      <c r="K1385" s="435"/>
      <c r="L1385" s="196" t="s">
        <v>322</v>
      </c>
      <c r="N1385" s="194" t="s">
        <v>320</v>
      </c>
      <c r="O1385" s="195"/>
      <c r="P1385" s="435" t="s">
        <v>321</v>
      </c>
      <c r="Q1385" s="435"/>
      <c r="R1385" s="196" t="s">
        <v>322</v>
      </c>
    </row>
    <row r="1386" spans="2:19">
      <c r="B1386" s="197" t="s">
        <v>278</v>
      </c>
      <c r="C1386" s="201">
        <v>1</v>
      </c>
      <c r="E1386" s="199">
        <f>IF(C1386=0,0,(VLOOKUP(B1386,'RESUMEN RENDIMIENTOS'!$AB$6:$AO$64,13,FALSE)))*C1386</f>
        <v>0.75</v>
      </c>
      <c r="F1386" s="200">
        <f>IF(C1386=0,0,(VLOOKUP(B1386,'RESUMEN RENDIMIENTOS'!$AB$6:$AO$64,14,FALSE)))*C1386</f>
        <v>1.0285714285714287E-2</v>
      </c>
      <c r="H1386" s="197" t="s">
        <v>278</v>
      </c>
      <c r="I1386" s="201">
        <v>1</v>
      </c>
      <c r="K1386" s="199">
        <f>IF(I1386=0,0,(VLOOKUP(H1386,'RESUMEN RENDIMIENTOS'!$AB$6:$AO$64,13,FALSE)))*I1386</f>
        <v>0.75</v>
      </c>
      <c r="L1386" s="200">
        <f>IF(I1386=0,0,(VLOOKUP(H1386,'RESUMEN RENDIMIENTOS'!$AB$6:$AO$64,14,FALSE)))*I1386</f>
        <v>1.0285714285714287E-2</v>
      </c>
      <c r="N1386" s="197" t="s">
        <v>278</v>
      </c>
      <c r="O1386" s="198">
        <v>1</v>
      </c>
      <c r="Q1386" s="199">
        <f>IF(O1386=0,0,(VLOOKUP(N1386,'RESUMEN RENDIMIENTOS'!$AB$6:$AO$64,13,FALSE)))*O1386</f>
        <v>0.75</v>
      </c>
      <c r="R1386" s="200">
        <f>IF(O1386=0,0,(VLOOKUP(N1386,'RESUMEN RENDIMIENTOS'!$AB$6:$AO$64,14,FALSE)))*O1386</f>
        <v>1.0285714285714287E-2</v>
      </c>
    </row>
    <row r="1387" spans="2:19">
      <c r="B1387" s="197" t="s">
        <v>279</v>
      </c>
      <c r="C1387" s="201">
        <v>1</v>
      </c>
      <c r="E1387" s="199">
        <f>IF(C1387=0,0,(VLOOKUP(B1387,'RESUMEN RENDIMIENTOS'!$AB$6:$AO$64,13,FALSE)))*C1387</f>
        <v>2</v>
      </c>
      <c r="F1387" s="200">
        <f>IF(C1387=0,0,(VLOOKUP(B1387,'RESUMEN RENDIMIENTOS'!$AB$6:$AO$64,14,FALSE)))*C1387</f>
        <v>9.5999999999999988E-2</v>
      </c>
      <c r="H1387" s="197" t="s">
        <v>279</v>
      </c>
      <c r="I1387" s="201">
        <v>1</v>
      </c>
      <c r="K1387" s="199">
        <f>IF(I1387=0,0,(VLOOKUP(H1387,'RESUMEN RENDIMIENTOS'!$AB$6:$AO$64,13,FALSE)))*I1387</f>
        <v>2</v>
      </c>
      <c r="L1387" s="200">
        <f>IF(I1387=0,0,(VLOOKUP(H1387,'RESUMEN RENDIMIENTOS'!$AB$6:$AO$64,14,FALSE)))*I1387</f>
        <v>9.5999999999999988E-2</v>
      </c>
      <c r="N1387" s="197" t="s">
        <v>279</v>
      </c>
      <c r="O1387" s="198">
        <v>1</v>
      </c>
      <c r="Q1387" s="199">
        <f>IF(O1387=0,0,(VLOOKUP(N1387,'RESUMEN RENDIMIENTOS'!$AB$6:$AO$64,13,FALSE)))*O1387</f>
        <v>2</v>
      </c>
      <c r="R1387" s="200">
        <f>IF(O1387=0,0,(VLOOKUP(N1387,'RESUMEN RENDIMIENTOS'!$AB$6:$AO$64,14,FALSE)))*O1387</f>
        <v>9.5999999999999988E-2</v>
      </c>
    </row>
    <row r="1388" spans="2:19">
      <c r="B1388" s="197" t="s">
        <v>284</v>
      </c>
      <c r="C1388" s="201">
        <v>0.25</v>
      </c>
      <c r="E1388" s="199">
        <f>IF(C1388=0,0,(VLOOKUP(B1388,'RESUMEN RENDIMIENTOS'!$AB$6:$AO$64,13,FALSE)))*C1388</f>
        <v>0.52500000000000002</v>
      </c>
      <c r="F1388" s="200">
        <f>IF(C1388=0,0,(VLOOKUP(B1388,'RESUMEN RENDIMIENTOS'!$AB$6:$AO$64,14,FALSE)))*C1388</f>
        <v>4.2000000000000003E-2</v>
      </c>
      <c r="H1388" s="197" t="s">
        <v>284</v>
      </c>
      <c r="I1388" s="201">
        <v>0.25</v>
      </c>
      <c r="K1388" s="199">
        <f>IF(I1388=0,0,(VLOOKUP(H1388,'RESUMEN RENDIMIENTOS'!$AB$6:$AO$64,13,FALSE)))*I1388</f>
        <v>0.52500000000000002</v>
      </c>
      <c r="L1388" s="200">
        <f>IF(I1388=0,0,(VLOOKUP(H1388,'RESUMEN RENDIMIENTOS'!$AB$6:$AO$64,14,FALSE)))*I1388</f>
        <v>4.2000000000000003E-2</v>
      </c>
      <c r="N1388" s="197" t="s">
        <v>284</v>
      </c>
      <c r="O1388" s="198">
        <v>0.25</v>
      </c>
      <c r="Q1388" s="199">
        <f>IF(O1388=0,0,(VLOOKUP(N1388,'RESUMEN RENDIMIENTOS'!$AB$6:$AO$64,13,FALSE)))*O1388</f>
        <v>0.52500000000000002</v>
      </c>
      <c r="R1388" s="200">
        <f>IF(O1388=0,0,(VLOOKUP(N1388,'RESUMEN RENDIMIENTOS'!$AB$6:$AO$64,14,FALSE)))*O1388</f>
        <v>4.2000000000000003E-2</v>
      </c>
    </row>
    <row r="1389" spans="2:19">
      <c r="B1389" s="197" t="s">
        <v>283</v>
      </c>
      <c r="C1389" s="201">
        <v>1</v>
      </c>
      <c r="E1389" s="199">
        <f>IF(C1389=0,0,(VLOOKUP(B1389,'RESUMEN RENDIMIENTOS'!$AB$6:$AO$64,13,FALSE)))*C1389</f>
        <v>1.59</v>
      </c>
      <c r="F1389" s="200">
        <f>IF(C1389=0,0,(VLOOKUP(B1389,'RESUMEN RENDIMIENTOS'!$AB$6:$AO$64,14,FALSE)))*C1389</f>
        <v>0.12720000000000001</v>
      </c>
      <c r="H1389" s="197" t="s">
        <v>283</v>
      </c>
      <c r="I1389" s="201">
        <v>1</v>
      </c>
      <c r="K1389" s="199">
        <f>IF(I1389=0,0,(VLOOKUP(H1389,'RESUMEN RENDIMIENTOS'!$AB$6:$AO$64,13,FALSE)))*I1389</f>
        <v>1.59</v>
      </c>
      <c r="L1389" s="200">
        <f>IF(I1389=0,0,(VLOOKUP(H1389,'RESUMEN RENDIMIENTOS'!$AB$6:$AO$64,14,FALSE)))*I1389</f>
        <v>0.12720000000000001</v>
      </c>
      <c r="N1389" s="197" t="s">
        <v>283</v>
      </c>
      <c r="O1389" s="198">
        <v>1</v>
      </c>
      <c r="Q1389" s="199">
        <f>IF(O1389=0,0,(VLOOKUP(N1389,'RESUMEN RENDIMIENTOS'!$AB$6:$AO$64,13,FALSE)))*O1389</f>
        <v>1.59</v>
      </c>
      <c r="R1389" s="200">
        <f>IF(O1389=0,0,(VLOOKUP(N1389,'RESUMEN RENDIMIENTOS'!$AB$6:$AO$64,14,FALSE)))*O1389</f>
        <v>0.12720000000000001</v>
      </c>
    </row>
    <row r="1390" spans="2:19">
      <c r="B1390" s="197" t="s">
        <v>282</v>
      </c>
      <c r="C1390" s="201">
        <v>1</v>
      </c>
      <c r="E1390" s="199">
        <f>IF(C1390=0,0,(VLOOKUP(B1390,'RESUMEN RENDIMIENTOS'!$AB$6:$AO$64,13,FALSE)))*C1390</f>
        <v>2.62</v>
      </c>
      <c r="F1390" s="200">
        <f>IF(C1390=0,0,(VLOOKUP(B1390,'RESUMEN RENDIMIENTOS'!$AB$6:$AO$64,14,FALSE)))*C1390</f>
        <v>6.986666666666666E-2</v>
      </c>
      <c r="H1390" s="197" t="s">
        <v>282</v>
      </c>
      <c r="I1390" s="201">
        <v>1</v>
      </c>
      <c r="K1390" s="199">
        <f>IF(I1390=0,0,(VLOOKUP(H1390,'RESUMEN RENDIMIENTOS'!$AB$6:$AO$64,13,FALSE)))*I1390</f>
        <v>2.62</v>
      </c>
      <c r="L1390" s="200">
        <f>IF(I1390=0,0,(VLOOKUP(H1390,'RESUMEN RENDIMIENTOS'!$AB$6:$AO$64,14,FALSE)))*I1390</f>
        <v>6.986666666666666E-2</v>
      </c>
      <c r="N1390" s="197" t="s">
        <v>282</v>
      </c>
      <c r="O1390" s="198">
        <v>1</v>
      </c>
      <c r="Q1390" s="199">
        <f>IF(O1390=0,0,(VLOOKUP(N1390,'RESUMEN RENDIMIENTOS'!$AB$6:$AO$64,13,FALSE)))*O1390</f>
        <v>2.62</v>
      </c>
      <c r="R1390" s="200">
        <f>IF(O1390=0,0,(VLOOKUP(N1390,'RESUMEN RENDIMIENTOS'!$AB$6:$AO$64,14,FALSE)))*O1390</f>
        <v>6.986666666666666E-2</v>
      </c>
    </row>
    <row r="1391" spans="2:19">
      <c r="B1391" s="197" t="s">
        <v>302</v>
      </c>
      <c r="C1391" s="201">
        <v>1</v>
      </c>
      <c r="E1391" s="199">
        <f>IF(C1391=0,0,(VLOOKUP(B1391,'RESUMEN RENDIMIENTOS'!$AB$6:$AO$64,13,FALSE)))*C1391</f>
        <v>1</v>
      </c>
      <c r="F1391" s="200">
        <f>IF(C1391=0,0,(VLOOKUP(B1391,'RESUMEN RENDIMIENTOS'!$AB$6:$AO$64,14,FALSE)))*C1391</f>
        <v>0.2</v>
      </c>
      <c r="H1391" s="197" t="s">
        <v>302</v>
      </c>
      <c r="I1391" s="201">
        <v>1</v>
      </c>
      <c r="K1391" s="199">
        <f>IF(I1391=0,0,(VLOOKUP(H1391,'RESUMEN RENDIMIENTOS'!$AB$6:$AO$64,13,FALSE)))*I1391</f>
        <v>1</v>
      </c>
      <c r="L1391" s="200">
        <f>IF(I1391=0,0,(VLOOKUP(H1391,'RESUMEN RENDIMIENTOS'!$AB$6:$AO$64,14,FALSE)))*I1391</f>
        <v>0.2</v>
      </c>
      <c r="N1391" s="197" t="s">
        <v>302</v>
      </c>
      <c r="O1391" s="198">
        <v>1</v>
      </c>
      <c r="Q1391" s="199">
        <f>IF(O1391=0,0,(VLOOKUP(N1391,'RESUMEN RENDIMIENTOS'!$AB$6:$AO$64,13,FALSE)))*O1391</f>
        <v>1</v>
      </c>
      <c r="R1391" s="200">
        <f>IF(O1391=0,0,(VLOOKUP(N1391,'RESUMEN RENDIMIENTOS'!$AB$6:$AO$64,14,FALSE)))*O1391</f>
        <v>0.2</v>
      </c>
    </row>
    <row r="1392" spans="2:19">
      <c r="B1392" s="202"/>
      <c r="F1392" s="204">
        <f>SUM(F1386:F1391)</f>
        <v>0.54535238095238103</v>
      </c>
      <c r="G1392" s="205">
        <f>+F1392</f>
        <v>0.54535238095238103</v>
      </c>
      <c r="H1392" s="202"/>
      <c r="I1392" s="179"/>
      <c r="K1392" s="88"/>
      <c r="L1392" s="206">
        <f>SUM(L1386:L1391)</f>
        <v>0.54535238095238103</v>
      </c>
      <c r="M1392" s="205">
        <f>+L1392</f>
        <v>0.54535238095238103</v>
      </c>
      <c r="N1392" s="202"/>
      <c r="O1392" s="179"/>
      <c r="R1392" s="206">
        <f>SUM(R1386:R1391)</f>
        <v>0.54535238095238103</v>
      </c>
      <c r="S1392" s="205">
        <f>+R1392</f>
        <v>0.54535238095238103</v>
      </c>
    </row>
    <row r="1393" spans="2:19">
      <c r="B1393" s="436" t="s">
        <v>324</v>
      </c>
      <c r="C1393" s="437"/>
      <c r="D1393" s="437"/>
      <c r="E1393" s="437"/>
      <c r="F1393" s="437"/>
      <c r="G1393" s="205"/>
      <c r="H1393" s="436" t="s">
        <v>324</v>
      </c>
      <c r="I1393" s="437"/>
      <c r="J1393" s="437"/>
      <c r="K1393" s="437"/>
      <c r="L1393" s="455"/>
      <c r="M1393" s="205"/>
      <c r="N1393" s="436" t="s">
        <v>324</v>
      </c>
      <c r="O1393" s="437"/>
      <c r="P1393" s="437"/>
      <c r="Q1393" s="437"/>
      <c r="R1393" s="455"/>
      <c r="S1393" s="205"/>
    </row>
    <row r="1394" spans="2:19">
      <c r="B1394" s="210" t="s">
        <v>325</v>
      </c>
      <c r="C1394" s="211">
        <v>1</v>
      </c>
      <c r="D1394" s="212">
        <v>21.712335174960327</v>
      </c>
      <c r="E1394" s="213">
        <f>F1380</f>
        <v>7.9999999999999988E-2</v>
      </c>
      <c r="F1394" s="214">
        <f>+IF(C1394&gt;="",0,(D1394*E1394))</f>
        <v>1.7369868139968259</v>
      </c>
      <c r="G1394" s="215"/>
      <c r="H1394" s="210" t="s">
        <v>325</v>
      </c>
      <c r="I1394" s="211">
        <v>1</v>
      </c>
      <c r="J1394" s="212">
        <v>21.712335174960327</v>
      </c>
      <c r="K1394" s="213">
        <f>L1380</f>
        <v>7.9999999999999988E-2</v>
      </c>
      <c r="L1394" s="216">
        <f>+IF(I1394&gt;="",0,(J1394*K1394))</f>
        <v>1.7369868139968259</v>
      </c>
      <c r="M1394" s="215"/>
      <c r="N1394" s="210" t="s">
        <v>325</v>
      </c>
      <c r="O1394" s="211">
        <v>1</v>
      </c>
      <c r="P1394" s="212">
        <v>21.712335174960327</v>
      </c>
      <c r="Q1394" s="213">
        <f>R1380</f>
        <v>7.9999999999999988E-2</v>
      </c>
      <c r="R1394" s="214">
        <f>+IF(O1394&gt;="",0,(P1394*Q1394))</f>
        <v>1.7369868139968259</v>
      </c>
      <c r="S1394" s="215"/>
    </row>
    <row r="1395" spans="2:19">
      <c r="B1395" s="210" t="s">
        <v>326</v>
      </c>
      <c r="C1395" s="211"/>
      <c r="D1395" s="212">
        <f>+D1394*25%</f>
        <v>5.4280837937400817</v>
      </c>
      <c r="E1395" s="213">
        <f>F1380</f>
        <v>7.9999999999999988E-2</v>
      </c>
      <c r="F1395" s="214">
        <f>+IF(C1395= "",0,(D1395*E1395))</f>
        <v>0</v>
      </c>
      <c r="G1395" s="215"/>
      <c r="H1395" s="210" t="s">
        <v>326</v>
      </c>
      <c r="I1395" s="211"/>
      <c r="J1395" s="212">
        <f>+J1394*25%</f>
        <v>5.4280837937400817</v>
      </c>
      <c r="K1395" s="213">
        <f>L1380</f>
        <v>7.9999999999999988E-2</v>
      </c>
      <c r="L1395" s="216">
        <f>+IF(I1395= "",0,(J1395*K1395))</f>
        <v>0</v>
      </c>
      <c r="M1395" s="215"/>
      <c r="N1395" s="210" t="s">
        <v>326</v>
      </c>
      <c r="O1395" s="211"/>
      <c r="P1395" s="212">
        <f>+P1394*25%</f>
        <v>5.4280837937400817</v>
      </c>
      <c r="Q1395" s="213">
        <f>R1380</f>
        <v>7.9999999999999988E-2</v>
      </c>
      <c r="R1395" s="214">
        <f>+IF(O1395= "",0,(P1395*Q1395))</f>
        <v>0</v>
      </c>
      <c r="S1395" s="215"/>
    </row>
    <row r="1396" spans="2:19">
      <c r="B1396" s="210" t="s">
        <v>327</v>
      </c>
      <c r="C1396" s="211"/>
      <c r="D1396" s="212">
        <f>+D1394*50%</f>
        <v>10.856167587480163</v>
      </c>
      <c r="E1396" s="213">
        <f>F1380</f>
        <v>7.9999999999999988E-2</v>
      </c>
      <c r="F1396" s="214">
        <f>+IF(C1396= "",0,(D1396*E1396))</f>
        <v>0</v>
      </c>
      <c r="G1396" s="215"/>
      <c r="H1396" s="210" t="s">
        <v>327</v>
      </c>
      <c r="I1396" s="211"/>
      <c r="J1396" s="212">
        <f>+J1394*50%</f>
        <v>10.856167587480163</v>
      </c>
      <c r="K1396" s="213">
        <f>L1380</f>
        <v>7.9999999999999988E-2</v>
      </c>
      <c r="L1396" s="216">
        <f>+IF(I1396= "",0,(J1396*K1396))</f>
        <v>0</v>
      </c>
      <c r="M1396" s="215"/>
      <c r="N1396" s="210" t="s">
        <v>327</v>
      </c>
      <c r="O1396" s="211"/>
      <c r="P1396" s="212">
        <f>+P1394*50%</f>
        <v>10.856167587480163</v>
      </c>
      <c r="Q1396" s="213">
        <f>R1380</f>
        <v>7.9999999999999988E-2</v>
      </c>
      <c r="R1396" s="214">
        <f>+IF(O1396= "",0,(P1396*Q1396))</f>
        <v>0</v>
      </c>
      <c r="S1396" s="215"/>
    </row>
    <row r="1397" spans="2:19">
      <c r="B1397" s="202"/>
      <c r="F1397" s="217">
        <f>SUM(F1394:F1396)</f>
        <v>1.7369868139968259</v>
      </c>
      <c r="G1397" s="218"/>
      <c r="H1397" s="202"/>
      <c r="I1397" s="179"/>
      <c r="K1397" s="88"/>
      <c r="L1397" s="219">
        <f>SUM(L1394:L1396)</f>
        <v>1.7369868139968259</v>
      </c>
      <c r="M1397" s="218"/>
      <c r="N1397" s="202"/>
      <c r="O1397" s="179"/>
      <c r="R1397" s="217">
        <f>SUM(R1394:R1396)</f>
        <v>1.7369868139968259</v>
      </c>
      <c r="S1397" s="218"/>
    </row>
    <row r="1398" spans="2:19">
      <c r="B1398" s="202"/>
      <c r="G1398" s="220"/>
      <c r="H1398" s="202"/>
      <c r="I1398" s="179"/>
      <c r="K1398" s="88"/>
      <c r="L1398" s="189"/>
      <c r="M1398" s="220"/>
      <c r="N1398" s="202"/>
      <c r="O1398" s="179"/>
      <c r="R1398" s="189"/>
      <c r="S1398" s="220"/>
    </row>
    <row r="1399" spans="2:19" ht="21">
      <c r="B1399" s="438" t="s">
        <v>328</v>
      </c>
      <c r="C1399" s="439"/>
      <c r="D1399" s="439"/>
      <c r="E1399" s="440"/>
      <c r="F1399" s="221">
        <f>+F1392+F1397</f>
        <v>2.2823391949492069</v>
      </c>
      <c r="G1399" s="205">
        <f>+F1399</f>
        <v>2.2823391949492069</v>
      </c>
      <c r="H1399" s="438" t="s">
        <v>328</v>
      </c>
      <c r="I1399" s="439"/>
      <c r="J1399" s="439"/>
      <c r="K1399" s="440"/>
      <c r="L1399" s="225">
        <f>+L1392+L1397</f>
        <v>2.2823391949492069</v>
      </c>
      <c r="M1399" s="205">
        <f>+L1399</f>
        <v>2.2823391949492069</v>
      </c>
      <c r="N1399" s="438" t="s">
        <v>328</v>
      </c>
      <c r="O1399" s="439"/>
      <c r="P1399" s="439"/>
      <c r="Q1399" s="440"/>
      <c r="R1399" s="225">
        <f>+R1392+R1397</f>
        <v>2.2823391949492069</v>
      </c>
      <c r="S1399" s="205">
        <f>+R1399</f>
        <v>2.2823391949492069</v>
      </c>
    </row>
    <row r="1400" spans="2:19">
      <c r="B1400" s="202"/>
      <c r="G1400" s="205"/>
      <c r="H1400" s="202"/>
      <c r="I1400" s="179"/>
      <c r="K1400" s="88"/>
      <c r="L1400" s="189"/>
      <c r="M1400" s="205"/>
      <c r="N1400" s="202"/>
      <c r="O1400" s="179"/>
      <c r="R1400" s="189"/>
      <c r="S1400" s="205"/>
    </row>
    <row r="1401" spans="2:19" ht="19">
      <c r="B1401" s="441" t="s">
        <v>329</v>
      </c>
      <c r="C1401" s="442"/>
      <c r="D1401" s="442"/>
      <c r="E1401" s="443"/>
      <c r="F1401" s="226">
        <f>+F1399/$C$37</f>
        <v>2.282339194949207E-2</v>
      </c>
      <c r="G1401" s="205"/>
      <c r="H1401" s="441" t="s">
        <v>329</v>
      </c>
      <c r="I1401" s="442"/>
      <c r="J1401" s="442"/>
      <c r="K1401" s="443"/>
      <c r="L1401" s="230">
        <f>+L1399/$C$37</f>
        <v>2.282339194949207E-2</v>
      </c>
      <c r="M1401" s="205"/>
      <c r="N1401" s="441" t="s">
        <v>329</v>
      </c>
      <c r="O1401" s="442"/>
      <c r="P1401" s="442"/>
      <c r="Q1401" s="443"/>
      <c r="R1401" s="230">
        <f>+R1399/$C$37</f>
        <v>2.282339194949207E-2</v>
      </c>
      <c r="S1401" s="205"/>
    </row>
    <row r="1402" spans="2:19" ht="17" thickBot="1">
      <c r="B1402" s="231"/>
      <c r="C1402" s="232"/>
      <c r="D1402" s="233"/>
      <c r="E1402" s="233"/>
      <c r="F1402" s="233"/>
      <c r="G1402" s="205"/>
      <c r="H1402" s="231"/>
      <c r="I1402" s="232"/>
      <c r="J1402" s="233"/>
      <c r="K1402" s="233"/>
      <c r="L1402" s="234"/>
      <c r="M1402" s="205"/>
      <c r="N1402" s="231"/>
      <c r="O1402" s="232"/>
      <c r="P1402" s="233"/>
      <c r="Q1402" s="233"/>
      <c r="R1402" s="234"/>
      <c r="S1402" s="205"/>
    </row>
    <row r="1403" spans="2:19" ht="24" customHeight="1" thickBot="1">
      <c r="B1403" s="415" t="s">
        <v>312</v>
      </c>
      <c r="C1403" s="416"/>
      <c r="D1403" s="416"/>
      <c r="E1403" s="416"/>
      <c r="F1403" s="416"/>
      <c r="G1403" s="416"/>
      <c r="H1403" s="416"/>
      <c r="I1403" s="416"/>
      <c r="J1403" s="416"/>
      <c r="K1403" s="416"/>
      <c r="L1403" s="416"/>
      <c r="M1403" s="416"/>
      <c r="N1403" s="416"/>
      <c r="O1403" s="416"/>
      <c r="P1403" s="416"/>
      <c r="Q1403" s="416"/>
      <c r="R1403" s="417"/>
    </row>
    <row r="1404" spans="2:19" ht="23.25" customHeight="1">
      <c r="B1404" s="276" t="s">
        <v>16</v>
      </c>
      <c r="C1404" s="452" t="s">
        <v>147</v>
      </c>
      <c r="D1404" s="453"/>
      <c r="E1404" s="453"/>
      <c r="F1404" s="465"/>
      <c r="G1404" s="254"/>
      <c r="H1404" s="239" t="s">
        <v>16</v>
      </c>
      <c r="I1404" s="452" t="s">
        <v>148</v>
      </c>
      <c r="J1404" s="453"/>
      <c r="K1404" s="453"/>
      <c r="L1404" s="465"/>
      <c r="M1404" s="254"/>
      <c r="N1404" s="239" t="s">
        <v>16</v>
      </c>
      <c r="O1404" s="452" t="s">
        <v>149</v>
      </c>
      <c r="P1404" s="453"/>
      <c r="Q1404" s="453"/>
      <c r="R1404" s="465"/>
    </row>
    <row r="1405" spans="2:19" ht="33" thickBot="1">
      <c r="B1405" s="241" t="s">
        <v>313</v>
      </c>
      <c r="C1405" s="242" t="s">
        <v>6</v>
      </c>
      <c r="D1405" s="243" t="s">
        <v>25</v>
      </c>
      <c r="E1405" s="244" t="s">
        <v>314</v>
      </c>
      <c r="F1405" s="245" t="s">
        <v>315</v>
      </c>
      <c r="H1405" s="241" t="s">
        <v>313</v>
      </c>
      <c r="I1405" s="242" t="s">
        <v>6</v>
      </c>
      <c r="J1405" s="243" t="s">
        <v>25</v>
      </c>
      <c r="K1405" s="244" t="s">
        <v>314</v>
      </c>
      <c r="L1405" s="245" t="s">
        <v>315</v>
      </c>
      <c r="N1405" s="241" t="s">
        <v>313</v>
      </c>
      <c r="O1405" s="242" t="s">
        <v>6</v>
      </c>
      <c r="P1405" s="243" t="s">
        <v>25</v>
      </c>
      <c r="Q1405" s="244" t="s">
        <v>314</v>
      </c>
      <c r="R1405" s="245" t="s">
        <v>315</v>
      </c>
    </row>
    <row r="1406" spans="2:19">
      <c r="B1406" s="170" t="s">
        <v>182</v>
      </c>
      <c r="C1406" s="171">
        <f>VLOOKUP(B1406,'RESUMEN RENDIMIENTOS'!$V$6:$W$158,2,FALSE)</f>
        <v>1400</v>
      </c>
      <c r="D1406" s="177" t="s">
        <v>20</v>
      </c>
      <c r="E1406" s="172">
        <v>247</v>
      </c>
      <c r="F1406" s="175">
        <f t="shared" ref="F1406:F1421" si="120">IF(C1406=0,0,(100/C1406)*E1406/$E$37)</f>
        <v>7.1428571428571425E-2</v>
      </c>
      <c r="G1406" s="164">
        <f>+F1406/F1422</f>
        <v>1</v>
      </c>
      <c r="H1406" s="170" t="s">
        <v>182</v>
      </c>
      <c r="I1406" s="171">
        <f>VLOOKUP(H1406,'RESUMEN RENDIMIENTOS'!$V$6:$W$158,2,FALSE)</f>
        <v>1400</v>
      </c>
      <c r="J1406" s="177" t="s">
        <v>20</v>
      </c>
      <c r="K1406" s="172">
        <v>247</v>
      </c>
      <c r="L1406" s="175">
        <f t="shared" ref="L1406:L1421" si="121">IF(I1406=0,0,(100/I1406)*K1406/$E$37)</f>
        <v>7.1428571428571425E-2</v>
      </c>
      <c r="M1406" s="164">
        <f>+L1406/L1422</f>
        <v>1</v>
      </c>
      <c r="N1406" s="170" t="s">
        <v>182</v>
      </c>
      <c r="O1406" s="171">
        <f>VLOOKUP(N1406,'RESUMEN RENDIMIENTOS'!$V$6:$W$158,2,FALSE)</f>
        <v>1400</v>
      </c>
      <c r="P1406" s="177" t="s">
        <v>20</v>
      </c>
      <c r="Q1406" s="172">
        <v>247</v>
      </c>
      <c r="R1406" s="175">
        <f t="shared" ref="R1406:R1421" si="122">IF(O1406=0,0,(100/O1406)*Q1406/$E$37)</f>
        <v>7.1428571428571425E-2</v>
      </c>
      <c r="S1406" s="164">
        <f>+R1406/R1422</f>
        <v>1</v>
      </c>
    </row>
    <row r="1407" spans="2:19">
      <c r="B1407" s="170">
        <v>0</v>
      </c>
      <c r="C1407" s="171">
        <f>VLOOKUP(B1407,'RESUMEN RENDIMIENTOS'!$V$6:$W$158,2,FALSE)</f>
        <v>0</v>
      </c>
      <c r="D1407" s="177"/>
      <c r="E1407" s="172" t="s">
        <v>337</v>
      </c>
      <c r="F1407" s="175">
        <f t="shared" si="120"/>
        <v>0</v>
      </c>
      <c r="G1407" s="174">
        <f>+F1407/F1422</f>
        <v>0</v>
      </c>
      <c r="H1407" s="170">
        <v>0</v>
      </c>
      <c r="I1407" s="171">
        <f>VLOOKUP(H1407,'RESUMEN RENDIMIENTOS'!$V$6:$W$158,2,FALSE)</f>
        <v>0</v>
      </c>
      <c r="J1407" s="177"/>
      <c r="K1407" s="172" t="s">
        <v>337</v>
      </c>
      <c r="L1407" s="175">
        <f t="shared" si="121"/>
        <v>0</v>
      </c>
      <c r="M1407" s="174">
        <f>+L1407/L1422</f>
        <v>0</v>
      </c>
      <c r="N1407" s="170">
        <v>0</v>
      </c>
      <c r="O1407" s="171">
        <f>VLOOKUP(N1407,'RESUMEN RENDIMIENTOS'!$V$6:$W$158,2,FALSE)</f>
        <v>0</v>
      </c>
      <c r="P1407" s="177"/>
      <c r="Q1407" s="172" t="s">
        <v>337</v>
      </c>
      <c r="R1407" s="175">
        <f t="shared" si="122"/>
        <v>0</v>
      </c>
      <c r="S1407" s="174">
        <f>+R1407/R1422</f>
        <v>0</v>
      </c>
    </row>
    <row r="1408" spans="2:19">
      <c r="B1408" s="170">
        <v>0</v>
      </c>
      <c r="C1408" s="171">
        <f>VLOOKUP(B1408,'RESUMEN RENDIMIENTOS'!$V$6:$W$158,2,FALSE)</f>
        <v>0</v>
      </c>
      <c r="D1408" s="177"/>
      <c r="E1408" s="172" t="s">
        <v>337</v>
      </c>
      <c r="F1408" s="175">
        <f t="shared" si="120"/>
        <v>0</v>
      </c>
      <c r="G1408" s="174">
        <f>+F1408/F1422</f>
        <v>0</v>
      </c>
      <c r="H1408" s="170">
        <v>0</v>
      </c>
      <c r="I1408" s="171">
        <f>VLOOKUP(H1408,'RESUMEN RENDIMIENTOS'!$V$6:$W$158,2,FALSE)</f>
        <v>0</v>
      </c>
      <c r="J1408" s="177"/>
      <c r="K1408" s="172" t="s">
        <v>337</v>
      </c>
      <c r="L1408" s="175">
        <f t="shared" si="121"/>
        <v>0</v>
      </c>
      <c r="M1408" s="174">
        <f>+L1408/L1422</f>
        <v>0</v>
      </c>
      <c r="N1408" s="170">
        <v>0</v>
      </c>
      <c r="O1408" s="171">
        <f>VLOOKUP(N1408,'RESUMEN RENDIMIENTOS'!$V$6:$W$158,2,FALSE)</f>
        <v>0</v>
      </c>
      <c r="P1408" s="177"/>
      <c r="Q1408" s="172" t="s">
        <v>337</v>
      </c>
      <c r="R1408" s="175">
        <f t="shared" si="122"/>
        <v>0</v>
      </c>
      <c r="S1408" s="174">
        <f>+R1408/R1422</f>
        <v>0</v>
      </c>
    </row>
    <row r="1409" spans="2:19">
      <c r="B1409" s="170">
        <v>0</v>
      </c>
      <c r="C1409" s="171">
        <f>VLOOKUP(B1409,'RESUMEN RENDIMIENTOS'!$V$6:$W$158,2,FALSE)</f>
        <v>0</v>
      </c>
      <c r="D1409" s="177"/>
      <c r="E1409" s="172" t="s">
        <v>337</v>
      </c>
      <c r="F1409" s="175">
        <f t="shared" si="120"/>
        <v>0</v>
      </c>
      <c r="G1409" s="174">
        <f>+F1409/F1422</f>
        <v>0</v>
      </c>
      <c r="H1409" s="170">
        <v>0</v>
      </c>
      <c r="I1409" s="171">
        <f>VLOOKUP(H1409,'RESUMEN RENDIMIENTOS'!$V$6:$W$158,2,FALSE)</f>
        <v>0</v>
      </c>
      <c r="J1409" s="177"/>
      <c r="K1409" s="172" t="s">
        <v>337</v>
      </c>
      <c r="L1409" s="175">
        <f t="shared" si="121"/>
        <v>0</v>
      </c>
      <c r="M1409" s="174">
        <f>+L1409/L1422</f>
        <v>0</v>
      </c>
      <c r="N1409" s="170">
        <v>0</v>
      </c>
      <c r="O1409" s="171">
        <f>VLOOKUP(N1409,'RESUMEN RENDIMIENTOS'!$V$6:$W$158,2,FALSE)</f>
        <v>0</v>
      </c>
      <c r="P1409" s="177"/>
      <c r="Q1409" s="172" t="s">
        <v>337</v>
      </c>
      <c r="R1409" s="175">
        <f t="shared" si="122"/>
        <v>0</v>
      </c>
      <c r="S1409" s="174">
        <f>+R1409/R1422</f>
        <v>0</v>
      </c>
    </row>
    <row r="1410" spans="2:19">
      <c r="B1410" s="170">
        <v>0</v>
      </c>
      <c r="C1410" s="171">
        <f>VLOOKUP(B1410,'RESUMEN RENDIMIENTOS'!$V$6:$W$158,2,FALSE)</f>
        <v>0</v>
      </c>
      <c r="D1410" s="177"/>
      <c r="E1410" s="172" t="s">
        <v>337</v>
      </c>
      <c r="F1410" s="175">
        <f t="shared" si="120"/>
        <v>0</v>
      </c>
      <c r="G1410" s="174">
        <f>+F1410/F1422</f>
        <v>0</v>
      </c>
      <c r="H1410" s="170">
        <v>0</v>
      </c>
      <c r="I1410" s="171">
        <f>VLOOKUP(H1410,'RESUMEN RENDIMIENTOS'!$V$6:$W$158,2,FALSE)</f>
        <v>0</v>
      </c>
      <c r="J1410" s="177"/>
      <c r="K1410" s="172" t="s">
        <v>337</v>
      </c>
      <c r="L1410" s="175">
        <f t="shared" si="121"/>
        <v>0</v>
      </c>
      <c r="M1410" s="174">
        <f>+L1410/L1422</f>
        <v>0</v>
      </c>
      <c r="N1410" s="170">
        <v>0</v>
      </c>
      <c r="O1410" s="171">
        <f>VLOOKUP(N1410,'RESUMEN RENDIMIENTOS'!$V$6:$W$158,2,FALSE)</f>
        <v>0</v>
      </c>
      <c r="P1410" s="177"/>
      <c r="Q1410" s="172" t="s">
        <v>337</v>
      </c>
      <c r="R1410" s="175">
        <f t="shared" si="122"/>
        <v>0</v>
      </c>
      <c r="S1410" s="174">
        <f>+R1410/R1422</f>
        <v>0</v>
      </c>
    </row>
    <row r="1411" spans="2:19">
      <c r="B1411" s="170">
        <v>0</v>
      </c>
      <c r="C1411" s="171">
        <f>VLOOKUP(B1411,'RESUMEN RENDIMIENTOS'!$V$6:$W$158,2,FALSE)</f>
        <v>0</v>
      </c>
      <c r="D1411" s="177"/>
      <c r="E1411" s="172" t="s">
        <v>337</v>
      </c>
      <c r="F1411" s="175">
        <f t="shared" si="120"/>
        <v>0</v>
      </c>
      <c r="G1411" s="174">
        <f>+F1411/F1422</f>
        <v>0</v>
      </c>
      <c r="H1411" s="170">
        <v>0</v>
      </c>
      <c r="I1411" s="171">
        <f>VLOOKUP(H1411,'RESUMEN RENDIMIENTOS'!$V$6:$W$158,2,FALSE)</f>
        <v>0</v>
      </c>
      <c r="J1411" s="177"/>
      <c r="K1411" s="172" t="s">
        <v>337</v>
      </c>
      <c r="L1411" s="175">
        <f t="shared" si="121"/>
        <v>0</v>
      </c>
      <c r="M1411" s="174">
        <f>+L1411/L1422</f>
        <v>0</v>
      </c>
      <c r="N1411" s="170">
        <v>0</v>
      </c>
      <c r="O1411" s="171">
        <f>VLOOKUP(N1411,'RESUMEN RENDIMIENTOS'!$V$6:$W$158,2,FALSE)</f>
        <v>0</v>
      </c>
      <c r="P1411" s="177"/>
      <c r="Q1411" s="172" t="s">
        <v>337</v>
      </c>
      <c r="R1411" s="175">
        <f t="shared" si="122"/>
        <v>0</v>
      </c>
      <c r="S1411" s="174">
        <f>+R1411/R1422</f>
        <v>0</v>
      </c>
    </row>
    <row r="1412" spans="2:19">
      <c r="B1412" s="170">
        <v>0</v>
      </c>
      <c r="C1412" s="171">
        <f>VLOOKUP(B1412,'RESUMEN RENDIMIENTOS'!$V$6:$W$158,2,FALSE)</f>
        <v>0</v>
      </c>
      <c r="D1412" s="177"/>
      <c r="E1412" s="172" t="s">
        <v>337</v>
      </c>
      <c r="F1412" s="175">
        <f t="shared" si="120"/>
        <v>0</v>
      </c>
      <c r="G1412" s="174">
        <f>+F1412/F1422</f>
        <v>0</v>
      </c>
      <c r="H1412" s="170">
        <v>0</v>
      </c>
      <c r="I1412" s="171">
        <f>VLOOKUP(H1412,'RESUMEN RENDIMIENTOS'!$V$6:$W$158,2,FALSE)</f>
        <v>0</v>
      </c>
      <c r="J1412" s="177"/>
      <c r="K1412" s="172" t="s">
        <v>337</v>
      </c>
      <c r="L1412" s="175">
        <f t="shared" si="121"/>
        <v>0</v>
      </c>
      <c r="M1412" s="174">
        <f>+L1412/L1422</f>
        <v>0</v>
      </c>
      <c r="N1412" s="170">
        <v>0</v>
      </c>
      <c r="O1412" s="171">
        <f>VLOOKUP(N1412,'RESUMEN RENDIMIENTOS'!$V$6:$W$158,2,FALSE)</f>
        <v>0</v>
      </c>
      <c r="P1412" s="177"/>
      <c r="Q1412" s="172" t="s">
        <v>337</v>
      </c>
      <c r="R1412" s="175">
        <f t="shared" si="122"/>
        <v>0</v>
      </c>
      <c r="S1412" s="174">
        <f>+R1412/R1422</f>
        <v>0</v>
      </c>
    </row>
    <row r="1413" spans="2:19">
      <c r="B1413" s="170">
        <v>0</v>
      </c>
      <c r="C1413" s="171">
        <f>VLOOKUP(B1413,'RESUMEN RENDIMIENTOS'!$V$6:$W$158,2,FALSE)</f>
        <v>0</v>
      </c>
      <c r="D1413" s="177"/>
      <c r="E1413" s="172" t="s">
        <v>337</v>
      </c>
      <c r="F1413" s="175">
        <f t="shared" si="120"/>
        <v>0</v>
      </c>
      <c r="G1413" s="174">
        <f>+F1413/F1422</f>
        <v>0</v>
      </c>
      <c r="H1413" s="170">
        <v>0</v>
      </c>
      <c r="I1413" s="171">
        <f>VLOOKUP(H1413,'RESUMEN RENDIMIENTOS'!$V$6:$W$158,2,FALSE)</f>
        <v>0</v>
      </c>
      <c r="J1413" s="177"/>
      <c r="K1413" s="172" t="s">
        <v>337</v>
      </c>
      <c r="L1413" s="175">
        <f t="shared" si="121"/>
        <v>0</v>
      </c>
      <c r="M1413" s="174">
        <f>+L1413/L1422</f>
        <v>0</v>
      </c>
      <c r="N1413" s="170">
        <v>0</v>
      </c>
      <c r="O1413" s="171">
        <f>VLOOKUP(N1413,'RESUMEN RENDIMIENTOS'!$V$6:$W$158,2,FALSE)</f>
        <v>0</v>
      </c>
      <c r="P1413" s="177"/>
      <c r="Q1413" s="172" t="s">
        <v>337</v>
      </c>
      <c r="R1413" s="175">
        <f t="shared" si="122"/>
        <v>0</v>
      </c>
      <c r="S1413" s="174">
        <f>+R1413/R1422</f>
        <v>0</v>
      </c>
    </row>
    <row r="1414" spans="2:19">
      <c r="B1414" s="170">
        <v>0</v>
      </c>
      <c r="C1414" s="171">
        <f>VLOOKUP(B1414,'RESUMEN RENDIMIENTOS'!$V$6:$W$158,2,FALSE)</f>
        <v>0</v>
      </c>
      <c r="D1414" s="177"/>
      <c r="E1414" s="172" t="s">
        <v>337</v>
      </c>
      <c r="F1414" s="175">
        <f t="shared" si="120"/>
        <v>0</v>
      </c>
      <c r="G1414" s="174">
        <f>+F1414/F1422</f>
        <v>0</v>
      </c>
      <c r="H1414" s="170">
        <v>0</v>
      </c>
      <c r="I1414" s="171">
        <f>VLOOKUP(H1414,'RESUMEN RENDIMIENTOS'!$V$6:$W$158,2,FALSE)</f>
        <v>0</v>
      </c>
      <c r="J1414" s="177"/>
      <c r="K1414" s="172" t="s">
        <v>337</v>
      </c>
      <c r="L1414" s="175">
        <f t="shared" si="121"/>
        <v>0</v>
      </c>
      <c r="M1414" s="174">
        <f>+L1414/L1422</f>
        <v>0</v>
      </c>
      <c r="N1414" s="170">
        <v>0</v>
      </c>
      <c r="O1414" s="171">
        <f>VLOOKUP(N1414,'RESUMEN RENDIMIENTOS'!$V$6:$W$158,2,FALSE)</f>
        <v>0</v>
      </c>
      <c r="P1414" s="177"/>
      <c r="Q1414" s="172" t="s">
        <v>337</v>
      </c>
      <c r="R1414" s="175">
        <f t="shared" si="122"/>
        <v>0</v>
      </c>
      <c r="S1414" s="174">
        <f>+R1414/R1422</f>
        <v>0</v>
      </c>
    </row>
    <row r="1415" spans="2:19">
      <c r="B1415" s="170">
        <v>0</v>
      </c>
      <c r="C1415" s="171">
        <f>VLOOKUP(B1415,'RESUMEN RENDIMIENTOS'!$V$6:$W$158,2,FALSE)</f>
        <v>0</v>
      </c>
      <c r="D1415" s="290"/>
      <c r="E1415" s="270" t="s">
        <v>337</v>
      </c>
      <c r="F1415" s="175">
        <f t="shared" si="120"/>
        <v>0</v>
      </c>
      <c r="G1415" s="174">
        <f>+F1415/F1422</f>
        <v>0</v>
      </c>
      <c r="H1415" s="170">
        <v>0</v>
      </c>
      <c r="I1415" s="171">
        <f>VLOOKUP(H1415,'RESUMEN RENDIMIENTOS'!$V$6:$W$158,2,FALSE)</f>
        <v>0</v>
      </c>
      <c r="J1415" s="177"/>
      <c r="K1415" s="172" t="s">
        <v>337</v>
      </c>
      <c r="L1415" s="175">
        <f t="shared" si="121"/>
        <v>0</v>
      </c>
      <c r="M1415" s="174">
        <f>+L1415/L1422</f>
        <v>0</v>
      </c>
      <c r="N1415" s="170">
        <v>0</v>
      </c>
      <c r="O1415" s="171">
        <f>VLOOKUP(N1415,'RESUMEN RENDIMIENTOS'!$V$6:$W$158,2,FALSE)</f>
        <v>0</v>
      </c>
      <c r="P1415" s="177"/>
      <c r="Q1415" s="172" t="s">
        <v>337</v>
      </c>
      <c r="R1415" s="175">
        <f t="shared" si="122"/>
        <v>0</v>
      </c>
      <c r="S1415" s="174">
        <f>+R1415/R1422</f>
        <v>0</v>
      </c>
    </row>
    <row r="1416" spans="2:19">
      <c r="B1416" s="170">
        <v>0</v>
      </c>
      <c r="C1416" s="171">
        <f>VLOOKUP(B1416,'RESUMEN RENDIMIENTOS'!$V$6:$W$158,2,FALSE)</f>
        <v>0</v>
      </c>
      <c r="D1416" s="290"/>
      <c r="E1416" s="172" t="s">
        <v>337</v>
      </c>
      <c r="F1416" s="175">
        <f t="shared" si="120"/>
        <v>0</v>
      </c>
      <c r="G1416" s="174">
        <f>+F1416/F1422</f>
        <v>0</v>
      </c>
      <c r="H1416" s="170">
        <v>0</v>
      </c>
      <c r="I1416" s="171">
        <f>VLOOKUP(H1416,'RESUMEN RENDIMIENTOS'!$V$6:$W$158,2,FALSE)</f>
        <v>0</v>
      </c>
      <c r="J1416" s="177"/>
      <c r="K1416" s="172" t="s">
        <v>337</v>
      </c>
      <c r="L1416" s="175">
        <f t="shared" si="121"/>
        <v>0</v>
      </c>
      <c r="M1416" s="174">
        <f>+L1416/L1422</f>
        <v>0</v>
      </c>
      <c r="N1416" s="170">
        <v>0</v>
      </c>
      <c r="O1416" s="171">
        <f>VLOOKUP(N1416,'RESUMEN RENDIMIENTOS'!$V$6:$W$158,2,FALSE)</f>
        <v>0</v>
      </c>
      <c r="P1416" s="177"/>
      <c r="Q1416" s="172" t="s">
        <v>337</v>
      </c>
      <c r="R1416" s="175">
        <f t="shared" si="122"/>
        <v>0</v>
      </c>
      <c r="S1416" s="174">
        <f>+R1416/R1422</f>
        <v>0</v>
      </c>
    </row>
    <row r="1417" spans="2:19">
      <c r="B1417" s="170">
        <v>0</v>
      </c>
      <c r="C1417" s="171">
        <f>VLOOKUP(B1417,'RESUMEN RENDIMIENTOS'!$V$6:$W$158,2,FALSE)</f>
        <v>0</v>
      </c>
      <c r="D1417" s="290"/>
      <c r="E1417" s="172" t="s">
        <v>337</v>
      </c>
      <c r="F1417" s="175">
        <f t="shared" si="120"/>
        <v>0</v>
      </c>
      <c r="G1417" s="174">
        <f>+F1417/F1422</f>
        <v>0</v>
      </c>
      <c r="H1417" s="170">
        <v>0</v>
      </c>
      <c r="I1417" s="171">
        <f>VLOOKUP(H1417,'RESUMEN RENDIMIENTOS'!$V$6:$W$158,2,FALSE)</f>
        <v>0</v>
      </c>
      <c r="J1417" s="177"/>
      <c r="K1417" s="172" t="s">
        <v>337</v>
      </c>
      <c r="L1417" s="175">
        <f t="shared" si="121"/>
        <v>0</v>
      </c>
      <c r="M1417" s="174">
        <f>+L1417/L1422</f>
        <v>0</v>
      </c>
      <c r="N1417" s="170">
        <v>0</v>
      </c>
      <c r="O1417" s="171">
        <f>VLOOKUP(N1417,'RESUMEN RENDIMIENTOS'!$V$6:$W$158,2,FALSE)</f>
        <v>0</v>
      </c>
      <c r="P1417" s="177"/>
      <c r="Q1417" s="172" t="s">
        <v>337</v>
      </c>
      <c r="R1417" s="175">
        <f t="shared" si="122"/>
        <v>0</v>
      </c>
      <c r="S1417" s="174">
        <f>+R1417/R1422</f>
        <v>0</v>
      </c>
    </row>
    <row r="1418" spans="2:19">
      <c r="B1418" s="170">
        <v>0</v>
      </c>
      <c r="C1418" s="171">
        <f>VLOOKUP(B1418,'RESUMEN RENDIMIENTOS'!$V$6:$W$158,2,FALSE)</f>
        <v>0</v>
      </c>
      <c r="D1418" s="177"/>
      <c r="E1418" s="172" t="s">
        <v>337</v>
      </c>
      <c r="F1418" s="175">
        <f t="shared" si="120"/>
        <v>0</v>
      </c>
      <c r="G1418" s="174">
        <f>+F1418/F1422</f>
        <v>0</v>
      </c>
      <c r="H1418" s="170">
        <v>0</v>
      </c>
      <c r="I1418" s="171">
        <f>VLOOKUP(H1418,'RESUMEN RENDIMIENTOS'!$V$6:$W$158,2,FALSE)</f>
        <v>0</v>
      </c>
      <c r="J1418" s="177"/>
      <c r="K1418" s="172" t="s">
        <v>337</v>
      </c>
      <c r="L1418" s="175">
        <f t="shared" si="121"/>
        <v>0</v>
      </c>
      <c r="M1418" s="174">
        <f>+L1418/L1422</f>
        <v>0</v>
      </c>
      <c r="N1418" s="170">
        <v>0</v>
      </c>
      <c r="O1418" s="171">
        <f>VLOOKUP(N1418,'RESUMEN RENDIMIENTOS'!$V$6:$W$158,2,FALSE)</f>
        <v>0</v>
      </c>
      <c r="P1418" s="177"/>
      <c r="Q1418" s="172" t="s">
        <v>337</v>
      </c>
      <c r="R1418" s="175">
        <f t="shared" si="122"/>
        <v>0</v>
      </c>
      <c r="S1418" s="174">
        <f>+R1418/R1422</f>
        <v>0</v>
      </c>
    </row>
    <row r="1419" spans="2:19">
      <c r="B1419" s="170">
        <v>0</v>
      </c>
      <c r="C1419" s="171">
        <f>VLOOKUP(B1419,'RESUMEN RENDIMIENTOS'!$V$6:$W$158,2,FALSE)</f>
        <v>0</v>
      </c>
      <c r="D1419" s="177"/>
      <c r="E1419" s="172" t="s">
        <v>337</v>
      </c>
      <c r="F1419" s="175">
        <f t="shared" si="120"/>
        <v>0</v>
      </c>
      <c r="G1419" s="174">
        <f>+F1419/F1422</f>
        <v>0</v>
      </c>
      <c r="H1419" s="170">
        <v>0</v>
      </c>
      <c r="I1419" s="171">
        <f>VLOOKUP(H1419,'RESUMEN RENDIMIENTOS'!$V$6:$W$158,2,FALSE)</f>
        <v>0</v>
      </c>
      <c r="J1419" s="177"/>
      <c r="K1419" s="172" t="s">
        <v>337</v>
      </c>
      <c r="L1419" s="175">
        <f t="shared" si="121"/>
        <v>0</v>
      </c>
      <c r="M1419" s="174">
        <f>+L1419/L1422</f>
        <v>0</v>
      </c>
      <c r="N1419" s="170">
        <v>0</v>
      </c>
      <c r="O1419" s="171">
        <f>VLOOKUP(N1419,'RESUMEN RENDIMIENTOS'!$V$6:$W$158,2,FALSE)</f>
        <v>0</v>
      </c>
      <c r="P1419" s="177"/>
      <c r="Q1419" s="172" t="s">
        <v>337</v>
      </c>
      <c r="R1419" s="175">
        <f t="shared" si="122"/>
        <v>0</v>
      </c>
      <c r="S1419" s="174">
        <f>+R1419/R1422</f>
        <v>0</v>
      </c>
    </row>
    <row r="1420" spans="2:19">
      <c r="B1420" s="170">
        <v>0</v>
      </c>
      <c r="C1420" s="171">
        <f>VLOOKUP(B1420,'RESUMEN RENDIMIENTOS'!$V$6:$W$158,2,FALSE)</f>
        <v>0</v>
      </c>
      <c r="D1420" s="177"/>
      <c r="E1420" s="172" t="s">
        <v>337</v>
      </c>
      <c r="F1420" s="175">
        <f t="shared" si="120"/>
        <v>0</v>
      </c>
      <c r="G1420" s="174">
        <f>+F1420/F1422</f>
        <v>0</v>
      </c>
      <c r="H1420" s="170">
        <v>0</v>
      </c>
      <c r="I1420" s="171">
        <f>VLOOKUP(H1420,'RESUMEN RENDIMIENTOS'!$V$6:$W$158,2,FALSE)</f>
        <v>0</v>
      </c>
      <c r="J1420" s="177"/>
      <c r="K1420" s="172" t="s">
        <v>337</v>
      </c>
      <c r="L1420" s="175">
        <f t="shared" si="121"/>
        <v>0</v>
      </c>
      <c r="M1420" s="174">
        <f>+L1420/L1422</f>
        <v>0</v>
      </c>
      <c r="N1420" s="170">
        <v>0</v>
      </c>
      <c r="O1420" s="171">
        <f>VLOOKUP(N1420,'RESUMEN RENDIMIENTOS'!$V$6:$W$158,2,FALSE)</f>
        <v>0</v>
      </c>
      <c r="P1420" s="177"/>
      <c r="Q1420" s="172" t="s">
        <v>337</v>
      </c>
      <c r="R1420" s="175">
        <f t="shared" si="122"/>
        <v>0</v>
      </c>
      <c r="S1420" s="174">
        <f>+R1420/R1422</f>
        <v>0</v>
      </c>
    </row>
    <row r="1421" spans="2:19">
      <c r="B1421" s="170">
        <v>0</v>
      </c>
      <c r="C1421" s="171">
        <f>VLOOKUP(B1421,'RESUMEN RENDIMIENTOS'!$V$6:$W$158,2,FALSE)</f>
        <v>0</v>
      </c>
      <c r="D1421" s="177"/>
      <c r="E1421" s="172" t="s">
        <v>337</v>
      </c>
      <c r="F1421" s="175">
        <f t="shared" si="120"/>
        <v>0</v>
      </c>
      <c r="G1421" s="174">
        <f>+F1421/F1422</f>
        <v>0</v>
      </c>
      <c r="H1421" s="170">
        <v>0</v>
      </c>
      <c r="I1421" s="171">
        <f>VLOOKUP(H1421,'RESUMEN RENDIMIENTOS'!$V$6:$W$158,2,FALSE)</f>
        <v>0</v>
      </c>
      <c r="J1421" s="177"/>
      <c r="K1421" s="172" t="s">
        <v>337</v>
      </c>
      <c r="L1421" s="175">
        <f t="shared" si="121"/>
        <v>0</v>
      </c>
      <c r="M1421" s="174">
        <f>+L1421/L1422</f>
        <v>0</v>
      </c>
      <c r="N1421" s="170">
        <v>0</v>
      </c>
      <c r="O1421" s="171">
        <f>VLOOKUP(N1421,'RESUMEN RENDIMIENTOS'!$V$6:$W$158,2,FALSE)</f>
        <v>0</v>
      </c>
      <c r="P1421" s="177"/>
      <c r="Q1421" s="172" t="s">
        <v>337</v>
      </c>
      <c r="R1421" s="175">
        <f t="shared" si="122"/>
        <v>0</v>
      </c>
      <c r="S1421" s="174">
        <f>+R1421/R1422</f>
        <v>0</v>
      </c>
    </row>
    <row r="1422" spans="2:19" ht="26.25" customHeight="1" thickBot="1">
      <c r="B1422" s="178"/>
      <c r="E1422" s="90"/>
      <c r="F1422" s="173">
        <f>SUM(F1406:F1421)</f>
        <v>7.1428571428571425E-2</v>
      </c>
      <c r="G1422" s="181">
        <f>+F1422/F1422</f>
        <v>1</v>
      </c>
      <c r="H1422" s="178"/>
      <c r="I1422" s="179"/>
      <c r="J1422" s="182" t="s">
        <v>24</v>
      </c>
      <c r="K1422" s="90"/>
      <c r="L1422" s="173">
        <f>SUM(L1406:L1421)</f>
        <v>7.1428571428571425E-2</v>
      </c>
      <c r="M1422" s="181">
        <f>+L1422/L1422</f>
        <v>1</v>
      </c>
      <c r="N1422" s="178"/>
      <c r="O1422" s="179"/>
      <c r="Q1422" s="90"/>
      <c r="R1422" s="175">
        <f>SUM(R1406:R1421)</f>
        <v>7.1428571428571425E-2</v>
      </c>
      <c r="S1422" s="181">
        <f>+R1422/R1422</f>
        <v>1</v>
      </c>
    </row>
    <row r="1423" spans="2:19" ht="18" customHeight="1">
      <c r="B1423" s="427" t="s">
        <v>317</v>
      </c>
      <c r="C1423" s="428"/>
      <c r="D1423" s="429"/>
      <c r="E1423" s="185">
        <v>0.12</v>
      </c>
      <c r="F1423" s="173">
        <f>+F1422*E1423</f>
        <v>8.5714285714285701E-3</v>
      </c>
      <c r="H1423" s="427" t="s">
        <v>317</v>
      </c>
      <c r="I1423" s="428"/>
      <c r="J1423" s="429"/>
      <c r="K1423" s="185">
        <v>0.12</v>
      </c>
      <c r="L1423" s="173">
        <f>+L1422*K1423</f>
        <v>8.5714285714285701E-3</v>
      </c>
      <c r="N1423" s="427" t="s">
        <v>317</v>
      </c>
      <c r="O1423" s="428"/>
      <c r="P1423" s="429"/>
      <c r="Q1423" s="185">
        <v>0.12</v>
      </c>
      <c r="R1423" s="175">
        <f>+R1422*Q1423</f>
        <v>8.5714285714285701E-3</v>
      </c>
    </row>
    <row r="1424" spans="2:19" ht="18" customHeight="1">
      <c r="B1424" s="178"/>
      <c r="F1424" s="173">
        <f>+F1423+F1422</f>
        <v>7.9999999999999988E-2</v>
      </c>
      <c r="G1424" s="187">
        <f>+F1424/24</f>
        <v>3.3333333333333327E-3</v>
      </c>
      <c r="H1424" s="178"/>
      <c r="I1424" s="179"/>
      <c r="K1424" s="88"/>
      <c r="L1424" s="173">
        <f>+L1423+L1422</f>
        <v>7.9999999999999988E-2</v>
      </c>
      <c r="M1424" s="187">
        <f>+L1424/24</f>
        <v>3.3333333333333327E-3</v>
      </c>
      <c r="N1424" s="178"/>
      <c r="O1424" s="179"/>
      <c r="R1424" s="175">
        <f>+R1423+R1422</f>
        <v>7.9999999999999988E-2</v>
      </c>
      <c r="S1424" s="187">
        <f>+R1424/24</f>
        <v>3.3333333333333327E-3</v>
      </c>
    </row>
    <row r="1425" spans="2:19">
      <c r="B1425" s="178"/>
      <c r="D1425" s="188"/>
      <c r="F1425" s="189"/>
      <c r="H1425" s="178"/>
      <c r="I1425" s="179"/>
      <c r="J1425" s="188"/>
      <c r="K1425" s="88"/>
      <c r="L1425" s="189"/>
      <c r="N1425" s="178"/>
      <c r="O1425" s="179"/>
      <c r="P1425" s="188"/>
      <c r="R1425" s="189"/>
    </row>
    <row r="1426" spans="2:19" ht="21">
      <c r="B1426" s="191" t="s">
        <v>318</v>
      </c>
      <c r="C1426" s="192"/>
      <c r="D1426" s="192"/>
      <c r="E1426" s="444">
        <f>IF(F1424=0,0,(100/F1424))</f>
        <v>1250.0000000000002</v>
      </c>
      <c r="F1426" s="445"/>
      <c r="H1426" s="191" t="s">
        <v>318</v>
      </c>
      <c r="I1426" s="192"/>
      <c r="J1426" s="192"/>
      <c r="K1426" s="444">
        <f>IF(L1424=0,0,(100/L1424))</f>
        <v>1250.0000000000002</v>
      </c>
      <c r="L1426" s="445"/>
      <c r="N1426" s="191" t="s">
        <v>318</v>
      </c>
      <c r="O1426" s="192"/>
      <c r="P1426" s="192"/>
      <c r="Q1426" s="444">
        <f>IF(R1424=0,0,(100/R1424))</f>
        <v>1250.0000000000002</v>
      </c>
      <c r="R1426" s="445"/>
    </row>
    <row r="1427" spans="2:19">
      <c r="B1427" s="178"/>
      <c r="H1427" s="178"/>
      <c r="I1427" s="179"/>
      <c r="K1427" s="88"/>
      <c r="L1427" s="189"/>
      <c r="N1427" s="178"/>
      <c r="O1427" s="179"/>
      <c r="R1427" s="189"/>
    </row>
    <row r="1428" spans="2:19" ht="21">
      <c r="B1428" s="446" t="s">
        <v>319</v>
      </c>
      <c r="C1428" s="447"/>
      <c r="D1428" s="447"/>
      <c r="E1428" s="447"/>
      <c r="F1428" s="448"/>
      <c r="H1428" s="446" t="s">
        <v>319</v>
      </c>
      <c r="I1428" s="447"/>
      <c r="J1428" s="447"/>
      <c r="K1428" s="447"/>
      <c r="L1428" s="448"/>
      <c r="N1428" s="446" t="s">
        <v>319</v>
      </c>
      <c r="O1428" s="447"/>
      <c r="P1428" s="447"/>
      <c r="Q1428" s="447"/>
      <c r="R1428" s="448"/>
    </row>
    <row r="1429" spans="2:19" ht="18" customHeight="1">
      <c r="B1429" s="194" t="s">
        <v>320</v>
      </c>
      <c r="C1429" s="195"/>
      <c r="D1429" s="435" t="s">
        <v>321</v>
      </c>
      <c r="E1429" s="435"/>
      <c r="F1429" s="196" t="s">
        <v>322</v>
      </c>
      <c r="H1429" s="194" t="s">
        <v>320</v>
      </c>
      <c r="I1429" s="195"/>
      <c r="J1429" s="435" t="s">
        <v>321</v>
      </c>
      <c r="K1429" s="435"/>
      <c r="L1429" s="196" t="s">
        <v>322</v>
      </c>
      <c r="N1429" s="194" t="s">
        <v>320</v>
      </c>
      <c r="O1429" s="195"/>
      <c r="P1429" s="435" t="s">
        <v>321</v>
      </c>
      <c r="Q1429" s="435"/>
      <c r="R1429" s="196" t="s">
        <v>322</v>
      </c>
    </row>
    <row r="1430" spans="2:19">
      <c r="B1430" s="197" t="s">
        <v>278</v>
      </c>
      <c r="C1430" s="201">
        <v>1</v>
      </c>
      <c r="E1430" s="199">
        <f>IF(C1430=0,0,(VLOOKUP(B1430,'RESUMEN RENDIMIENTOS'!$AB$6:$AO$64,13,FALSE)))*C1430</f>
        <v>0.75</v>
      </c>
      <c r="F1430" s="200">
        <f>IF(C1430=0,0,(VLOOKUP(B1430,'RESUMEN RENDIMIENTOS'!$AB$6:$AO$64,14,FALSE)))*C1430</f>
        <v>1.0285714285714287E-2</v>
      </c>
      <c r="H1430" s="197" t="s">
        <v>278</v>
      </c>
      <c r="I1430" s="201">
        <v>1</v>
      </c>
      <c r="K1430" s="199">
        <f>IF(I1430=0,0,(VLOOKUP(H1430,'RESUMEN RENDIMIENTOS'!$AB$6:$AO$64,13,FALSE)))*I1430</f>
        <v>0.75</v>
      </c>
      <c r="L1430" s="200">
        <f>IF(I1430=0,0,(VLOOKUP(H1430,'RESUMEN RENDIMIENTOS'!$AB$6:$AO$64,14,FALSE)))*I1430</f>
        <v>1.0285714285714287E-2</v>
      </c>
      <c r="N1430" s="197" t="s">
        <v>278</v>
      </c>
      <c r="O1430" s="198">
        <v>1</v>
      </c>
      <c r="Q1430" s="199">
        <f>IF(O1430=0,0,(VLOOKUP(N1430,'RESUMEN RENDIMIENTOS'!$AB$6:$AO$64,13,FALSE)))*O1430</f>
        <v>0.75</v>
      </c>
      <c r="R1430" s="200">
        <f>IF(O1430=0,0,(VLOOKUP(N1430,'RESUMEN RENDIMIENTOS'!$AB$6:$AO$64,14,FALSE)))*O1430</f>
        <v>1.0285714285714287E-2</v>
      </c>
    </row>
    <row r="1431" spans="2:19">
      <c r="B1431" s="197" t="s">
        <v>279</v>
      </c>
      <c r="C1431" s="201">
        <v>1</v>
      </c>
      <c r="E1431" s="199">
        <f>IF(C1431=0,0,(VLOOKUP(B1431,'RESUMEN RENDIMIENTOS'!$AB$6:$AO$64,13,FALSE)))*C1431</f>
        <v>2</v>
      </c>
      <c r="F1431" s="200">
        <f>IF(C1431=0,0,(VLOOKUP(B1431,'RESUMEN RENDIMIENTOS'!$AB$6:$AO$64,14,FALSE)))*C1431</f>
        <v>9.5999999999999988E-2</v>
      </c>
      <c r="H1431" s="197" t="s">
        <v>279</v>
      </c>
      <c r="I1431" s="201">
        <v>1</v>
      </c>
      <c r="K1431" s="199">
        <f>IF(I1431=0,0,(VLOOKUP(H1431,'RESUMEN RENDIMIENTOS'!$AB$6:$AO$64,13,FALSE)))*I1431</f>
        <v>2</v>
      </c>
      <c r="L1431" s="200">
        <f>IF(I1431=0,0,(VLOOKUP(H1431,'RESUMEN RENDIMIENTOS'!$AB$6:$AO$64,14,FALSE)))*I1431</f>
        <v>9.5999999999999988E-2</v>
      </c>
      <c r="N1431" s="197" t="s">
        <v>279</v>
      </c>
      <c r="O1431" s="198">
        <v>1</v>
      </c>
      <c r="Q1431" s="199">
        <f>IF(O1431=0,0,(VLOOKUP(N1431,'RESUMEN RENDIMIENTOS'!$AB$6:$AO$64,13,FALSE)))*O1431</f>
        <v>2</v>
      </c>
      <c r="R1431" s="200">
        <f>IF(O1431=0,0,(VLOOKUP(N1431,'RESUMEN RENDIMIENTOS'!$AB$6:$AO$64,14,FALSE)))*O1431</f>
        <v>9.5999999999999988E-2</v>
      </c>
    </row>
    <row r="1432" spans="2:19">
      <c r="B1432" s="197" t="s">
        <v>284</v>
      </c>
      <c r="C1432" s="201">
        <v>0.25</v>
      </c>
      <c r="E1432" s="199">
        <f>IF(C1432=0,0,(VLOOKUP(B1432,'RESUMEN RENDIMIENTOS'!$AB$6:$AO$64,13,FALSE)))*C1432</f>
        <v>0.52500000000000002</v>
      </c>
      <c r="F1432" s="200">
        <f>IF(C1432=0,0,(VLOOKUP(B1432,'RESUMEN RENDIMIENTOS'!$AB$6:$AO$64,14,FALSE)))*C1432</f>
        <v>4.2000000000000003E-2</v>
      </c>
      <c r="H1432" s="197" t="s">
        <v>284</v>
      </c>
      <c r="I1432" s="201">
        <v>0.25</v>
      </c>
      <c r="K1432" s="199">
        <f>IF(I1432=0,0,(VLOOKUP(H1432,'RESUMEN RENDIMIENTOS'!$AB$6:$AO$64,13,FALSE)))*I1432</f>
        <v>0.52500000000000002</v>
      </c>
      <c r="L1432" s="200">
        <f>IF(I1432=0,0,(VLOOKUP(H1432,'RESUMEN RENDIMIENTOS'!$AB$6:$AO$64,14,FALSE)))*I1432</f>
        <v>4.2000000000000003E-2</v>
      </c>
      <c r="N1432" s="197" t="s">
        <v>284</v>
      </c>
      <c r="O1432" s="198">
        <v>0.25</v>
      </c>
      <c r="Q1432" s="199">
        <f>IF(O1432=0,0,(VLOOKUP(N1432,'RESUMEN RENDIMIENTOS'!$AB$6:$AO$64,13,FALSE)))*O1432</f>
        <v>0.52500000000000002</v>
      </c>
      <c r="R1432" s="200">
        <f>IF(O1432=0,0,(VLOOKUP(N1432,'RESUMEN RENDIMIENTOS'!$AB$6:$AO$64,14,FALSE)))*O1432</f>
        <v>4.2000000000000003E-2</v>
      </c>
    </row>
    <row r="1433" spans="2:19">
      <c r="B1433" s="197" t="s">
        <v>283</v>
      </c>
      <c r="C1433" s="201">
        <v>1</v>
      </c>
      <c r="E1433" s="199">
        <f>IF(C1433=0,0,(VLOOKUP(B1433,'RESUMEN RENDIMIENTOS'!$AB$6:$AO$64,13,FALSE)))*C1433</f>
        <v>1.59</v>
      </c>
      <c r="F1433" s="200">
        <f>IF(C1433=0,0,(VLOOKUP(B1433,'RESUMEN RENDIMIENTOS'!$AB$6:$AO$64,14,FALSE)))*C1433</f>
        <v>0.12720000000000001</v>
      </c>
      <c r="H1433" s="197" t="s">
        <v>283</v>
      </c>
      <c r="I1433" s="201">
        <v>1</v>
      </c>
      <c r="K1433" s="199">
        <f>IF(I1433=0,0,(VLOOKUP(H1433,'RESUMEN RENDIMIENTOS'!$AB$6:$AO$64,13,FALSE)))*I1433</f>
        <v>1.59</v>
      </c>
      <c r="L1433" s="200">
        <f>IF(I1433=0,0,(VLOOKUP(H1433,'RESUMEN RENDIMIENTOS'!$AB$6:$AO$64,14,FALSE)))*I1433</f>
        <v>0.12720000000000001</v>
      </c>
      <c r="N1433" s="197" t="s">
        <v>283</v>
      </c>
      <c r="O1433" s="198">
        <v>1</v>
      </c>
      <c r="Q1433" s="199">
        <f>IF(O1433=0,0,(VLOOKUP(N1433,'RESUMEN RENDIMIENTOS'!$AB$6:$AO$64,13,FALSE)))*O1433</f>
        <v>1.59</v>
      </c>
      <c r="R1433" s="200">
        <f>IF(O1433=0,0,(VLOOKUP(N1433,'RESUMEN RENDIMIENTOS'!$AB$6:$AO$64,14,FALSE)))*O1433</f>
        <v>0.12720000000000001</v>
      </c>
    </row>
    <row r="1434" spans="2:19">
      <c r="B1434" s="197" t="s">
        <v>282</v>
      </c>
      <c r="C1434" s="201">
        <v>1</v>
      </c>
      <c r="E1434" s="199">
        <f>IF(C1434=0,0,(VLOOKUP(B1434,'RESUMEN RENDIMIENTOS'!$AB$6:$AO$64,13,FALSE)))*C1434</f>
        <v>2.62</v>
      </c>
      <c r="F1434" s="200">
        <f>IF(C1434=0,0,(VLOOKUP(B1434,'RESUMEN RENDIMIENTOS'!$AB$6:$AO$64,14,FALSE)))*C1434</f>
        <v>6.986666666666666E-2</v>
      </c>
      <c r="H1434" s="197" t="s">
        <v>282</v>
      </c>
      <c r="I1434" s="201">
        <v>1</v>
      </c>
      <c r="K1434" s="199">
        <f>IF(I1434=0,0,(VLOOKUP(H1434,'RESUMEN RENDIMIENTOS'!$AB$6:$AO$64,13,FALSE)))*I1434</f>
        <v>2.62</v>
      </c>
      <c r="L1434" s="200">
        <f>IF(I1434=0,0,(VLOOKUP(H1434,'RESUMEN RENDIMIENTOS'!$AB$6:$AO$64,14,FALSE)))*I1434</f>
        <v>6.986666666666666E-2</v>
      </c>
      <c r="N1434" s="197" t="s">
        <v>282</v>
      </c>
      <c r="O1434" s="198">
        <v>1</v>
      </c>
      <c r="Q1434" s="199">
        <f>IF(O1434=0,0,(VLOOKUP(N1434,'RESUMEN RENDIMIENTOS'!$AB$6:$AO$64,13,FALSE)))*O1434</f>
        <v>2.62</v>
      </c>
      <c r="R1434" s="200">
        <f>IF(O1434=0,0,(VLOOKUP(N1434,'RESUMEN RENDIMIENTOS'!$AB$6:$AO$64,14,FALSE)))*O1434</f>
        <v>6.986666666666666E-2</v>
      </c>
    </row>
    <row r="1435" spans="2:19">
      <c r="B1435" s="197" t="s">
        <v>302</v>
      </c>
      <c r="C1435" s="201">
        <v>1</v>
      </c>
      <c r="E1435" s="199">
        <f>IF(C1435=0,0,(VLOOKUP(B1435,'RESUMEN RENDIMIENTOS'!$AB$6:$AO$64,13,FALSE)))*C1435</f>
        <v>1</v>
      </c>
      <c r="F1435" s="200">
        <f>IF(C1435=0,0,(VLOOKUP(B1435,'RESUMEN RENDIMIENTOS'!$AB$6:$AO$64,14,FALSE)))*C1435</f>
        <v>0.2</v>
      </c>
      <c r="H1435" s="197" t="s">
        <v>302</v>
      </c>
      <c r="I1435" s="201">
        <v>1</v>
      </c>
      <c r="K1435" s="199">
        <f>IF(I1435=0,0,(VLOOKUP(H1435,'RESUMEN RENDIMIENTOS'!$AB$6:$AO$64,13,FALSE)))*I1435</f>
        <v>1</v>
      </c>
      <c r="L1435" s="200">
        <f>IF(I1435=0,0,(VLOOKUP(H1435,'RESUMEN RENDIMIENTOS'!$AB$6:$AO$64,14,FALSE)))*I1435</f>
        <v>0.2</v>
      </c>
      <c r="N1435" s="197" t="s">
        <v>302</v>
      </c>
      <c r="O1435" s="198">
        <v>1</v>
      </c>
      <c r="Q1435" s="199">
        <f>IF(O1435=0,0,(VLOOKUP(N1435,'RESUMEN RENDIMIENTOS'!$AB$6:$AO$64,13,FALSE)))*O1435</f>
        <v>1</v>
      </c>
      <c r="R1435" s="200">
        <f>IF(O1435=0,0,(VLOOKUP(N1435,'RESUMEN RENDIMIENTOS'!$AB$6:$AO$64,14,FALSE)))*O1435</f>
        <v>0.2</v>
      </c>
    </row>
    <row r="1436" spans="2:19">
      <c r="B1436" s="202"/>
      <c r="F1436" s="204">
        <f>SUM(F1430:F1435)</f>
        <v>0.54535238095238103</v>
      </c>
      <c r="G1436" s="205">
        <f>+F1436</f>
        <v>0.54535238095238103</v>
      </c>
      <c r="H1436" s="202"/>
      <c r="I1436" s="179"/>
      <c r="K1436" s="88"/>
      <c r="L1436" s="206">
        <f>SUM(L1430:L1435)</f>
        <v>0.54535238095238103</v>
      </c>
      <c r="M1436" s="205">
        <f>+L1436</f>
        <v>0.54535238095238103</v>
      </c>
      <c r="N1436" s="202"/>
      <c r="O1436" s="179"/>
      <c r="R1436" s="206">
        <f>SUM(R1430:R1435)</f>
        <v>0.54535238095238103</v>
      </c>
      <c r="S1436" s="205">
        <f>+R1436</f>
        <v>0.54535238095238103</v>
      </c>
    </row>
    <row r="1437" spans="2:19">
      <c r="B1437" s="436" t="s">
        <v>324</v>
      </c>
      <c r="C1437" s="437"/>
      <c r="D1437" s="437"/>
      <c r="E1437" s="437"/>
      <c r="F1437" s="437"/>
      <c r="G1437" s="205"/>
      <c r="H1437" s="436" t="s">
        <v>324</v>
      </c>
      <c r="I1437" s="437"/>
      <c r="J1437" s="437"/>
      <c r="K1437" s="437"/>
      <c r="L1437" s="455"/>
      <c r="M1437" s="205"/>
      <c r="N1437" s="436" t="s">
        <v>324</v>
      </c>
      <c r="O1437" s="437"/>
      <c r="P1437" s="437"/>
      <c r="Q1437" s="437"/>
      <c r="R1437" s="455"/>
      <c r="S1437" s="205"/>
    </row>
    <row r="1438" spans="2:19">
      <c r="B1438" s="210" t="s">
        <v>325</v>
      </c>
      <c r="C1438" s="211">
        <v>1</v>
      </c>
      <c r="D1438" s="212">
        <v>21.712335174960327</v>
      </c>
      <c r="E1438" s="213">
        <f>F1424</f>
        <v>7.9999999999999988E-2</v>
      </c>
      <c r="F1438" s="214">
        <f>+IF(C1438&gt;="",0,(D1438*E1438))</f>
        <v>1.7369868139968259</v>
      </c>
      <c r="G1438" s="215"/>
      <c r="H1438" s="210" t="s">
        <v>325</v>
      </c>
      <c r="I1438" s="211">
        <v>1</v>
      </c>
      <c r="J1438" s="212">
        <v>21.712335174960327</v>
      </c>
      <c r="K1438" s="213">
        <f>L1424</f>
        <v>7.9999999999999988E-2</v>
      </c>
      <c r="L1438" s="216">
        <f>+IF(I1438&gt;="",0,(J1438*K1438))</f>
        <v>1.7369868139968259</v>
      </c>
      <c r="M1438" s="215"/>
      <c r="N1438" s="210" t="s">
        <v>325</v>
      </c>
      <c r="O1438" s="211">
        <v>1</v>
      </c>
      <c r="P1438" s="212">
        <v>21.712335174960327</v>
      </c>
      <c r="Q1438" s="213">
        <f>R1424</f>
        <v>7.9999999999999988E-2</v>
      </c>
      <c r="R1438" s="214">
        <f>+IF(O1438&gt;="",0,(P1438*Q1438))</f>
        <v>1.7369868139968259</v>
      </c>
      <c r="S1438" s="215"/>
    </row>
    <row r="1439" spans="2:19">
      <c r="B1439" s="210" t="s">
        <v>326</v>
      </c>
      <c r="C1439" s="211"/>
      <c r="D1439" s="212">
        <f>+D1438*25%</f>
        <v>5.4280837937400817</v>
      </c>
      <c r="E1439" s="213">
        <f>F1424</f>
        <v>7.9999999999999988E-2</v>
      </c>
      <c r="F1439" s="214">
        <f>+IF(C1439= "",0,(D1439*E1439))</f>
        <v>0</v>
      </c>
      <c r="G1439" s="215"/>
      <c r="H1439" s="210" t="s">
        <v>326</v>
      </c>
      <c r="I1439" s="211"/>
      <c r="J1439" s="212">
        <f>+J1438*25%</f>
        <v>5.4280837937400817</v>
      </c>
      <c r="K1439" s="213">
        <f>L1424</f>
        <v>7.9999999999999988E-2</v>
      </c>
      <c r="L1439" s="216">
        <f>+IF(I1439= "",0,(J1439*K1439))</f>
        <v>0</v>
      </c>
      <c r="M1439" s="215"/>
      <c r="N1439" s="210" t="s">
        <v>326</v>
      </c>
      <c r="O1439" s="211"/>
      <c r="P1439" s="212">
        <f>+P1438*25%</f>
        <v>5.4280837937400817</v>
      </c>
      <c r="Q1439" s="213">
        <f>R1424</f>
        <v>7.9999999999999988E-2</v>
      </c>
      <c r="R1439" s="214">
        <f>+IF(O1439= "",0,(P1439*Q1439))</f>
        <v>0</v>
      </c>
      <c r="S1439" s="215"/>
    </row>
    <row r="1440" spans="2:19">
      <c r="B1440" s="210" t="s">
        <v>327</v>
      </c>
      <c r="C1440" s="211"/>
      <c r="D1440" s="212">
        <f>+D1438*50%</f>
        <v>10.856167587480163</v>
      </c>
      <c r="E1440" s="213">
        <f>F1424</f>
        <v>7.9999999999999988E-2</v>
      </c>
      <c r="F1440" s="214">
        <f>+IF(C1440= "",0,(D1440*E1440))</f>
        <v>0</v>
      </c>
      <c r="G1440" s="215"/>
      <c r="H1440" s="210" t="s">
        <v>327</v>
      </c>
      <c r="I1440" s="211"/>
      <c r="J1440" s="212">
        <f>+J1438*50%</f>
        <v>10.856167587480163</v>
      </c>
      <c r="K1440" s="213">
        <f>L1424</f>
        <v>7.9999999999999988E-2</v>
      </c>
      <c r="L1440" s="216">
        <f>+IF(I1440= "",0,(J1440*K1440))</f>
        <v>0</v>
      </c>
      <c r="M1440" s="215"/>
      <c r="N1440" s="210" t="s">
        <v>327</v>
      </c>
      <c r="O1440" s="211"/>
      <c r="P1440" s="212">
        <f>+P1438*50%</f>
        <v>10.856167587480163</v>
      </c>
      <c r="Q1440" s="213">
        <f>R1424</f>
        <v>7.9999999999999988E-2</v>
      </c>
      <c r="R1440" s="214">
        <f>+IF(O1440= "",0,(P1440*Q1440))</f>
        <v>0</v>
      </c>
      <c r="S1440" s="215"/>
    </row>
    <row r="1441" spans="2:19">
      <c r="B1441" s="202"/>
      <c r="F1441" s="217">
        <f>SUM(F1438:F1440)</f>
        <v>1.7369868139968259</v>
      </c>
      <c r="G1441" s="218"/>
      <c r="H1441" s="202"/>
      <c r="I1441" s="179"/>
      <c r="K1441" s="88"/>
      <c r="L1441" s="219">
        <f>SUM(L1438:L1440)</f>
        <v>1.7369868139968259</v>
      </c>
      <c r="M1441" s="218"/>
      <c r="N1441" s="202"/>
      <c r="O1441" s="179"/>
      <c r="R1441" s="217">
        <f>SUM(R1438:R1440)</f>
        <v>1.7369868139968259</v>
      </c>
      <c r="S1441" s="218"/>
    </row>
    <row r="1442" spans="2:19">
      <c r="B1442" s="202"/>
      <c r="G1442" s="220"/>
      <c r="H1442" s="202"/>
      <c r="I1442" s="179"/>
      <c r="K1442" s="88"/>
      <c r="L1442" s="189"/>
      <c r="M1442" s="220"/>
      <c r="N1442" s="202"/>
      <c r="O1442" s="179"/>
      <c r="R1442" s="189"/>
      <c r="S1442" s="220"/>
    </row>
    <row r="1443" spans="2:19" ht="21">
      <c r="B1443" s="438" t="s">
        <v>328</v>
      </c>
      <c r="C1443" s="439"/>
      <c r="D1443" s="439"/>
      <c r="E1443" s="440"/>
      <c r="F1443" s="221">
        <f>+F1436+F1441</f>
        <v>2.2823391949492069</v>
      </c>
      <c r="G1443" s="205">
        <f>+F1443</f>
        <v>2.2823391949492069</v>
      </c>
      <c r="H1443" s="438" t="s">
        <v>328</v>
      </c>
      <c r="I1443" s="439"/>
      <c r="J1443" s="439"/>
      <c r="K1443" s="440"/>
      <c r="L1443" s="225">
        <f>+L1436+L1441</f>
        <v>2.2823391949492069</v>
      </c>
      <c r="M1443" s="205">
        <f>+L1443</f>
        <v>2.2823391949492069</v>
      </c>
      <c r="N1443" s="438" t="s">
        <v>328</v>
      </c>
      <c r="O1443" s="439"/>
      <c r="P1443" s="439"/>
      <c r="Q1443" s="440"/>
      <c r="R1443" s="225">
        <f>+R1436+R1441</f>
        <v>2.2823391949492069</v>
      </c>
      <c r="S1443" s="205">
        <f>+R1443</f>
        <v>2.2823391949492069</v>
      </c>
    </row>
    <row r="1444" spans="2:19">
      <c r="B1444" s="202"/>
      <c r="G1444" s="205"/>
      <c r="H1444" s="202"/>
      <c r="I1444" s="179"/>
      <c r="K1444" s="88"/>
      <c r="L1444" s="189"/>
      <c r="M1444" s="205"/>
      <c r="N1444" s="202"/>
      <c r="O1444" s="179"/>
      <c r="R1444" s="189"/>
      <c r="S1444" s="205"/>
    </row>
    <row r="1445" spans="2:19" ht="19">
      <c r="B1445" s="441" t="s">
        <v>329</v>
      </c>
      <c r="C1445" s="442"/>
      <c r="D1445" s="442"/>
      <c r="E1445" s="443"/>
      <c r="F1445" s="226">
        <f>+F1443/$C$37</f>
        <v>2.282339194949207E-2</v>
      </c>
      <c r="G1445" s="205"/>
      <c r="H1445" s="441" t="s">
        <v>329</v>
      </c>
      <c r="I1445" s="442"/>
      <c r="J1445" s="442"/>
      <c r="K1445" s="443"/>
      <c r="L1445" s="230">
        <f>+L1443/$C$37</f>
        <v>2.282339194949207E-2</v>
      </c>
      <c r="M1445" s="205"/>
      <c r="N1445" s="441" t="s">
        <v>329</v>
      </c>
      <c r="O1445" s="442"/>
      <c r="P1445" s="442"/>
      <c r="Q1445" s="443"/>
      <c r="R1445" s="230">
        <f>+R1443/$C$37</f>
        <v>2.282339194949207E-2</v>
      </c>
      <c r="S1445" s="205"/>
    </row>
    <row r="1446" spans="2:19" ht="17" thickBot="1">
      <c r="B1446" s="231"/>
      <c r="C1446" s="232"/>
      <c r="D1446" s="233"/>
      <c r="E1446" s="233"/>
      <c r="F1446" s="233"/>
      <c r="G1446" s="205"/>
      <c r="H1446" s="231"/>
      <c r="I1446" s="232"/>
      <c r="J1446" s="233"/>
      <c r="K1446" s="233"/>
      <c r="L1446" s="234"/>
      <c r="M1446" s="205"/>
      <c r="N1446" s="231"/>
      <c r="O1446" s="232"/>
      <c r="P1446" s="233"/>
      <c r="Q1446" s="233"/>
      <c r="R1446" s="234"/>
      <c r="S1446" s="205"/>
    </row>
    <row r="1447" spans="2:19" ht="24" customHeight="1" thickBot="1">
      <c r="B1447" s="415" t="s">
        <v>312</v>
      </c>
      <c r="C1447" s="416"/>
      <c r="D1447" s="416"/>
      <c r="E1447" s="416"/>
      <c r="F1447" s="416"/>
      <c r="G1447" s="416"/>
      <c r="H1447" s="416"/>
      <c r="I1447" s="416"/>
      <c r="J1447" s="416"/>
      <c r="K1447" s="416"/>
      <c r="L1447" s="416"/>
      <c r="M1447" s="416"/>
      <c r="N1447" s="416"/>
      <c r="O1447" s="416"/>
      <c r="P1447" s="416"/>
      <c r="Q1447" s="416"/>
      <c r="R1447" s="417"/>
    </row>
    <row r="1448" spans="2:19" ht="23.25" customHeight="1">
      <c r="B1448" s="276" t="s">
        <v>16</v>
      </c>
      <c r="C1448" s="452" t="s">
        <v>150</v>
      </c>
      <c r="D1448" s="453"/>
      <c r="E1448" s="453"/>
      <c r="F1448" s="465"/>
      <c r="G1448" s="254"/>
      <c r="H1448" s="239" t="s">
        <v>16</v>
      </c>
      <c r="I1448" s="452" t="s">
        <v>151</v>
      </c>
      <c r="J1448" s="453"/>
      <c r="K1448" s="453"/>
      <c r="L1448" s="465"/>
      <c r="M1448" s="254"/>
      <c r="N1448" s="239" t="s">
        <v>16</v>
      </c>
      <c r="O1448" s="452" t="s">
        <v>152</v>
      </c>
      <c r="P1448" s="453"/>
      <c r="Q1448" s="453"/>
      <c r="R1448" s="465"/>
    </row>
    <row r="1449" spans="2:19" ht="33" thickBot="1">
      <c r="B1449" s="241" t="s">
        <v>313</v>
      </c>
      <c r="C1449" s="242" t="s">
        <v>6</v>
      </c>
      <c r="D1449" s="243" t="s">
        <v>25</v>
      </c>
      <c r="E1449" s="244" t="s">
        <v>314</v>
      </c>
      <c r="F1449" s="245" t="s">
        <v>315</v>
      </c>
      <c r="H1449" s="241" t="s">
        <v>313</v>
      </c>
      <c r="I1449" s="242" t="s">
        <v>6</v>
      </c>
      <c r="J1449" s="243" t="s">
        <v>25</v>
      </c>
      <c r="K1449" s="244" t="s">
        <v>314</v>
      </c>
      <c r="L1449" s="245" t="s">
        <v>315</v>
      </c>
      <c r="N1449" s="241" t="s">
        <v>313</v>
      </c>
      <c r="O1449" s="242" t="s">
        <v>6</v>
      </c>
      <c r="P1449" s="243" t="s">
        <v>25</v>
      </c>
      <c r="Q1449" s="244" t="s">
        <v>314</v>
      </c>
      <c r="R1449" s="245" t="s">
        <v>315</v>
      </c>
    </row>
    <row r="1450" spans="2:19">
      <c r="B1450" s="170" t="s">
        <v>182</v>
      </c>
      <c r="C1450" s="171">
        <f>VLOOKUP(B1450,'RESUMEN RENDIMIENTOS'!$V$6:$W$158,2,FALSE)</f>
        <v>1400</v>
      </c>
      <c r="D1450" s="177" t="s">
        <v>20</v>
      </c>
      <c r="E1450" s="172">
        <v>247</v>
      </c>
      <c r="F1450" s="175">
        <f t="shared" ref="F1450:F1465" si="123">IF(C1450=0,0,(100/C1450)*E1450/$E$37)</f>
        <v>7.1428571428571425E-2</v>
      </c>
      <c r="G1450" s="164">
        <f>+F1450/F1466</f>
        <v>1</v>
      </c>
      <c r="H1450" s="170" t="s">
        <v>182</v>
      </c>
      <c r="I1450" s="171">
        <f>VLOOKUP(H1450,'RESUMEN RENDIMIENTOS'!$V$6:$W$158,2,FALSE)</f>
        <v>1400</v>
      </c>
      <c r="J1450" s="177" t="s">
        <v>20</v>
      </c>
      <c r="K1450" s="172">
        <v>247</v>
      </c>
      <c r="L1450" s="175">
        <f t="shared" ref="L1450:L1465" si="124">IF(I1450=0,0,(100/I1450)*K1450/$E$37)</f>
        <v>7.1428571428571425E-2</v>
      </c>
      <c r="M1450" s="164">
        <f>+L1450/L1466</f>
        <v>1</v>
      </c>
      <c r="N1450" s="170" t="s">
        <v>182</v>
      </c>
      <c r="O1450" s="171">
        <f>VLOOKUP(N1450,'RESUMEN RENDIMIENTOS'!$V$6:$W$158,2,FALSE)</f>
        <v>1400</v>
      </c>
      <c r="P1450" s="177" t="s">
        <v>20</v>
      </c>
      <c r="Q1450" s="172">
        <v>247</v>
      </c>
      <c r="R1450" s="175">
        <f t="shared" ref="R1450:R1465" si="125">IF(O1450=0,0,(100/O1450)*Q1450/$E$37)</f>
        <v>7.1428571428571425E-2</v>
      </c>
      <c r="S1450" s="164">
        <f>+R1450/R1466</f>
        <v>1</v>
      </c>
    </row>
    <row r="1451" spans="2:19">
      <c r="B1451" s="170">
        <v>0</v>
      </c>
      <c r="C1451" s="171">
        <f>VLOOKUP(B1451,'RESUMEN RENDIMIENTOS'!$V$6:$W$158,2,FALSE)</f>
        <v>0</v>
      </c>
      <c r="D1451" s="177"/>
      <c r="E1451" s="172" t="s">
        <v>337</v>
      </c>
      <c r="F1451" s="175">
        <f t="shared" si="123"/>
        <v>0</v>
      </c>
      <c r="G1451" s="174">
        <f>+F1451/F1466</f>
        <v>0</v>
      </c>
      <c r="H1451" s="170">
        <v>0</v>
      </c>
      <c r="I1451" s="171">
        <f>VLOOKUP(H1451,'RESUMEN RENDIMIENTOS'!$V$6:$W$158,2,FALSE)</f>
        <v>0</v>
      </c>
      <c r="J1451" s="177"/>
      <c r="K1451" s="172" t="s">
        <v>337</v>
      </c>
      <c r="L1451" s="175">
        <f t="shared" si="124"/>
        <v>0</v>
      </c>
      <c r="M1451" s="174">
        <f>+L1451/L1466</f>
        <v>0</v>
      </c>
      <c r="N1451" s="170">
        <v>0</v>
      </c>
      <c r="O1451" s="171">
        <f>VLOOKUP(N1451,'RESUMEN RENDIMIENTOS'!$V$6:$W$158,2,FALSE)</f>
        <v>0</v>
      </c>
      <c r="P1451" s="177"/>
      <c r="Q1451" s="172" t="s">
        <v>337</v>
      </c>
      <c r="R1451" s="175">
        <f t="shared" si="125"/>
        <v>0</v>
      </c>
      <c r="S1451" s="174">
        <f>+R1451/R1466</f>
        <v>0</v>
      </c>
    </row>
    <row r="1452" spans="2:19">
      <c r="B1452" s="170">
        <v>0</v>
      </c>
      <c r="C1452" s="171">
        <f>VLOOKUP(B1452,'RESUMEN RENDIMIENTOS'!$V$6:$W$158,2,FALSE)</f>
        <v>0</v>
      </c>
      <c r="D1452" s="177"/>
      <c r="E1452" s="172" t="s">
        <v>337</v>
      </c>
      <c r="F1452" s="175">
        <f t="shared" si="123"/>
        <v>0</v>
      </c>
      <c r="G1452" s="174">
        <f>+F1452/F1466</f>
        <v>0</v>
      </c>
      <c r="H1452" s="170">
        <v>0</v>
      </c>
      <c r="I1452" s="171">
        <f>VLOOKUP(H1452,'RESUMEN RENDIMIENTOS'!$V$6:$W$158,2,FALSE)</f>
        <v>0</v>
      </c>
      <c r="J1452" s="177"/>
      <c r="K1452" s="172" t="s">
        <v>337</v>
      </c>
      <c r="L1452" s="175">
        <f t="shared" si="124"/>
        <v>0</v>
      </c>
      <c r="M1452" s="174">
        <f>+L1452/L1466</f>
        <v>0</v>
      </c>
      <c r="N1452" s="170">
        <v>0</v>
      </c>
      <c r="O1452" s="171">
        <f>VLOOKUP(N1452,'RESUMEN RENDIMIENTOS'!$V$6:$W$158,2,FALSE)</f>
        <v>0</v>
      </c>
      <c r="P1452" s="177"/>
      <c r="Q1452" s="172" t="s">
        <v>337</v>
      </c>
      <c r="R1452" s="175">
        <f t="shared" si="125"/>
        <v>0</v>
      </c>
      <c r="S1452" s="174">
        <f>+R1452/R1466</f>
        <v>0</v>
      </c>
    </row>
    <row r="1453" spans="2:19">
      <c r="B1453" s="170">
        <v>0</v>
      </c>
      <c r="C1453" s="171">
        <f>VLOOKUP(B1453,'RESUMEN RENDIMIENTOS'!$V$6:$W$158,2,FALSE)</f>
        <v>0</v>
      </c>
      <c r="D1453" s="177"/>
      <c r="E1453" s="172" t="s">
        <v>337</v>
      </c>
      <c r="F1453" s="175">
        <f t="shared" si="123"/>
        <v>0</v>
      </c>
      <c r="G1453" s="174">
        <f>+F1453/F1466</f>
        <v>0</v>
      </c>
      <c r="H1453" s="170">
        <v>0</v>
      </c>
      <c r="I1453" s="171">
        <f>VLOOKUP(H1453,'RESUMEN RENDIMIENTOS'!$V$6:$W$158,2,FALSE)</f>
        <v>0</v>
      </c>
      <c r="J1453" s="177"/>
      <c r="K1453" s="172" t="s">
        <v>337</v>
      </c>
      <c r="L1453" s="175">
        <f t="shared" si="124"/>
        <v>0</v>
      </c>
      <c r="M1453" s="174">
        <f>+L1453/L1466</f>
        <v>0</v>
      </c>
      <c r="N1453" s="170">
        <v>0</v>
      </c>
      <c r="O1453" s="171">
        <f>VLOOKUP(N1453,'RESUMEN RENDIMIENTOS'!$V$6:$W$158,2,FALSE)</f>
        <v>0</v>
      </c>
      <c r="P1453" s="177"/>
      <c r="Q1453" s="172" t="s">
        <v>337</v>
      </c>
      <c r="R1453" s="175">
        <f t="shared" si="125"/>
        <v>0</v>
      </c>
      <c r="S1453" s="174">
        <f>+R1453/R1466</f>
        <v>0</v>
      </c>
    </row>
    <row r="1454" spans="2:19">
      <c r="B1454" s="170">
        <v>0</v>
      </c>
      <c r="C1454" s="171">
        <f>VLOOKUP(B1454,'RESUMEN RENDIMIENTOS'!$V$6:$W$158,2,FALSE)</f>
        <v>0</v>
      </c>
      <c r="D1454" s="177"/>
      <c r="E1454" s="172" t="s">
        <v>337</v>
      </c>
      <c r="F1454" s="175">
        <f t="shared" si="123"/>
        <v>0</v>
      </c>
      <c r="G1454" s="174">
        <f>+F1454/F1466</f>
        <v>0</v>
      </c>
      <c r="H1454" s="170">
        <v>0</v>
      </c>
      <c r="I1454" s="171">
        <f>VLOOKUP(H1454,'RESUMEN RENDIMIENTOS'!$V$6:$W$158,2,FALSE)</f>
        <v>0</v>
      </c>
      <c r="J1454" s="177"/>
      <c r="K1454" s="172" t="s">
        <v>337</v>
      </c>
      <c r="L1454" s="175">
        <f t="shared" si="124"/>
        <v>0</v>
      </c>
      <c r="M1454" s="174">
        <f>+L1454/L1466</f>
        <v>0</v>
      </c>
      <c r="N1454" s="170">
        <v>0</v>
      </c>
      <c r="O1454" s="171">
        <f>VLOOKUP(N1454,'RESUMEN RENDIMIENTOS'!$V$6:$W$158,2,FALSE)</f>
        <v>0</v>
      </c>
      <c r="P1454" s="177"/>
      <c r="Q1454" s="172" t="s">
        <v>337</v>
      </c>
      <c r="R1454" s="175">
        <f t="shared" si="125"/>
        <v>0</v>
      </c>
      <c r="S1454" s="174">
        <f>+R1454/R1466</f>
        <v>0</v>
      </c>
    </row>
    <row r="1455" spans="2:19">
      <c r="B1455" s="170">
        <v>0</v>
      </c>
      <c r="C1455" s="171">
        <f>VLOOKUP(B1455,'RESUMEN RENDIMIENTOS'!$V$6:$W$158,2,FALSE)</f>
        <v>0</v>
      </c>
      <c r="D1455" s="177"/>
      <c r="E1455" s="172" t="s">
        <v>337</v>
      </c>
      <c r="F1455" s="175">
        <f t="shared" si="123"/>
        <v>0</v>
      </c>
      <c r="G1455" s="174">
        <f>+F1455/F1466</f>
        <v>0</v>
      </c>
      <c r="H1455" s="170">
        <v>0</v>
      </c>
      <c r="I1455" s="171">
        <f>VLOOKUP(H1455,'RESUMEN RENDIMIENTOS'!$V$6:$W$158,2,FALSE)</f>
        <v>0</v>
      </c>
      <c r="J1455" s="177"/>
      <c r="K1455" s="172" t="s">
        <v>337</v>
      </c>
      <c r="L1455" s="175">
        <f t="shared" si="124"/>
        <v>0</v>
      </c>
      <c r="M1455" s="174">
        <f>+L1455/L1466</f>
        <v>0</v>
      </c>
      <c r="N1455" s="170">
        <v>0</v>
      </c>
      <c r="O1455" s="171">
        <f>VLOOKUP(N1455,'RESUMEN RENDIMIENTOS'!$V$6:$W$158,2,FALSE)</f>
        <v>0</v>
      </c>
      <c r="P1455" s="177"/>
      <c r="Q1455" s="172" t="s">
        <v>337</v>
      </c>
      <c r="R1455" s="175">
        <f t="shared" si="125"/>
        <v>0</v>
      </c>
      <c r="S1455" s="174">
        <f>+R1455/R1466</f>
        <v>0</v>
      </c>
    </row>
    <row r="1456" spans="2:19">
      <c r="B1456" s="170">
        <v>0</v>
      </c>
      <c r="C1456" s="171">
        <f>VLOOKUP(B1456,'RESUMEN RENDIMIENTOS'!$V$6:$W$158,2,FALSE)</f>
        <v>0</v>
      </c>
      <c r="D1456" s="177"/>
      <c r="E1456" s="172" t="s">
        <v>337</v>
      </c>
      <c r="F1456" s="175">
        <f t="shared" si="123"/>
        <v>0</v>
      </c>
      <c r="G1456" s="174">
        <f>+F1456/F1466</f>
        <v>0</v>
      </c>
      <c r="H1456" s="170">
        <v>0</v>
      </c>
      <c r="I1456" s="171">
        <f>VLOOKUP(H1456,'RESUMEN RENDIMIENTOS'!$V$6:$W$158,2,FALSE)</f>
        <v>0</v>
      </c>
      <c r="J1456" s="177"/>
      <c r="K1456" s="172" t="s">
        <v>337</v>
      </c>
      <c r="L1456" s="175">
        <f t="shared" si="124"/>
        <v>0</v>
      </c>
      <c r="M1456" s="174">
        <f>+L1456/L1466</f>
        <v>0</v>
      </c>
      <c r="N1456" s="170">
        <v>0</v>
      </c>
      <c r="O1456" s="171">
        <f>VLOOKUP(N1456,'RESUMEN RENDIMIENTOS'!$V$6:$W$158,2,FALSE)</f>
        <v>0</v>
      </c>
      <c r="P1456" s="177"/>
      <c r="Q1456" s="172" t="s">
        <v>337</v>
      </c>
      <c r="R1456" s="175">
        <f t="shared" si="125"/>
        <v>0</v>
      </c>
      <c r="S1456" s="174">
        <f>+R1456/R1466</f>
        <v>0</v>
      </c>
    </row>
    <row r="1457" spans="2:19">
      <c r="B1457" s="170">
        <v>0</v>
      </c>
      <c r="C1457" s="171">
        <f>VLOOKUP(B1457,'RESUMEN RENDIMIENTOS'!$V$6:$W$158,2,FALSE)</f>
        <v>0</v>
      </c>
      <c r="D1457" s="177"/>
      <c r="E1457" s="172" t="s">
        <v>337</v>
      </c>
      <c r="F1457" s="175">
        <f t="shared" si="123"/>
        <v>0</v>
      </c>
      <c r="G1457" s="174">
        <f>+F1457/F1466</f>
        <v>0</v>
      </c>
      <c r="H1457" s="170">
        <v>0</v>
      </c>
      <c r="I1457" s="171">
        <f>VLOOKUP(H1457,'RESUMEN RENDIMIENTOS'!$V$6:$W$158,2,FALSE)</f>
        <v>0</v>
      </c>
      <c r="J1457" s="177"/>
      <c r="K1457" s="172" t="s">
        <v>337</v>
      </c>
      <c r="L1457" s="175">
        <f t="shared" si="124"/>
        <v>0</v>
      </c>
      <c r="M1457" s="174">
        <f>+L1457/L1466</f>
        <v>0</v>
      </c>
      <c r="N1457" s="170">
        <v>0</v>
      </c>
      <c r="O1457" s="171">
        <f>VLOOKUP(N1457,'RESUMEN RENDIMIENTOS'!$V$6:$W$158,2,FALSE)</f>
        <v>0</v>
      </c>
      <c r="P1457" s="177"/>
      <c r="Q1457" s="172" t="s">
        <v>337</v>
      </c>
      <c r="R1457" s="175">
        <f t="shared" si="125"/>
        <v>0</v>
      </c>
      <c r="S1457" s="174">
        <f>+R1457/R1466</f>
        <v>0</v>
      </c>
    </row>
    <row r="1458" spans="2:19">
      <c r="B1458" s="170">
        <v>0</v>
      </c>
      <c r="C1458" s="171">
        <f>VLOOKUP(B1458,'RESUMEN RENDIMIENTOS'!$V$6:$W$158,2,FALSE)</f>
        <v>0</v>
      </c>
      <c r="D1458" s="177"/>
      <c r="E1458" s="172" t="s">
        <v>337</v>
      </c>
      <c r="F1458" s="175">
        <f t="shared" si="123"/>
        <v>0</v>
      </c>
      <c r="G1458" s="174">
        <f>+F1458/F1466</f>
        <v>0</v>
      </c>
      <c r="H1458" s="170">
        <v>0</v>
      </c>
      <c r="I1458" s="171">
        <f>VLOOKUP(H1458,'RESUMEN RENDIMIENTOS'!$V$6:$W$158,2,FALSE)</f>
        <v>0</v>
      </c>
      <c r="J1458" s="177"/>
      <c r="K1458" s="172" t="s">
        <v>337</v>
      </c>
      <c r="L1458" s="175">
        <f t="shared" si="124"/>
        <v>0</v>
      </c>
      <c r="M1458" s="174">
        <f>+L1458/L1466</f>
        <v>0</v>
      </c>
      <c r="N1458" s="170">
        <v>0</v>
      </c>
      <c r="O1458" s="171">
        <f>VLOOKUP(N1458,'RESUMEN RENDIMIENTOS'!$V$6:$W$158,2,FALSE)</f>
        <v>0</v>
      </c>
      <c r="P1458" s="177"/>
      <c r="Q1458" s="172" t="s">
        <v>337</v>
      </c>
      <c r="R1458" s="175">
        <f t="shared" si="125"/>
        <v>0</v>
      </c>
      <c r="S1458" s="174">
        <f>+R1458/R1466</f>
        <v>0</v>
      </c>
    </row>
    <row r="1459" spans="2:19">
      <c r="B1459" s="170">
        <v>0</v>
      </c>
      <c r="C1459" s="171">
        <f>VLOOKUP(B1459,'RESUMEN RENDIMIENTOS'!$V$6:$W$158,2,FALSE)</f>
        <v>0</v>
      </c>
      <c r="D1459" s="290"/>
      <c r="E1459" s="270" t="s">
        <v>337</v>
      </c>
      <c r="F1459" s="175">
        <f t="shared" si="123"/>
        <v>0</v>
      </c>
      <c r="G1459" s="174">
        <f>+F1459/F1466</f>
        <v>0</v>
      </c>
      <c r="H1459" s="170">
        <v>0</v>
      </c>
      <c r="I1459" s="171">
        <f>VLOOKUP(H1459,'RESUMEN RENDIMIENTOS'!$V$6:$W$158,2,FALSE)</f>
        <v>0</v>
      </c>
      <c r="J1459" s="177"/>
      <c r="K1459" s="172" t="s">
        <v>337</v>
      </c>
      <c r="L1459" s="175">
        <f t="shared" si="124"/>
        <v>0</v>
      </c>
      <c r="M1459" s="174">
        <f>+L1459/L1466</f>
        <v>0</v>
      </c>
      <c r="N1459" s="170">
        <v>0</v>
      </c>
      <c r="O1459" s="171">
        <f>VLOOKUP(N1459,'RESUMEN RENDIMIENTOS'!$V$6:$W$158,2,FALSE)</f>
        <v>0</v>
      </c>
      <c r="P1459" s="177"/>
      <c r="Q1459" s="172" t="s">
        <v>337</v>
      </c>
      <c r="R1459" s="175">
        <f t="shared" si="125"/>
        <v>0</v>
      </c>
      <c r="S1459" s="174">
        <f>+R1459/R1466</f>
        <v>0</v>
      </c>
    </row>
    <row r="1460" spans="2:19">
      <c r="B1460" s="170">
        <v>0</v>
      </c>
      <c r="C1460" s="171">
        <f>VLOOKUP(B1460,'RESUMEN RENDIMIENTOS'!$V$6:$W$158,2,FALSE)</f>
        <v>0</v>
      </c>
      <c r="D1460" s="290"/>
      <c r="E1460" s="172" t="s">
        <v>337</v>
      </c>
      <c r="F1460" s="175">
        <f t="shared" si="123"/>
        <v>0</v>
      </c>
      <c r="G1460" s="174">
        <f>+F1460/F1466</f>
        <v>0</v>
      </c>
      <c r="H1460" s="170">
        <v>0</v>
      </c>
      <c r="I1460" s="171">
        <f>VLOOKUP(H1460,'RESUMEN RENDIMIENTOS'!$V$6:$W$158,2,FALSE)</f>
        <v>0</v>
      </c>
      <c r="J1460" s="177"/>
      <c r="K1460" s="172" t="s">
        <v>337</v>
      </c>
      <c r="L1460" s="175">
        <f t="shared" si="124"/>
        <v>0</v>
      </c>
      <c r="M1460" s="174">
        <f>+L1460/L1466</f>
        <v>0</v>
      </c>
      <c r="N1460" s="170">
        <v>0</v>
      </c>
      <c r="O1460" s="171">
        <f>VLOOKUP(N1460,'RESUMEN RENDIMIENTOS'!$V$6:$W$158,2,FALSE)</f>
        <v>0</v>
      </c>
      <c r="P1460" s="177"/>
      <c r="Q1460" s="172" t="s">
        <v>337</v>
      </c>
      <c r="R1460" s="175">
        <f t="shared" si="125"/>
        <v>0</v>
      </c>
      <c r="S1460" s="174">
        <f>+R1460/R1466</f>
        <v>0</v>
      </c>
    </row>
    <row r="1461" spans="2:19">
      <c r="B1461" s="170">
        <v>0</v>
      </c>
      <c r="C1461" s="171">
        <f>VLOOKUP(B1461,'RESUMEN RENDIMIENTOS'!$V$6:$W$158,2,FALSE)</f>
        <v>0</v>
      </c>
      <c r="D1461" s="290"/>
      <c r="E1461" s="172" t="s">
        <v>337</v>
      </c>
      <c r="F1461" s="175">
        <f t="shared" si="123"/>
        <v>0</v>
      </c>
      <c r="G1461" s="174">
        <f>+F1461/F1466</f>
        <v>0</v>
      </c>
      <c r="H1461" s="170">
        <v>0</v>
      </c>
      <c r="I1461" s="171">
        <f>VLOOKUP(H1461,'RESUMEN RENDIMIENTOS'!$V$6:$W$158,2,FALSE)</f>
        <v>0</v>
      </c>
      <c r="J1461" s="177"/>
      <c r="K1461" s="172" t="s">
        <v>337</v>
      </c>
      <c r="L1461" s="175">
        <f t="shared" si="124"/>
        <v>0</v>
      </c>
      <c r="M1461" s="174">
        <f>+L1461/L1466</f>
        <v>0</v>
      </c>
      <c r="N1461" s="170">
        <v>0</v>
      </c>
      <c r="O1461" s="171">
        <f>VLOOKUP(N1461,'RESUMEN RENDIMIENTOS'!$V$6:$W$158,2,FALSE)</f>
        <v>0</v>
      </c>
      <c r="P1461" s="177"/>
      <c r="Q1461" s="172" t="s">
        <v>337</v>
      </c>
      <c r="R1461" s="175">
        <f t="shared" si="125"/>
        <v>0</v>
      </c>
      <c r="S1461" s="174">
        <f>+R1461/R1466</f>
        <v>0</v>
      </c>
    </row>
    <row r="1462" spans="2:19">
      <c r="B1462" s="170">
        <v>0</v>
      </c>
      <c r="C1462" s="171">
        <f>VLOOKUP(B1462,'RESUMEN RENDIMIENTOS'!$V$6:$W$158,2,FALSE)</f>
        <v>0</v>
      </c>
      <c r="D1462" s="177"/>
      <c r="E1462" s="172" t="s">
        <v>337</v>
      </c>
      <c r="F1462" s="175">
        <f t="shared" si="123"/>
        <v>0</v>
      </c>
      <c r="G1462" s="174">
        <f>+F1462/F1466</f>
        <v>0</v>
      </c>
      <c r="H1462" s="170">
        <v>0</v>
      </c>
      <c r="I1462" s="171">
        <f>VLOOKUP(H1462,'RESUMEN RENDIMIENTOS'!$V$6:$W$158,2,FALSE)</f>
        <v>0</v>
      </c>
      <c r="J1462" s="177"/>
      <c r="K1462" s="172" t="s">
        <v>337</v>
      </c>
      <c r="L1462" s="175">
        <f t="shared" si="124"/>
        <v>0</v>
      </c>
      <c r="M1462" s="174">
        <f>+L1462/L1466</f>
        <v>0</v>
      </c>
      <c r="N1462" s="170">
        <v>0</v>
      </c>
      <c r="O1462" s="171">
        <f>VLOOKUP(N1462,'RESUMEN RENDIMIENTOS'!$V$6:$W$158,2,FALSE)</f>
        <v>0</v>
      </c>
      <c r="P1462" s="177"/>
      <c r="Q1462" s="172" t="s">
        <v>337</v>
      </c>
      <c r="R1462" s="175">
        <f t="shared" si="125"/>
        <v>0</v>
      </c>
      <c r="S1462" s="174">
        <f>+R1462/R1466</f>
        <v>0</v>
      </c>
    </row>
    <row r="1463" spans="2:19">
      <c r="B1463" s="170">
        <v>0</v>
      </c>
      <c r="C1463" s="171">
        <f>VLOOKUP(B1463,'RESUMEN RENDIMIENTOS'!$V$6:$W$158,2,FALSE)</f>
        <v>0</v>
      </c>
      <c r="D1463" s="177"/>
      <c r="E1463" s="172" t="s">
        <v>337</v>
      </c>
      <c r="F1463" s="175">
        <f t="shared" si="123"/>
        <v>0</v>
      </c>
      <c r="G1463" s="174">
        <f>+F1463/F1466</f>
        <v>0</v>
      </c>
      <c r="H1463" s="170">
        <v>0</v>
      </c>
      <c r="I1463" s="171">
        <f>VLOOKUP(H1463,'RESUMEN RENDIMIENTOS'!$V$6:$W$158,2,FALSE)</f>
        <v>0</v>
      </c>
      <c r="J1463" s="177"/>
      <c r="K1463" s="172" t="s">
        <v>337</v>
      </c>
      <c r="L1463" s="175">
        <f t="shared" si="124"/>
        <v>0</v>
      </c>
      <c r="M1463" s="174">
        <f>+L1463/L1466</f>
        <v>0</v>
      </c>
      <c r="N1463" s="170">
        <v>0</v>
      </c>
      <c r="O1463" s="171">
        <f>VLOOKUP(N1463,'RESUMEN RENDIMIENTOS'!$V$6:$W$158,2,FALSE)</f>
        <v>0</v>
      </c>
      <c r="P1463" s="177"/>
      <c r="Q1463" s="172" t="s">
        <v>337</v>
      </c>
      <c r="R1463" s="175">
        <f t="shared" si="125"/>
        <v>0</v>
      </c>
      <c r="S1463" s="174">
        <f>+R1463/R1466</f>
        <v>0</v>
      </c>
    </row>
    <row r="1464" spans="2:19">
      <c r="B1464" s="170">
        <v>0</v>
      </c>
      <c r="C1464" s="171">
        <f>VLOOKUP(B1464,'RESUMEN RENDIMIENTOS'!$V$6:$W$158,2,FALSE)</f>
        <v>0</v>
      </c>
      <c r="D1464" s="177"/>
      <c r="E1464" s="172" t="s">
        <v>337</v>
      </c>
      <c r="F1464" s="175">
        <f t="shared" si="123"/>
        <v>0</v>
      </c>
      <c r="G1464" s="174">
        <f>+F1464/F1466</f>
        <v>0</v>
      </c>
      <c r="H1464" s="170">
        <v>0</v>
      </c>
      <c r="I1464" s="171">
        <f>VLOOKUP(H1464,'RESUMEN RENDIMIENTOS'!$V$6:$W$158,2,FALSE)</f>
        <v>0</v>
      </c>
      <c r="J1464" s="177"/>
      <c r="K1464" s="172" t="s">
        <v>337</v>
      </c>
      <c r="L1464" s="175">
        <f t="shared" si="124"/>
        <v>0</v>
      </c>
      <c r="M1464" s="174">
        <f>+L1464/L1466</f>
        <v>0</v>
      </c>
      <c r="N1464" s="170">
        <v>0</v>
      </c>
      <c r="O1464" s="171">
        <f>VLOOKUP(N1464,'RESUMEN RENDIMIENTOS'!$V$6:$W$158,2,FALSE)</f>
        <v>0</v>
      </c>
      <c r="P1464" s="177"/>
      <c r="Q1464" s="172" t="s">
        <v>337</v>
      </c>
      <c r="R1464" s="175">
        <f t="shared" si="125"/>
        <v>0</v>
      </c>
      <c r="S1464" s="174">
        <f>+R1464/R1466</f>
        <v>0</v>
      </c>
    </row>
    <row r="1465" spans="2:19">
      <c r="B1465" s="170">
        <v>0</v>
      </c>
      <c r="C1465" s="171">
        <f>VLOOKUP(B1465,'RESUMEN RENDIMIENTOS'!$V$6:$W$158,2,FALSE)</f>
        <v>0</v>
      </c>
      <c r="D1465" s="177"/>
      <c r="E1465" s="172" t="s">
        <v>337</v>
      </c>
      <c r="F1465" s="175">
        <f t="shared" si="123"/>
        <v>0</v>
      </c>
      <c r="G1465" s="174">
        <f>+F1465/F1466</f>
        <v>0</v>
      </c>
      <c r="H1465" s="170">
        <v>0</v>
      </c>
      <c r="I1465" s="171">
        <f>VLOOKUP(H1465,'RESUMEN RENDIMIENTOS'!$V$6:$W$158,2,FALSE)</f>
        <v>0</v>
      </c>
      <c r="J1465" s="177"/>
      <c r="K1465" s="172" t="s">
        <v>337</v>
      </c>
      <c r="L1465" s="175">
        <f t="shared" si="124"/>
        <v>0</v>
      </c>
      <c r="M1465" s="174">
        <f>+L1465/L1466</f>
        <v>0</v>
      </c>
      <c r="N1465" s="170">
        <v>0</v>
      </c>
      <c r="O1465" s="171">
        <f>VLOOKUP(N1465,'RESUMEN RENDIMIENTOS'!$V$6:$W$158,2,FALSE)</f>
        <v>0</v>
      </c>
      <c r="P1465" s="177"/>
      <c r="Q1465" s="172" t="s">
        <v>337</v>
      </c>
      <c r="R1465" s="175">
        <f t="shared" si="125"/>
        <v>0</v>
      </c>
      <c r="S1465" s="174">
        <f>+R1465/R1466</f>
        <v>0</v>
      </c>
    </row>
    <row r="1466" spans="2:19" ht="26.25" customHeight="1" thickBot="1">
      <c r="B1466" s="178"/>
      <c r="E1466" s="90"/>
      <c r="F1466" s="173">
        <f>SUM(F1450:F1465)</f>
        <v>7.1428571428571425E-2</v>
      </c>
      <c r="G1466" s="181">
        <f>+F1466/F1466</f>
        <v>1</v>
      </c>
      <c r="H1466" s="178"/>
      <c r="I1466" s="179"/>
      <c r="J1466" s="182" t="s">
        <v>24</v>
      </c>
      <c r="K1466" s="90"/>
      <c r="L1466" s="173">
        <f>SUM(L1450:L1465)</f>
        <v>7.1428571428571425E-2</v>
      </c>
      <c r="M1466" s="181">
        <f>+L1466/L1466</f>
        <v>1</v>
      </c>
      <c r="N1466" s="178"/>
      <c r="O1466" s="179"/>
      <c r="Q1466" s="90"/>
      <c r="R1466" s="175">
        <f>SUM(R1450:R1465)</f>
        <v>7.1428571428571425E-2</v>
      </c>
      <c r="S1466" s="181">
        <f>+R1466/R1466</f>
        <v>1</v>
      </c>
    </row>
    <row r="1467" spans="2:19" ht="18" customHeight="1">
      <c r="B1467" s="427" t="s">
        <v>317</v>
      </c>
      <c r="C1467" s="428"/>
      <c r="D1467" s="429"/>
      <c r="E1467" s="185">
        <v>0.12</v>
      </c>
      <c r="F1467" s="173">
        <f>+F1466*E1467</f>
        <v>8.5714285714285701E-3</v>
      </c>
      <c r="H1467" s="427" t="s">
        <v>317</v>
      </c>
      <c r="I1467" s="428"/>
      <c r="J1467" s="429"/>
      <c r="K1467" s="185">
        <v>0.12</v>
      </c>
      <c r="L1467" s="173">
        <f>+L1466*K1467</f>
        <v>8.5714285714285701E-3</v>
      </c>
      <c r="N1467" s="427" t="s">
        <v>317</v>
      </c>
      <c r="O1467" s="428"/>
      <c r="P1467" s="429"/>
      <c r="Q1467" s="185">
        <v>0.12</v>
      </c>
      <c r="R1467" s="175">
        <f>+R1466*Q1467</f>
        <v>8.5714285714285701E-3</v>
      </c>
    </row>
    <row r="1468" spans="2:19" ht="18" customHeight="1">
      <c r="B1468" s="178"/>
      <c r="F1468" s="173">
        <f>+F1467+F1466</f>
        <v>7.9999999999999988E-2</v>
      </c>
      <c r="G1468" s="187">
        <f>+F1468/24</f>
        <v>3.3333333333333327E-3</v>
      </c>
      <c r="H1468" s="178"/>
      <c r="I1468" s="179"/>
      <c r="K1468" s="88"/>
      <c r="L1468" s="173">
        <f>+L1467+L1466</f>
        <v>7.9999999999999988E-2</v>
      </c>
      <c r="M1468" s="187">
        <f>+L1468/24</f>
        <v>3.3333333333333327E-3</v>
      </c>
      <c r="N1468" s="178"/>
      <c r="O1468" s="179"/>
      <c r="R1468" s="175">
        <f>+R1467+R1466</f>
        <v>7.9999999999999988E-2</v>
      </c>
      <c r="S1468" s="187">
        <f>+R1468/24</f>
        <v>3.3333333333333327E-3</v>
      </c>
    </row>
    <row r="1469" spans="2:19">
      <c r="B1469" s="178"/>
      <c r="D1469" s="188"/>
      <c r="F1469" s="189"/>
      <c r="H1469" s="178"/>
      <c r="I1469" s="179"/>
      <c r="J1469" s="188"/>
      <c r="K1469" s="88"/>
      <c r="L1469" s="189"/>
      <c r="N1469" s="178"/>
      <c r="O1469" s="179"/>
      <c r="P1469" s="188"/>
      <c r="R1469" s="189"/>
    </row>
    <row r="1470" spans="2:19" ht="21">
      <c r="B1470" s="191" t="s">
        <v>318</v>
      </c>
      <c r="C1470" s="192"/>
      <c r="D1470" s="192"/>
      <c r="E1470" s="444">
        <f>IF(F1468=0,0,(100/F1468))</f>
        <v>1250.0000000000002</v>
      </c>
      <c r="F1470" s="445"/>
      <c r="H1470" s="191" t="s">
        <v>318</v>
      </c>
      <c r="I1470" s="192"/>
      <c r="J1470" s="192"/>
      <c r="K1470" s="444">
        <f>IF(L1468=0,0,(100/L1468))</f>
        <v>1250.0000000000002</v>
      </c>
      <c r="L1470" s="445"/>
      <c r="N1470" s="191" t="s">
        <v>318</v>
      </c>
      <c r="O1470" s="192"/>
      <c r="P1470" s="192"/>
      <c r="Q1470" s="444">
        <f>IF(R1468=0,0,(100/R1468))</f>
        <v>1250.0000000000002</v>
      </c>
      <c r="R1470" s="445"/>
    </row>
    <row r="1471" spans="2:19">
      <c r="B1471" s="178"/>
      <c r="H1471" s="178"/>
      <c r="I1471" s="179"/>
      <c r="K1471" s="88"/>
      <c r="L1471" s="189"/>
      <c r="N1471" s="178"/>
      <c r="O1471" s="179"/>
      <c r="R1471" s="189"/>
    </row>
    <row r="1472" spans="2:19" ht="21">
      <c r="B1472" s="446" t="s">
        <v>319</v>
      </c>
      <c r="C1472" s="447"/>
      <c r="D1472" s="447"/>
      <c r="E1472" s="447"/>
      <c r="F1472" s="448"/>
      <c r="H1472" s="446" t="s">
        <v>319</v>
      </c>
      <c r="I1472" s="447"/>
      <c r="J1472" s="447"/>
      <c r="K1472" s="447"/>
      <c r="L1472" s="448"/>
      <c r="N1472" s="446" t="s">
        <v>319</v>
      </c>
      <c r="O1472" s="447"/>
      <c r="P1472" s="447"/>
      <c r="Q1472" s="447"/>
      <c r="R1472" s="448"/>
    </row>
    <row r="1473" spans="2:19" ht="18" customHeight="1">
      <c r="B1473" s="194" t="s">
        <v>320</v>
      </c>
      <c r="C1473" s="195"/>
      <c r="D1473" s="435" t="s">
        <v>321</v>
      </c>
      <c r="E1473" s="435"/>
      <c r="F1473" s="196" t="s">
        <v>322</v>
      </c>
      <c r="H1473" s="194" t="s">
        <v>320</v>
      </c>
      <c r="I1473" s="195"/>
      <c r="J1473" s="435" t="s">
        <v>321</v>
      </c>
      <c r="K1473" s="435"/>
      <c r="L1473" s="196" t="s">
        <v>322</v>
      </c>
      <c r="N1473" s="194" t="s">
        <v>320</v>
      </c>
      <c r="O1473" s="195"/>
      <c r="P1473" s="435" t="s">
        <v>321</v>
      </c>
      <c r="Q1473" s="435"/>
      <c r="R1473" s="196" t="s">
        <v>322</v>
      </c>
    </row>
    <row r="1474" spans="2:19">
      <c r="B1474" s="197" t="s">
        <v>278</v>
      </c>
      <c r="C1474" s="201">
        <v>1</v>
      </c>
      <c r="E1474" s="199">
        <f>IF(C1474=0,0,(VLOOKUP(B1474,'RESUMEN RENDIMIENTOS'!$AB$6:$AO$64,13,FALSE)))*C1474</f>
        <v>0.75</v>
      </c>
      <c r="F1474" s="200">
        <f>IF(C1474=0,0,(VLOOKUP(B1474,'RESUMEN RENDIMIENTOS'!$AB$6:$AO$64,14,FALSE)))*C1474</f>
        <v>1.0285714285714287E-2</v>
      </c>
      <c r="H1474" s="197" t="s">
        <v>278</v>
      </c>
      <c r="I1474" s="201">
        <v>1</v>
      </c>
      <c r="K1474" s="199">
        <f>IF(I1474=0,0,(VLOOKUP(H1474,'RESUMEN RENDIMIENTOS'!$AB$6:$AO$64,13,FALSE)))*I1474</f>
        <v>0.75</v>
      </c>
      <c r="L1474" s="200">
        <f>IF(I1474=0,0,(VLOOKUP(H1474,'RESUMEN RENDIMIENTOS'!$AB$6:$AO$64,14,FALSE)))*I1474</f>
        <v>1.0285714285714287E-2</v>
      </c>
      <c r="N1474" s="197" t="s">
        <v>278</v>
      </c>
      <c r="O1474" s="198">
        <v>1</v>
      </c>
      <c r="Q1474" s="199">
        <f>IF(O1474=0,0,(VLOOKUP(N1474,'RESUMEN RENDIMIENTOS'!$AB$6:$AO$64,13,FALSE)))*O1474</f>
        <v>0.75</v>
      </c>
      <c r="R1474" s="200">
        <f>IF(O1474=0,0,(VLOOKUP(N1474,'RESUMEN RENDIMIENTOS'!$AB$6:$AO$64,14,FALSE)))*O1474</f>
        <v>1.0285714285714287E-2</v>
      </c>
    </row>
    <row r="1475" spans="2:19">
      <c r="B1475" s="197" t="s">
        <v>279</v>
      </c>
      <c r="C1475" s="201">
        <v>1</v>
      </c>
      <c r="E1475" s="199">
        <f>IF(C1475=0,0,(VLOOKUP(B1475,'RESUMEN RENDIMIENTOS'!$AB$6:$AO$64,13,FALSE)))*C1475</f>
        <v>2</v>
      </c>
      <c r="F1475" s="200">
        <f>IF(C1475=0,0,(VLOOKUP(B1475,'RESUMEN RENDIMIENTOS'!$AB$6:$AO$64,14,FALSE)))*C1475</f>
        <v>9.5999999999999988E-2</v>
      </c>
      <c r="H1475" s="197" t="s">
        <v>279</v>
      </c>
      <c r="I1475" s="201">
        <v>1</v>
      </c>
      <c r="K1475" s="199">
        <f>IF(I1475=0,0,(VLOOKUP(H1475,'RESUMEN RENDIMIENTOS'!$AB$6:$AO$64,13,FALSE)))*I1475</f>
        <v>2</v>
      </c>
      <c r="L1475" s="200">
        <f>IF(I1475=0,0,(VLOOKUP(H1475,'RESUMEN RENDIMIENTOS'!$AB$6:$AO$64,14,FALSE)))*I1475</f>
        <v>9.5999999999999988E-2</v>
      </c>
      <c r="N1475" s="197" t="s">
        <v>279</v>
      </c>
      <c r="O1475" s="198">
        <v>1</v>
      </c>
      <c r="Q1475" s="199">
        <f>IF(O1475=0,0,(VLOOKUP(N1475,'RESUMEN RENDIMIENTOS'!$AB$6:$AO$64,13,FALSE)))*O1475</f>
        <v>2</v>
      </c>
      <c r="R1475" s="200">
        <f>IF(O1475=0,0,(VLOOKUP(N1475,'RESUMEN RENDIMIENTOS'!$AB$6:$AO$64,14,FALSE)))*O1475</f>
        <v>9.5999999999999988E-2</v>
      </c>
    </row>
    <row r="1476" spans="2:19">
      <c r="B1476" s="197" t="s">
        <v>284</v>
      </c>
      <c r="C1476" s="201">
        <v>0.25</v>
      </c>
      <c r="E1476" s="199">
        <f>IF(C1476=0,0,(VLOOKUP(B1476,'RESUMEN RENDIMIENTOS'!$AB$6:$AO$64,13,FALSE)))*C1476</f>
        <v>0.52500000000000002</v>
      </c>
      <c r="F1476" s="200">
        <f>IF(C1476=0,0,(VLOOKUP(B1476,'RESUMEN RENDIMIENTOS'!$AB$6:$AO$64,14,FALSE)))*C1476</f>
        <v>4.2000000000000003E-2</v>
      </c>
      <c r="H1476" s="197" t="s">
        <v>284</v>
      </c>
      <c r="I1476" s="201">
        <v>0.25</v>
      </c>
      <c r="K1476" s="199">
        <f>IF(I1476=0,0,(VLOOKUP(H1476,'RESUMEN RENDIMIENTOS'!$AB$6:$AO$64,13,FALSE)))*I1476</f>
        <v>0.52500000000000002</v>
      </c>
      <c r="L1476" s="200">
        <f>IF(I1476=0,0,(VLOOKUP(H1476,'RESUMEN RENDIMIENTOS'!$AB$6:$AO$64,14,FALSE)))*I1476</f>
        <v>4.2000000000000003E-2</v>
      </c>
      <c r="N1476" s="197" t="s">
        <v>284</v>
      </c>
      <c r="O1476" s="198">
        <v>0.25</v>
      </c>
      <c r="Q1476" s="199">
        <f>IF(O1476=0,0,(VLOOKUP(N1476,'RESUMEN RENDIMIENTOS'!$AB$6:$AO$64,13,FALSE)))*O1476</f>
        <v>0.52500000000000002</v>
      </c>
      <c r="R1476" s="200">
        <f>IF(O1476=0,0,(VLOOKUP(N1476,'RESUMEN RENDIMIENTOS'!$AB$6:$AO$64,14,FALSE)))*O1476</f>
        <v>4.2000000000000003E-2</v>
      </c>
    </row>
    <row r="1477" spans="2:19">
      <c r="B1477" s="197" t="s">
        <v>283</v>
      </c>
      <c r="C1477" s="201">
        <v>1</v>
      </c>
      <c r="E1477" s="199">
        <f>IF(C1477=0,0,(VLOOKUP(B1477,'RESUMEN RENDIMIENTOS'!$AB$6:$AO$64,13,FALSE)))*C1477</f>
        <v>1.59</v>
      </c>
      <c r="F1477" s="200">
        <f>IF(C1477=0,0,(VLOOKUP(B1477,'RESUMEN RENDIMIENTOS'!$AB$6:$AO$64,14,FALSE)))*C1477</f>
        <v>0.12720000000000001</v>
      </c>
      <c r="H1477" s="197" t="s">
        <v>283</v>
      </c>
      <c r="I1477" s="201">
        <v>1</v>
      </c>
      <c r="K1477" s="199">
        <f>IF(I1477=0,0,(VLOOKUP(H1477,'RESUMEN RENDIMIENTOS'!$AB$6:$AO$64,13,FALSE)))*I1477</f>
        <v>1.59</v>
      </c>
      <c r="L1477" s="200">
        <f>IF(I1477=0,0,(VLOOKUP(H1477,'RESUMEN RENDIMIENTOS'!$AB$6:$AO$64,14,FALSE)))*I1477</f>
        <v>0.12720000000000001</v>
      </c>
      <c r="N1477" s="197" t="s">
        <v>283</v>
      </c>
      <c r="O1477" s="198">
        <v>1</v>
      </c>
      <c r="Q1477" s="199">
        <f>IF(O1477=0,0,(VLOOKUP(N1477,'RESUMEN RENDIMIENTOS'!$AB$6:$AO$64,13,FALSE)))*O1477</f>
        <v>1.59</v>
      </c>
      <c r="R1477" s="200">
        <f>IF(O1477=0,0,(VLOOKUP(N1477,'RESUMEN RENDIMIENTOS'!$AB$6:$AO$64,14,FALSE)))*O1477</f>
        <v>0.12720000000000001</v>
      </c>
    </row>
    <row r="1478" spans="2:19">
      <c r="B1478" s="197" t="s">
        <v>282</v>
      </c>
      <c r="C1478" s="201">
        <v>1</v>
      </c>
      <c r="E1478" s="199">
        <f>IF(C1478=0,0,(VLOOKUP(B1478,'RESUMEN RENDIMIENTOS'!$AB$6:$AO$64,13,FALSE)))*C1478</f>
        <v>2.62</v>
      </c>
      <c r="F1478" s="200">
        <f>IF(C1478=0,0,(VLOOKUP(B1478,'RESUMEN RENDIMIENTOS'!$AB$6:$AO$64,14,FALSE)))*C1478</f>
        <v>6.986666666666666E-2</v>
      </c>
      <c r="H1478" s="197" t="s">
        <v>282</v>
      </c>
      <c r="I1478" s="201">
        <v>1</v>
      </c>
      <c r="K1478" s="199">
        <f>IF(I1478=0,0,(VLOOKUP(H1478,'RESUMEN RENDIMIENTOS'!$AB$6:$AO$64,13,FALSE)))*I1478</f>
        <v>2.62</v>
      </c>
      <c r="L1478" s="200">
        <f>IF(I1478=0,0,(VLOOKUP(H1478,'RESUMEN RENDIMIENTOS'!$AB$6:$AO$64,14,FALSE)))*I1478</f>
        <v>6.986666666666666E-2</v>
      </c>
      <c r="N1478" s="197" t="s">
        <v>282</v>
      </c>
      <c r="O1478" s="198">
        <v>1</v>
      </c>
      <c r="Q1478" s="199">
        <f>IF(O1478=0,0,(VLOOKUP(N1478,'RESUMEN RENDIMIENTOS'!$AB$6:$AO$64,13,FALSE)))*O1478</f>
        <v>2.62</v>
      </c>
      <c r="R1478" s="200">
        <f>IF(O1478=0,0,(VLOOKUP(N1478,'RESUMEN RENDIMIENTOS'!$AB$6:$AO$64,14,FALSE)))*O1478</f>
        <v>6.986666666666666E-2</v>
      </c>
    </row>
    <row r="1479" spans="2:19">
      <c r="B1479" s="197" t="s">
        <v>302</v>
      </c>
      <c r="C1479" s="201">
        <v>1</v>
      </c>
      <c r="E1479" s="199">
        <f>IF(C1479=0,0,(VLOOKUP(B1479,'RESUMEN RENDIMIENTOS'!$AB$6:$AO$64,13,FALSE)))*C1479</f>
        <v>1</v>
      </c>
      <c r="F1479" s="200">
        <f>IF(C1479=0,0,(VLOOKUP(B1479,'RESUMEN RENDIMIENTOS'!$AB$6:$AO$64,14,FALSE)))*C1479</f>
        <v>0.2</v>
      </c>
      <c r="H1479" s="197" t="s">
        <v>302</v>
      </c>
      <c r="I1479" s="201">
        <v>1</v>
      </c>
      <c r="K1479" s="199">
        <f>IF(I1479=0,0,(VLOOKUP(H1479,'RESUMEN RENDIMIENTOS'!$AB$6:$AO$64,13,FALSE)))*I1479</f>
        <v>1</v>
      </c>
      <c r="L1479" s="200">
        <f>IF(I1479=0,0,(VLOOKUP(H1479,'RESUMEN RENDIMIENTOS'!$AB$6:$AO$64,14,FALSE)))*I1479</f>
        <v>0.2</v>
      </c>
      <c r="N1479" s="197" t="s">
        <v>302</v>
      </c>
      <c r="O1479" s="198">
        <v>1</v>
      </c>
      <c r="Q1479" s="199">
        <f>IF(O1479=0,0,(VLOOKUP(N1479,'RESUMEN RENDIMIENTOS'!$AB$6:$AO$64,13,FALSE)))*O1479</f>
        <v>1</v>
      </c>
      <c r="R1479" s="200">
        <f>IF(O1479=0,0,(VLOOKUP(N1479,'RESUMEN RENDIMIENTOS'!$AB$6:$AO$64,14,FALSE)))*O1479</f>
        <v>0.2</v>
      </c>
    </row>
    <row r="1480" spans="2:19">
      <c r="B1480" s="202"/>
      <c r="F1480" s="204">
        <f>SUM(F1474:F1479)</f>
        <v>0.54535238095238103</v>
      </c>
      <c r="G1480" s="205">
        <f>+F1480</f>
        <v>0.54535238095238103</v>
      </c>
      <c r="H1480" s="202"/>
      <c r="I1480" s="179"/>
      <c r="K1480" s="88"/>
      <c r="L1480" s="206">
        <f>SUM(L1474:L1479)</f>
        <v>0.54535238095238103</v>
      </c>
      <c r="M1480" s="205">
        <f>+L1480</f>
        <v>0.54535238095238103</v>
      </c>
      <c r="N1480" s="202"/>
      <c r="O1480" s="179"/>
      <c r="R1480" s="206">
        <f>SUM(R1474:R1479)</f>
        <v>0.54535238095238103</v>
      </c>
      <c r="S1480" s="205">
        <f>+R1480</f>
        <v>0.54535238095238103</v>
      </c>
    </row>
    <row r="1481" spans="2:19">
      <c r="B1481" s="436" t="s">
        <v>324</v>
      </c>
      <c r="C1481" s="437"/>
      <c r="D1481" s="437"/>
      <c r="E1481" s="437"/>
      <c r="F1481" s="437"/>
      <c r="G1481" s="205"/>
      <c r="H1481" s="436" t="s">
        <v>324</v>
      </c>
      <c r="I1481" s="437"/>
      <c r="J1481" s="437"/>
      <c r="K1481" s="437"/>
      <c r="L1481" s="455"/>
      <c r="M1481" s="205"/>
      <c r="N1481" s="436" t="s">
        <v>324</v>
      </c>
      <c r="O1481" s="437"/>
      <c r="P1481" s="437"/>
      <c r="Q1481" s="437"/>
      <c r="R1481" s="455"/>
      <c r="S1481" s="205"/>
    </row>
    <row r="1482" spans="2:19">
      <c r="B1482" s="210" t="s">
        <v>325</v>
      </c>
      <c r="C1482" s="211">
        <v>1</v>
      </c>
      <c r="D1482" s="212">
        <v>21.712335174960327</v>
      </c>
      <c r="E1482" s="213">
        <f>F1468</f>
        <v>7.9999999999999988E-2</v>
      </c>
      <c r="F1482" s="214">
        <f>+IF(C1482&gt;="",0,(D1482*E1482))</f>
        <v>1.7369868139968259</v>
      </c>
      <c r="G1482" s="215"/>
      <c r="H1482" s="210" t="s">
        <v>325</v>
      </c>
      <c r="I1482" s="211">
        <v>1</v>
      </c>
      <c r="J1482" s="212">
        <v>21.712335174960327</v>
      </c>
      <c r="K1482" s="213">
        <f>L1468</f>
        <v>7.9999999999999988E-2</v>
      </c>
      <c r="L1482" s="216">
        <f>+IF(I1482&gt;="",0,(J1482*K1482))</f>
        <v>1.7369868139968259</v>
      </c>
      <c r="M1482" s="215"/>
      <c r="N1482" s="210" t="s">
        <v>325</v>
      </c>
      <c r="O1482" s="211">
        <v>1</v>
      </c>
      <c r="P1482" s="212">
        <v>21.712335174960327</v>
      </c>
      <c r="Q1482" s="213">
        <f>R1468</f>
        <v>7.9999999999999988E-2</v>
      </c>
      <c r="R1482" s="214">
        <f>+IF(O1482&gt;="",0,(P1482*Q1482))</f>
        <v>1.7369868139968259</v>
      </c>
      <c r="S1482" s="215"/>
    </row>
    <row r="1483" spans="2:19">
      <c r="B1483" s="210" t="s">
        <v>326</v>
      </c>
      <c r="C1483" s="211"/>
      <c r="D1483" s="212">
        <f>+D1482*25%</f>
        <v>5.4280837937400817</v>
      </c>
      <c r="E1483" s="213">
        <f>F1468</f>
        <v>7.9999999999999988E-2</v>
      </c>
      <c r="F1483" s="214">
        <f>+IF(C1483= "",0,(D1483*E1483))</f>
        <v>0</v>
      </c>
      <c r="G1483" s="215"/>
      <c r="H1483" s="210" t="s">
        <v>326</v>
      </c>
      <c r="I1483" s="211"/>
      <c r="J1483" s="212">
        <f>+J1482*25%</f>
        <v>5.4280837937400817</v>
      </c>
      <c r="K1483" s="213">
        <f>L1468</f>
        <v>7.9999999999999988E-2</v>
      </c>
      <c r="L1483" s="216">
        <f>+IF(I1483= "",0,(J1483*K1483))</f>
        <v>0</v>
      </c>
      <c r="M1483" s="215"/>
      <c r="N1483" s="210" t="s">
        <v>326</v>
      </c>
      <c r="O1483" s="211"/>
      <c r="P1483" s="212">
        <f>+P1482*25%</f>
        <v>5.4280837937400817</v>
      </c>
      <c r="Q1483" s="213">
        <f>R1468</f>
        <v>7.9999999999999988E-2</v>
      </c>
      <c r="R1483" s="214">
        <f>+IF(O1483= "",0,(P1483*Q1483))</f>
        <v>0</v>
      </c>
      <c r="S1483" s="215"/>
    </row>
    <row r="1484" spans="2:19">
      <c r="B1484" s="210" t="s">
        <v>327</v>
      </c>
      <c r="C1484" s="211"/>
      <c r="D1484" s="212">
        <f>+D1482*50%</f>
        <v>10.856167587480163</v>
      </c>
      <c r="E1484" s="213">
        <f>F1468</f>
        <v>7.9999999999999988E-2</v>
      </c>
      <c r="F1484" s="214">
        <f>+IF(C1484= "",0,(D1484*E1484))</f>
        <v>0</v>
      </c>
      <c r="G1484" s="215"/>
      <c r="H1484" s="210" t="s">
        <v>327</v>
      </c>
      <c r="I1484" s="211"/>
      <c r="J1484" s="212">
        <f>+J1482*50%</f>
        <v>10.856167587480163</v>
      </c>
      <c r="K1484" s="213">
        <f>L1468</f>
        <v>7.9999999999999988E-2</v>
      </c>
      <c r="L1484" s="216">
        <f>+IF(I1484= "",0,(J1484*K1484))</f>
        <v>0</v>
      </c>
      <c r="M1484" s="215"/>
      <c r="N1484" s="210" t="s">
        <v>327</v>
      </c>
      <c r="O1484" s="211"/>
      <c r="P1484" s="212">
        <f>+P1482*50%</f>
        <v>10.856167587480163</v>
      </c>
      <c r="Q1484" s="213">
        <f>R1468</f>
        <v>7.9999999999999988E-2</v>
      </c>
      <c r="R1484" s="214">
        <f>+IF(O1484= "",0,(P1484*Q1484))</f>
        <v>0</v>
      </c>
      <c r="S1484" s="215"/>
    </row>
    <row r="1485" spans="2:19">
      <c r="B1485" s="202"/>
      <c r="F1485" s="217">
        <f>SUM(F1482:F1484)</f>
        <v>1.7369868139968259</v>
      </c>
      <c r="G1485" s="218"/>
      <c r="H1485" s="202"/>
      <c r="I1485" s="179"/>
      <c r="K1485" s="88"/>
      <c r="L1485" s="219">
        <f>SUM(L1482:L1484)</f>
        <v>1.7369868139968259</v>
      </c>
      <c r="M1485" s="218"/>
      <c r="N1485" s="202"/>
      <c r="O1485" s="179"/>
      <c r="R1485" s="217">
        <f>SUM(R1482:R1484)</f>
        <v>1.7369868139968259</v>
      </c>
      <c r="S1485" s="218"/>
    </row>
    <row r="1486" spans="2:19">
      <c r="B1486" s="202"/>
      <c r="G1486" s="220"/>
      <c r="H1486" s="202"/>
      <c r="I1486" s="179"/>
      <c r="K1486" s="88"/>
      <c r="L1486" s="189"/>
      <c r="M1486" s="220"/>
      <c r="N1486" s="202"/>
      <c r="O1486" s="179"/>
      <c r="R1486" s="189"/>
      <c r="S1486" s="220"/>
    </row>
    <row r="1487" spans="2:19" ht="21">
      <c r="B1487" s="438" t="s">
        <v>328</v>
      </c>
      <c r="C1487" s="439"/>
      <c r="D1487" s="439"/>
      <c r="E1487" s="440"/>
      <c r="F1487" s="221">
        <f>+F1480+F1485</f>
        <v>2.2823391949492069</v>
      </c>
      <c r="G1487" s="205">
        <f>+F1487</f>
        <v>2.2823391949492069</v>
      </c>
      <c r="H1487" s="438" t="s">
        <v>328</v>
      </c>
      <c r="I1487" s="439"/>
      <c r="J1487" s="439"/>
      <c r="K1487" s="440"/>
      <c r="L1487" s="225">
        <f>+L1480+L1485</f>
        <v>2.2823391949492069</v>
      </c>
      <c r="M1487" s="205">
        <f>+L1487</f>
        <v>2.2823391949492069</v>
      </c>
      <c r="N1487" s="438" t="s">
        <v>328</v>
      </c>
      <c r="O1487" s="439"/>
      <c r="P1487" s="439"/>
      <c r="Q1487" s="440"/>
      <c r="R1487" s="225">
        <f>+R1480+R1485</f>
        <v>2.2823391949492069</v>
      </c>
      <c r="S1487" s="205">
        <f>+R1487</f>
        <v>2.2823391949492069</v>
      </c>
    </row>
    <row r="1488" spans="2:19">
      <c r="B1488" s="202"/>
      <c r="G1488" s="205"/>
      <c r="H1488" s="202"/>
      <c r="I1488" s="179"/>
      <c r="K1488" s="88"/>
      <c r="L1488" s="189"/>
      <c r="M1488" s="205"/>
      <c r="N1488" s="202"/>
      <c r="O1488" s="179"/>
      <c r="R1488" s="189"/>
      <c r="S1488" s="205"/>
    </row>
    <row r="1489" spans="2:19" ht="19">
      <c r="B1489" s="441" t="s">
        <v>329</v>
      </c>
      <c r="C1489" s="442"/>
      <c r="D1489" s="442"/>
      <c r="E1489" s="443"/>
      <c r="F1489" s="226">
        <f>+F1487/$C$37</f>
        <v>2.282339194949207E-2</v>
      </c>
      <c r="G1489" s="205"/>
      <c r="H1489" s="441" t="s">
        <v>329</v>
      </c>
      <c r="I1489" s="442"/>
      <c r="J1489" s="442"/>
      <c r="K1489" s="443"/>
      <c r="L1489" s="230">
        <f>+L1487/$C$37</f>
        <v>2.282339194949207E-2</v>
      </c>
      <c r="M1489" s="205"/>
      <c r="N1489" s="441" t="s">
        <v>329</v>
      </c>
      <c r="O1489" s="442"/>
      <c r="P1489" s="442"/>
      <c r="Q1489" s="443"/>
      <c r="R1489" s="230">
        <f>+R1487/$C$37</f>
        <v>2.282339194949207E-2</v>
      </c>
      <c r="S1489" s="205"/>
    </row>
    <row r="1490" spans="2:19" ht="17" thickBot="1">
      <c r="B1490" s="231"/>
      <c r="C1490" s="232"/>
      <c r="D1490" s="233"/>
      <c r="E1490" s="233"/>
      <c r="F1490" s="233"/>
      <c r="G1490" s="205"/>
      <c r="H1490" s="231"/>
      <c r="I1490" s="232"/>
      <c r="J1490" s="233"/>
      <c r="K1490" s="233"/>
      <c r="L1490" s="234"/>
      <c r="M1490" s="205"/>
      <c r="N1490" s="231"/>
      <c r="O1490" s="232"/>
      <c r="P1490" s="233"/>
      <c r="Q1490" s="233"/>
      <c r="R1490" s="234"/>
      <c r="S1490" s="205"/>
    </row>
  </sheetData>
  <dataConsolidate link="1"/>
  <mergeCells count="826">
    <mergeCell ref="B1487:E1487"/>
    <mergeCell ref="H1487:K1487"/>
    <mergeCell ref="N1487:Q1487"/>
    <mergeCell ref="B1489:E1489"/>
    <mergeCell ref="H1489:K1489"/>
    <mergeCell ref="N1489:Q1489"/>
    <mergeCell ref="D1473:E1473"/>
    <mergeCell ref="J1473:K1473"/>
    <mergeCell ref="P1473:Q1473"/>
    <mergeCell ref="B1481:F1481"/>
    <mergeCell ref="H1481:L1481"/>
    <mergeCell ref="N1481:R1481"/>
    <mergeCell ref="E1470:F1470"/>
    <mergeCell ref="K1470:L1470"/>
    <mergeCell ref="Q1470:R1470"/>
    <mergeCell ref="B1472:F1472"/>
    <mergeCell ref="H1472:L1472"/>
    <mergeCell ref="N1472:R1472"/>
    <mergeCell ref="B1447:R1447"/>
    <mergeCell ref="C1448:F1448"/>
    <mergeCell ref="I1448:L1448"/>
    <mergeCell ref="O1448:R1448"/>
    <mergeCell ref="B1467:D1467"/>
    <mergeCell ref="H1467:J1467"/>
    <mergeCell ref="N1467:P1467"/>
    <mergeCell ref="B1443:E1443"/>
    <mergeCell ref="H1443:K1443"/>
    <mergeCell ref="N1443:Q1443"/>
    <mergeCell ref="B1445:E1445"/>
    <mergeCell ref="H1445:K1445"/>
    <mergeCell ref="N1445:Q1445"/>
    <mergeCell ref="D1429:E1429"/>
    <mergeCell ref="J1429:K1429"/>
    <mergeCell ref="P1429:Q1429"/>
    <mergeCell ref="B1437:F1437"/>
    <mergeCell ref="H1437:L1437"/>
    <mergeCell ref="N1437:R1437"/>
    <mergeCell ref="E1426:F1426"/>
    <mergeCell ref="K1426:L1426"/>
    <mergeCell ref="Q1426:R1426"/>
    <mergeCell ref="B1428:F1428"/>
    <mergeCell ref="H1428:L1428"/>
    <mergeCell ref="N1428:R1428"/>
    <mergeCell ref="B1403:R1403"/>
    <mergeCell ref="C1404:F1404"/>
    <mergeCell ref="I1404:L1404"/>
    <mergeCell ref="O1404:R1404"/>
    <mergeCell ref="B1423:D1423"/>
    <mergeCell ref="H1423:J1423"/>
    <mergeCell ref="N1423:P1423"/>
    <mergeCell ref="B1399:E1399"/>
    <mergeCell ref="H1399:K1399"/>
    <mergeCell ref="N1399:Q1399"/>
    <mergeCell ref="B1401:E1401"/>
    <mergeCell ref="H1401:K1401"/>
    <mergeCell ref="N1401:Q1401"/>
    <mergeCell ref="D1385:E1385"/>
    <mergeCell ref="J1385:K1385"/>
    <mergeCell ref="P1385:Q1385"/>
    <mergeCell ref="B1393:F1393"/>
    <mergeCell ref="H1393:L1393"/>
    <mergeCell ref="N1393:R1393"/>
    <mergeCell ref="E1382:F1382"/>
    <mergeCell ref="K1382:L1382"/>
    <mergeCell ref="Q1382:R1382"/>
    <mergeCell ref="B1384:F1384"/>
    <mergeCell ref="H1384:L1384"/>
    <mergeCell ref="N1384:R1384"/>
    <mergeCell ref="B1359:R1359"/>
    <mergeCell ref="C1360:F1360"/>
    <mergeCell ref="I1360:L1360"/>
    <mergeCell ref="O1360:R1360"/>
    <mergeCell ref="B1379:D1379"/>
    <mergeCell ref="H1379:J1379"/>
    <mergeCell ref="N1379:P1379"/>
    <mergeCell ref="B1355:E1355"/>
    <mergeCell ref="H1355:K1355"/>
    <mergeCell ref="N1355:Q1355"/>
    <mergeCell ref="B1357:E1357"/>
    <mergeCell ref="H1357:K1357"/>
    <mergeCell ref="N1357:Q1357"/>
    <mergeCell ref="D1341:E1341"/>
    <mergeCell ref="J1341:K1341"/>
    <mergeCell ref="P1341:Q1341"/>
    <mergeCell ref="B1349:F1349"/>
    <mergeCell ref="H1349:L1349"/>
    <mergeCell ref="N1349:R1349"/>
    <mergeCell ref="E1338:F1338"/>
    <mergeCell ref="K1338:L1338"/>
    <mergeCell ref="Q1338:R1338"/>
    <mergeCell ref="B1340:F1340"/>
    <mergeCell ref="H1340:L1340"/>
    <mergeCell ref="N1340:R1340"/>
    <mergeCell ref="B1315:R1315"/>
    <mergeCell ref="C1316:F1316"/>
    <mergeCell ref="I1316:L1316"/>
    <mergeCell ref="O1316:R1316"/>
    <mergeCell ref="B1335:D1335"/>
    <mergeCell ref="H1335:J1335"/>
    <mergeCell ref="N1335:P1335"/>
    <mergeCell ref="B1311:E1311"/>
    <mergeCell ref="H1311:K1311"/>
    <mergeCell ref="N1311:Q1311"/>
    <mergeCell ref="B1313:E1313"/>
    <mergeCell ref="H1313:K1313"/>
    <mergeCell ref="N1313:Q1313"/>
    <mergeCell ref="D1297:E1297"/>
    <mergeCell ref="J1297:K1297"/>
    <mergeCell ref="P1297:Q1297"/>
    <mergeCell ref="B1305:F1305"/>
    <mergeCell ref="H1305:L1305"/>
    <mergeCell ref="N1305:R1305"/>
    <mergeCell ref="E1294:F1294"/>
    <mergeCell ref="K1294:L1294"/>
    <mergeCell ref="Q1294:R1294"/>
    <mergeCell ref="B1296:F1296"/>
    <mergeCell ref="H1296:L1296"/>
    <mergeCell ref="N1296:R1296"/>
    <mergeCell ref="B1271:R1271"/>
    <mergeCell ref="C1272:F1272"/>
    <mergeCell ref="I1272:L1272"/>
    <mergeCell ref="O1272:R1272"/>
    <mergeCell ref="B1291:D1291"/>
    <mergeCell ref="H1291:J1291"/>
    <mergeCell ref="N1291:P1291"/>
    <mergeCell ref="B1267:E1267"/>
    <mergeCell ref="H1267:K1267"/>
    <mergeCell ref="N1267:Q1267"/>
    <mergeCell ref="B1269:E1269"/>
    <mergeCell ref="H1269:K1269"/>
    <mergeCell ref="N1269:Q1269"/>
    <mergeCell ref="D1253:E1253"/>
    <mergeCell ref="J1253:K1253"/>
    <mergeCell ref="P1253:Q1253"/>
    <mergeCell ref="B1261:F1261"/>
    <mergeCell ref="H1261:L1261"/>
    <mergeCell ref="N1261:R1261"/>
    <mergeCell ref="E1250:F1250"/>
    <mergeCell ref="K1250:L1250"/>
    <mergeCell ref="Q1250:R1250"/>
    <mergeCell ref="B1252:F1252"/>
    <mergeCell ref="H1252:L1252"/>
    <mergeCell ref="N1252:R1252"/>
    <mergeCell ref="B1227:R1227"/>
    <mergeCell ref="C1228:F1228"/>
    <mergeCell ref="I1228:L1228"/>
    <mergeCell ref="O1228:R1228"/>
    <mergeCell ref="B1247:D1247"/>
    <mergeCell ref="H1247:J1247"/>
    <mergeCell ref="N1247:P1247"/>
    <mergeCell ref="B1223:E1223"/>
    <mergeCell ref="H1223:K1223"/>
    <mergeCell ref="N1223:Q1223"/>
    <mergeCell ref="B1225:E1225"/>
    <mergeCell ref="H1225:K1225"/>
    <mergeCell ref="N1225:Q1225"/>
    <mergeCell ref="D1209:E1209"/>
    <mergeCell ref="J1209:K1209"/>
    <mergeCell ref="P1209:Q1209"/>
    <mergeCell ref="B1217:F1217"/>
    <mergeCell ref="H1217:L1217"/>
    <mergeCell ref="N1217:R1217"/>
    <mergeCell ref="E1206:F1206"/>
    <mergeCell ref="K1206:L1206"/>
    <mergeCell ref="Q1206:R1206"/>
    <mergeCell ref="B1208:F1208"/>
    <mergeCell ref="H1208:L1208"/>
    <mergeCell ref="N1208:R1208"/>
    <mergeCell ref="B1183:R1183"/>
    <mergeCell ref="C1184:F1184"/>
    <mergeCell ref="I1184:L1184"/>
    <mergeCell ref="O1184:R1184"/>
    <mergeCell ref="B1203:D1203"/>
    <mergeCell ref="H1203:J1203"/>
    <mergeCell ref="N1203:P1203"/>
    <mergeCell ref="B1179:E1179"/>
    <mergeCell ref="H1179:K1179"/>
    <mergeCell ref="N1179:Q1179"/>
    <mergeCell ref="B1181:E1181"/>
    <mergeCell ref="H1181:K1181"/>
    <mergeCell ref="N1181:Q1181"/>
    <mergeCell ref="D1165:E1165"/>
    <mergeCell ref="J1165:K1165"/>
    <mergeCell ref="P1165:Q1165"/>
    <mergeCell ref="B1173:F1173"/>
    <mergeCell ref="H1173:L1173"/>
    <mergeCell ref="N1173:R1173"/>
    <mergeCell ref="E1162:F1162"/>
    <mergeCell ref="K1162:L1162"/>
    <mergeCell ref="Q1162:R1162"/>
    <mergeCell ref="B1164:F1164"/>
    <mergeCell ref="H1164:L1164"/>
    <mergeCell ref="N1164:R1164"/>
    <mergeCell ref="B1139:R1139"/>
    <mergeCell ref="C1140:F1140"/>
    <mergeCell ref="I1140:L1140"/>
    <mergeCell ref="O1140:R1140"/>
    <mergeCell ref="B1159:D1159"/>
    <mergeCell ref="H1159:J1159"/>
    <mergeCell ref="N1159:P1159"/>
    <mergeCell ref="B1135:E1135"/>
    <mergeCell ref="H1135:K1135"/>
    <mergeCell ref="N1135:Q1135"/>
    <mergeCell ref="B1137:E1137"/>
    <mergeCell ref="H1137:K1137"/>
    <mergeCell ref="N1137:Q1137"/>
    <mergeCell ref="D1121:E1121"/>
    <mergeCell ref="J1121:K1121"/>
    <mergeCell ref="P1121:Q1121"/>
    <mergeCell ref="B1129:F1129"/>
    <mergeCell ref="H1129:L1129"/>
    <mergeCell ref="N1129:R1129"/>
    <mergeCell ref="E1118:F1118"/>
    <mergeCell ref="K1118:L1118"/>
    <mergeCell ref="Q1118:R1118"/>
    <mergeCell ref="B1120:F1120"/>
    <mergeCell ref="H1120:L1120"/>
    <mergeCell ref="N1120:R1120"/>
    <mergeCell ref="B1095:R1095"/>
    <mergeCell ref="C1096:F1096"/>
    <mergeCell ref="I1096:L1096"/>
    <mergeCell ref="O1096:R1096"/>
    <mergeCell ref="B1115:D1115"/>
    <mergeCell ref="H1115:J1115"/>
    <mergeCell ref="N1115:P1115"/>
    <mergeCell ref="B1091:E1091"/>
    <mergeCell ref="H1091:K1091"/>
    <mergeCell ref="N1091:Q1091"/>
    <mergeCell ref="B1093:E1093"/>
    <mergeCell ref="H1093:K1093"/>
    <mergeCell ref="N1093:Q1093"/>
    <mergeCell ref="D1077:E1077"/>
    <mergeCell ref="J1077:K1077"/>
    <mergeCell ref="P1077:Q1077"/>
    <mergeCell ref="B1085:F1085"/>
    <mergeCell ref="H1085:L1085"/>
    <mergeCell ref="N1085:R1085"/>
    <mergeCell ref="E1074:F1074"/>
    <mergeCell ref="K1074:L1074"/>
    <mergeCell ref="Q1074:R1074"/>
    <mergeCell ref="B1076:F1076"/>
    <mergeCell ref="H1076:L1076"/>
    <mergeCell ref="N1076:R1076"/>
    <mergeCell ref="B1051:R1051"/>
    <mergeCell ref="C1052:F1052"/>
    <mergeCell ref="I1052:L1052"/>
    <mergeCell ref="O1052:Q1052"/>
    <mergeCell ref="B1071:D1071"/>
    <mergeCell ref="H1071:J1071"/>
    <mergeCell ref="N1071:P1071"/>
    <mergeCell ref="B1047:E1047"/>
    <mergeCell ref="H1047:K1047"/>
    <mergeCell ref="N1047:Q1047"/>
    <mergeCell ref="B1049:E1049"/>
    <mergeCell ref="H1049:K1049"/>
    <mergeCell ref="N1049:Q1049"/>
    <mergeCell ref="D1033:E1033"/>
    <mergeCell ref="J1033:K1033"/>
    <mergeCell ref="P1033:Q1033"/>
    <mergeCell ref="B1041:F1041"/>
    <mergeCell ref="H1041:L1041"/>
    <mergeCell ref="N1041:R1041"/>
    <mergeCell ref="E1030:F1030"/>
    <mergeCell ref="K1030:L1030"/>
    <mergeCell ref="Q1030:R1030"/>
    <mergeCell ref="B1032:F1032"/>
    <mergeCell ref="H1032:L1032"/>
    <mergeCell ref="N1032:R1032"/>
    <mergeCell ref="B1007:R1007"/>
    <mergeCell ref="C1008:F1008"/>
    <mergeCell ref="I1008:K1008"/>
    <mergeCell ref="O1008:R1008"/>
    <mergeCell ref="B1027:D1027"/>
    <mergeCell ref="H1027:J1027"/>
    <mergeCell ref="N1027:P1027"/>
    <mergeCell ref="B1003:E1003"/>
    <mergeCell ref="H1003:K1003"/>
    <mergeCell ref="N1003:Q1003"/>
    <mergeCell ref="B1005:E1005"/>
    <mergeCell ref="H1005:K1005"/>
    <mergeCell ref="N1005:Q1005"/>
    <mergeCell ref="D989:E989"/>
    <mergeCell ref="J989:K989"/>
    <mergeCell ref="P989:Q989"/>
    <mergeCell ref="B997:F997"/>
    <mergeCell ref="H997:L997"/>
    <mergeCell ref="N997:R997"/>
    <mergeCell ref="E986:F986"/>
    <mergeCell ref="K986:L986"/>
    <mergeCell ref="Q986:R986"/>
    <mergeCell ref="B988:F988"/>
    <mergeCell ref="H988:L988"/>
    <mergeCell ref="N988:R988"/>
    <mergeCell ref="B963:R963"/>
    <mergeCell ref="C964:F964"/>
    <mergeCell ref="I964:L964"/>
    <mergeCell ref="O964:R964"/>
    <mergeCell ref="B983:D983"/>
    <mergeCell ref="H983:J983"/>
    <mergeCell ref="N983:P983"/>
    <mergeCell ref="B959:E959"/>
    <mergeCell ref="H959:K959"/>
    <mergeCell ref="N959:Q959"/>
    <mergeCell ref="B961:E961"/>
    <mergeCell ref="H961:K961"/>
    <mergeCell ref="N961:Q961"/>
    <mergeCell ref="D945:E945"/>
    <mergeCell ref="J945:K945"/>
    <mergeCell ref="P945:Q945"/>
    <mergeCell ref="B953:F953"/>
    <mergeCell ref="H953:L953"/>
    <mergeCell ref="N953:R953"/>
    <mergeCell ref="E942:F942"/>
    <mergeCell ref="K942:L942"/>
    <mergeCell ref="Q942:R942"/>
    <mergeCell ref="B944:F944"/>
    <mergeCell ref="H944:L944"/>
    <mergeCell ref="N944:R944"/>
    <mergeCell ref="B919:R919"/>
    <mergeCell ref="C920:F920"/>
    <mergeCell ref="I920:L920"/>
    <mergeCell ref="O920:R920"/>
    <mergeCell ref="B939:D939"/>
    <mergeCell ref="H939:J939"/>
    <mergeCell ref="N939:P939"/>
    <mergeCell ref="B915:E915"/>
    <mergeCell ref="H915:K915"/>
    <mergeCell ref="N915:Q915"/>
    <mergeCell ref="B917:E917"/>
    <mergeCell ref="H917:K917"/>
    <mergeCell ref="N917:Q917"/>
    <mergeCell ref="D901:E901"/>
    <mergeCell ref="J901:K901"/>
    <mergeCell ref="P901:Q901"/>
    <mergeCell ref="B909:F909"/>
    <mergeCell ref="H909:L909"/>
    <mergeCell ref="N909:R909"/>
    <mergeCell ref="E898:F898"/>
    <mergeCell ref="K898:L898"/>
    <mergeCell ref="Q898:R898"/>
    <mergeCell ref="B900:F900"/>
    <mergeCell ref="H900:L900"/>
    <mergeCell ref="N900:R900"/>
    <mergeCell ref="B875:R875"/>
    <mergeCell ref="C876:F876"/>
    <mergeCell ref="I876:L876"/>
    <mergeCell ref="O876:R876"/>
    <mergeCell ref="B895:D895"/>
    <mergeCell ref="H895:J895"/>
    <mergeCell ref="N895:P895"/>
    <mergeCell ref="B871:E871"/>
    <mergeCell ref="H871:K871"/>
    <mergeCell ref="N871:Q871"/>
    <mergeCell ref="B873:E873"/>
    <mergeCell ref="H873:K873"/>
    <mergeCell ref="N873:Q873"/>
    <mergeCell ref="D857:E857"/>
    <mergeCell ref="J857:K857"/>
    <mergeCell ref="P857:Q857"/>
    <mergeCell ref="B865:F865"/>
    <mergeCell ref="H865:L865"/>
    <mergeCell ref="N865:R865"/>
    <mergeCell ref="E854:F854"/>
    <mergeCell ref="K854:L854"/>
    <mergeCell ref="Q854:R854"/>
    <mergeCell ref="B856:F856"/>
    <mergeCell ref="H856:L856"/>
    <mergeCell ref="N856:R856"/>
    <mergeCell ref="B831:R831"/>
    <mergeCell ref="C832:F832"/>
    <mergeCell ref="I832:L832"/>
    <mergeCell ref="O832:R832"/>
    <mergeCell ref="B851:D851"/>
    <mergeCell ref="H851:J851"/>
    <mergeCell ref="N851:P851"/>
    <mergeCell ref="B827:E827"/>
    <mergeCell ref="H827:K827"/>
    <mergeCell ref="N827:Q827"/>
    <mergeCell ref="B829:E829"/>
    <mergeCell ref="H829:K829"/>
    <mergeCell ref="N829:Q829"/>
    <mergeCell ref="D813:E813"/>
    <mergeCell ref="J813:K813"/>
    <mergeCell ref="P813:Q813"/>
    <mergeCell ref="B821:F821"/>
    <mergeCell ref="H821:L821"/>
    <mergeCell ref="N821:R821"/>
    <mergeCell ref="E810:F810"/>
    <mergeCell ref="K810:L810"/>
    <mergeCell ref="Q810:R810"/>
    <mergeCell ref="B812:F812"/>
    <mergeCell ref="H812:L812"/>
    <mergeCell ref="N812:R812"/>
    <mergeCell ref="B787:R787"/>
    <mergeCell ref="C788:F788"/>
    <mergeCell ref="I788:K788"/>
    <mergeCell ref="O788:Q788"/>
    <mergeCell ref="B807:D807"/>
    <mergeCell ref="H807:J807"/>
    <mergeCell ref="N807:P807"/>
    <mergeCell ref="B783:E783"/>
    <mergeCell ref="H783:K783"/>
    <mergeCell ref="N783:Q783"/>
    <mergeCell ref="B785:E785"/>
    <mergeCell ref="H785:K785"/>
    <mergeCell ref="N785:Q785"/>
    <mergeCell ref="D769:E769"/>
    <mergeCell ref="J769:K769"/>
    <mergeCell ref="P769:Q769"/>
    <mergeCell ref="B777:F777"/>
    <mergeCell ref="H777:L777"/>
    <mergeCell ref="N777:R777"/>
    <mergeCell ref="E766:F766"/>
    <mergeCell ref="K766:L766"/>
    <mergeCell ref="Q766:R766"/>
    <mergeCell ref="B768:F768"/>
    <mergeCell ref="H768:L768"/>
    <mergeCell ref="N768:R768"/>
    <mergeCell ref="B743:R743"/>
    <mergeCell ref="C744:F744"/>
    <mergeCell ref="I744:L744"/>
    <mergeCell ref="O744:R744"/>
    <mergeCell ref="B763:D763"/>
    <mergeCell ref="H763:J763"/>
    <mergeCell ref="N763:P763"/>
    <mergeCell ref="B739:E739"/>
    <mergeCell ref="H739:K739"/>
    <mergeCell ref="N739:Q739"/>
    <mergeCell ref="B741:E741"/>
    <mergeCell ref="H741:K741"/>
    <mergeCell ref="N741:Q741"/>
    <mergeCell ref="D725:E725"/>
    <mergeCell ref="J725:K725"/>
    <mergeCell ref="P725:Q725"/>
    <mergeCell ref="B733:F733"/>
    <mergeCell ref="H733:L733"/>
    <mergeCell ref="N733:R733"/>
    <mergeCell ref="E722:F722"/>
    <mergeCell ref="K722:L722"/>
    <mergeCell ref="Q722:R722"/>
    <mergeCell ref="B724:F724"/>
    <mergeCell ref="H724:L724"/>
    <mergeCell ref="N724:R724"/>
    <mergeCell ref="B699:R699"/>
    <mergeCell ref="C700:F700"/>
    <mergeCell ref="I700:L700"/>
    <mergeCell ref="O700:R700"/>
    <mergeCell ref="B719:D719"/>
    <mergeCell ref="H719:J719"/>
    <mergeCell ref="N719:P719"/>
    <mergeCell ref="B695:E695"/>
    <mergeCell ref="H695:K695"/>
    <mergeCell ref="N695:Q695"/>
    <mergeCell ref="B697:E697"/>
    <mergeCell ref="H697:K697"/>
    <mergeCell ref="N697:Q697"/>
    <mergeCell ref="D681:E681"/>
    <mergeCell ref="J681:K681"/>
    <mergeCell ref="P681:Q681"/>
    <mergeCell ref="B689:F689"/>
    <mergeCell ref="H689:L689"/>
    <mergeCell ref="N689:R689"/>
    <mergeCell ref="E678:F678"/>
    <mergeCell ref="K678:L678"/>
    <mergeCell ref="Q678:R678"/>
    <mergeCell ref="B680:F680"/>
    <mergeCell ref="H680:L680"/>
    <mergeCell ref="N680:R680"/>
    <mergeCell ref="B655:R655"/>
    <mergeCell ref="C656:F656"/>
    <mergeCell ref="I656:L656"/>
    <mergeCell ref="O656:R656"/>
    <mergeCell ref="B675:D675"/>
    <mergeCell ref="H675:J675"/>
    <mergeCell ref="N675:P675"/>
    <mergeCell ref="B651:E651"/>
    <mergeCell ref="H651:K651"/>
    <mergeCell ref="N651:Q651"/>
    <mergeCell ref="B653:E653"/>
    <mergeCell ref="H653:K653"/>
    <mergeCell ref="N653:Q653"/>
    <mergeCell ref="D637:E637"/>
    <mergeCell ref="J637:K637"/>
    <mergeCell ref="P637:Q637"/>
    <mergeCell ref="B645:F645"/>
    <mergeCell ref="H645:L645"/>
    <mergeCell ref="N645:R645"/>
    <mergeCell ref="E634:F634"/>
    <mergeCell ref="K634:L634"/>
    <mergeCell ref="Q634:R634"/>
    <mergeCell ref="B636:F636"/>
    <mergeCell ref="H636:L636"/>
    <mergeCell ref="N636:R636"/>
    <mergeCell ref="B611:R611"/>
    <mergeCell ref="C612:E612"/>
    <mergeCell ref="I612:L612"/>
    <mergeCell ref="O612:R612"/>
    <mergeCell ref="B631:D631"/>
    <mergeCell ref="H631:J631"/>
    <mergeCell ref="N631:P631"/>
    <mergeCell ref="B607:E607"/>
    <mergeCell ref="H607:K607"/>
    <mergeCell ref="N607:Q607"/>
    <mergeCell ref="B609:E609"/>
    <mergeCell ref="H609:K609"/>
    <mergeCell ref="N609:Q609"/>
    <mergeCell ref="D593:E593"/>
    <mergeCell ref="J593:K593"/>
    <mergeCell ref="P593:Q593"/>
    <mergeCell ref="B601:F601"/>
    <mergeCell ref="H601:L601"/>
    <mergeCell ref="N601:R601"/>
    <mergeCell ref="E590:F590"/>
    <mergeCell ref="K590:L590"/>
    <mergeCell ref="Q590:R590"/>
    <mergeCell ref="B592:F592"/>
    <mergeCell ref="H592:L592"/>
    <mergeCell ref="N592:R592"/>
    <mergeCell ref="B567:R567"/>
    <mergeCell ref="C568:E568"/>
    <mergeCell ref="I568:K568"/>
    <mergeCell ref="O568:Q568"/>
    <mergeCell ref="B587:D587"/>
    <mergeCell ref="H587:J587"/>
    <mergeCell ref="N587:P587"/>
    <mergeCell ref="B563:E563"/>
    <mergeCell ref="H563:K563"/>
    <mergeCell ref="N563:Q563"/>
    <mergeCell ref="B565:E565"/>
    <mergeCell ref="H565:K565"/>
    <mergeCell ref="N565:Q565"/>
    <mergeCell ref="D549:E549"/>
    <mergeCell ref="J549:K549"/>
    <mergeCell ref="P549:Q549"/>
    <mergeCell ref="B557:F557"/>
    <mergeCell ref="H557:L557"/>
    <mergeCell ref="N557:R557"/>
    <mergeCell ref="E546:F546"/>
    <mergeCell ref="K546:L546"/>
    <mergeCell ref="Q546:R546"/>
    <mergeCell ref="B548:F548"/>
    <mergeCell ref="H548:L548"/>
    <mergeCell ref="N548:R548"/>
    <mergeCell ref="B523:R523"/>
    <mergeCell ref="C524:E524"/>
    <mergeCell ref="I524:K524"/>
    <mergeCell ref="O524:Q524"/>
    <mergeCell ref="B543:D543"/>
    <mergeCell ref="H543:J543"/>
    <mergeCell ref="N543:P543"/>
    <mergeCell ref="B519:E519"/>
    <mergeCell ref="H519:K519"/>
    <mergeCell ref="N519:Q519"/>
    <mergeCell ref="B521:E521"/>
    <mergeCell ref="H521:K521"/>
    <mergeCell ref="N521:Q521"/>
    <mergeCell ref="D505:E505"/>
    <mergeCell ref="J505:K505"/>
    <mergeCell ref="P505:Q505"/>
    <mergeCell ref="B513:F513"/>
    <mergeCell ref="H513:L513"/>
    <mergeCell ref="N513:R513"/>
    <mergeCell ref="E502:F502"/>
    <mergeCell ref="K502:L502"/>
    <mergeCell ref="Q502:R502"/>
    <mergeCell ref="B504:F504"/>
    <mergeCell ref="H504:L504"/>
    <mergeCell ref="N504:R504"/>
    <mergeCell ref="B479:R479"/>
    <mergeCell ref="C480:E480"/>
    <mergeCell ref="I480:K480"/>
    <mergeCell ref="O480:Q480"/>
    <mergeCell ref="B499:D499"/>
    <mergeCell ref="H499:J499"/>
    <mergeCell ref="N499:P499"/>
    <mergeCell ref="B475:E475"/>
    <mergeCell ref="H475:K475"/>
    <mergeCell ref="N475:Q475"/>
    <mergeCell ref="B477:E477"/>
    <mergeCell ref="H477:K477"/>
    <mergeCell ref="N477:Q477"/>
    <mergeCell ref="D461:E461"/>
    <mergeCell ref="J461:K461"/>
    <mergeCell ref="P461:Q461"/>
    <mergeCell ref="B469:F469"/>
    <mergeCell ref="H469:L469"/>
    <mergeCell ref="N469:R469"/>
    <mergeCell ref="E458:F458"/>
    <mergeCell ref="K458:L458"/>
    <mergeCell ref="Q458:R458"/>
    <mergeCell ref="B460:F460"/>
    <mergeCell ref="H460:L460"/>
    <mergeCell ref="N460:R460"/>
    <mergeCell ref="B435:R435"/>
    <mergeCell ref="C436:E436"/>
    <mergeCell ref="I436:K436"/>
    <mergeCell ref="O436:Q436"/>
    <mergeCell ref="B455:D455"/>
    <mergeCell ref="H455:J455"/>
    <mergeCell ref="N455:P455"/>
    <mergeCell ref="B431:E431"/>
    <mergeCell ref="H431:K431"/>
    <mergeCell ref="N431:Q431"/>
    <mergeCell ref="B433:E433"/>
    <mergeCell ref="H433:K433"/>
    <mergeCell ref="N433:Q433"/>
    <mergeCell ref="D417:E417"/>
    <mergeCell ref="J417:K417"/>
    <mergeCell ref="P417:Q417"/>
    <mergeCell ref="B425:F425"/>
    <mergeCell ref="H425:L425"/>
    <mergeCell ref="N425:R425"/>
    <mergeCell ref="E414:F414"/>
    <mergeCell ref="K414:L414"/>
    <mergeCell ref="Q414:R414"/>
    <mergeCell ref="B416:F416"/>
    <mergeCell ref="H416:L416"/>
    <mergeCell ref="N416:R416"/>
    <mergeCell ref="B391:R391"/>
    <mergeCell ref="C392:E392"/>
    <mergeCell ref="I392:K392"/>
    <mergeCell ref="O392:Q392"/>
    <mergeCell ref="B411:D411"/>
    <mergeCell ref="H411:J411"/>
    <mergeCell ref="N411:P411"/>
    <mergeCell ref="B387:E387"/>
    <mergeCell ref="H387:K387"/>
    <mergeCell ref="N387:Q387"/>
    <mergeCell ref="B389:E389"/>
    <mergeCell ref="H389:K389"/>
    <mergeCell ref="N389:Q389"/>
    <mergeCell ref="D373:E373"/>
    <mergeCell ref="J373:K373"/>
    <mergeCell ref="P373:Q373"/>
    <mergeCell ref="B381:F381"/>
    <mergeCell ref="H381:L381"/>
    <mergeCell ref="N381:R381"/>
    <mergeCell ref="E370:F370"/>
    <mergeCell ref="K370:L370"/>
    <mergeCell ref="Q370:R370"/>
    <mergeCell ref="B372:F372"/>
    <mergeCell ref="H372:L372"/>
    <mergeCell ref="N372:R372"/>
    <mergeCell ref="B347:R347"/>
    <mergeCell ref="C348:E348"/>
    <mergeCell ref="I348:K348"/>
    <mergeCell ref="O348:Q348"/>
    <mergeCell ref="B367:D367"/>
    <mergeCell ref="H367:J367"/>
    <mergeCell ref="N367:P367"/>
    <mergeCell ref="B343:E343"/>
    <mergeCell ref="H343:K343"/>
    <mergeCell ref="N343:Q343"/>
    <mergeCell ref="B345:E345"/>
    <mergeCell ref="H345:K345"/>
    <mergeCell ref="N345:Q345"/>
    <mergeCell ref="D329:E329"/>
    <mergeCell ref="J329:K329"/>
    <mergeCell ref="P329:Q329"/>
    <mergeCell ref="B337:F337"/>
    <mergeCell ref="H337:L337"/>
    <mergeCell ref="N337:R337"/>
    <mergeCell ref="E326:F326"/>
    <mergeCell ref="K326:L326"/>
    <mergeCell ref="Q326:R326"/>
    <mergeCell ref="B328:F328"/>
    <mergeCell ref="H328:L328"/>
    <mergeCell ref="N328:R328"/>
    <mergeCell ref="B303:R303"/>
    <mergeCell ref="C304:E304"/>
    <mergeCell ref="I304:K304"/>
    <mergeCell ref="O304:Q304"/>
    <mergeCell ref="B323:D323"/>
    <mergeCell ref="H323:J323"/>
    <mergeCell ref="N323:P323"/>
    <mergeCell ref="B299:E299"/>
    <mergeCell ref="H299:K299"/>
    <mergeCell ref="N299:Q299"/>
    <mergeCell ref="B301:E301"/>
    <mergeCell ref="H301:K301"/>
    <mergeCell ref="N301:Q301"/>
    <mergeCell ref="D285:E285"/>
    <mergeCell ref="J285:K285"/>
    <mergeCell ref="P285:Q285"/>
    <mergeCell ref="B293:F293"/>
    <mergeCell ref="H293:L293"/>
    <mergeCell ref="N293:R293"/>
    <mergeCell ref="E282:F282"/>
    <mergeCell ref="K282:L282"/>
    <mergeCell ref="Q282:R282"/>
    <mergeCell ref="B284:F284"/>
    <mergeCell ref="H284:L284"/>
    <mergeCell ref="N284:R284"/>
    <mergeCell ref="B259:R259"/>
    <mergeCell ref="C260:E260"/>
    <mergeCell ref="I260:K260"/>
    <mergeCell ref="O260:Q260"/>
    <mergeCell ref="B279:D279"/>
    <mergeCell ref="H279:J279"/>
    <mergeCell ref="N279:P279"/>
    <mergeCell ref="B255:E255"/>
    <mergeCell ref="H255:K255"/>
    <mergeCell ref="N255:Q255"/>
    <mergeCell ref="B257:E257"/>
    <mergeCell ref="H257:K257"/>
    <mergeCell ref="N257:Q257"/>
    <mergeCell ref="D241:E241"/>
    <mergeCell ref="J241:K241"/>
    <mergeCell ref="P241:Q241"/>
    <mergeCell ref="B249:F249"/>
    <mergeCell ref="H249:L249"/>
    <mergeCell ref="N249:R249"/>
    <mergeCell ref="E238:F238"/>
    <mergeCell ref="K238:L238"/>
    <mergeCell ref="Q238:R238"/>
    <mergeCell ref="B240:F240"/>
    <mergeCell ref="H240:L240"/>
    <mergeCell ref="N240:R240"/>
    <mergeCell ref="B215:R215"/>
    <mergeCell ref="C216:E216"/>
    <mergeCell ref="I216:K216"/>
    <mergeCell ref="O216:Q216"/>
    <mergeCell ref="B235:D235"/>
    <mergeCell ref="H235:J235"/>
    <mergeCell ref="N235:P235"/>
    <mergeCell ref="B211:E211"/>
    <mergeCell ref="H211:K211"/>
    <mergeCell ref="N211:Q211"/>
    <mergeCell ref="B213:E213"/>
    <mergeCell ref="H213:K213"/>
    <mergeCell ref="N213:Q213"/>
    <mergeCell ref="D197:E197"/>
    <mergeCell ref="J197:K197"/>
    <mergeCell ref="P197:Q197"/>
    <mergeCell ref="B205:F205"/>
    <mergeCell ref="H205:L205"/>
    <mergeCell ref="N205:R205"/>
    <mergeCell ref="E194:F194"/>
    <mergeCell ref="K194:L194"/>
    <mergeCell ref="Q194:R194"/>
    <mergeCell ref="B196:F196"/>
    <mergeCell ref="H196:L196"/>
    <mergeCell ref="N196:R196"/>
    <mergeCell ref="B171:R171"/>
    <mergeCell ref="C172:E172"/>
    <mergeCell ref="I172:K172"/>
    <mergeCell ref="O172:Q172"/>
    <mergeCell ref="B191:D191"/>
    <mergeCell ref="H191:J191"/>
    <mergeCell ref="N191:P191"/>
    <mergeCell ref="B167:E167"/>
    <mergeCell ref="H167:K167"/>
    <mergeCell ref="N167:Q167"/>
    <mergeCell ref="B169:E169"/>
    <mergeCell ref="H169:K169"/>
    <mergeCell ref="N169:Q169"/>
    <mergeCell ref="D153:E153"/>
    <mergeCell ref="J153:K153"/>
    <mergeCell ref="P153:Q153"/>
    <mergeCell ref="B161:F161"/>
    <mergeCell ref="H161:L161"/>
    <mergeCell ref="N161:R161"/>
    <mergeCell ref="E150:F150"/>
    <mergeCell ref="K150:L150"/>
    <mergeCell ref="Q150:R150"/>
    <mergeCell ref="B152:F152"/>
    <mergeCell ref="H152:L152"/>
    <mergeCell ref="N152:R152"/>
    <mergeCell ref="B127:R127"/>
    <mergeCell ref="C128:E128"/>
    <mergeCell ref="I128:K128"/>
    <mergeCell ref="O128:Q128"/>
    <mergeCell ref="B147:D147"/>
    <mergeCell ref="H147:J147"/>
    <mergeCell ref="N147:P147"/>
    <mergeCell ref="B123:E123"/>
    <mergeCell ref="H123:K123"/>
    <mergeCell ref="N123:Q123"/>
    <mergeCell ref="B125:E125"/>
    <mergeCell ref="H125:K125"/>
    <mergeCell ref="N125:Q125"/>
    <mergeCell ref="D109:E109"/>
    <mergeCell ref="J109:K109"/>
    <mergeCell ref="P109:Q109"/>
    <mergeCell ref="B117:F117"/>
    <mergeCell ref="H117:L117"/>
    <mergeCell ref="N117:R117"/>
    <mergeCell ref="B108:F108"/>
    <mergeCell ref="H108:L108"/>
    <mergeCell ref="N108:R108"/>
    <mergeCell ref="B83:R83"/>
    <mergeCell ref="C84:E84"/>
    <mergeCell ref="I84:K84"/>
    <mergeCell ref="O84:Q84"/>
    <mergeCell ref="B103:D103"/>
    <mergeCell ref="H103:J103"/>
    <mergeCell ref="N103:P103"/>
    <mergeCell ref="B79:E79"/>
    <mergeCell ref="B81:E81"/>
    <mergeCell ref="E62:F62"/>
    <mergeCell ref="K62:L62"/>
    <mergeCell ref="Q62:R62"/>
    <mergeCell ref="B64:F64"/>
    <mergeCell ref="H64:L64"/>
    <mergeCell ref="N64:R64"/>
    <mergeCell ref="E106:F106"/>
    <mergeCell ref="K106:L106"/>
    <mergeCell ref="Q106:R106"/>
    <mergeCell ref="B59:D59"/>
    <mergeCell ref="H59:J59"/>
    <mergeCell ref="N59:P59"/>
    <mergeCell ref="A1:B2"/>
    <mergeCell ref="C1:R1"/>
    <mergeCell ref="D65:E65"/>
    <mergeCell ref="J65:K65"/>
    <mergeCell ref="P65:Q65"/>
    <mergeCell ref="B73:F73"/>
    <mergeCell ref="AI4:AI5"/>
    <mergeCell ref="AJ4:AJ5"/>
    <mergeCell ref="AL4:AL5"/>
    <mergeCell ref="I36:J37"/>
    <mergeCell ref="E37:F37"/>
    <mergeCell ref="B39:R39"/>
    <mergeCell ref="C40:E40"/>
    <mergeCell ref="I40:K40"/>
    <mergeCell ref="O40:Q40"/>
  </mergeCells>
  <dataValidations count="8">
    <dataValidation type="list" allowBlank="1" showInputMessage="1" showErrorMessage="1" errorTitle="ERROR" error="ERROR" sqref="H66:H71 B682:B687 H1166:H1171 N1166:N1171 B1122:B1127 H1122:H1127 N1122:N1127 B1078:B1083 H1078:H1083 N1078:N1083 B1034:B1039 H1034:H1039 N1034:N1039 B990:B995 H990:H995 N990:N995 B902:B907 H902:H907 N902:N907 B946:B951 B1166:B1171 N946:N951 B858:B863 H858:H863 N858:N863 B814:B819 H814:H819 N814:N819 B770:B775 H770:H775 N770:N775 B726:B731 H726:H731 N726:N731 B638:B643 H682:H687 N682:N687 H946:H951 H638:H643 N638:N643 B594:B599 H594:H599 N594:N599 B550:B555 H550:H555 N550:N555 B506:B511 H506:H511 N506:N511 B462:B467 H462:H467 N462:N467 B418:B423 H418:H423 N418:N423 B374:B379 H374:H379 N374:N379 B330:B335 H330:H335 N330:N335 B286:B291 H286:H291 N286:N291 B242:B247 H242:H247 N242:N247 B198:B203 H198:H203 N198:N203 H1210:H1215 H154:H159 N154:N159 B154:B159 H110:H115 N110:N115 B110:B115 N1210:N1215 N66:N71 B66:B71 B1210:B1215 H1254:H1259 N1254:N1259 B1254:B1259 H1298:H1303 N1298:N1303 B1298:B1303 H1342:H1347 N1342:N1347 B1342:B1347 H1386:H1391 N1386:N1391 B1386:B1391 H1430:H1435 N1430:N1435 B1430:B1435 H1474:H1479 N1474:N1479 B1474:B1479" xr:uid="{00000000-0002-0000-0600-000000000000}">
      <formula1>$AB$6:$AB$64</formula1>
    </dataValidation>
    <dataValidation type="list" allowBlank="1" showInputMessage="1" showErrorMessage="1" errorTitle="ERROR" error="ERROR" sqref="N661 N531 N526:N529 H661 B705:B707 N482:N484 N614 N702:N705 H614 B658 H658 N658 B702 B1142 B671:B673 N1098 B1145:B1147 H482:H485" xr:uid="{00000000-0002-0000-0600-000001000000}">
      <formula1>$V$6:$V$159</formula1>
    </dataValidation>
    <dataValidation type="list" allowBlank="1" showInputMessage="1" showErrorMessage="1" errorTitle="ERROR" error="ERROR" sqref="H42:H57 N174:N189 B1054 B1059:B1069 N1012:N1013 N1010 B526:B541 H526:H541 N262:N277 N752 H753 B753 B704 N660 H660 B618 H570:H585 H1056:H1069 N438:N453 B1098:B1113 B262:B277 B966:B981 B1186:B1201 H174:H189 H394:H406 H306:H321 N1186:N1201 H1186:H1201 N1100:N1113 H1142:H1157 N570:N585 H1098:H1113 N790:N805 H486:H497 N1015:N1025 N306:N321 B1056:B1057 N86:N101 H1010:H1025 N42:N57 N922:N937 H1450:H1465 H966:H981 H922:H937 H130:H145 N394:N409 B438:B453 H438:H453 N1054:N1069 H262:H277 B306:B321 H350:H365 B1010:B1025 N350:N364 B922:B937 B1144 N878:N893 H878:H893 B881:B893 N837:N849 H837:H849 B837:B849 B792:B805 N755:N761 B759:B761 H756:H761 N706:N717 H705:H717 B708:B717 N662:N673 H662:H673 N616:N629 H616:H629 B621:B629 B1148:B1157 B218:B233 B573:B585 H790:H805 N532:N541 N485:N497 B86:B101 B488:B497 B403:B409 H1054 B358:B365 N218:N233 N746 B130:B145 N130:N145 B174:B189 N966:N981 H218:H233 H86:H101 N530 N1142:N1157 H1318:H1333 N1230:N1245 H1230:H1245 B1230:B1245 B1274:B1289 H1274:H1289 N1274 B1450:B1465 N1283:N1289 N1280 B1318:B1333 H1362:H1377 B1362:B1377 N1318:N1333 N1406:N1421 H1406:H1421 N1362:N1377 N1450:N1465 B1406:B1421 B42:B57" xr:uid="{00000000-0002-0000-0600-000002000000}">
      <formula1>$V$6:$V$104</formula1>
    </dataValidation>
    <dataValidation type="list" allowBlank="1" showInputMessage="1" showErrorMessage="1" errorTitle="ERROR" error="ERROR" sqref="N365 H407:H409" xr:uid="{00000000-0002-0000-0600-000003000000}">
      <formula1>$V$6:$V$86</formula1>
    </dataValidation>
    <dataValidation type="list" allowBlank="1" showInputMessage="1" showErrorMessage="1" errorTitle="ERROR" error="ERROR" sqref="B834:B836 B878:B880 N834:N836 H834:H836" xr:uid="{00000000-0002-0000-0600-000004000000}">
      <formula1>$V$6:$V$70</formula1>
    </dataValidation>
    <dataValidation type="list" allowBlank="1" showInputMessage="1" showErrorMessage="1" errorTitle="ERROR" error="ERROR" sqref="H754:H755 H746:H752 N747:N751 N753:N754 B790:B791 B757:B758 N1275:N1279 N1281:N1282" xr:uid="{00000000-0002-0000-0600-000005000000}">
      <formula1>$V$6:$V$65</formula1>
    </dataValidation>
    <dataValidation type="list" allowBlank="1" showInputMessage="1" showErrorMessage="1" errorTitle="ERROR" error="ERROR" sqref="N1099 B482:B487 H1055 N1014 B1055 H659 B394:B402 H702:H704 N659 B350:B357 N615 B1058 B703 B1143 B570:B572 B619:B620 B659:B670 B614:B617 B754:B756 B746:B752 H615 N1011" xr:uid="{00000000-0002-0000-0600-000006000000}">
      <formula1>$V$6:$V$62</formula1>
    </dataValidation>
    <dataValidation type="list" allowBlank="1" showInputMessage="1" showErrorMessage="1" sqref="P306:P321 J262:J277 J130:J145 P966:P981 J966:J981 P1362:P1377 J1450:J1465 D174:D189 J218:J233 J394:J409 P130:P145 J350:J365 P218:P233 P1450:P1465 J174:J189 D262:D277 J1054:J1069 P262:P277 D1098:D1113 J306:J321 P1318:P1333 P1054:P1069 P570:P585 D350:D365 D394:D408 P350:P365 P394:P409 P438:P453 J438:J453 D438:D453 P482:P497 D1186:D1201 D482:D497 P526:P541 J526:J541 D526:D541 J570:J585 D218:D233 D570:D585 P614:P629 J614:J629 D614:D629 P658:P673 J658:J673 D658:D673 P701:P717 D1362:D1377 D702:D717 P746:P761 J746:J761 D746:D761 P790:P805 J790:J805 D790:D805 P834:P849 J834:J849 D834:D849 P878:P893 J878:J893 D878:D893 D922:D937 J922:J937 P922:P937 J1406:J1421 D1142:D1157 D966:D981 P1406:P1421 D1406:D1421 J1010:J1025 D1010:D1025 D1054:D1069 P1010:P1025 P174:P189 J482:J497 J1098:J1113 J1142:J1157 D130:D145 P1098:P1113 P1186:P1201 J1186:J1201 P1142:P1157 J1318:J1333 P1230:P1245 J1230:J1245 D1230:D1245 D1274:D1289 J1274:J1289 P1274:P1289 D1450:D1465 D1318:D1333 J1362:J1377 J705:J717" xr:uid="{00000000-0002-0000-0600-000007000000}">
      <formula1>Frecuencia</formula1>
    </dataValidation>
  </dataValidations>
  <hyperlinks>
    <hyperlink ref="B24" location="'RESUMEN RENDIMIENTOS'!M26" display="'RESUMEN RENDIMIENTOS'!M26" xr:uid="{00000000-0004-0000-0600-000000000000}"/>
    <hyperlink ref="H29" location="'RESUMEN RENDIMIENTOS'!H70" display="'RESUMEN RENDIMIENTOS'!H70" xr:uid="{00000000-0004-0000-0600-000001000000}"/>
    <hyperlink ref="B25" location="'RESUMEN RENDIMIENTOS'!M70" display="'RESUMEN RENDIMIENTOS'!M70" xr:uid="{00000000-0004-0000-0600-000002000000}"/>
    <hyperlink ref="D18" location="'RESUMEN RENDIMIENTOS'!C114" display="'RESUMEN RENDIMIENTOS'!C114" xr:uid="{00000000-0004-0000-0600-000003000000}"/>
    <hyperlink ref="H14" location="'RESUMEN RENDIMIENTOS'!H26" display="'RESUMEN RENDIMIENTOS'!H26" xr:uid="{00000000-0004-0000-0600-000004000000}"/>
    <hyperlink ref="H15" location="'RESUMEN RENDIMIENTOS'!C26" display="'RESUMEN RENDIMIENTOS'!C26" xr:uid="{00000000-0004-0000-0600-000005000000}"/>
    <hyperlink ref="D19" location="'RESUMEN RENDIMIENTOS'!H114" display="'RESUMEN RENDIMIENTOS'!H114" xr:uid="{00000000-0004-0000-0600-000006000000}"/>
    <hyperlink ref="D20" location="'RESUMEN RENDIMIENTOS'!M114" display="'RESUMEN RENDIMIENTOS'!M114" xr:uid="{00000000-0004-0000-0600-000007000000}"/>
    <hyperlink ref="D21" location="'RESUMEN RENDIMIENTOS'!C158" display="'RESUMEN RENDIMIENTOS'!C158" xr:uid="{00000000-0004-0000-0600-000008000000}"/>
    <hyperlink ref="D22" location="'RESUMEN RENDIMIENTOS'!H158" display="'RESUMEN RENDIMIENTOS'!H158" xr:uid="{00000000-0004-0000-0600-000009000000}"/>
    <hyperlink ref="H21" location="'RESUMEN RENDIMIENTOS'!M158" display="'RESUMEN RENDIMIENTOS'!M158" xr:uid="{00000000-0004-0000-0600-00000A000000}"/>
    <hyperlink ref="H23" location="'RESUMEN RENDIMIENTOS'!C202" display="'RESUMEN RENDIMIENTOS'!C202" xr:uid="{00000000-0004-0000-0600-00000B000000}"/>
    <hyperlink ref="B11" location="'RESUMEN RENDIMIENTOS'!J202" display="'RESUMEN RENDIMIENTOS'!J202" xr:uid="{00000000-0004-0000-0600-00000C000000}"/>
    <hyperlink ref="H25" location="'RESUMEN RENDIMIENTOS'!C246" display="'RESUMEN RENDIMIENTOS'!C246" xr:uid="{00000000-0004-0000-0600-00000D000000}"/>
    <hyperlink ref="H26" location="'RESUMEN RENDIMIENTOS'!M202" display="'RESUMEN RENDIMIENTOS'!M202" xr:uid="{00000000-0004-0000-0600-00000E000000}"/>
    <hyperlink ref="B3" location="'RESUMEN RENDIMIENTOS'!H246" display="'RESUMEN RENDIMIENTOS'!H246" xr:uid="{00000000-0004-0000-0600-00000F000000}"/>
    <hyperlink ref="B4" location="'RESUMEN RENDIMIENTOS'!M246" display="'RESUMEN RENDIMIENTOS'!M246" xr:uid="{00000000-0004-0000-0600-000010000000}"/>
    <hyperlink ref="B22" location="'RESUMEN RENDIMIENTOS'!M290" display="'RESUMEN RENDIMIENTOS'!M290" xr:uid="{00000000-0004-0000-0600-000011000000}"/>
    <hyperlink ref="B27" location="'RESUMEN RENDIMIENTOS'!C70" display="'RESUMEN RENDIMIENTOS'!C70" xr:uid="{00000000-0004-0000-0600-000012000000}"/>
    <hyperlink ref="D29" location="'RESUMEN RENDIMIENTOS'!C334" display="'RESUMEN RENDIMIENTOS'!C334" xr:uid="{00000000-0004-0000-0600-000013000000}"/>
    <hyperlink ref="B10" location="'RESUMEN RENDIMIENTOS'!H334" display="'RESUMEN RENDIMIENTOS'!H334" xr:uid="{00000000-0004-0000-0600-000014000000}"/>
    <hyperlink ref="D5" location="'RESUMEN RENDIMIENTOS'!H378" display="'RESUMEN RENDIMIENTOS'!H378" xr:uid="{00000000-0004-0000-0600-000015000000}"/>
    <hyperlink ref="D6" location="'RESUMEN RENDIMIENTOS'!C378" display="'RESUMEN RENDIMIENTOS'!C378" xr:uid="{00000000-0004-0000-0600-000016000000}"/>
    <hyperlink ref="H9" location="'RESUMEN RENDIMIENTOS'!M378" display="'RESUMEN RENDIMIENTOS'!M378" xr:uid="{00000000-0004-0000-0600-000017000000}"/>
    <hyperlink ref="H8" location="'RESUMEN RENDIMIENTOS'!C422" display="'RESUMEN RENDIMIENTOS'!C422" xr:uid="{00000000-0004-0000-0600-000018000000}"/>
    <hyperlink ref="H7" location="'RESUMEN RENDIMIENTOS'!H422" display="'RESUMEN RENDIMIENTOS'!H422" xr:uid="{00000000-0004-0000-0600-000019000000}"/>
    <hyperlink ref="D7" location="'RESUMEN RENDIMIENTOS'!M422" display="'RESUMEN RENDIMIENTOS'!M422" xr:uid="{00000000-0004-0000-0600-00001A000000}"/>
    <hyperlink ref="B6" location="'RESUMEN RENDIMIENTOS'!C466" display="'RESUMEN RENDIMIENTOS'!C466" xr:uid="{00000000-0004-0000-0600-00001B000000}"/>
    <hyperlink ref="B28" location="'RESUMEN RENDIMIENTOS'!H466" display="'RESUMEN RENDIMIENTOS'!H466" xr:uid="{00000000-0004-0000-0600-00001C000000}"/>
    <hyperlink ref="B21" location="'RESUMEN RENDIMIENTOS'!M466" display="'RESUMEN RENDIMIENTOS'!M466" xr:uid="{00000000-0004-0000-0600-00001D000000}"/>
    <hyperlink ref="B20" location="'RESUMEN RENDIMIENTOS'!C510" display="'RESUMEN RENDIMIENTOS'!C510" xr:uid="{00000000-0004-0000-0600-00001E000000}"/>
    <hyperlink ref="B18" location="'RESUMEN RENDIMIENTOS'!M510" display="'RESUMEN RENDIMIENTOS'!M510" xr:uid="{00000000-0004-0000-0600-00001F000000}"/>
    <hyperlink ref="B19" location="'RESUMEN RENDIMIENTOS'!H510" display="'RESUMEN RENDIMIENTOS'!H510" xr:uid="{00000000-0004-0000-0600-000020000000}"/>
    <hyperlink ref="H10" location="'RESUMEN RENDIMIENTOS'!C554" display="'RESUMEN RENDIMIENTOS'!C554" xr:uid="{00000000-0004-0000-0600-000021000000}"/>
    <hyperlink ref="D3" location="'RESUMEN RENDIMIENTOS'!H290" display="'RESUMEN RENDIMIENTOS'!H290" xr:uid="{00000000-0004-0000-0600-000022000000}"/>
    <hyperlink ref="D4" location="'RESUMEN RENDIMIENTOS'!M334" display="'RESUMEN RENDIMIENTOS'!M334" xr:uid="{00000000-0004-0000-0600-000023000000}"/>
    <hyperlink ref="D25" location="'RESUMEN RENDIMIENTOS'!C290" display="'RESUMEN RENDIMIENTOS'!C290" xr:uid="{00000000-0004-0000-0600-000024000000}"/>
    <hyperlink ref="H22" location="'RESUMEN RENDIMIENTOS'!H554" display="'RESUMEN RENDIMIENTOS'!H554" xr:uid="{00000000-0004-0000-0600-000025000000}"/>
    <hyperlink ref="H24" location="'RESUMEN RENDIMIENTOS'!C554" display="'RESUMEN RENDIMIENTOS'!C554" xr:uid="{00000000-0004-0000-0600-000026000000}"/>
    <hyperlink ref="D12" location="'RESUMEN RENDIMIENTOS'!C642" display="'RESUMEN RENDIMIENTOS'!C642" xr:uid="{00000000-0004-0000-0600-000027000000}"/>
    <hyperlink ref="D14" location="'RESUMEN RENDIMIENTOS'!H642" display="'RESUMEN RENDIMIENTOS'!H642" xr:uid="{00000000-0004-0000-0600-000028000000}"/>
    <hyperlink ref="D17" location="'RESUMEN RENDIMIENTOS'!C686" display="'RESUMEN RENDIMIENTOS'!C686" xr:uid="{00000000-0004-0000-0600-000029000000}"/>
    <hyperlink ref="D15" location="'RESUMEN RENDIMIENTOS'!M642" display="'RESUMEN RENDIMIENTOS'!M642" xr:uid="{00000000-0004-0000-0600-00002A000000}"/>
    <hyperlink ref="D23" location="'RESUMEN RENDIMIENTOS'!H686" display="'RESUMEN RENDIMIENTOS'!H686" xr:uid="{00000000-0004-0000-0600-00002B000000}"/>
    <hyperlink ref="B17" location="'RESUMEN RENDIMIENTOS'!M686" display="'RESUMEN RENDIMIENTOS'!M686" xr:uid="{00000000-0004-0000-0600-00002C000000}"/>
    <hyperlink ref="B8" location="'RESUMEN RENDIMIENTOS'!C730" display="'RESUMEN RENDIMIENTOS'!C730" xr:uid="{00000000-0004-0000-0600-00002D000000}"/>
    <hyperlink ref="B7" location="'RESUMEN RENDIMIENTOS'!H730" display="'RESUMEN RENDIMIENTOS'!H730" xr:uid="{00000000-0004-0000-0600-00002E000000}"/>
    <hyperlink ref="B12" location="'RESUMEN RENDIMIENTOS'!M730" display="'RESUMEN RENDIMIENTOS'!M730" xr:uid="{00000000-0004-0000-0600-00002F000000}"/>
    <hyperlink ref="H12" location="'RESUMEN RENDIMIENTOS'!C774" display="'RESUMEN RENDIMIENTOS'!C774" xr:uid="{00000000-0004-0000-0600-000030000000}"/>
    <hyperlink ref="H6" location="'RESUMEN RENDIMIENTOS'!H774" display="'RESUMEN RENDIMIENTOS'!H774" xr:uid="{00000000-0004-0000-0600-000031000000}"/>
    <hyperlink ref="H11" location="'RESUMEN RENDIMIENTOS'!M774" display="'RESUMEN RENDIMIENTOS'!M774" xr:uid="{00000000-0004-0000-0600-000032000000}"/>
    <hyperlink ref="B26" location="'RESUMEN RENDIMIENTOS'!C818" display="'RESUMEN RENDIMIENTOS'!C818" xr:uid="{00000000-0004-0000-0600-000033000000}"/>
    <hyperlink ref="I36" location="'MENU GENERAL'!A1" display="INICIO" xr:uid="{00000000-0004-0000-0600-000034000000}"/>
    <hyperlink ref="D26" location="'RESUMEN RENDIMIENTOS'!H818" display="'RESUMEN RENDIMIENTOS'!H818" xr:uid="{00000000-0004-0000-0600-000035000000}"/>
    <hyperlink ref="H18" location="'RESUMEN RENDIMIENTOS'!M818" display="'RESUMEN RENDIMIENTOS'!M818" xr:uid="{00000000-0004-0000-0600-000036000000}"/>
    <hyperlink ref="H19" location="'RESUMEN RENDIMIENTOS'!C862" display="'RESUMEN RENDIMIENTOS'!C862" xr:uid="{00000000-0004-0000-0600-000037000000}"/>
    <hyperlink ref="N3" location="'RESUMEN RENDIMIENTOS'!H906" display="'RESUMEN RENDIMIENTOS'!H906" xr:uid="{00000000-0004-0000-0600-000038000000}"/>
    <hyperlink ref="N5" location="'RESUMEN RENDIMIENTOS'!H906" display="'RESUMEN RENDIMIENTOS'!H906" xr:uid="{00000000-0004-0000-0600-000039000000}"/>
    <hyperlink ref="H3" location="'RESUMEN RENDIMIENTOS'!H950" display="'RESUMEN RENDIMIENTOS'!H950" xr:uid="{00000000-0004-0000-0600-00003A000000}"/>
    <hyperlink ref="N6" location="'RESUMEN RENDIMIENTOS'!C950" display="'RESUMEN RENDIMIENTOS'!C950" xr:uid="{00000000-0004-0000-0600-00003B000000}"/>
    <hyperlink ref="J3" location="'RESUMEN RENDIMIENTOS'!M950" display="'RESUMEN RENDIMIENTOS'!M950" xr:uid="{00000000-0004-0000-0600-00003C000000}"/>
    <hyperlink ref="H4" location="'RESUMEN RENDIMIENTOS'!C994" display="'RESUMEN RENDIMIENTOS'!C994" xr:uid="{00000000-0004-0000-0600-00003D000000}"/>
    <hyperlink ref="H16" location="'RESUMEN RENDIMIENTOS'!C1038" display="'RESUMEN RENDIMIENTOS'!C1038" xr:uid="{00000000-0004-0000-0600-00003E000000}"/>
    <hyperlink ref="B23" location="'RESUMEN RENDIMIENTOS'!H1038" display="'RESUMEN RENDIMIENTOS'!H1038" xr:uid="{00000000-0004-0000-0600-00003F000000}"/>
    <hyperlink ref="H17" location="'RESUMEN RENDIMIENTOS'!M1038" display="'RESUMEN RENDIMIENTOS'!M1038" xr:uid="{00000000-0004-0000-0600-000040000000}"/>
    <hyperlink ref="D9" location="'RESUMEN RENDIMIENTOS'!C1094" display="'RESUMEN RENDIMIENTOS'!C1094" xr:uid="{00000000-0004-0000-0600-000041000000}"/>
    <hyperlink ref="B9" location="'RESUMEN RENDIMIENTOS'!H1082" display="'RESUMEN RENDIMIENTOS'!H1082" xr:uid="{00000000-0004-0000-0600-000042000000}"/>
    <hyperlink ref="H28" location="'RESUMEN RENDIMIENTOS'!M1126" display="'RESUMEN RENDIMIENTOS'!M1126" xr:uid="{00000000-0004-0000-0600-000043000000}"/>
    <hyperlink ref="B15" location="'RESUMEN RENDIMIENTOS'!C1170" display="'RESUMEN RENDIMIENTOS'!C1170" xr:uid="{00000000-0004-0000-0600-000044000000}"/>
    <hyperlink ref="B16" location="'RESUMEN RENDIMIENTOS'!H1170" display="'RESUMEN RENDIMIENTOS'!H1170" xr:uid="{00000000-0004-0000-0600-000045000000}"/>
    <hyperlink ref="B29" location="'RESUMEN RENDIMIENTOS'!M1170" display="'RESUMEN RENDIMIENTOS'!M1170" xr:uid="{00000000-0004-0000-0600-000046000000}"/>
    <hyperlink ref="J58" location="'RESUMEN RENDIMIENTOS'!I23" display="Inicio" xr:uid="{00000000-0004-0000-0600-000047000000}"/>
    <hyperlink ref="J102" location="'RESUMEN RENDIMIENTOS'!I23" display="Inicio" xr:uid="{00000000-0004-0000-0600-000048000000}"/>
    <hyperlink ref="J146" location="'RESUMEN RENDIMIENTOS'!I23" display="Inicio" xr:uid="{00000000-0004-0000-0600-000049000000}"/>
    <hyperlink ref="J190" location="'RESUMEN RENDIMIENTOS'!I23" display="Inicio" xr:uid="{00000000-0004-0000-0600-00004A000000}"/>
    <hyperlink ref="J234" location="'RESUMEN RENDIMIENTOS'!I23" display="Inicio" xr:uid="{00000000-0004-0000-0600-00004B000000}"/>
    <hyperlink ref="J278" location="'RESUMEN RENDIMIENTOS'!I23" display="Inicio" xr:uid="{00000000-0004-0000-0600-00004C000000}"/>
    <hyperlink ref="J322" location="'RESUMEN RENDIMIENTOS'!I23" display="Inicio" xr:uid="{00000000-0004-0000-0600-00004D000000}"/>
    <hyperlink ref="J366" location="'RESUMEN RENDIMIENTOS'!I23" display="Inicio" xr:uid="{00000000-0004-0000-0600-00004E000000}"/>
    <hyperlink ref="J410" location="'RESUMEN RENDIMIENTOS'!I23" display="Inicio" xr:uid="{00000000-0004-0000-0600-00004F000000}"/>
    <hyperlink ref="J454" location="'RESUMEN RENDIMIENTOS'!I23" display="Inicio" xr:uid="{00000000-0004-0000-0600-000050000000}"/>
    <hyperlink ref="J498" location="'RESUMEN RENDIMIENTOS'!I23" display="Inicio" xr:uid="{00000000-0004-0000-0600-000051000000}"/>
    <hyperlink ref="J542" location="'RESUMEN RENDIMIENTOS'!I23" display="Inicio" xr:uid="{00000000-0004-0000-0600-000052000000}"/>
    <hyperlink ref="J586" location="'RESUMEN RENDIMIENTOS'!I23" display="Inicio" xr:uid="{00000000-0004-0000-0600-000053000000}"/>
    <hyperlink ref="J630" location="'RESUMEN RENDIMIENTOS'!I23" display="Inicio" xr:uid="{00000000-0004-0000-0600-000054000000}"/>
    <hyperlink ref="J674" location="'RESUMEN RENDIMIENTOS'!I23" display="Inicio" xr:uid="{00000000-0004-0000-0600-000055000000}"/>
    <hyperlink ref="J718" location="'RESUMEN RENDIMIENTOS'!I23" display="Inicio" xr:uid="{00000000-0004-0000-0600-000056000000}"/>
    <hyperlink ref="J762" location="'RESUMEN RENDIMIENTOS'!I23" display="Inicio" xr:uid="{00000000-0004-0000-0600-000057000000}"/>
    <hyperlink ref="J806" location="'RESUMEN RENDIMIENTOS'!I23" display="Inicio" xr:uid="{00000000-0004-0000-0600-000058000000}"/>
    <hyperlink ref="J850" location="'RESUMEN RENDIMIENTOS'!I23" display="Inicio" xr:uid="{00000000-0004-0000-0600-000059000000}"/>
    <hyperlink ref="J894" location="'RESUMEN RENDIMIENTOS'!I23" display="Inicio" xr:uid="{00000000-0004-0000-0600-00005A000000}"/>
    <hyperlink ref="J938" location="'RESUMEN RENDIMIENTOS'!I23" display="Inicio" xr:uid="{00000000-0004-0000-0600-00005B000000}"/>
    <hyperlink ref="J982" location="'RESUMEN RENDIMIENTOS'!I23" display="Inicio" xr:uid="{00000000-0004-0000-0600-00005C000000}"/>
    <hyperlink ref="J1070" location="'RESUMEN RENDIMIENTOS'!I23" display="Inicio" xr:uid="{00000000-0004-0000-0600-00005D000000}"/>
    <hyperlink ref="J1114" location="'RESUMEN RENDIMIENTOS'!I23" display="Inicio" xr:uid="{00000000-0004-0000-0600-00005E000000}"/>
    <hyperlink ref="J1158" location="'RESUMEN RENDIMIENTOS'!I23" display="Inicio" xr:uid="{00000000-0004-0000-0600-00005F000000}"/>
    <hyperlink ref="J1202" location="'RESUMEN RENDIMIENTOS'!I23" display="Inicio" xr:uid="{00000000-0004-0000-0600-000060000000}"/>
    <hyperlink ref="N4" location="'RESUMEN RENDIMIENTOS'!C906" display="'RESUMEN RENDIMIENTOS'!C906" xr:uid="{00000000-0004-0000-0600-000061000000}"/>
    <hyperlink ref="N7" location="'RESUMEN RENDIMIENTOS'!H862" display="'RESUMEN RENDIMIENTOS'!H862" xr:uid="{00000000-0004-0000-0600-000062000000}"/>
    <hyperlink ref="N8" location="'RESUMEN RENDIMIENTOS'!M862" display="'RESUMEN RENDIMIENTOS'!M862" xr:uid="{00000000-0004-0000-0600-000063000000}"/>
    <hyperlink ref="H27" location="'RESUMEN RENDIMIENTOS'!H994" display="'RESUMEN RENDIMIENTOS'!H994" xr:uid="{00000000-0004-0000-0600-000064000000}"/>
    <hyperlink ref="H13" location="'RESUMEN RENDIMIENTOS'!M994" display="'RESUMEN RENDIMIENTOS'!M994" xr:uid="{00000000-0004-0000-0600-000065000000}"/>
    <hyperlink ref="A1" location="'MENU GENERAL'!A1" display="INICIO" xr:uid="{00000000-0004-0000-0600-000066000000}"/>
    <hyperlink ref="J1246" location="'RESUMEN RENDIMIENTOS'!I23" display="Inicio" xr:uid="{00000000-0004-0000-0600-000067000000}"/>
    <hyperlink ref="J1290" location="'RESUMEN RENDIMIENTOS'!I23" display="Inicio" xr:uid="{00000000-0004-0000-0600-000068000000}"/>
    <hyperlink ref="J1334" location="'RESUMEN RENDIMIENTOS'!I23" display="Inicio" xr:uid="{00000000-0004-0000-0600-000069000000}"/>
    <hyperlink ref="J1378" location="'RESUMEN RENDIMIENTOS'!I23" display="Inicio" xr:uid="{00000000-0004-0000-0600-00006A000000}"/>
    <hyperlink ref="J1422" location="'RESUMEN RENDIMIENTOS'!I23" display="Inicio" xr:uid="{00000000-0004-0000-0600-00006B000000}"/>
    <hyperlink ref="J1466" location="'RESUMEN RENDIMIENTOS'!I23" display="Inicio" xr:uid="{00000000-0004-0000-0600-00006C000000}"/>
    <hyperlink ref="I36:J37" location="Inicio!A1" display="Menu General" xr:uid="{00000000-0004-0000-0600-00006D000000}"/>
  </hyperlinks>
  <pageMargins left="0.70866141732283472" right="0.70866141732283472" top="0.74803149606299213" bottom="0.74803149606299213" header="0.31496062992125984" footer="0.31496062992125984"/>
  <pageSetup paperSize="9" scale="16" fitToHeight="5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Tablas!$B$5:$B$40</xm:f>
          </x14:formula1>
          <xm:sqref>P42:P57 J42:J57 D42:D57 D86:D101 J86:J101 P86:P101 D306:D321 J702:J704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Instruccions</vt:lpstr>
      <vt:lpstr>Inici</vt:lpstr>
      <vt:lpstr>1</vt:lpstr>
      <vt:lpstr>2</vt:lpstr>
      <vt:lpstr>3</vt:lpstr>
      <vt:lpstr>Resum Estudi</vt:lpstr>
      <vt:lpstr>Tablas</vt:lpstr>
      <vt:lpstr>RESUMEN RENDIMIENTOS</vt:lpstr>
      <vt:lpstr>'1'!Títulos_a_imprimir</vt:lpstr>
      <vt:lpstr>'2'!Títulos_a_imprimir</vt:lpstr>
      <vt:lpstr>'3'!Títulos_a_imprimir</vt:lpstr>
    </vt:vector>
  </TitlesOfParts>
  <Company>Control'A+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tecnico economico</dc:title>
  <dc:creator>Conrado Sabate</dc:creator>
  <cp:lastModifiedBy>Blanca Briz</cp:lastModifiedBy>
  <cp:lastPrinted>2015-03-23T08:25:38Z</cp:lastPrinted>
  <dcterms:created xsi:type="dcterms:W3CDTF">2003-10-31T17:41:31Z</dcterms:created>
  <dcterms:modified xsi:type="dcterms:W3CDTF">2026-07-10T09:41:36Z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