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garcia\Desktop\LICITACIÓ ADRIÀ\"/>
    </mc:Choice>
  </mc:AlternateContent>
  <xr:revisionPtr revIDLastSave="0" documentId="13_ncr:1_{F2D62A18-BACF-495E-9A95-932C5912F14C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Inputs" sheetId="1" r:id="rId1"/>
    <sheet name="Economia" sheetId="2" r:id="rId2"/>
    <sheet name="Automatics" sheetId="3" r:id="rId3"/>
    <sheet name="Judici" sheetId="4" r:id="rId4"/>
    <sheet name="Penalitats" sheetId="5" r:id="rId5"/>
    <sheet name="Notes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5" l="1"/>
  <c r="B8" i="5" s="1"/>
  <c r="B9" i="5" s="1"/>
  <c r="B10" i="5" s="1"/>
  <c r="D14" i="4"/>
  <c r="F18" i="3"/>
  <c r="F17" i="3"/>
  <c r="F16" i="3"/>
  <c r="F15" i="3"/>
  <c r="F14" i="3"/>
  <c r="F13" i="3"/>
  <c r="F12" i="3"/>
  <c r="F11" i="3"/>
  <c r="F10" i="3"/>
  <c r="F9" i="3"/>
  <c r="F8" i="3"/>
  <c r="F7" i="3"/>
  <c r="F6" i="3"/>
  <c r="F5" i="3"/>
  <c r="F4" i="3"/>
  <c r="C7" i="2"/>
  <c r="C5" i="2"/>
  <c r="E5" i="2" s="1"/>
  <c r="G5" i="2" s="1"/>
  <c r="E4" i="2"/>
  <c r="G4" i="2" s="1"/>
  <c r="C4" i="2"/>
  <c r="C16" i="1"/>
  <c r="C10" i="1"/>
  <c r="C12" i="1" s="1"/>
  <c r="F20" i="3" l="1"/>
  <c r="F23" i="3"/>
  <c r="F21" i="3"/>
  <c r="F24" i="3" s="1"/>
  <c r="F22" i="3"/>
  <c r="C13" i="1"/>
  <c r="C15" i="1"/>
  <c r="C14" i="1"/>
  <c r="C6" i="2"/>
  <c r="E7" i="2"/>
  <c r="G7" i="2" s="1"/>
  <c r="C8" i="2" l="1"/>
  <c r="E6" i="2"/>
  <c r="G6" i="2" s="1"/>
  <c r="G8" i="2" s="1"/>
  <c r="E8" i="2"/>
</calcChain>
</file>

<file path=xl/sharedStrings.xml><?xml version="1.0" encoding="utf-8"?>
<sst xmlns="http://schemas.openxmlformats.org/spreadsheetml/2006/main" count="275" uniqueCount="211">
  <si>
    <t>Paràmetres econòmics i pressupost</t>
  </si>
  <si>
    <t>Codi</t>
  </si>
  <si>
    <t>Concepte</t>
  </si>
  <si>
    <t>Valor</t>
  </si>
  <si>
    <t>Observació</t>
  </si>
  <si>
    <t>PG0</t>
  </si>
  <si>
    <t>Preu màxim mensual del mínim garantit</t>
  </si>
  <si>
    <t>PF0</t>
  </si>
  <si>
    <t>Preu màxim paquet addicional de 100 min a fixos</t>
  </si>
  <si>
    <t>Excés mensual; €/paquet sense IVA</t>
  </si>
  <si>
    <t>PM0</t>
  </si>
  <si>
    <t>Preu màxim paquet addicional de 100 min a mòbils</t>
  </si>
  <si>
    <t>BEA</t>
  </si>
  <si>
    <t>Bossa màxima anual conjunta d’excés nacional</t>
  </si>
  <si>
    <t>€/any sense IVA; facturació real i no acumulable</t>
  </si>
  <si>
    <t>PL1</t>
  </si>
  <si>
    <t>Bloc 1 Connectivitat</t>
  </si>
  <si>
    <t>48 mesos; 10 ramals, 15 FTTH i 2 radioenllaços</t>
  </si>
  <si>
    <t>PL2</t>
  </si>
  <si>
    <t>Bloc 2 Electrònica</t>
  </si>
  <si>
    <t>48 quotes de 798,46 €; 27 commutadors + 44 SFP+ i serveis</t>
  </si>
  <si>
    <t>PL3</t>
  </si>
  <si>
    <t>Bloc 3 Telefonia</t>
  </si>
  <si>
    <t>61.824 + 48·PG0 + 4·BEA</t>
  </si>
  <si>
    <t>PL4</t>
  </si>
  <si>
    <t>Bloc 4 Fibra</t>
  </si>
  <si>
    <t>Preu màxim tancat; 10 ramals</t>
  </si>
  <si>
    <t>PBL</t>
  </si>
  <si>
    <t>Pressupost base sense IVA</t>
  </si>
  <si>
    <t>Suma PL1:PL4</t>
  </si>
  <si>
    <t>IVA</t>
  </si>
  <si>
    <t>IVA 21%</t>
  </si>
  <si>
    <t>PBL × 21%</t>
  </si>
  <si>
    <t>PBL IVA</t>
  </si>
  <si>
    <t>Pressupost base amb IVA</t>
  </si>
  <si>
    <t>PBL × 1,21</t>
  </si>
  <si>
    <t>VEC</t>
  </si>
  <si>
    <t>Valor estimat</t>
  </si>
  <si>
    <t>PBL × 1,20</t>
  </si>
  <si>
    <t>ANUAL</t>
  </si>
  <si>
    <t>Trànsit nacional màxim anual amb IVA</t>
  </si>
  <si>
    <t>1,21 × (12 × PG0 + BEA)</t>
  </si>
  <si>
    <t>Baixa percentual i puntuació econòmica per bloc</t>
  </si>
  <si>
    <t>Bloc</t>
  </si>
  <si>
    <t>Punts P</t>
  </si>
  <si>
    <t>PL sense IVA</t>
  </si>
  <si>
    <t>Baixa Bi (%)</t>
  </si>
  <si>
    <t>Oferta Ov</t>
  </si>
  <si>
    <t>Menor oferta Om</t>
  </si>
  <si>
    <t>Punts Pv</t>
  </si>
  <si>
    <t>Fórmula / control</t>
  </si>
  <si>
    <t>1. Connectivitat</t>
  </si>
  <si>
    <t>Pv=[1-((Ov-Om)/PL)]×P</t>
  </si>
  <si>
    <t>2. Electrònica</t>
  </si>
  <si>
    <t>Mateixa fórmula</t>
  </si>
  <si>
    <t>3. Telefonia</t>
  </si>
  <si>
    <t>4. Fibra</t>
  </si>
  <si>
    <t>Preu màxim tancat</t>
  </si>
  <si>
    <t>TOTAL</t>
  </si>
  <si>
    <t>—</t>
  </si>
  <si>
    <t>No és una cinquena oferta</t>
  </si>
  <si>
    <t>Variables</t>
  </si>
  <si>
    <t>Ov</t>
  </si>
  <si>
    <t>Import ofert resultant del licitador, sense IVA</t>
  </si>
  <si>
    <t>Om</t>
  </si>
  <si>
    <t>Menor import admès del bloc, sense IVA</t>
  </si>
  <si>
    <t>PL</t>
  </si>
  <si>
    <t>Preu de sortida del bloc, sense IVA</t>
  </si>
  <si>
    <t>P / Pv</t>
  </si>
  <si>
    <t>Punts màxims / punts obtinguts; arrodoniment a 2 decimals</t>
  </si>
  <si>
    <t>Exemple</t>
  </si>
  <si>
    <t>PL1=75.600; B=5%; Ov=71.820; Om=70.000; P=8 ⇒ Pv=7,81</t>
  </si>
  <si>
    <t>Criteris automàtics no econòmics — 35 punts</t>
  </si>
  <si>
    <t>Compromís</t>
  </si>
  <si>
    <t>Entrada</t>
  </si>
  <si>
    <t>Punts màx.</t>
  </si>
  <si>
    <t>Punts</t>
  </si>
  <si>
    <t>C1</t>
  </si>
  <si>
    <t>B1</t>
  </si>
  <si>
    <t>Infraestructura FTTH pròpia a la trama urbana</t>
  </si>
  <si>
    <t>No</t>
  </si>
  <si>
    <t>C2a</t>
  </si>
  <si>
    <t>2 Gbps als 10 ramals</t>
  </si>
  <si>
    <t>C2b</t>
  </si>
  <si>
    <t>1 Gbps als 15 FTTH</t>
  </si>
  <si>
    <t>C3</t>
  </si>
  <si>
    <t>Pool IPv4 total (mínim 10 = 0 punts)</t>
  </si>
  <si>
    <t>C4a</t>
  </si>
  <si>
    <t>SLA crític 30 min / 2 h</t>
  </si>
  <si>
    <t>C4b</t>
  </si>
  <si>
    <t>SLA no crític 2 h / 4 h</t>
  </si>
  <si>
    <t>E1a</t>
  </si>
  <si>
    <t>B2</t>
  </si>
  <si>
    <t>Restabliment avançat equips crítics</t>
  </si>
  <si>
    <t>E1b</t>
  </si>
  <si>
    <t>Restabliment avançat resta equips</t>
  </si>
  <si>
    <t>E2</t>
  </si>
  <si>
    <t>Plataforma centralitzada gestió/monitorització/VLAN</t>
  </si>
  <si>
    <t>E3</t>
  </si>
  <si>
    <t>Documentació i reversibilitat reforçades</t>
  </si>
  <si>
    <t>T1</t>
  </si>
  <si>
    <t>B3</t>
  </si>
  <si>
    <t>Canals simultanis totals (mínim 20 = 0 punts)</t>
  </si>
  <si>
    <t>T2</t>
  </si>
  <si>
    <t>Selecció fins a 5 números municipals de sortida</t>
  </si>
  <si>
    <t>T3</t>
  </si>
  <si>
    <t>10 softphones addicionals</t>
  </si>
  <si>
    <t>F1</t>
  </si>
  <si>
    <t>B4</t>
  </si>
  <si>
    <t>Execució fibra en 23 dies naturals</t>
  </si>
  <si>
    <t>F2</t>
  </si>
  <si>
    <t>Garantia integral fins al final del contracte</t>
  </si>
  <si>
    <t>Subtotal B1</t>
  </si>
  <si>
    <t>Subtotal B2</t>
  </si>
  <si>
    <t>Subtotal B3</t>
  </si>
  <si>
    <t>Subtotal B4</t>
  </si>
  <si>
    <t>Criteris sotmesos a judici de valor — 25 punts</t>
  </si>
  <si>
    <t>Criteri</t>
  </si>
  <si>
    <t>Màxim</t>
  </si>
  <si>
    <t>Puntuació</t>
  </si>
  <si>
    <t>Control</t>
  </si>
  <si>
    <t>J1</t>
  </si>
  <si>
    <t>Arquitectura i continuïtat Bloc 1</t>
  </si>
  <si>
    <t>0–3</t>
  </si>
  <si>
    <t>J2</t>
  </si>
  <si>
    <t>Migració i posada en servei Bloc 1</t>
  </si>
  <si>
    <t>0–2</t>
  </si>
  <si>
    <t>J3</t>
  </si>
  <si>
    <t>Operació, monitorització i incidències Bloc 1</t>
  </si>
  <si>
    <t>J4</t>
  </si>
  <si>
    <t>Integració/configuració electrònica</t>
  </si>
  <si>
    <t>J5</t>
  </si>
  <si>
    <t>Arquitectura i migració centraleta</t>
  </si>
  <si>
    <t>J6</t>
  </si>
  <si>
    <t>Demostració centraleta en directe</t>
  </si>
  <si>
    <t>J7</t>
  </si>
  <si>
    <t>Formació i transferència</t>
  </si>
  <si>
    <t>J8</t>
  </si>
  <si>
    <t>Traçats i solució fibra</t>
  </si>
  <si>
    <t>0–4</t>
  </si>
  <si>
    <t>J9</t>
  </si>
  <si>
    <t>Execució, qualitat, proves i lliurament</t>
  </si>
  <si>
    <t>Control mensual de velocitat i penalitats del Bloc 1</t>
  </si>
  <si>
    <t>Camp</t>
  </si>
  <si>
    <t>Fórmula</t>
  </si>
  <si>
    <t>Factura mensual Bloc 1</t>
  </si>
  <si>
    <t>Sense IVA</t>
  </si>
  <si>
    <t>Ramals dedicats incomplidors</t>
  </si>
  <si>
    <t>0–10; 2% cadascun</t>
  </si>
  <si>
    <t>FTTH incomplidors</t>
  </si>
  <si>
    <t>0–15; 1% cadascun</t>
  </si>
  <si>
    <t>Manca general</t>
  </si>
  <si>
    <t>Sí si ramals ≥5 o FTTH ≥8</t>
  </si>
  <si>
    <t>Percentatge penalitat</t>
  </si>
  <si>
    <t>10% substitutiu o suma individual</t>
  </si>
  <si>
    <t>Import penalitat</t>
  </si>
  <si>
    <t>Factura × percentatge</t>
  </si>
  <si>
    <t>Import net abans IVA</t>
  </si>
  <si>
    <t>Factura − penalitat</t>
  </si>
  <si>
    <t>Protocol</t>
  </si>
  <si>
    <t>Proves per accés</t>
  </si>
  <si>
    <t>3/mes</t>
  </si>
  <si>
    <t>Dies i franges diferents; eina/servidor aprovats</t>
  </si>
  <si>
    <t>Llindar prova</t>
  </si>
  <si>
    <t>≥90% velocitat</t>
  </si>
  <si>
    <t>Contractada o millorada</t>
  </si>
  <si>
    <t>Compliment accés</t>
  </si>
  <si>
    <t>≥95% proves</t>
  </si>
  <si>
    <t>Evidència exportable</t>
  </si>
  <si>
    <t>Recepció millora</t>
  </si>
  <si>
    <t>Obligatòria</t>
  </si>
  <si>
    <t>Sense velocitat oferta, no es rep ni factura</t>
  </si>
  <si>
    <t>Notes d'ús i traçabilitat</t>
  </si>
  <si>
    <t>Núm.</t>
  </si>
  <si>
    <t>Regla</t>
  </si>
  <si>
    <t>Aplicació</t>
  </si>
  <si>
    <t>Font</t>
  </si>
  <si>
    <t>PG0, PF0, PM0 i BEA estan informats a Inputs!C4:C7</t>
  </si>
  <si>
    <t>PG0 i BEA recalculen PL3, PBL, IVA i VEC; PF0/PM0 fixen els preus de l'excés</t>
  </si>
  <si>
    <t>DOC-01/DOC-03</t>
  </si>
  <si>
    <t>La dada econòmica vinculant és la baixa Bi per bloc, màxim 4 decimals</t>
  </si>
  <si>
    <t>Oi=PLi×(1-Bi/100), arrodonit al cèntim</t>
  </si>
  <si>
    <t>DOC-03/DOC-05</t>
  </si>
  <si>
    <t>La puntuació econòmica usa VP=1 i imports sense IVA</t>
  </si>
  <si>
    <t>Directriu 1/2020</t>
  </si>
  <si>
    <t>No hi ha cinquena oferta global</t>
  </si>
  <si>
    <t>El total és suma derivada dels quatre blocs</t>
  </si>
  <si>
    <t>DOC-05</t>
  </si>
  <si>
    <t>El mínim contractual o el No dona 0 punts; només puntua la millora acreditada</t>
  </si>
  <si>
    <t>Nivells automàtics</t>
  </si>
  <si>
    <t>C3: 10 IPv4=0; 15=1; ≥20=2. T1: 20 canals=0; 30=0,67; 40=1,33; ≥50=2</t>
  </si>
  <si>
    <t>Bloc 2 prorratejat</t>
  </si>
  <si>
    <t>PL2/48 = 798,46 € sense IVA al mes; quatre anualitats de 9.581,52 € sense IVA</t>
  </si>
  <si>
    <t>DOC-03</t>
  </si>
  <si>
    <t>Bloc 4</t>
  </si>
  <si>
    <t>PL4 màxim tancat; O4 minorat per B4</t>
  </si>
  <si>
    <t>DOC-02</t>
  </si>
  <si>
    <t>Portabilitat</t>
  </si>
  <si>
    <t>Tots els números municipals al guanyador; detall facilitat per canal segur</t>
  </si>
  <si>
    <t>DOC-02/DOC-04</t>
  </si>
  <si>
    <t>Excés nacional</t>
  </si>
  <si>
    <t>Bossa conjunta màxima de 150,00 € sense IVA/any; consum real i no acumulable</t>
  </si>
  <si>
    <t>DOC-01/DOC-02/DOC-03/DOC-05</t>
  </si>
  <si>
    <t>Criteris automàtics no econòmics — 32 punts</t>
  </si>
  <si>
    <t>Criteris sotmesos a judici de valor — 28 punts</t>
  </si>
  <si>
    <t>6 escenes: 1+1+1+1+2+1</t>
  </si>
  <si>
    <t>Millores automàtiques: 15+8+6+3=32</t>
  </si>
  <si>
    <t>Judici de valor: 28</t>
  </si>
  <si>
    <t>Rúbriques J1–J9; J6 demo 7 punts</t>
  </si>
  <si>
    <t>PG0, PF0, PM0 i BEA resulten de l’aplicació uniforme de B3.</t>
  </si>
  <si>
    <t>25,00 € fixos (2.500 min) + 36,00 € mòbils (1.500 min); inclou íntegrament qualsevol cost d’establiment de trucada.”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</si>
</sst>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€-403]"/>
    <numFmt numFmtId="165" formatCode="0.0000\ &quot;%&quot;"/>
  </numFmts>
  <fonts count="5" x14ac:knownFonts="1">
    <font>
      <sz val="11"/>
      <name val="Carlito"/>
    </font>
    <font>
      <b/>
      <sz val="10"/>
      <color rgb="FFFFFFFF"/>
      <name val="Aptos"/>
    </font>
    <font>
      <sz val="10"/>
      <name val="Aptos"/>
    </font>
    <font>
      <b/>
      <sz val="10"/>
      <color rgb="FF0B2545"/>
      <name val="Aptos"/>
    </font>
    <font>
      <b/>
      <sz val="10"/>
      <color rgb="FF7F6000"/>
      <name val="Aptos"/>
    </font>
  </fonts>
  <fills count="5">
    <fill>
      <patternFill patternType="none"/>
    </fill>
    <fill>
      <patternFill patternType="gray125"/>
    </fill>
    <fill>
      <patternFill patternType="solid">
        <fgColor rgb="FF0B2545"/>
      </patternFill>
    </fill>
    <fill>
      <patternFill patternType="solid">
        <fgColor rgb="FFDCE7F3"/>
      </patternFill>
    </fill>
    <fill>
      <patternFill patternType="solid">
        <fgColor rgb="FFFFF2CC"/>
      </patternFill>
    </fill>
  </fills>
  <borders count="4">
    <border>
      <left/>
      <right/>
      <top/>
      <bottom/>
      <diagonal/>
    </border>
    <border>
      <left style="thin">
        <color rgb="FFB8C5D1"/>
      </left>
      <right style="thin">
        <color rgb="FFB8C5D1"/>
      </right>
      <top style="thin">
        <color rgb="FFB8C5D1"/>
      </top>
      <bottom style="thin">
        <color rgb="FFB8C5D1"/>
      </bottom>
      <diagonal/>
    </border>
    <border>
      <left style="thin">
        <color rgb="FFD9E0E6"/>
      </left>
      <right style="thin">
        <color rgb="FFD9E0E6"/>
      </right>
      <top style="thin">
        <color rgb="FFD9E0E6"/>
      </top>
      <bottom style="thin">
        <color rgb="FFD9E0E6"/>
      </bottom>
      <diagonal/>
    </border>
    <border>
      <left style="thin">
        <color rgb="FFD6B656"/>
      </left>
      <right style="thin">
        <color rgb="FFD6B656"/>
      </right>
      <top style="thin">
        <color rgb="FFD6B656"/>
      </top>
      <bottom style="thin">
        <color rgb="FFD6B656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3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164" fontId="4" fillId="4" borderId="3" xfId="0" applyNumberFormat="1" applyFont="1" applyFill="1" applyBorder="1" applyAlignment="1">
      <alignment vertical="center" wrapText="1"/>
    </xf>
    <xf numFmtId="164" fontId="2" fillId="0" borderId="2" xfId="0" applyNumberFormat="1" applyFont="1" applyBorder="1" applyAlignment="1">
      <alignment vertical="center" wrapText="1"/>
    </xf>
    <xf numFmtId="165" fontId="4" fillId="4" borderId="3" xfId="0" applyNumberFormat="1" applyFont="1" applyFill="1" applyBorder="1" applyAlignment="1">
      <alignment vertical="center" wrapText="1"/>
    </xf>
    <xf numFmtId="2" fontId="2" fillId="0" borderId="2" xfId="0" applyNumberFormat="1" applyFont="1" applyBorder="1" applyAlignment="1">
      <alignment vertical="center" wrapText="1"/>
    </xf>
    <xf numFmtId="0" fontId="4" fillId="4" borderId="3" xfId="0" applyFont="1" applyFill="1" applyBorder="1" applyAlignment="1">
      <alignment vertical="center" wrapText="1"/>
    </xf>
    <xf numFmtId="2" fontId="2" fillId="0" borderId="0" xfId="0" applyNumberFormat="1" applyFont="1"/>
    <xf numFmtId="2" fontId="4" fillId="4" borderId="3" xfId="0" applyNumberFormat="1" applyFont="1" applyFill="1" applyBorder="1" applyAlignment="1">
      <alignment vertical="center" wrapText="1"/>
    </xf>
    <xf numFmtId="10" fontId="2" fillId="0" borderId="2" xfId="0" applyNumberFormat="1" applyFont="1" applyBorder="1" applyAlignment="1">
      <alignment vertical="center" wrapText="1"/>
    </xf>
    <xf numFmtId="0" fontId="1" fillId="2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showGridLines="0" tabSelected="1" workbookViewId="0">
      <selection activeCell="D8" sqref="D8"/>
    </sheetView>
  </sheetViews>
  <sheetFormatPr baseColWidth="10" defaultColWidth="9" defaultRowHeight="15" x14ac:dyDescent="0.25"/>
  <cols>
    <col min="1" max="1" width="14" customWidth="1"/>
    <col min="2" max="2" width="42" customWidth="1"/>
    <col min="3" max="3" width="20" customWidth="1"/>
    <col min="4" max="4" width="48" customWidth="1"/>
  </cols>
  <sheetData>
    <row r="1" spans="1:4" ht="15" customHeight="1" x14ac:dyDescent="0.25">
      <c r="A1" s="12" t="s">
        <v>0</v>
      </c>
      <c r="B1" s="12" t="s">
        <v>0</v>
      </c>
      <c r="C1" s="12" t="s">
        <v>0</v>
      </c>
      <c r="D1" s="12" t="s">
        <v>0</v>
      </c>
    </row>
    <row r="2" spans="1:4" ht="15" customHeight="1" x14ac:dyDescent="0.25">
      <c r="A2" s="1"/>
      <c r="B2" s="1"/>
      <c r="C2" s="1"/>
      <c r="D2" s="1"/>
    </row>
    <row r="3" spans="1:4" ht="15" customHeight="1" x14ac:dyDescent="0.25">
      <c r="A3" s="2" t="s">
        <v>1</v>
      </c>
      <c r="B3" s="2" t="s">
        <v>2</v>
      </c>
      <c r="C3" s="2" t="s">
        <v>3</v>
      </c>
      <c r="D3" s="2" t="s">
        <v>4</v>
      </c>
    </row>
    <row r="4" spans="1:4" ht="24" customHeight="1" x14ac:dyDescent="0.25">
      <c r="A4" s="3" t="s">
        <v>5</v>
      </c>
      <c r="B4" s="3" t="s">
        <v>6</v>
      </c>
      <c r="C4" s="4">
        <v>61</v>
      </c>
      <c r="D4" s="3" t="s">
        <v>210</v>
      </c>
    </row>
    <row r="5" spans="1:4" ht="15" customHeight="1" x14ac:dyDescent="0.25">
      <c r="A5" s="3" t="s">
        <v>7</v>
      </c>
      <c r="B5" s="3" t="s">
        <v>8</v>
      </c>
      <c r="C5" s="4">
        <v>1.2</v>
      </c>
      <c r="D5" s="3" t="s">
        <v>9</v>
      </c>
    </row>
    <row r="6" spans="1:4" ht="15" customHeight="1" x14ac:dyDescent="0.25">
      <c r="A6" s="3" t="s">
        <v>10</v>
      </c>
      <c r="B6" s="3" t="s">
        <v>11</v>
      </c>
      <c r="C6" s="4">
        <v>2.6</v>
      </c>
      <c r="D6" s="3" t="s">
        <v>9</v>
      </c>
    </row>
    <row r="7" spans="1:4" ht="15" customHeight="1" x14ac:dyDescent="0.25">
      <c r="A7" s="3" t="s">
        <v>12</v>
      </c>
      <c r="B7" s="3" t="s">
        <v>13</v>
      </c>
      <c r="C7" s="4">
        <v>150</v>
      </c>
      <c r="D7" s="3" t="s">
        <v>14</v>
      </c>
    </row>
    <row r="8" spans="1:4" ht="15" customHeight="1" x14ac:dyDescent="0.25">
      <c r="A8" s="3" t="s">
        <v>15</v>
      </c>
      <c r="B8" s="3" t="s">
        <v>16</v>
      </c>
      <c r="C8" s="5">
        <v>75600</v>
      </c>
      <c r="D8" s="3" t="s">
        <v>17</v>
      </c>
    </row>
    <row r="9" spans="1:4" ht="15" customHeight="1" x14ac:dyDescent="0.25">
      <c r="A9" s="3" t="s">
        <v>18</v>
      </c>
      <c r="B9" s="3" t="s">
        <v>19</v>
      </c>
      <c r="C9" s="5">
        <v>38326.080000000002</v>
      </c>
      <c r="D9" s="3" t="s">
        <v>20</v>
      </c>
    </row>
    <row r="10" spans="1:4" ht="15" customHeight="1" x14ac:dyDescent="0.25">
      <c r="A10" s="3" t="s">
        <v>21</v>
      </c>
      <c r="B10" s="3" t="s">
        <v>22</v>
      </c>
      <c r="C10" s="5">
        <f>IF(OR(C4="",C7=""),"",61824+48*C4+4*C7)</f>
        <v>65352</v>
      </c>
      <c r="D10" s="3" t="s">
        <v>23</v>
      </c>
    </row>
    <row r="11" spans="1:4" ht="15" customHeight="1" x14ac:dyDescent="0.25">
      <c r="A11" s="3" t="s">
        <v>24</v>
      </c>
      <c r="B11" s="3" t="s">
        <v>25</v>
      </c>
      <c r="C11" s="5">
        <v>24954.67</v>
      </c>
      <c r="D11" s="3" t="s">
        <v>26</v>
      </c>
    </row>
    <row r="12" spans="1:4" ht="15" customHeight="1" x14ac:dyDescent="0.25">
      <c r="A12" s="3" t="s">
        <v>27</v>
      </c>
      <c r="B12" s="3" t="s">
        <v>28</v>
      </c>
      <c r="C12" s="5">
        <f>IF(C10="","",SUM(C8:C11))</f>
        <v>204232.75</v>
      </c>
      <c r="D12" s="3" t="s">
        <v>29</v>
      </c>
    </row>
    <row r="13" spans="1:4" ht="15" customHeight="1" x14ac:dyDescent="0.25">
      <c r="A13" s="3" t="s">
        <v>30</v>
      </c>
      <c r="B13" s="3" t="s">
        <v>31</v>
      </c>
      <c r="C13" s="5">
        <f>IF(C12="","",C12*21%)</f>
        <v>42888.877499999995</v>
      </c>
      <c r="D13" s="3" t="s">
        <v>32</v>
      </c>
    </row>
    <row r="14" spans="1:4" ht="15" customHeight="1" x14ac:dyDescent="0.25">
      <c r="A14" s="3" t="s">
        <v>33</v>
      </c>
      <c r="B14" s="3" t="s">
        <v>34</v>
      </c>
      <c r="C14" s="5">
        <f>IF(C12="","",C12+C13)</f>
        <v>247121.6275</v>
      </c>
      <c r="D14" s="3" t="s">
        <v>35</v>
      </c>
    </row>
    <row r="15" spans="1:4" ht="15" customHeight="1" x14ac:dyDescent="0.25">
      <c r="A15" s="3" t="s">
        <v>36</v>
      </c>
      <c r="B15" s="3" t="s">
        <v>37</v>
      </c>
      <c r="C15" s="5">
        <f>IF(C12="","",C12*120%)</f>
        <v>245079.3</v>
      </c>
      <c r="D15" s="3" t="s">
        <v>38</v>
      </c>
    </row>
    <row r="16" spans="1:4" ht="15" customHeight="1" x14ac:dyDescent="0.25">
      <c r="A16" s="3" t="s">
        <v>39</v>
      </c>
      <c r="B16" s="3" t="s">
        <v>40</v>
      </c>
      <c r="C16" s="5">
        <f>IF(OR(C4="",C7=""),"",1.21*(12*C4+C7))</f>
        <v>1067.22</v>
      </c>
      <c r="D16" s="3" t="s">
        <v>41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"/>
  <sheetViews>
    <sheetView showGridLines="0" workbookViewId="0">
      <selection activeCell="I10" sqref="I10"/>
    </sheetView>
  </sheetViews>
  <sheetFormatPr baseColWidth="10" defaultColWidth="9" defaultRowHeight="15" x14ac:dyDescent="0.25"/>
  <cols>
    <col min="1" max="1" width="22" customWidth="1"/>
    <col min="2" max="2" width="12" customWidth="1"/>
    <col min="3" max="7" width="17" customWidth="1"/>
    <col min="8" max="8" width="34" customWidth="1"/>
  </cols>
  <sheetData>
    <row r="1" spans="1:8" ht="15" customHeight="1" x14ac:dyDescent="0.25">
      <c r="A1" s="12" t="s">
        <v>42</v>
      </c>
      <c r="B1" s="12" t="s">
        <v>42</v>
      </c>
      <c r="C1" s="12" t="s">
        <v>42</v>
      </c>
      <c r="D1" s="12" t="s">
        <v>42</v>
      </c>
      <c r="E1" s="12" t="s">
        <v>42</v>
      </c>
      <c r="F1" s="12" t="s">
        <v>42</v>
      </c>
      <c r="G1" s="12" t="s">
        <v>42</v>
      </c>
      <c r="H1" s="12" t="s">
        <v>42</v>
      </c>
    </row>
    <row r="2" spans="1:8" ht="15" customHeight="1" x14ac:dyDescent="0.25">
      <c r="A2" s="1"/>
      <c r="B2" s="1"/>
      <c r="C2" s="1"/>
      <c r="D2" s="1"/>
      <c r="E2" s="1"/>
      <c r="F2" s="1"/>
      <c r="G2" s="1"/>
      <c r="H2" s="1"/>
    </row>
    <row r="3" spans="1:8" ht="15" customHeight="1" x14ac:dyDescent="0.25">
      <c r="A3" s="2" t="s">
        <v>43</v>
      </c>
      <c r="B3" s="2" t="s">
        <v>44</v>
      </c>
      <c r="C3" s="2" t="s">
        <v>45</v>
      </c>
      <c r="D3" s="2" t="s">
        <v>46</v>
      </c>
      <c r="E3" s="2" t="s">
        <v>47</v>
      </c>
      <c r="F3" s="2" t="s">
        <v>48</v>
      </c>
      <c r="G3" s="2" t="s">
        <v>49</v>
      </c>
      <c r="H3" s="2" t="s">
        <v>50</v>
      </c>
    </row>
    <row r="4" spans="1:8" ht="15" customHeight="1" x14ac:dyDescent="0.25">
      <c r="A4" s="3" t="s">
        <v>51</v>
      </c>
      <c r="B4" s="3">
        <v>8</v>
      </c>
      <c r="C4" s="5">
        <f>Inputs!C8</f>
        <v>75600</v>
      </c>
      <c r="D4" s="6"/>
      <c r="E4" s="5" t="str">
        <f>IF(OR(C4="",D4=""),"",ROUND(C4*(1-D4/100),2))</f>
        <v/>
      </c>
      <c r="F4" s="4"/>
      <c r="G4" s="7" t="str">
        <f>IF(OR(C4="",E4="",F4=""),"",MAX(0,MIN(B4,ROUND((1-((E4-F4)/C4))*B4,2))))</f>
        <v/>
      </c>
      <c r="H4" s="3" t="s">
        <v>52</v>
      </c>
    </row>
    <row r="5" spans="1:8" ht="15" customHeight="1" x14ac:dyDescent="0.25">
      <c r="A5" s="3" t="s">
        <v>53</v>
      </c>
      <c r="B5" s="3">
        <v>4</v>
      </c>
      <c r="C5" s="5">
        <f>Inputs!C9</f>
        <v>38326.080000000002</v>
      </c>
      <c r="D5" s="6"/>
      <c r="E5" s="5" t="str">
        <f>IF(OR(C5="",D5=""),"",ROUND(C5*(1-D5/100),2))</f>
        <v/>
      </c>
      <c r="F5" s="4"/>
      <c r="G5" s="7" t="str">
        <f>IF(OR(C5="",E5="",F5=""),"",MAX(0,MIN(B5,ROUND((1-((E5-F5)/C5))*B5,2))))</f>
        <v/>
      </c>
      <c r="H5" s="3" t="s">
        <v>54</v>
      </c>
    </row>
    <row r="6" spans="1:8" ht="27" customHeight="1" x14ac:dyDescent="0.25">
      <c r="A6" s="3" t="s">
        <v>55</v>
      </c>
      <c r="B6" s="3">
        <v>8</v>
      </c>
      <c r="C6" s="5">
        <f>Inputs!C10</f>
        <v>65352</v>
      </c>
      <c r="D6" s="6"/>
      <c r="E6" s="5" t="str">
        <f>IF(OR(C6="",D6=""),"",ROUND(C6*(1-D6/100),2))</f>
        <v/>
      </c>
      <c r="F6" s="4"/>
      <c r="G6" s="7" t="str">
        <f>IF(OR(C6="",E6="",F6=""),"",MAX(0,MIN(B6,ROUND((1-((E6-F6)/C6))*B6,2))))</f>
        <v/>
      </c>
      <c r="H6" s="3" t="s">
        <v>209</v>
      </c>
    </row>
    <row r="7" spans="1:8" ht="15" customHeight="1" x14ac:dyDescent="0.25">
      <c r="A7" s="3" t="s">
        <v>56</v>
      </c>
      <c r="B7" s="3">
        <v>20</v>
      </c>
      <c r="C7" s="5">
        <f>Inputs!C11</f>
        <v>24954.67</v>
      </c>
      <c r="D7" s="6"/>
      <c r="E7" s="5" t="str">
        <f>IF(OR(C7="",D7=""),"",ROUND(C7*(1-D7/100),2))</f>
        <v/>
      </c>
      <c r="F7" s="4"/>
      <c r="G7" s="7" t="str">
        <f>IF(OR(C7="",E7="",F7=""),"",MAX(0,MIN(B7,ROUND((1-((E7-F7)/C7))*B7,2))))</f>
        <v/>
      </c>
      <c r="H7" s="3" t="s">
        <v>57</v>
      </c>
    </row>
    <row r="8" spans="1:8" ht="15" customHeight="1" x14ac:dyDescent="0.25">
      <c r="A8" s="3" t="s">
        <v>58</v>
      </c>
      <c r="B8" s="3">
        <v>40</v>
      </c>
      <c r="C8" s="5">
        <f>IF(C6="","",SUM(C4:C7))</f>
        <v>204232.75</v>
      </c>
      <c r="D8" s="3" t="s">
        <v>59</v>
      </c>
      <c r="E8" s="5">
        <f>IF(C6="","",SUM(E4:E7))</f>
        <v>0</v>
      </c>
      <c r="F8" s="5" t="s">
        <v>59</v>
      </c>
      <c r="G8" s="7">
        <f>SUM(G4:G7)</f>
        <v>0</v>
      </c>
      <c r="H8" s="3" t="s">
        <v>60</v>
      </c>
    </row>
    <row r="9" spans="1:8" ht="15" customHeight="1" x14ac:dyDescent="0.25">
      <c r="A9" s="1"/>
      <c r="B9" s="1"/>
      <c r="C9" s="1"/>
      <c r="D9" s="1"/>
      <c r="E9" s="1"/>
      <c r="F9" s="1"/>
      <c r="G9" s="1"/>
      <c r="H9" s="1"/>
    </row>
    <row r="10" spans="1:8" ht="15" customHeight="1" x14ac:dyDescent="0.25">
      <c r="A10" s="3" t="s">
        <v>61</v>
      </c>
      <c r="B10" s="3"/>
      <c r="C10" s="3"/>
      <c r="D10" s="3"/>
      <c r="E10" s="3"/>
      <c r="F10" s="3"/>
      <c r="G10" s="3"/>
      <c r="H10" s="3"/>
    </row>
    <row r="11" spans="1:8" ht="48" customHeight="1" x14ac:dyDescent="0.25">
      <c r="A11" s="3" t="s">
        <v>62</v>
      </c>
      <c r="B11" s="3" t="s">
        <v>63</v>
      </c>
      <c r="C11" s="3"/>
      <c r="D11" s="3"/>
      <c r="E11" s="3"/>
      <c r="F11" s="3"/>
      <c r="G11" s="3"/>
      <c r="H11" s="3"/>
    </row>
    <row r="12" spans="1:8" ht="36" customHeight="1" x14ac:dyDescent="0.25">
      <c r="A12" s="3" t="s">
        <v>64</v>
      </c>
      <c r="B12" s="3" t="s">
        <v>65</v>
      </c>
      <c r="C12" s="3"/>
      <c r="D12" s="3"/>
      <c r="E12" s="3"/>
      <c r="F12" s="3"/>
      <c r="G12" s="3"/>
      <c r="H12" s="3"/>
    </row>
    <row r="13" spans="1:8" ht="36" customHeight="1" x14ac:dyDescent="0.25">
      <c r="A13" s="3" t="s">
        <v>66</v>
      </c>
      <c r="B13" s="3" t="s">
        <v>67</v>
      </c>
      <c r="C13" s="3"/>
      <c r="D13" s="3"/>
      <c r="E13" s="3"/>
      <c r="F13" s="3"/>
      <c r="G13" s="3"/>
      <c r="H13" s="3"/>
    </row>
    <row r="14" spans="1:8" ht="48" customHeight="1" x14ac:dyDescent="0.25">
      <c r="A14" s="3" t="s">
        <v>68</v>
      </c>
      <c r="B14" s="3" t="s">
        <v>69</v>
      </c>
      <c r="C14" s="3"/>
      <c r="D14" s="3"/>
      <c r="E14" s="3"/>
      <c r="F14" s="3"/>
      <c r="G14" s="3"/>
      <c r="H14" s="3"/>
    </row>
    <row r="15" spans="1:8" ht="60" customHeight="1" x14ac:dyDescent="0.25">
      <c r="A15" s="3" t="s">
        <v>70</v>
      </c>
      <c r="B15" s="3" t="s">
        <v>71</v>
      </c>
      <c r="C15" s="3"/>
      <c r="D15" s="3"/>
      <c r="E15" s="3"/>
      <c r="F15" s="3"/>
      <c r="G15" s="3"/>
      <c r="H15" s="3"/>
    </row>
  </sheetData>
  <mergeCells count="1">
    <mergeCell ref="A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6"/>
  <sheetViews>
    <sheetView showGridLines="0" workbookViewId="0">
      <selection activeCell="H19" sqref="H19"/>
    </sheetView>
  </sheetViews>
  <sheetFormatPr baseColWidth="10" defaultColWidth="9" defaultRowHeight="15" x14ac:dyDescent="0.25"/>
  <cols>
    <col min="1" max="1" width="11" customWidth="1"/>
    <col min="2" max="2" width="9" customWidth="1"/>
    <col min="3" max="3" width="62" customWidth="1"/>
    <col min="4" max="4" width="20" customWidth="1"/>
    <col min="5" max="6" width="14" customWidth="1"/>
  </cols>
  <sheetData>
    <row r="1" spans="1:6" ht="15" customHeight="1" x14ac:dyDescent="0.25">
      <c r="A1" s="12" t="s">
        <v>203</v>
      </c>
      <c r="B1" s="12" t="s">
        <v>72</v>
      </c>
      <c r="C1" s="12" t="s">
        <v>72</v>
      </c>
      <c r="D1" s="12" t="s">
        <v>72</v>
      </c>
      <c r="E1" s="12" t="s">
        <v>72</v>
      </c>
      <c r="F1" s="12" t="s">
        <v>72</v>
      </c>
    </row>
    <row r="2" spans="1:6" ht="15" customHeight="1" x14ac:dyDescent="0.25">
      <c r="A2" s="1"/>
      <c r="B2" s="1"/>
      <c r="C2" s="1"/>
      <c r="D2" s="1"/>
      <c r="E2" s="1"/>
      <c r="F2" s="1"/>
    </row>
    <row r="3" spans="1:6" ht="15" customHeight="1" x14ac:dyDescent="0.25">
      <c r="A3" s="2" t="s">
        <v>1</v>
      </c>
      <c r="B3" s="2" t="s">
        <v>43</v>
      </c>
      <c r="C3" s="2" t="s">
        <v>73</v>
      </c>
      <c r="D3" s="2" t="s">
        <v>74</v>
      </c>
      <c r="E3" s="2" t="s">
        <v>75</v>
      </c>
      <c r="F3" s="2" t="s">
        <v>76</v>
      </c>
    </row>
    <row r="4" spans="1:6" ht="15" customHeight="1" x14ac:dyDescent="0.25">
      <c r="A4" s="3" t="s">
        <v>77</v>
      </c>
      <c r="B4" s="3" t="s">
        <v>78</v>
      </c>
      <c r="C4" s="3" t="s">
        <v>79</v>
      </c>
      <c r="D4" s="8" t="s">
        <v>80</v>
      </c>
      <c r="E4" s="7">
        <v>5</v>
      </c>
      <c r="F4" s="7">
        <f>IF(LOWER(D4)="sí",E4,0)</f>
        <v>0</v>
      </c>
    </row>
    <row r="5" spans="1:6" ht="15" customHeight="1" x14ac:dyDescent="0.25">
      <c r="A5" s="3" t="s">
        <v>81</v>
      </c>
      <c r="B5" s="3" t="s">
        <v>78</v>
      </c>
      <c r="C5" s="3" t="s">
        <v>82</v>
      </c>
      <c r="D5" s="8" t="s">
        <v>80</v>
      </c>
      <c r="E5" s="7">
        <v>2</v>
      </c>
      <c r="F5" s="7">
        <f>IF(LOWER(D5)="sí",E5,0)</f>
        <v>0</v>
      </c>
    </row>
    <row r="6" spans="1:6" ht="15" customHeight="1" x14ac:dyDescent="0.25">
      <c r="A6" s="3" t="s">
        <v>83</v>
      </c>
      <c r="B6" s="3" t="s">
        <v>78</v>
      </c>
      <c r="C6" s="3" t="s">
        <v>84</v>
      </c>
      <c r="D6" s="8" t="s">
        <v>80</v>
      </c>
      <c r="E6" s="7">
        <v>2</v>
      </c>
      <c r="F6" s="7">
        <f>IF(LOWER(D6)="sí",E6,0)</f>
        <v>0</v>
      </c>
    </row>
    <row r="7" spans="1:6" ht="15" customHeight="1" x14ac:dyDescent="0.25">
      <c r="A7" s="3" t="s">
        <v>85</v>
      </c>
      <c r="B7" s="3" t="s">
        <v>78</v>
      </c>
      <c r="C7" s="3" t="s">
        <v>86</v>
      </c>
      <c r="D7" s="8">
        <v>10</v>
      </c>
      <c r="E7" s="7">
        <v>2</v>
      </c>
      <c r="F7" s="7">
        <f>IF(D7&gt;=20,2,IF(D7&gt;=15,1,0))</f>
        <v>0</v>
      </c>
    </row>
    <row r="8" spans="1:6" ht="15" customHeight="1" x14ac:dyDescent="0.25">
      <c r="A8" s="3" t="s">
        <v>87</v>
      </c>
      <c r="B8" s="3" t="s">
        <v>78</v>
      </c>
      <c r="C8" s="3" t="s">
        <v>88</v>
      </c>
      <c r="D8" s="8" t="s">
        <v>80</v>
      </c>
      <c r="E8" s="7">
        <v>2</v>
      </c>
      <c r="F8" s="7">
        <f t="shared" ref="F8:F13" si="0">IF(LOWER(D8)="sí",E8,0)</f>
        <v>0</v>
      </c>
    </row>
    <row r="9" spans="1:6" ht="15" customHeight="1" x14ac:dyDescent="0.25">
      <c r="A9" s="3" t="s">
        <v>89</v>
      </c>
      <c r="B9" s="3" t="s">
        <v>78</v>
      </c>
      <c r="C9" s="3" t="s">
        <v>90</v>
      </c>
      <c r="D9" s="8" t="s">
        <v>80</v>
      </c>
      <c r="E9" s="7">
        <v>2</v>
      </c>
      <c r="F9" s="7">
        <f t="shared" si="0"/>
        <v>0</v>
      </c>
    </row>
    <row r="10" spans="1:6" ht="15" customHeight="1" x14ac:dyDescent="0.25">
      <c r="A10" s="3" t="s">
        <v>91</v>
      </c>
      <c r="B10" s="3" t="s">
        <v>92</v>
      </c>
      <c r="C10" s="3" t="s">
        <v>93</v>
      </c>
      <c r="D10" s="8" t="s">
        <v>80</v>
      </c>
      <c r="E10" s="7">
        <v>1</v>
      </c>
      <c r="F10" s="7">
        <f t="shared" si="0"/>
        <v>0</v>
      </c>
    </row>
    <row r="11" spans="1:6" ht="15" customHeight="1" x14ac:dyDescent="0.25">
      <c r="A11" s="3" t="s">
        <v>94</v>
      </c>
      <c r="B11" s="3" t="s">
        <v>92</v>
      </c>
      <c r="C11" s="3" t="s">
        <v>95</v>
      </c>
      <c r="D11" s="8" t="s">
        <v>80</v>
      </c>
      <c r="E11" s="7">
        <v>1</v>
      </c>
      <c r="F11" s="7">
        <f t="shared" si="0"/>
        <v>0</v>
      </c>
    </row>
    <row r="12" spans="1:6" ht="15" customHeight="1" x14ac:dyDescent="0.25">
      <c r="A12" s="3" t="s">
        <v>96</v>
      </c>
      <c r="B12" s="3" t="s">
        <v>92</v>
      </c>
      <c r="C12" s="3" t="s">
        <v>97</v>
      </c>
      <c r="D12" s="8" t="s">
        <v>80</v>
      </c>
      <c r="E12" s="7">
        <v>3</v>
      </c>
      <c r="F12" s="7">
        <f t="shared" si="0"/>
        <v>0</v>
      </c>
    </row>
    <row r="13" spans="1:6" ht="15" customHeight="1" x14ac:dyDescent="0.25">
      <c r="A13" s="3" t="s">
        <v>98</v>
      </c>
      <c r="B13" s="3" t="s">
        <v>92</v>
      </c>
      <c r="C13" s="3" t="s">
        <v>99</v>
      </c>
      <c r="D13" s="8" t="s">
        <v>80</v>
      </c>
      <c r="E13" s="7">
        <v>3</v>
      </c>
      <c r="F13" s="7">
        <f t="shared" si="0"/>
        <v>0</v>
      </c>
    </row>
    <row r="14" spans="1:6" ht="15" customHeight="1" x14ac:dyDescent="0.25">
      <c r="A14" s="3" t="s">
        <v>100</v>
      </c>
      <c r="B14" s="3" t="s">
        <v>101</v>
      </c>
      <c r="C14" s="3" t="s">
        <v>102</v>
      </c>
      <c r="D14" s="8">
        <v>20</v>
      </c>
      <c r="E14" s="7">
        <v>2</v>
      </c>
      <c r="F14" s="7">
        <f>IF(D14&gt;=50,2,IF(D14&gt;=40,1.33,IF(D14&gt;=30,0.67,0)))</f>
        <v>0</v>
      </c>
    </row>
    <row r="15" spans="1:6" ht="15" customHeight="1" x14ac:dyDescent="0.25">
      <c r="A15" s="3" t="s">
        <v>103</v>
      </c>
      <c r="B15" s="3" t="s">
        <v>101</v>
      </c>
      <c r="C15" s="3" t="s">
        <v>104</v>
      </c>
      <c r="D15" s="8" t="s">
        <v>80</v>
      </c>
      <c r="E15" s="7">
        <v>2</v>
      </c>
      <c r="F15" s="7">
        <f t="shared" ref="F15:F18" si="1">IF(LOWER(D15)="sí",E15,0)</f>
        <v>0</v>
      </c>
    </row>
    <row r="16" spans="1:6" ht="15" customHeight="1" x14ac:dyDescent="0.25">
      <c r="A16" s="3" t="s">
        <v>105</v>
      </c>
      <c r="B16" s="3" t="s">
        <v>101</v>
      </c>
      <c r="C16" s="3" t="s">
        <v>106</v>
      </c>
      <c r="D16" s="8" t="s">
        <v>80</v>
      </c>
      <c r="E16" s="7">
        <v>2</v>
      </c>
      <c r="F16" s="7">
        <f t="shared" si="1"/>
        <v>0</v>
      </c>
    </row>
    <row r="17" spans="1:6" ht="15" customHeight="1" x14ac:dyDescent="0.25">
      <c r="A17" s="3" t="s">
        <v>107</v>
      </c>
      <c r="B17" s="3" t="s">
        <v>108</v>
      </c>
      <c r="C17" s="3" t="s">
        <v>109</v>
      </c>
      <c r="D17" s="8" t="s">
        <v>80</v>
      </c>
      <c r="E17" s="7">
        <v>1</v>
      </c>
      <c r="F17" s="7">
        <f t="shared" si="1"/>
        <v>0</v>
      </c>
    </row>
    <row r="18" spans="1:6" ht="15" customHeight="1" x14ac:dyDescent="0.25">
      <c r="A18" s="3" t="s">
        <v>110</v>
      </c>
      <c r="B18" s="3" t="s">
        <v>108</v>
      </c>
      <c r="C18" s="3" t="s">
        <v>111</v>
      </c>
      <c r="D18" s="8" t="s">
        <v>80</v>
      </c>
      <c r="E18" s="7">
        <v>2</v>
      </c>
      <c r="F18" s="7">
        <f t="shared" si="1"/>
        <v>0</v>
      </c>
    </row>
    <row r="19" spans="1:6" ht="15" customHeight="1" x14ac:dyDescent="0.25">
      <c r="A19" s="1"/>
      <c r="B19" s="1"/>
      <c r="C19" s="1"/>
      <c r="D19" s="1"/>
      <c r="E19" s="9"/>
      <c r="F19" s="9"/>
    </row>
    <row r="20" spans="1:6" ht="15" customHeight="1" x14ac:dyDescent="0.25">
      <c r="A20" s="3" t="s">
        <v>112</v>
      </c>
      <c r="B20" s="3"/>
      <c r="C20" s="3"/>
      <c r="D20" s="3"/>
      <c r="E20" s="7">
        <v>15</v>
      </c>
      <c r="F20" s="7">
        <f>SUM(F4:F9)</f>
        <v>0</v>
      </c>
    </row>
    <row r="21" spans="1:6" ht="15" customHeight="1" x14ac:dyDescent="0.25">
      <c r="A21" s="3" t="s">
        <v>113</v>
      </c>
      <c r="B21" s="3"/>
      <c r="C21" s="3"/>
      <c r="D21" s="3"/>
      <c r="E21" s="7">
        <v>8</v>
      </c>
      <c r="F21" s="7">
        <f>SUM(F10:F13)</f>
        <v>0</v>
      </c>
    </row>
    <row r="22" spans="1:6" ht="15" customHeight="1" x14ac:dyDescent="0.25">
      <c r="A22" s="3" t="s">
        <v>114</v>
      </c>
      <c r="B22" s="3"/>
      <c r="C22" s="3"/>
      <c r="D22" s="3"/>
      <c r="E22" s="7">
        <v>6</v>
      </c>
      <c r="F22" s="7">
        <f>SUM(F14:F16)</f>
        <v>0</v>
      </c>
    </row>
    <row r="23" spans="1:6" ht="15" customHeight="1" x14ac:dyDescent="0.25">
      <c r="A23" s="3" t="s">
        <v>115</v>
      </c>
      <c r="B23" s="3"/>
      <c r="C23" s="3"/>
      <c r="D23" s="3"/>
      <c r="E23" s="7">
        <v>3</v>
      </c>
      <c r="F23" s="7">
        <f>SUM(F17:F18)</f>
        <v>0</v>
      </c>
    </row>
    <row r="24" spans="1:6" ht="15" customHeight="1" x14ac:dyDescent="0.25">
      <c r="A24" s="3" t="s">
        <v>58</v>
      </c>
      <c r="B24" s="3"/>
      <c r="C24" s="3"/>
      <c r="D24" s="3"/>
      <c r="E24" s="7">
        <v>32</v>
      </c>
      <c r="F24" s="7">
        <f>SUM(F20:F23)</f>
        <v>0</v>
      </c>
    </row>
    <row r="25" spans="1:6" ht="15" customHeight="1" x14ac:dyDescent="0.25"/>
    <row r="26" spans="1:6" ht="15" customHeight="1" x14ac:dyDescent="0.25"/>
  </sheetData>
  <mergeCells count="1">
    <mergeCell ref="A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4"/>
  <sheetViews>
    <sheetView showGridLines="0" workbookViewId="0">
      <selection activeCell="J9" sqref="J9"/>
    </sheetView>
  </sheetViews>
  <sheetFormatPr baseColWidth="10" defaultColWidth="9" defaultRowHeight="15" x14ac:dyDescent="0.25"/>
  <cols>
    <col min="1" max="1" width="12" customWidth="1"/>
    <col min="2" max="2" width="58" customWidth="1"/>
    <col min="3" max="5" width="17" customWidth="1"/>
  </cols>
  <sheetData>
    <row r="1" spans="1:5" ht="15" customHeight="1" x14ac:dyDescent="0.25">
      <c r="A1" s="12" t="s">
        <v>204</v>
      </c>
      <c r="B1" s="12" t="s">
        <v>116</v>
      </c>
      <c r="C1" s="12" t="s">
        <v>116</v>
      </c>
      <c r="D1" s="12" t="s">
        <v>116</v>
      </c>
      <c r="E1" s="12" t="s">
        <v>116</v>
      </c>
    </row>
    <row r="2" spans="1:5" ht="15" customHeight="1" x14ac:dyDescent="0.25">
      <c r="A2" s="1"/>
      <c r="B2" s="1"/>
      <c r="C2" s="1"/>
      <c r="D2" s="1"/>
      <c r="E2" s="1"/>
    </row>
    <row r="3" spans="1:5" ht="15" customHeight="1" x14ac:dyDescent="0.25">
      <c r="A3" s="2" t="s">
        <v>1</v>
      </c>
      <c r="B3" s="2" t="s">
        <v>117</v>
      </c>
      <c r="C3" s="2" t="s">
        <v>118</v>
      </c>
      <c r="D3" s="2" t="s">
        <v>119</v>
      </c>
      <c r="E3" s="2" t="s">
        <v>120</v>
      </c>
    </row>
    <row r="4" spans="1:5" ht="15" customHeight="1" x14ac:dyDescent="0.25">
      <c r="A4" s="3" t="s">
        <v>121</v>
      </c>
      <c r="B4" s="3" t="s">
        <v>122</v>
      </c>
      <c r="C4" s="7">
        <v>3</v>
      </c>
      <c r="D4" s="10"/>
      <c r="E4" s="3" t="s">
        <v>123</v>
      </c>
    </row>
    <row r="5" spans="1:5" ht="15" customHeight="1" x14ac:dyDescent="0.25">
      <c r="A5" s="3" t="s">
        <v>124</v>
      </c>
      <c r="B5" s="3" t="s">
        <v>125</v>
      </c>
      <c r="C5" s="7">
        <v>2</v>
      </c>
      <c r="D5" s="10"/>
      <c r="E5" s="3" t="s">
        <v>126</v>
      </c>
    </row>
    <row r="6" spans="1:5" ht="15" customHeight="1" x14ac:dyDescent="0.25">
      <c r="A6" s="3" t="s">
        <v>127</v>
      </c>
      <c r="B6" s="3" t="s">
        <v>128</v>
      </c>
      <c r="C6" s="7">
        <v>2</v>
      </c>
      <c r="D6" s="10"/>
      <c r="E6" s="3" t="s">
        <v>126</v>
      </c>
    </row>
    <row r="7" spans="1:5" ht="15" customHeight="1" x14ac:dyDescent="0.25">
      <c r="A7" s="3" t="s">
        <v>129</v>
      </c>
      <c r="B7" s="3" t="s">
        <v>130</v>
      </c>
      <c r="C7" s="7">
        <v>3</v>
      </c>
      <c r="D7" s="10"/>
      <c r="E7" s="3" t="s">
        <v>123</v>
      </c>
    </row>
    <row r="8" spans="1:5" ht="15" customHeight="1" x14ac:dyDescent="0.25">
      <c r="A8" s="3" t="s">
        <v>131</v>
      </c>
      <c r="B8" s="3" t="s">
        <v>132</v>
      </c>
      <c r="C8" s="7">
        <v>2</v>
      </c>
      <c r="D8" s="10"/>
      <c r="E8" s="3" t="s">
        <v>126</v>
      </c>
    </row>
    <row r="9" spans="1:5" ht="30" customHeight="1" x14ac:dyDescent="0.25">
      <c r="A9" s="3" t="s">
        <v>133</v>
      </c>
      <c r="B9" s="3" t="s">
        <v>134</v>
      </c>
      <c r="C9" s="7">
        <v>7</v>
      </c>
      <c r="D9" s="10"/>
      <c r="E9" s="3" t="s">
        <v>205</v>
      </c>
    </row>
    <row r="10" spans="1:5" ht="15" customHeight="1" x14ac:dyDescent="0.25">
      <c r="A10" s="3" t="s">
        <v>135</v>
      </c>
      <c r="B10" s="3" t="s">
        <v>136</v>
      </c>
      <c r="C10" s="7">
        <v>2</v>
      </c>
      <c r="D10" s="10"/>
      <c r="E10" s="3" t="s">
        <v>126</v>
      </c>
    </row>
    <row r="11" spans="1:5" ht="15" customHeight="1" x14ac:dyDescent="0.25">
      <c r="A11" s="3" t="s">
        <v>137</v>
      </c>
      <c r="B11" s="3" t="s">
        <v>138</v>
      </c>
      <c r="C11" s="7">
        <v>4</v>
      </c>
      <c r="D11" s="10"/>
      <c r="E11" s="3" t="s">
        <v>139</v>
      </c>
    </row>
    <row r="12" spans="1:5" ht="15" customHeight="1" x14ac:dyDescent="0.25">
      <c r="A12" s="3" t="s">
        <v>140</v>
      </c>
      <c r="B12" s="3" t="s">
        <v>141</v>
      </c>
      <c r="C12" s="7">
        <v>3</v>
      </c>
      <c r="D12" s="10"/>
      <c r="E12" s="3" t="s">
        <v>123</v>
      </c>
    </row>
    <row r="13" spans="1:5" ht="15" customHeight="1" x14ac:dyDescent="0.25">
      <c r="A13" s="1"/>
      <c r="B13" s="1"/>
      <c r="C13" s="9"/>
      <c r="D13" s="9"/>
      <c r="E13" s="1"/>
    </row>
    <row r="14" spans="1:5" ht="15" customHeight="1" x14ac:dyDescent="0.25">
      <c r="A14" s="3" t="s">
        <v>58</v>
      </c>
      <c r="B14" s="3"/>
      <c r="C14" s="7">
        <v>28</v>
      </c>
      <c r="D14" s="7">
        <f>SUM(D4:D12)</f>
        <v>0</v>
      </c>
      <c r="E14" s="3"/>
    </row>
  </sheetData>
  <mergeCells count="1">
    <mergeCell ref="A1:E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6"/>
  <sheetViews>
    <sheetView showGridLines="0" workbookViewId="0">
      <selection sqref="A1:D1"/>
    </sheetView>
  </sheetViews>
  <sheetFormatPr baseColWidth="10" defaultColWidth="9" defaultRowHeight="15" x14ac:dyDescent="0.25"/>
  <cols>
    <col min="1" max="1" width="34" customWidth="1"/>
    <col min="2" max="3" width="20" customWidth="1"/>
    <col min="4" max="4" width="50" customWidth="1"/>
  </cols>
  <sheetData>
    <row r="1" spans="1:4" ht="15" customHeight="1" x14ac:dyDescent="0.25">
      <c r="A1" s="12" t="s">
        <v>142</v>
      </c>
      <c r="B1" s="12" t="s">
        <v>142</v>
      </c>
      <c r="C1" s="12" t="s">
        <v>142</v>
      </c>
      <c r="D1" s="12" t="s">
        <v>142</v>
      </c>
    </row>
    <row r="2" spans="1:4" ht="15" customHeight="1" x14ac:dyDescent="0.25">
      <c r="A2" s="1"/>
      <c r="B2" s="1"/>
      <c r="C2" s="1"/>
      <c r="D2" s="1"/>
    </row>
    <row r="3" spans="1:4" ht="15" customHeight="1" x14ac:dyDescent="0.25">
      <c r="A3" s="2" t="s">
        <v>143</v>
      </c>
      <c r="B3" s="2" t="s">
        <v>3</v>
      </c>
      <c r="C3" s="2" t="s">
        <v>144</v>
      </c>
      <c r="D3" s="2" t="s">
        <v>4</v>
      </c>
    </row>
    <row r="4" spans="1:4" ht="15" customHeight="1" x14ac:dyDescent="0.25">
      <c r="A4" s="3" t="s">
        <v>145</v>
      </c>
      <c r="B4" s="4"/>
      <c r="C4" s="3"/>
      <c r="D4" s="3" t="s">
        <v>146</v>
      </c>
    </row>
    <row r="5" spans="1:4" ht="15" customHeight="1" x14ac:dyDescent="0.25">
      <c r="A5" s="3" t="s">
        <v>147</v>
      </c>
      <c r="B5" s="8">
        <v>0</v>
      </c>
      <c r="C5" s="3"/>
      <c r="D5" s="3" t="s">
        <v>148</v>
      </c>
    </row>
    <row r="6" spans="1:4" ht="15" customHeight="1" x14ac:dyDescent="0.25">
      <c r="A6" s="3" t="s">
        <v>149</v>
      </c>
      <c r="B6" s="8">
        <v>0</v>
      </c>
      <c r="C6" s="3"/>
      <c r="D6" s="3" t="s">
        <v>150</v>
      </c>
    </row>
    <row r="7" spans="1:4" ht="15" customHeight="1" x14ac:dyDescent="0.25">
      <c r="A7" s="3" t="s">
        <v>151</v>
      </c>
      <c r="B7" s="3" t="str">
        <f>IF(OR(B5&gt;=5,B6&gt;=8),"Sí","No")</f>
        <v>No</v>
      </c>
      <c r="C7" s="3"/>
      <c r="D7" s="3" t="s">
        <v>152</v>
      </c>
    </row>
    <row r="8" spans="1:4" ht="15" customHeight="1" x14ac:dyDescent="0.25">
      <c r="A8" s="3" t="s">
        <v>153</v>
      </c>
      <c r="B8" s="11">
        <f>IF(B7="Sí",10%,B5*2%+B6*1%)</f>
        <v>0</v>
      </c>
      <c r="C8" s="3"/>
      <c r="D8" s="3" t="s">
        <v>154</v>
      </c>
    </row>
    <row r="9" spans="1:4" ht="15" customHeight="1" x14ac:dyDescent="0.25">
      <c r="A9" s="3" t="s">
        <v>155</v>
      </c>
      <c r="B9" s="5">
        <f>B4*B8</f>
        <v>0</v>
      </c>
      <c r="C9" s="3"/>
      <c r="D9" s="3" t="s">
        <v>156</v>
      </c>
    </row>
    <row r="10" spans="1:4" ht="15" customHeight="1" x14ac:dyDescent="0.25">
      <c r="A10" s="3" t="s">
        <v>157</v>
      </c>
      <c r="B10" s="5">
        <f>B4-B9</f>
        <v>0</v>
      </c>
      <c r="C10" s="3"/>
      <c r="D10" s="3" t="s">
        <v>158</v>
      </c>
    </row>
    <row r="11" spans="1:4" ht="15" customHeight="1" x14ac:dyDescent="0.25">
      <c r="A11" s="1"/>
      <c r="B11" s="1"/>
      <c r="C11" s="1"/>
      <c r="D11" s="1"/>
    </row>
    <row r="12" spans="1:4" ht="15" customHeight="1" x14ac:dyDescent="0.25">
      <c r="A12" s="3" t="s">
        <v>159</v>
      </c>
      <c r="B12" s="3"/>
      <c r="C12" s="3"/>
      <c r="D12" s="3"/>
    </row>
    <row r="13" spans="1:4" ht="15" customHeight="1" x14ac:dyDescent="0.25">
      <c r="A13" s="3" t="s">
        <v>160</v>
      </c>
      <c r="B13" s="3" t="s">
        <v>161</v>
      </c>
      <c r="C13" s="3"/>
      <c r="D13" s="3" t="s">
        <v>162</v>
      </c>
    </row>
    <row r="14" spans="1:4" ht="15" customHeight="1" x14ac:dyDescent="0.25">
      <c r="A14" s="3" t="s">
        <v>163</v>
      </c>
      <c r="B14" s="3" t="s">
        <v>164</v>
      </c>
      <c r="C14" s="3"/>
      <c r="D14" s="3" t="s">
        <v>165</v>
      </c>
    </row>
    <row r="15" spans="1:4" ht="15" customHeight="1" x14ac:dyDescent="0.25">
      <c r="A15" s="3" t="s">
        <v>166</v>
      </c>
      <c r="B15" s="3" t="s">
        <v>167</v>
      </c>
      <c r="C15" s="3"/>
      <c r="D15" s="3" t="s">
        <v>168</v>
      </c>
    </row>
    <row r="16" spans="1:4" ht="15" customHeight="1" x14ac:dyDescent="0.25">
      <c r="A16" s="3" t="s">
        <v>169</v>
      </c>
      <c r="B16" s="3" t="s">
        <v>170</v>
      </c>
      <c r="C16" s="3"/>
      <c r="D16" s="3" t="s">
        <v>171</v>
      </c>
    </row>
  </sheetData>
  <mergeCells count="1">
    <mergeCell ref="A1:D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4"/>
  <sheetViews>
    <sheetView showGridLines="0" workbookViewId="0">
      <selection activeCell="C10" sqref="C10"/>
    </sheetView>
  </sheetViews>
  <sheetFormatPr baseColWidth="10" defaultColWidth="9" defaultRowHeight="15" x14ac:dyDescent="0.25"/>
  <cols>
    <col min="1" max="1" width="10" customWidth="1"/>
    <col min="2" max="2" width="60" customWidth="1"/>
    <col min="3" max="3" width="48" customWidth="1"/>
    <col min="4" max="4" width="28" customWidth="1"/>
  </cols>
  <sheetData>
    <row r="1" spans="1:4" ht="15" customHeight="1" x14ac:dyDescent="0.25">
      <c r="A1" s="12" t="s">
        <v>172</v>
      </c>
      <c r="B1" s="12" t="s">
        <v>172</v>
      </c>
      <c r="C1" s="12" t="s">
        <v>172</v>
      </c>
      <c r="D1" s="12" t="s">
        <v>172</v>
      </c>
    </row>
    <row r="2" spans="1:4" ht="15" customHeight="1" x14ac:dyDescent="0.25">
      <c r="A2" s="1"/>
      <c r="B2" s="1"/>
      <c r="C2" s="1"/>
      <c r="D2" s="1"/>
    </row>
    <row r="3" spans="1:4" ht="15" customHeight="1" x14ac:dyDescent="0.25">
      <c r="A3" s="2" t="s">
        <v>173</v>
      </c>
      <c r="B3" s="2" t="s">
        <v>174</v>
      </c>
      <c r="C3" s="2" t="s">
        <v>175</v>
      </c>
      <c r="D3" s="2" t="s">
        <v>176</v>
      </c>
    </row>
    <row r="4" spans="1:4" ht="24" customHeight="1" x14ac:dyDescent="0.25">
      <c r="A4" s="3">
        <v>1</v>
      </c>
      <c r="B4" s="3" t="s">
        <v>177</v>
      </c>
      <c r="C4" s="3" t="s">
        <v>178</v>
      </c>
      <c r="D4" s="3" t="s">
        <v>179</v>
      </c>
    </row>
    <row r="5" spans="1:4" ht="15" customHeight="1" x14ac:dyDescent="0.25">
      <c r="A5" s="3">
        <v>2</v>
      </c>
      <c r="B5" s="3" t="s">
        <v>180</v>
      </c>
      <c r="C5" s="3" t="s">
        <v>181</v>
      </c>
      <c r="D5" s="3" t="s">
        <v>182</v>
      </c>
    </row>
    <row r="6" spans="1:4" ht="15" customHeight="1" x14ac:dyDescent="0.25">
      <c r="A6" s="3">
        <v>3</v>
      </c>
      <c r="B6" s="3" t="s">
        <v>183</v>
      </c>
      <c r="C6" s="3" t="s">
        <v>52</v>
      </c>
      <c r="D6" s="3" t="s">
        <v>184</v>
      </c>
    </row>
    <row r="7" spans="1:4" ht="15" customHeight="1" x14ac:dyDescent="0.25">
      <c r="A7" s="3">
        <v>4</v>
      </c>
      <c r="B7" s="3" t="s">
        <v>185</v>
      </c>
      <c r="C7" s="3" t="s">
        <v>186</v>
      </c>
      <c r="D7" s="3" t="s">
        <v>187</v>
      </c>
    </row>
    <row r="8" spans="1:4" ht="24" customHeight="1" x14ac:dyDescent="0.25">
      <c r="A8" s="3">
        <v>5</v>
      </c>
      <c r="B8" s="3" t="s">
        <v>206</v>
      </c>
      <c r="C8" s="3" t="s">
        <v>188</v>
      </c>
      <c r="D8" s="3" t="s">
        <v>182</v>
      </c>
    </row>
    <row r="9" spans="1:4" ht="15" customHeight="1" x14ac:dyDescent="0.25">
      <c r="A9" s="3">
        <v>6</v>
      </c>
      <c r="B9" s="3" t="s">
        <v>189</v>
      </c>
      <c r="C9" s="3" t="s">
        <v>190</v>
      </c>
      <c r="D9" s="3" t="s">
        <v>182</v>
      </c>
    </row>
    <row r="10" spans="1:4" ht="24" customHeight="1" x14ac:dyDescent="0.25">
      <c r="A10" s="3">
        <v>7</v>
      </c>
      <c r="B10" s="3" t="s">
        <v>191</v>
      </c>
      <c r="C10" s="3" t="s">
        <v>192</v>
      </c>
      <c r="D10" s="3" t="s">
        <v>179</v>
      </c>
    </row>
    <row r="11" spans="1:4" ht="15" customHeight="1" x14ac:dyDescent="0.25">
      <c r="A11" s="3">
        <v>8</v>
      </c>
      <c r="B11" s="3" t="s">
        <v>207</v>
      </c>
      <c r="C11" s="3" t="s">
        <v>208</v>
      </c>
      <c r="D11" s="3" t="s">
        <v>193</v>
      </c>
    </row>
    <row r="12" spans="1:4" ht="15" customHeight="1" x14ac:dyDescent="0.25">
      <c r="A12" s="3">
        <v>9</v>
      </c>
      <c r="B12" s="3" t="s">
        <v>194</v>
      </c>
      <c r="C12" s="3" t="s">
        <v>195</v>
      </c>
      <c r="D12" s="3" t="s">
        <v>196</v>
      </c>
    </row>
    <row r="13" spans="1:4" ht="24" customHeight="1" x14ac:dyDescent="0.25">
      <c r="A13" s="3">
        <v>10</v>
      </c>
      <c r="B13" s="3" t="s">
        <v>197</v>
      </c>
      <c r="C13" s="3" t="s">
        <v>198</v>
      </c>
      <c r="D13" s="3" t="s">
        <v>199</v>
      </c>
    </row>
    <row r="14" spans="1:4" ht="24" customHeight="1" x14ac:dyDescent="0.25">
      <c r="A14" s="3">
        <v>11</v>
      </c>
      <c r="B14" s="3" t="s">
        <v>200</v>
      </c>
      <c r="C14" s="3" t="s">
        <v>201</v>
      </c>
      <c r="D14" s="3" t="s">
        <v>202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Inputs</vt:lpstr>
      <vt:lpstr>Economia</vt:lpstr>
      <vt:lpstr>Automatics</vt:lpstr>
      <vt:lpstr>Judici</vt:lpstr>
      <vt:lpstr>Penalitats</vt:lpstr>
      <vt:lpstr>Notes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Garcia Carabasa</cp:lastModifiedBy>
  <dcterms:modified xsi:type="dcterms:W3CDTF">2026-09-14T07:53:18Z</dcterms:modified>
</cp:coreProperties>
</file>