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8855" windowHeight="11985"/>
  </bookViews>
  <sheets>
    <sheet name="Full 1" sheetId="1" r:id="rId1"/>
  </sheets>
  <calcPr calcId="124519"/>
</workbook>
</file>

<file path=xl/sharedStrings.xml><?xml version="1.0" encoding="utf-8"?>
<sst xmlns="http://schemas.openxmlformats.org/spreadsheetml/2006/main" count="479" uniqueCount="479">
  <si>
    <t xml:space="preserve">Obra:</t>
  </si>
  <si>
    <t xml:space="preserve">Suministre i instal·lació d'una instal·lació solar fotovoltaica en autoconsum individual sense compensació d'excedents a l'Edifici A IRTA - MONELLS</t>
  </si>
  <si>
    <t xml:space="preserve">Pressupost</t>
  </si>
  <si>
    <t xml:space="preserve">% C.I.</t>
  </si>
  <si>
    <t xml:space="preserve">Codi</t>
  </si>
  <si>
    <t xml:space="preserve">Tipus</t>
  </si>
  <si>
    <t xml:space="preserve">U</t>
  </si>
  <si>
    <t xml:space="preserve">Resum</t>
  </si>
  <si>
    <t xml:space="preserve">Quantitat</t>
  </si>
  <si>
    <t xml:space="preserve">Preu (€)</t>
  </si>
  <si>
    <t xml:space="preserve">Import (€)</t>
  </si>
  <si>
    <t xml:space="preserve">P301_IRTA MONELLS_REVISIÓ 2026</t>
  </si>
  <si>
    <t xml:space="preserve">Capítol</t>
  </si>
  <si>
    <t xml:space="preserve">Suministre i instal·lació d'una instal·lació solar fotovoltaica en autoconsum individual sense compensació d'excedents a l'Edifici A IRTA - MONELLS</t>
  </si>
  <si>
    <t xml:space="preserve">01.01.02</t>
  </si>
  <si>
    <t xml:space="preserve">Capítol</t>
  </si>
  <si>
    <t xml:space="preserve">Maquinària d'elevació</t>
  </si>
  <si>
    <t xml:space="preserve">C15G-00XX</t>
  </si>
  <si>
    <t xml:space="preserve">Partida</t>
  </si>
  <si>
    <t xml:space="preserve">h</t>
  </si>
  <si>
    <t xml:space="preserve">Grua autopropulsada amb braç telescòpic.</t>
  </si>
  <si>
    <t xml:space="preserve">Lloguer de grua autopropulsada de braç telescòpic amb una capacitat d'elevació de 40 t i 35 m d'altura màxima de treball.
Amortització en forma de lloguer per hores, segons condicions definides en el contracte subscrit amb l'empresa suministradora.</t>
  </si>
  <si>
    <t xml:space="preserve">MQ07GTE010D</t>
  </si>
  <si>
    <t xml:space="preserve">Maquinària</t>
  </si>
  <si>
    <t xml:space="preserve">h</t>
  </si>
  <si>
    <t xml:space="preserve">Grúa autopropulsada de brazo telescópico con una capacidad de elevación de 40 t y 35 m de altura máx</t>
  </si>
  <si>
    <t xml:space="preserve">C15G-00XX</t>
  </si>
  <si>
    <t xml:space="preserve">01.01.02</t>
  </si>
  <si>
    <t xml:space="preserve">P_01</t>
  </si>
  <si>
    <t xml:space="preserve">Capítol</t>
  </si>
  <si>
    <t xml:space="preserve">Tasques prèvies</t>
  </si>
  <si>
    <t xml:space="preserve">PA_00</t>
  </si>
  <si>
    <t xml:space="preserve">Partida</t>
  </si>
  <si>
    <t xml:space="preserve">ut</t>
  </si>
  <si>
    <t xml:space="preserve">Desmuntatge complet d’instal·lació solar tèrmica existent formada per 30 col·lectors de tubs de buit, incloent desconnexió hidràulica, buidatge del circuit, retirada de col·lectors, suports, canonades visibles, aïllaments, elements auxiliars, càrrega, transport i gestió de residus a gestor autoritzat. Inclou mitjans auxiliars, elevació, proteccions, seguretat i neteja final</t>
  </si>
  <si>
    <t xml:space="preserve">Partida a preu fet pel desmuntatge integral d’una instal·lació solar tèrmica existent composta per 30 col·lectors de tubs de buit, incloent tots els treballs, materials, mitjans auxiliars, maquinària i gestions necessàries per a la seva retirada completa, transport i gestió de residus, sense abonament independent d’unitats auxiliars o treballs complementaris necessaris per a la correcta execució.
Els treballs comprendran el replanteig previ de l’actuació, la desconnexió hidràulica i elèctrica auxiliar de la instal·lació, el buidatge controlat del circuit primari, la recollida i gestió del fluid caloportador, el desmuntatge dels 30 col·lectors de tubs de buit, la retirada dels suports metàl·lics, ancoratges, perfils, cargoleria, tubs de connexió, aïllaments, vàlvules, purgadors, sondes i altres elements associats al camp solar tèrmic existent.
S’inclou la manipulació i baixada dels materials desmuntats, la protecció de la coberta i de les zones de pas, l’aportació de mitjans d’elevació i seguretat necessaris, la càrrega sobre vehicle, el transport fins a gestor autoritzat, la segregació dels residus per tipologia i la gestió documental corresponent, incloent, si escau, justificants de lliurament i tractament dels residus.
El preu inclou tots els costos directes i indirectes necessaris per deixar l’actuació completament finalitzada, incloent mà d’obra, eines, mitjans auxiliars, equips de protecció, seguretat i salut, desplaçaments, petit material, neteja final i retirada de restes. La partida es considerarà completament executada un cop la instal·lació solar tèrmica hagi estat retirada, els residus gestionats correctament i la zona d’actuació quedi neta, segura i acceptada per la direcció facultativa.
Queden exclosos de la partida, llevat indicació expressa en contra, els treballs de reparació o impermeabilització de coberta, reposició de tancaments, reforços estructurals, modificacions d’instal·lacions existents no vinculades directament al camp solar, retirada de dipòsits acumuladors o equips interiors de sala tècnica, així com qualsevol actuació correctiva derivada de patologies prèvies no visibles abans del desmuntatge.</t>
  </si>
  <si>
    <t xml:space="preserve">P_01</t>
  </si>
  <si>
    <t xml:space="preserve">I_01</t>
  </si>
  <si>
    <t xml:space="preserve">Capítol</t>
  </si>
  <si>
    <t xml:space="preserve">Instal·lacions de generació d'energia, elements mecànics, elèctrics, control i tramitació associada</t>
  </si>
  <si>
    <t xml:space="preserve">IEI_01</t>
  </si>
  <si>
    <t xml:space="preserve">Capítol</t>
  </si>
  <si>
    <t xml:space="preserve">Instal·lacions Elèctriques i estructures de fixació</t>
  </si>
  <si>
    <t xml:space="preserve">IEF01</t>
  </si>
  <si>
    <t xml:space="preserve">Capítol</t>
  </si>
  <si>
    <t xml:space="preserve">Instal·lació Generadora Solar fotovoltaica</t>
  </si>
  <si>
    <t xml:space="preserve">FV_EST_NOVC24</t>
  </si>
  <si>
    <t xml:space="preserve">Partida</t>
  </si>
  <si>
    <t xml:space="preserve">U</t>
  </si>
  <si>
    <t xml:space="preserve">Subministrament i muntatge d’estructura novotegra C71 o equivalent per a 300 mòduls FV sobre xapa trapezoidal, de 200 mm de llargada , amb raïl curt C71 amb EPDM, cargoleria per xapa, grapes finals/intermèdies 30-42 mm i elements de contacte elèctric, totalment instal·lada i verificada.</t>
  </si>
  <si>
    <t xml:space="preserve">Subministrament i instal·lació d’estructura de fixació novotegra C71 o equivalent per a 300 mòduls fotovoltaics sobre coberta de xapa metàl·lica trapezoidal de marquesina o sandvitx, mitjançant sistema de fixació directa amb raïl curt C71 amb junta EPDM a la vall de la placa, cargoleria homologada per a xapa fina, grapes finals i intermèdies per a marc de mòdul de 30-42 mm, i elements de contacte elèctric. Inclou raïls C74, cargols de fixació, grapes finals, grapes intermèdies, pestells de contacte, clips de cablejat si escau, transport, replanteig, muntatge, alineació, fixació, petit material auxiliar i verificació final, totalment instal·lada segons dimensionat del fabricant i indicacions de la Direcció Facultativa.</t>
  </si>
  <si>
    <t xml:space="preserve">NOVC71</t>
  </si>
  <si>
    <t xml:space="preserve">Material</t>
  </si>
  <si>
    <t xml:space="preserve">U</t>
  </si>
  <si>
    <t xml:space="preserve">Estructura d'alumini anoditzat per fixació a xapa metàl·lica, tipus microrrail C71 NOVOTEGRA, de 200mm de llargada, amb junta epdm o equivalent. Inclou cargoleria i accessoris per el correcte muntatge</t>
  </si>
  <si>
    <t xml:space="preserve">mo009</t>
  </si>
  <si>
    <t xml:space="preserve">Mà d'obra</t>
  </si>
  <si>
    <t xml:space="preserve">h</t>
  </si>
  <si>
    <t xml:space="preserve">Oficial 1ª instal·lador de captadors solars.</t>
  </si>
  <si>
    <t xml:space="preserve">mo108</t>
  </si>
  <si>
    <t xml:space="preserve">Mà d'obra</t>
  </si>
  <si>
    <t xml:space="preserve">h</t>
  </si>
  <si>
    <t xml:space="preserve">Ajudant instal·lador de captadors solars.</t>
  </si>
  <si>
    <t xml:space="preserve">%</t>
  </si>
  <si>
    <t xml:space="preserve">%</t>
  </si>
  <si>
    <t xml:space="preserve">Costos directes complementaris</t>
  </si>
  <si>
    <t xml:space="preserve">FV_EST_NOVC24</t>
  </si>
  <si>
    <t xml:space="preserve">FV_PERFIL</t>
  </si>
  <si>
    <t xml:space="preserve">Partida</t>
  </si>
  <si>
    <t xml:space="preserve">ut</t>
  </si>
  <si>
    <t xml:space="preserve">Subministrament i instal·lació de sistema perfil corregut de 36 perfils de 2.4mt de llargada tipus C47 del fabricant novotegra o equivalent. Inclou també el subministrament i instal·lació de  grapes finals, intermitges i accessoris pel seu correcte muntatge i fixació</t>
  </si>
  <si>
    <t xml:space="preserve">Subministrament i muntatge d’estructura d'alumini composta per 36 perfils de 2.4 mt de llargada tipus novotegra C47 o similar per 36 mòduls FV sobre estructura existent inclou cargoleria per xapa, grapes finals/intermèdies 30-42 mm i elements de contacte elèctric, totalment instal·lada i verificada.
36x 17.58 = 633
24x1.43 34.32
60x1.43 85.8
36x4.58 (connector) 164.88
300 euros de més
1218</t>
  </si>
  <si>
    <t xml:space="preserve">FV_MOD_LON650</t>
  </si>
  <si>
    <t xml:space="preserve">Partida</t>
  </si>
  <si>
    <t xml:space="preserve">U</t>
  </si>
  <si>
    <t xml:space="preserve">Subministrament i instal·lació d’un mòdul solar fotovoltaic de cèl·lules de silici monocristal·lí N-TYPE , marca LONGI model  LR7-72HVH-650M de 650Wp o equivalent, amb potència màxima en condicions STC de 650 Wp, tensió a màxima potència Vmp de 44,56V, intensitat a màxima potència Imp de 14,59 A, tensió en circuit obert Voc de 53,90 V, intensitat de curtcircuit Isc de 15,29 A i eficiència del mòdul del 24,1 %.Les dimensions aproximades del mòdul seran de 2.382 x 1.134 x 30 mm, amb un pes aproximat de 28,5 kg .Totalment muntat, connectat i comprovat</t>
  </si>
  <si>
    <t xml:space="preserve">Subministrament i instal·lació d’un mòdul solar fotovoltaic de cèl·lules de silici monocristal·lí, marca marca LONGI model  LR7-72HVH-650M de 650Wp o equivalent, amb potència màxima en condicions STC de 650 Wp, tensió a màxima potència Vmp de 44,56V, intensitat a màxima potència Imp de 14,59 A, tensió en circuit obert Voc de 53,90 V, intensitat de curtcircuit Isc de 15,29 A i eficiència del mòdul del 24,1 El mòdul disposarà de 132 cèl·lules monocristal·lines tipus N, tecnologia i-TOPCon, estructura bifacial dual glass, vidre frontal termoendurit de 2,0 mm amb tractament antireflectant, vidre posterior termoendurit de 2,0 mm amb recobriment blanc, marc d’alumini anoditzat de 30 mm, caixa de connexions amb grau de protecció IP68, cablejat fotovoltaic de 4 mm² i connectors tipus MC4 EVO2 / TS4 Plus / TS4 o equivalent segons especificació regional del fabricant. Les dimensions aproximades del mòdul seran de 2.382 x 1.134 x 30 mm, amb un pes aproximat de 28,5 kg. Totalment muntat, connectat i provat.</t>
  </si>
  <si>
    <t xml:space="preserve">LONG650</t>
  </si>
  <si>
    <t xml:space="preserve">Material</t>
  </si>
  <si>
    <t xml:space="preserve">1</t>
  </si>
  <si>
    <t xml:space="preserve">Mòdul solar fotovoltaic de cèl·lules de silici monocristal·lí N-TYPE , marca LONGI model  LR7-72HVH-650M de 650Wp o equivalent, amb potència màxima en condicions STC de 650 Wp, tensió a màxima potència Vmp de 44,56V, intensitat a màxima potència Imp de 14,59 A, tensió en circuit obert Voc de 53,90 V, intensitat de curtcircuit Isc de 15,29 A i eficiència del mòdul del 24,1 %.Les dimensions aproximades del mòdul seran de 2.382 x 1.134 x 30 mm, amb un pes aproximat de 28,5 kg .Totalment muntat, connectat i comprovat</t>
  </si>
  <si>
    <t xml:space="preserve">mo009</t>
  </si>
  <si>
    <t xml:space="preserve">Mà d'obra</t>
  </si>
  <si>
    <t xml:space="preserve">h</t>
  </si>
  <si>
    <t xml:space="preserve">Oficial 1ª instal·lador de captadors solars.</t>
  </si>
  <si>
    <t xml:space="preserve">mo108</t>
  </si>
  <si>
    <t xml:space="preserve">Mà d'obra</t>
  </si>
  <si>
    <t xml:space="preserve">h</t>
  </si>
  <si>
    <t xml:space="preserve">Ajudant instal·lador de captadors solars.</t>
  </si>
  <si>
    <t xml:space="preserve">%</t>
  </si>
  <si>
    <t xml:space="preserve">%</t>
  </si>
  <si>
    <t xml:space="preserve">Costos directes complementaris</t>
  </si>
  <si>
    <t xml:space="preserve">FV_MOD_LON650</t>
  </si>
  <si>
    <t xml:space="preserve">FV_MOD_LONG480</t>
  </si>
  <si>
    <t xml:space="preserve">Partida</t>
  </si>
  <si>
    <t xml:space="preserve">U</t>
  </si>
  <si>
    <t xml:space="preserve">Subministrament i muntatge de mòdul fotovoltaic LONGi Solar Hi-MO X10 ExplorerLONGi 530W Hi-MOX10 LR7-60HVD-T de 530 Wp o equivalent, monocristal·lí amb tecnologia BC-CELL N-TYPE, eficiència 23,49 %, dimensions 1.990 x 1.134 x 30 mm, caixa IP68, cablejat 4 mm², totalment instal·lat, connectat i verificat.</t>
  </si>
  <si>
    <t xml:space="preserve">Subministrament i instal·lació d’un mòdul solar fotovoltaic monocristal·lí LONGi Solar Hi-MO X10 ExplorerLONGi 530W Hi-MOX10 LR7-60HVD-T de 530 Wp o equivalent amb tecnologia BC-CELL / back contact N-TYPE, eficiència del 23,49 %, voltatge en circuit obert Voc 44,95 V, intensitat de curtcircuit Isc 14,90 A, tensió a màxima potència Vmp 37,17 V i intensitat a màxima potència Imp 14,26 A. Mòdul de 120 cèl·lules, vidre frontal temperat de 3,2 mm, marc d’alumini anoditzat, caixa de connexions IP68, cablejat solar de 4 mm², dimensions aproximades 1.800 x 1.134 x 30 mm i pes aproximat de 21,6 kg. Inclou subministrament, transport, manipulació, muntatge sobre estructura, connexió elèctrica, petit material auxiliar i verificació final, totalment instal·lat i connectat.</t>
  </si>
  <si>
    <t xml:space="preserve">LON530</t>
  </si>
  <si>
    <t xml:space="preserve">Material</t>
  </si>
  <si>
    <t xml:space="preserve">1</t>
  </si>
  <si>
    <t xml:space="preserve"> mòdul fotovoltaic LONGi Solar Hi-MO X10 ExplorerLONGi 530W Hi-MOX10 LR7-60HVD-T de 530 Wp o equivalent, monocristal·lí amb tecnologia BC-CELL N-TYPE, eficiència 23,49 %, dimensions 1.990 x 1.134 x 30 mm, caixa IP68, cablejat 4 mm², totalment instal·lat, connectat i verificat.</t>
  </si>
  <si>
    <t xml:space="preserve">mo009</t>
  </si>
  <si>
    <t xml:space="preserve">Mà d'obra</t>
  </si>
  <si>
    <t xml:space="preserve">h</t>
  </si>
  <si>
    <t xml:space="preserve">Oficial 1ª instal·lador de captadors solars.</t>
  </si>
  <si>
    <t xml:space="preserve">mo108</t>
  </si>
  <si>
    <t xml:space="preserve">Mà d'obra</t>
  </si>
  <si>
    <t xml:space="preserve">h</t>
  </si>
  <si>
    <t xml:space="preserve">Ajudant instal·lador de captadors solars.</t>
  </si>
  <si>
    <t xml:space="preserve">%</t>
  </si>
  <si>
    <t xml:space="preserve">%</t>
  </si>
  <si>
    <t xml:space="preserve">Costos directes complementaris</t>
  </si>
  <si>
    <t xml:space="preserve">FV_MOD_LONG480</t>
  </si>
  <si>
    <t xml:space="preserve">FV_INV_HW_100KTL_M2</t>
  </si>
  <si>
    <t xml:space="preserve">Partida</t>
  </si>
  <si>
    <t xml:space="preserve">U</t>
  </si>
  <si>
    <t xml:space="preserve">Subministrament, instal·lació, connexió, configuració i posada en servei d’inversor fotovoltaic trifàsic Huawei SUN2000-100KTL-M2 o equivalent, de 100 kW AC nominals i 110 kVA màxims, amb 10 MPPT i 2 entrades per MPPT</t>
  </si>
  <si>
    <t xml:space="preserve">Subministrament, transport, muntatge, connexió, configuració i posada en servei d’inversor fotovoltaic trifàsic tipus Huawei SUN2000-100KTL-M2 Smart PV Controller o equivalent, de potència nominal activa AC de 100.000 W, potència aparent màxima AC de 110.000 VA i potència activa màxima AC de 110.000 W amb cos f = 1, apte per a instal·lacions fotovoltaiques connectades a xarxa trifàsica de baixa tensió amb tensió nominal de sortida 380/400/480 V, 3W+(N)+PE i freqüència 50/60 Hz.
L’equip disposarà de 10 seguidors MPPT, 2 entrades per MPPT, tensió màxima d’entrada DC de 1.100 V, rang de tensió de funcionament de 200 a 1.000 V, rang de tensió a potència màxima de 540 a 800 V, intensitat màxima d’entrada per MPPT de 30 A, intensitat màxima per string de 20 A i intensitat màxima de curtcircuit de 40 A. L’eficiència màxima serà de fins al 98,8 % a 480 V i l’eficiència europea ponderada de fins al 98,6 % a 480 V.
L’inversor incorporarà dispositiu de desconnexió en el costat d’entrada, protecció anti-illa, protecció contra sobreintensitat AC, protecció contra polaritat inversa DC, monitorització de fallades a nivell de string, descarregadors de sobretensions DC tipus II, descarregadors de sobretensions AC tipus II, detecció de resistència d’aïllament DC, monitorització de corrent residual, protecció davant fallada per arc elèctric AFCI i desconnexió a nivell de string.
L’equip disposarà de comunicació RS485, USB, indicadors LED, configuració mitjançant adaptador WLAN i aplicació FusionSolar, opció de Smart Dongle 4G/WLAN i monitorització BUS MBUS amb transformador d’aïllament requerit. El grau de protecció serà IP66, amb sistema intel·ligent de refrigeració forçada, rang de temperatura de funcionament de -25 °C a +60 °C, altitud màxima de funcionament de 4.000 m, humitat relativa admissible de 0 a 100 %, dimensions aproximades 1.035 x 700 x 365 mm i pes igual o inferior a 93 kg amb suport inclòs.
La partida inclou suportació i fixació de l’equip, connexió dels circuits DC procedents del camp fotovoltaic, connexió AC trifàsica, connexió a terra, connexió de comunicacions, identificació i etiquetatge, verificació de polaritat i tensió de strings, comprovació de seqüència de fases, configuració de país i paràmetres de xarxa, integració amb plataforma de monitorització, comprovació d’alarmes, proves de funcionament i lliurament de documentació final. Totalment instal·lat, configurat i operatiu.
L’inversor disposarà de 8 seguidors MPPT independents, amb 2 entrades per MPPT, tensió màxima d’entrada DC de 1.100 V, rang de tensió d’operació de 200 a 1.000 V, rang de tensió a potència màxima de 540 a 800 V, tensió d’arrencada de 200 V, intensitat màxima d’entrada de 30 A per MPPT, intensitat màxima d’entrada de 20 A per string i intensitat màxima de curtcircuit de 40 A. L’equip tindrà una eficiència màxima de fins al 98,8 % a 480 V i eficiència europea ponderada de fins al 98,6 % a 480 V.
L’equip incorporarà dispositiu de desconnexió al costat DC, protecció anti-illa, protecció contra sobreintensitat AC, protecció contra polaritat inversa DC, monitorització de fallades a nivell de string, descarregadors de sobretensions DC tipus II, descarregadors de sobretensions AC tipus II, detecció de resistència d’aïllament DC, monitorització de corrent residual, protecció davant fallades per arc elèctric AFCI i desconnexió a nivell de string.
L’inversor disposarà de comunicacions mitjançant indicadors LED, adaptador WLAN i aplicació FusionSolar, comunicació RS485, port USB, possibilitat de Smart Dongle 4G/WLAN opcional i monitorització per MBUS, quan sigui aplicable, amb transformador d’aïllament requerit segons prescripcions del fabricant.
L’equip tindrà grau de protecció IP66, refrigeració mitjançant sistema intel·ligent de ventilació forçada, rang de temperatura de funcionament de -25 °C a +60 °C, humitat relativa admissible del 0 al 100 %, altitud màxima de funcionament de 4.000 m, dimensions aproximades de 1.035 x 700 x 365 mm i pes màxim amb suport inclòs inferior o igual a 93 kg. Els connectors de corrent continu seran tipus Amphenol Helios H4 i la connexió de corrent altern es realitzarà mitjançant connector resistent a l’aigua i terminals OT/DT.
Inclou subministrament de l’inversor, transport fins a obra, descàrrega, manipulació, col·locació sobre suport vertical o estructura adequada, fixació mecànica, connexió dels circuits DC procedents dels strings fotovoltaics, connexió AC de sortida, connexió de posada a terra, connexions de comunicació i monitorització, configuració bàsica de paràmetres, comprovació de polaritats, verificació de tensions d’entrada, posada en servei, proves funcionals inicials, integració amb plataforma de monitorització i tots els elements auxiliars necessaris per deixar l’equip correctament instal·lat, connectat i operatiu.</t>
  </si>
  <si>
    <t xml:space="preserve">INV_GW_HU_100M2</t>
  </si>
  <si>
    <t xml:space="preserve">Material</t>
  </si>
  <si>
    <t xml:space="preserve">U</t>
  </si>
  <si>
    <t xml:space="preserve">Inversor fotovoltaic trifàsic Huawei SUN2000-100KTL-M2 o equivalent, de 100 kW AC nominals i 110 kVA màxims, amb 10 MPPT i 2 entrades per MPPT, tensió màxima DC 1.100 V, sortida trifàsica 380/400/480 V, eficiència màxima fins al 98,8 %, grau de protecció IP66, connectors DC Amphenol Helios H4, proteccions integrades DC/AC, AFCI, monitorització a nivell de string, MBUS, comunicació RS485 i opció de Smart Dongle 4G/WLAN. Inclou muntatge, connexions DC/AC/terra/comunicacions, configuració, verificacions i posada en servei.</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</si>
  <si>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</si>
  <si>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</si>
  <si>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</si>
  <si>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</si>
  <si>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</si>
  <si>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</si>
  <si>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</si>
  <si>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</si>
  <si>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</si>
  <si>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</si>
  <si>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</si>
  <si>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FV_INV_HW_100KTL_M2</t>
  </si>
  <si>
    <t xml:space="preserve">IEF01</t>
  </si>
  <si>
    <t xml:space="preserve">IEI01</t>
  </si>
  <si>
    <t xml:space="preserve">Capítol</t>
  </si>
  <si>
    <t xml:space="preserve">Proteccions elèctriques</t>
  </si>
  <si>
    <t xml:space="preserve">FV_PROT_CX_12S</t>
  </si>
  <si>
    <t xml:space="preserve">Partida</t>
  </si>
  <si>
    <t xml:space="preserve">U</t>
  </si>
  <si>
    <t xml:space="preserve">Subministrament i muntatge de caixa de protecció DC Sölver STC IP 14 strings 1000 V DC 20 A o equivalent, IP66, amb fusibles gPV 10x38 de 20 A, protector de sobretensions tipus 2 DC, bornes, premsaestopes i retolació, totalment instal·lada i verificada.</t>
  </si>
  <si>
    <t xml:space="preserve">Subministrament i instal·lació de caixa de protecció de strings fotovoltaics Sölver STC IP 14 strings 1000 V DC 20 A o equivalent, amb grau de protecció IP66, apta per a exterior, equipada amb 14 entrades de string, bases portafusibles 10x38 amb fusibles gPV de 20 A, protector contra sobretensions transitòries tipus 2 en corrent continu, bornes de connexió, cablejat interior, premsaestopes, retolació i marcatge CE. Inclou subministrament, muntatge, fixació, connexió dels strings, connexió de sortida DC, posada a terra del protector de sobretensions, comprovació de polaritat, verificació elèctrica i posada en servei, totalment instal·lada.</t>
  </si>
  <si>
    <t xml:space="preserve">PROT_CX_14S</t>
  </si>
  <si>
    <t xml:space="preserve">Material</t>
  </si>
  <si>
    <t xml:space="preserve">U</t>
  </si>
  <si>
    <t xml:space="preserve">caixa de protecció de strings fotovoltaics Sölver STC IP 14 strings 1000 V DC 20 A o equivalent, amb grau de protecció IP66, apta per a exterior, equipada amb 14 entrades de string, bases portafusibles 10x38 amb fusibles gPV de 20 A, protector contra sobretensions transitòries tipus 2 en corrent continu, bornes de connexió, cablejat interior, premsaestopes, retolació i marcatge CE. Inclou subministrament, muntatge, fixació, connexió dels strings, connexió de sortida DC, posada a terra del protector de sobretensions, comprovació de polaritat, verificació elèctrica i posada en servei, totalment instal·lada.</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</si>
  <si>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</si>
  <si>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</si>
  <si>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</si>
  <si>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</si>
  <si>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</si>
  <si>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</si>
  <si>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</si>
  <si>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</si>
  <si>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</si>
  <si>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</si>
  <si>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</si>
  <si>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FV_PROT_CX_12S</t>
  </si>
  <si>
    <t xml:space="preserve">IEX207</t>
  </si>
  <si>
    <t xml:space="preserve">Partida</t>
  </si>
  <si>
    <t xml:space="preserve">U</t>
  </si>
  <si>
    <t xml:space="preserve">Subministrament i muntatge de quadre AC trifàsic Sölver o equivalent per inversor FV de 100 kW, amb automàtic 200 A 4P 25 kA corba C, relé diferencial classe A regulable, SPD tipus 2 AC, envolvent IP55, totalment instal·lat, connectat i verificat.</t>
  </si>
  <si>
    <t xml:space="preserve">Subministrament i instal·lació de quadre de protecció AC trifàsic Sölver o equivalent per a inversor fotovoltaic de 100 kW, instal·lació trifàsica 400 V, amb interruptor automàtic 4P de 200 A, poder de tall 25 kA, corba C, relé diferencial classe A regulable amb transformador toroidal, protector contra sobretensions transitòries tipus 2, envolvent IP55, cablejat interior, retolació i marcatge CE. Inclou subministrament, muntatge, fixació, connexió d’entrada i sortida AC, connexió de posada a terra, ajustos, comprovacions i posada en servei, totalment instal·lat i operatiu.</t>
  </si>
  <si>
    <t xml:space="preserve">mt35ase417p</t>
  </si>
  <si>
    <t xml:space="preserve">Material</t>
  </si>
  <si>
    <t xml:space="preserve">U</t>
  </si>
  <si>
    <t xml:space="preserve">Quadre AC trifàsic Sölver o equivalent per inversor FV de 100 kW, amb automàtic 200 A 4P 25 kA corba C, relé diferencial classe A regulable, SPD tipus 2 AC, envolvent IP55, totalment instal·lat, connectat i verificat.</t>
  </si>
  <si>
    <t xml:space="preserve">mo003</t>
  </si>
  <si>
    <t xml:space="preserve">Mà d'obra</t>
  </si>
  <si>
    <t xml:space="preserve">h</t>
  </si>
  <si>
    <t xml:space="preserve">Oficial 1ª electricista.</t>
  </si>
  <si>
    <t xml:space="preserve">%</t>
  </si>
  <si>
    <t xml:space="preserve">%</t>
  </si>
  <si>
    <t xml:space="preserve">Costos directes complementaris</t>
  </si>
  <si>
    <t xml:space="preserve">IEX207</t>
  </si>
  <si>
    <t xml:space="preserve">IEI01</t>
  </si>
  <si>
    <t xml:space="preserve">IEH01</t>
  </si>
  <si>
    <t xml:space="preserve">Capítol</t>
  </si>
  <si>
    <t xml:space="preserve">Cables i accessoris</t>
  </si>
  <si>
    <t xml:space="preserve">IEH012FVn</t>
  </si>
  <si>
    <t xml:space="preserve">Partida</t>
  </si>
  <si>
    <t xml:space="preserve">m</t>
  </si>
  <si>
    <t xml:space="preserve">Interconnexió strings a inversor: Cable unipolar RZ1-K (AS), Especial per aplicacions fotovoltaiques,denominació comercial EXHZ SOLAR, color vermell, sent la seva tensió assignada de 0,6/1 kV, reacció al foc classe Cca-s1b,d1,a1, amb conductor de coure classe 5 (-K) de 10 mm² de secció, amb aïllament de polietilè reticulat (R) i coberta de compost termoplàstic a força de poliolefina lliure de halògens amb baixa emissió de fums i gasos corrosius (Z1). Inclús accessoris i elements de subjecció.</t>
  </si>
  <si>
    <t xml:space="preserve">Cable unipolar RZ1-K (AS), Especial per aplicacions fotovoltaiques,denominació comercial EXHZ SOLAR , color vermell,, sent la seva tensió assignada de 0,6/1 kV, reacció al foc classe Cca-s1b,d1,a1, amb conductor de coure classe 5 (-K) de 10 mm² de secció, amb aïllament de polietilè reticulat (R) i coberta de compost termoplàstic a força de poliolefina lliure de halògens amb baixa emissió de fums i gasos corrosius (Z1). Inclús accessoris i elements de subjecció.</t>
  </si>
  <si>
    <t xml:space="preserve">mt35cun010f1</t>
  </si>
  <si>
    <t xml:space="preserve">Material</t>
  </si>
  <si>
    <t xml:space="preserve">m</t>
  </si>
  <si>
    <t xml:space="preserve">Cable unipolar RZ1-K (AS), Especial per aplicacions fotovoltaiques,denominació comercial EXHZ SOLAR , color negre, sent la seva tensió assignada de 0,6/1 kV, reacció al foc classe Cca-s1b,d1,a1 segons UNE-EN 50575, amb conductor de coure classe 5 (-K) de 10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</si>
  <si>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</si>
  <si>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</si>
  <si>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</si>
  <si>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</si>
  <si>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</si>
  <si>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</si>
  <si>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</si>
  <si>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</si>
  <si>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</si>
  <si>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</si>
  <si>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</si>
  <si>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IEH012FVn</t>
  </si>
  <si>
    <t xml:space="preserve">IEH012FVv</t>
  </si>
  <si>
    <t xml:space="preserve">Partida</t>
  </si>
  <si>
    <t xml:space="preserve">m</t>
  </si>
  <si>
    <t xml:space="preserve">Interconnexió strings a inversor: Cable unipolar RZ1-K (AS), Especial per aplicacions fotovoltaiques,denominació comercial EXHZ SOLAR, color negre, sent la seva tensió assignada de 0,6/1 kV, reacció al foc classe Cca-s1b,d1,a1, amb conductor de coure classe 5 (-K) de 10 mm² de secció, amb aïllament de polietilè reticulat (R) i coberta de compost termoplàstic a força de poliolefina lliure de halògens amb baixa emissió de fums i gasos corrosius (Z1). Inclús accessoris i elements de subjecció.</t>
  </si>
  <si>
    <t xml:space="preserve">Cable unipolar RZ1-K (AS), Especial per aplicacions fotovoltaiques,denominació comercial EXHZ SOLAR , color negre, sent la seva tensió assignada de 0,6/1 kV, reacció al foc classe Cca-s1b,d1,a1, amb conductor de coure classe 5 (-K) de 10 mm² de secció, amb aïllament de polietilè reticulat (R) i coberta de compost termoplàstic a força de poliolefina lliure de halògens amb baixa emissió de fums i gasos corrosius (Z1). Inclús accessoris i elements de subjecció.</t>
  </si>
  <si>
    <t xml:space="preserve">mt35cun010f1b</t>
  </si>
  <si>
    <t xml:space="preserve">Material</t>
  </si>
  <si>
    <t xml:space="preserve">m</t>
  </si>
  <si>
    <t xml:space="preserve">Cable unipolar RZ1-K (AS), Especial per aplicacions fotovoltaiques,denominació comercial EXHZ SOLAR , color vermell, sent la seva tensió assignada de 0,6/1 kV, reacció al foc classe Cca-s1b,d1,a1 segons UNE-EN 50575, amb conductor de coure classe 5 (-K) de 10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</si>
  <si>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</si>
  <si>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</si>
  <si>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</si>
  <si>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</si>
  <si>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</si>
  <si>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</si>
  <si>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</si>
  <si>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</si>
  <si>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</si>
  <si>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</si>
  <si>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</si>
  <si>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IEH012FVv</t>
  </si>
  <si>
    <t xml:space="preserve">IEH012b</t>
  </si>
  <si>
    <t xml:space="preserve">Partida</t>
  </si>
  <si>
    <t xml:space="preserve">m</t>
  </si>
  <si>
    <t xml:space="preserve">Interconnexió inversor a escomesa: Cable elèctric de 0,6/1 kV de tensió nominal. 95 mm2</t>
  </si>
  <si>
    <t xml:space="preserve">Cable unipolar RZ1-K (AS), sent la seva tensió assignada de 0,6/1 kV, reacció al foc classe Cca-s1b,d1,a1, amb conductor de coure classe 5 (-K) de 95 mm² de secció, amb aïllament de polietilè reticulat (R) i coberta de compost termoplàstic a força de poliolefina lliure de halògens amb baixa emissió de fums i gasos corrosius (Z1). Inclús accessoris i elements de subjecció.</t>
  </si>
  <si>
    <t xml:space="preserve">mt35cun010l1</t>
  </si>
  <si>
    <t xml:space="preserve">Material</t>
  </si>
  <si>
    <t xml:space="preserve">m</t>
  </si>
  <si>
    <t xml:space="preserve">Cable unipolar RZ1-K (AS), sent la seva tensió assignada de 0,6/1 kV, reacció al foc classe Cca-s1b,d1,a1 segons UNE-EN 50575, amb conductor de coure classe 5 (-K) de 95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</si>
  <si>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</si>
  <si>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</si>
  <si>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</si>
  <si>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</si>
  <si>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</si>
  <si>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</si>
  <si>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</si>
  <si>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</si>
  <si>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</si>
  <si>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</si>
  <si>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</si>
  <si>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IEH012b</t>
  </si>
  <si>
    <t xml:space="preserve">IEH012</t>
  </si>
  <si>
    <t xml:space="preserve">Partida</t>
  </si>
  <si>
    <t xml:space="preserve">m</t>
  </si>
  <si>
    <t xml:space="preserve">Interconnexió inversor a escomesa: Cable elèctric de 0,6/1 kV de tensió nominal. 50 mm2</t>
  </si>
  <si>
    <t xml:space="preserve">Cable unipolar RZ1-K (AS), sent la seva tensió assignada de 0,6/1 kV, reacció al foc classe Cca-s1b,d1,a1, amb conductor de coure classe 5 (-K) de 50 mm² de secció, amb aïllament de polietilè reticulat (R) i coberta de compost termoplàstic a força de poliolefina lliure de halògens amb baixa emissió de fums i gasos corrosius (Z1). Inclús accessoris i elements de subjecció.</t>
  </si>
  <si>
    <t xml:space="preserve">mt35cun010j1</t>
  </si>
  <si>
    <t xml:space="preserve">Material</t>
  </si>
  <si>
    <t xml:space="preserve">m</t>
  </si>
  <si>
    <t xml:space="preserve">Cable unipolar RZ1-K (AS), sent la seva tensió assignada de 0,6/1 kV, reacció al foc classe Cca-s1b,d1,a1 segons UNE-EN 50575, amb conductor de coure classe 5 (-K) de 50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</si>
  <si>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</si>
  <si>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</si>
  <si>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</si>
  <si>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</si>
  <si>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</si>
  <si>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</si>
  <si>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</si>
  <si>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</si>
  <si>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</si>
  <si>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</si>
  <si>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</si>
  <si>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t>
  </si>
  <si>
    <t xml:space="preserve">IAF070</t>
  </si>
  <si>
    <t xml:space="preserve">Partida</t>
  </si>
  <si>
    <t xml:space="preserve">m</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</si>
  <si>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Inclús accessoris i elements de subjecció.</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</si>
  <si>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Inclús accessoris i elements de subjecció.</t>
  </si>
  <si>
    <t xml:space="preserve">mt40cpt010c</t>
  </si>
  <si>
    <t xml:space="preserve">Material</t>
  </si>
  <si>
    <t xml:space="preserve">m</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</si>
  <si>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segons EN 50288-6-1.</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</si>
  <si>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</si>
  <si>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</si>
  <si>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</si>
  <si>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</si>
  <si>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</si>
  <si>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</si>
  <si>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</si>
  <si>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</si>
  <si>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</si>
  <si>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</si>
  <si>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</si>
  <si>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IAF070</t>
  </si>
  <si>
    <t xml:space="preserve">IEX050</t>
  </si>
  <si>
    <t xml:space="preserve">Partida</t>
  </si>
  <si>
    <t xml:space="preserve">U</t>
  </si>
  <si>
    <t xml:space="preserve">Interruptor automàtic magnetotèrmic, modular. Per el sistema de telecomunicacions</t>
  </si>
  <si>
    <t xml:space="preserve">Interruptor automàtic magnetotèrmic, de 2 mòduls, bipolar (2P), intensitat nominal 16 A, poder de tall 6 kA, corba C, de 36x80x77,8 mm, grau de protecció IP20, muntatge sobre carril DIN (35 mm) i fixació a carril mitjançant grapes. Totalment muntat, connexionat i provat.</t>
  </si>
  <si>
    <t xml:space="preserve">mt35amc021cc</t>
  </si>
  <si>
    <t xml:space="preserve">Material</t>
  </si>
  <si>
    <t xml:space="preserve">U</t>
  </si>
  <si>
    <t xml:space="preserve">Interruptor automàtic magnetotèrmic, de 2 mòduls, bipolar (2P), intensitat nominal 16 A, poder de tall 6 kA, corba C, de 36x80x77,8 mm, grau de protecció IP20, muntatge sobre carril DIN (35 mm) i fixació a carril mitjançant grapes, segons UNE-EN 60898-1.</t>
  </si>
  <si>
    <t xml:space="preserve">mo003</t>
  </si>
  <si>
    <t xml:space="preserve">Mà d'obra</t>
  </si>
  <si>
    <t xml:space="preserve">h</t>
  </si>
  <si>
    <t xml:space="preserve">Oficial 1ª electricista.</t>
  </si>
  <si>
    <t xml:space="preserve">%</t>
  </si>
  <si>
    <t xml:space="preserve">%</t>
  </si>
  <si>
    <t xml:space="preserve">Costos directes complementaris</t>
  </si>
  <si>
    <t xml:space="preserve">IEX050</t>
  </si>
  <si>
    <t xml:space="preserve">IEX400</t>
  </si>
  <si>
    <t xml:space="preserve">Partida</t>
  </si>
  <si>
    <t xml:space="preserve">U</t>
  </si>
  <si>
    <t xml:space="preserve">Caixa de distribució, modular. Per ubicació dels elements auxiliars i equips de mesura</t>
  </si>
  <si>
    <t xml:space="preserve">Caixa de distribució de plàstic, de superfície, amb porta transparent, amb graus de protecció IP65 i IK08, aïllament classe II, tensió nominal 690 V, per a 24 mòduls, en 2 files, model Noark PHS 24T "CHINT ELECTRICS", de 319x384x120 mm, amb carril DIN, terminals de neutre i de terra, tirador d'obertura i tapes cobremòduls. Totalment muntada.</t>
  </si>
  <si>
    <t xml:space="preserve">mt35amc930zs</t>
  </si>
  <si>
    <t xml:space="preserve">Material</t>
  </si>
  <si>
    <t xml:space="preserve">U</t>
  </si>
  <si>
    <t xml:space="preserve">Caixa de distribució de plàstic, de superfície, amb porta transparent, amb graus de protecció IP65 i IK08, aïllament classe II, tensió nominal 690 V, per a 24 mòduls, en 2 files, model Noark PHS 24T "CHINT ELECTRICS", de 319x384x120 mm, amb carril DIN, terminals de neutre i de terra, tirador d'obertura i tapes cobremòduls, inclús accessoris de muntatge, segons UNE-EN 60670-1.</t>
  </si>
  <si>
    <t xml:space="preserve">mo003</t>
  </si>
  <si>
    <t xml:space="preserve">Mà d'obra</t>
  </si>
  <si>
    <t xml:space="preserve">h</t>
  </si>
  <si>
    <t xml:space="preserve">Oficial 1ª electricista.</t>
  </si>
  <si>
    <t xml:space="preserve">%</t>
  </si>
  <si>
    <t xml:space="preserve">%</t>
  </si>
  <si>
    <t xml:space="preserve">Costos directes complementaris</t>
  </si>
  <si>
    <t xml:space="preserve">IEX400</t>
  </si>
  <si>
    <t xml:space="preserve">IEX401</t>
  </si>
  <si>
    <t xml:space="preserve">Partida</t>
  </si>
  <si>
    <t xml:space="preserve">U</t>
  </si>
  <si>
    <t xml:space="preserve">Subministrament i instal·lació Huawei SmartLogger3000A01EU sense MBUS + mesurador universal trifàsic Janitza UMG 604-PRO o equivalent per control d’injecció zero, amb mesura mitjançant transformadors d’intensitat …/5 A, muntat en quadre, connectat, configurat, integrat a plataforma de monitorització i posat en servei, incloent cablejat, connectors, petit material, proves i documentació final. Inclou programació i muntatge</t>
  </si>
  <si>
    <t xml:space="preserve">Es preveu la instal·lació d’un sistema de monitorització i control energètic format per un Huawei SmartLogger3000A01EU o equivalent i un mesurador universal trifàsic Janitza UMG 604-PRO o equivalent, amb mesura indirecta mitjançant transformadors d’intensitat de secundari …/5 A.
El SmartLogger3000A01EU serà l’equip encarregat de centralitzar les comunicacions de la planta fotovoltaica, gestionar els inversors i equips auxiliars, transmetre les dades a la plataforma de monitorització i executar les funcions de control energètic definides al projecte. L’equip haurà de permetre la gestió de fins a 80 dispositius, disposarà de ports WAN i LAN 10/100/1000 Mbps, 3 ports RS485, comunicació 2G/3G/4G, entrades i sortides DI, DO i AI, protocols Modbus-TCP, IEC 60870-5-104, Modbus-RTU, IEC 60870-5-103 i DL/T645, Web integrada, USB i posada en servei via WLAN. La versió prevista A01EU no disposa de MBUS, aspecte que s’haurà de tenir en compte en l’arquitectura de comunicacions.
El mesurador universal trifàsic Janitza UMG 604-PRO o equivalent s’instal·larà al punt de mesura definit en projecte, amb l’objectiu de registrar els fluxos d’energia importada i exportada, potències instantànies i altres magnituds elèctriques necessàries per al control de la instal·lació. L’equip disposarà de precisió d’energia classe 0,5S amb transformadors …/5 A, mesura d’intensitat i tensió amb precisió 0,2 %, anàlisi de qualitat elèctrica, harmònics fins a ordre 40, registre de microtalls, transitoris, desequilibri de fases, memòria interna i comunicacions industrials Ethernet i RS485.
El conjunt permetrà implementar funcions de control d’injecció zero, d’acord amb el Reial decret 244/2019 i les condicions definides al projecte, mitjançant la lectura contínua dels fluxos de potència en el punt de connexió i la regulació de la potència activa generada pels inversors fotovoltaics. El sistema haurà de quedar configurat perquè, en condicions normals de funcionament, s’eviti l’abocament d’energia excedentària a la xarxa, dins dels marges tècnics admissibles del sistema de mesura i regulació.</t>
  </si>
  <si>
    <t xml:space="preserve">IEX403</t>
  </si>
  <si>
    <t xml:space="preserve">Partida</t>
  </si>
  <si>
    <t xml:space="preserve">U</t>
  </si>
  <si>
    <t xml:space="preserve">Subministrament i instal·lació de transformador d’intensitat de nucli partit 1600/5 A, tipus Circutor TP-58 M70128 o equivalent, per a pletina 50 x 80 mm, classe 0,5/1 segons càrrega, secundari 5 A, incloent connexió a equip de mesura, identificació, verificació de polaritat, proves i posada en servei.</t>
  </si>
  <si>
    <t xml:space="preserve">Subministrament, instal·lació, connexió, verificació i posada en servei de transformador d’intensitat de nucli partit tipus Circutor TP-58 1600/5A, codi M70128, o equivalent, per a mesura indirecta de corrent en instal·lació de baixa tensió, amb relació de transformació 1000/5 A, apte per a pletina de fins a 50 x 80 mm, secundari 5 A, classe de precisió mínima 0,5 amb 5 VA o classe 1 amb 10 VA segons càrrega del circuit de mesura, tensió màxima de treball 0,72 kV, factor de seguretat FS 10, nucli partit per instal·lació sense desmuntatge del conductor principal, incloent muntatge mecànic, connexió del secundari fins a equip de mesura, terminals, punteres, identificació, comprovació de polaritat, verificació del sentit de mesura, proves de lectura i petit material. Totalment instal·lat, verificat i operatiu.
Característica    Requisit mínim
Tipus d’equip    Transformador d’intensitat
Model de referència    Circutor TP-58 1600/5A, codi M70128, o equivalent
Tipologia    Nucli partit / nucli obert
Relació de transformació    1600/5 A
Corrent primari nominal    1600 A
Corrent secundari nominal    5 A
Sistema    Monofàsic
Finestra / pletina admissible    50 x 80 mm
Classe de precisió    Classe 0,5 / 1 / 3 segons càrrega
Potència classe 0,5    5 VA
Potència classe 1    10 VA
Potència classe 3    20 VA
Tensió màxima de treball    0,72 kV AC
Factor de seguretat    FS 10
Intensitat tèrmica de curtcircuit    60 In
Intensitat dinàmica    2,5 Ith
Classe tèrmica    Classe B, +130 ºC
Temperatura de treball    -5 ºC a +40 ºC
Dimensions orientatives    145 x 114 x 50 mm
Pes orientatiu    0,866 kg
Normativa de referència    IEC 44-1, UNE 21 088-1, UL 94, VDE 0414</t>
  </si>
  <si>
    <t xml:space="preserve">IEX404</t>
  </si>
  <si>
    <t xml:space="preserve">Partida</t>
  </si>
  <si>
    <t xml:space="preserve">ut</t>
  </si>
  <si>
    <t xml:space="preserve">Subministre i instal·lació de transformador sumador de corrent Circutor TSR-3 M70702 o equivalent, 3 entrades de 5 A, sortida comuna proporcional a la suma de corrents, classe 0,5 / 15 VA, per integració de mesures mitjançant transformadors d’intensitat de mateixa relació. Instal·lat, connectat i verificat.</t>
  </si>
  <si>
    <t xml:space="preserve">Subministrament, instal·lació, connexió i verificació de transformador sumador de corrent tipus Circutor TSR-3 M70702 o equivalent, amb 3 canals de mesura, corrent d’entrada 5 A, classe de precisió 0,5 amb potència 15 VA i classe 1 amb potència 30 VA, destinat a sumar corrents procedents de transformadors d’intensitat de la mateixa relació i obtenir una sortida comuna proporcional a la suma. Inclou muntatge, connexió de secundaris, identificació de fases i circuits, verificació de polaritat, comprovació de lectures i posada en servei.
’equip disposarà de 3 canals de mesura, corrent d’entrada de 5 A, classe de precisió 0,5 amb potència de 15 VA i classe 1 amb potència de 30 VA. Les dimensions orientatives seran 110 x 72,5 x 110 mm i el pes aproximat 1,006 kg. El sistema serà adequat per a la seva instal·lació associada a transformadors d’intensitat amb la mateixa relació de transformació, no admetent-se la connexió simultània de transformadors de relacions diferents.
La partida inclou el muntatge de l’equip dins de quadre o armari de mesura, la connexió dels secundaris dels transformadors d’intensitat, la connexió de la sortida comuna cap a l’analitzador, comptador o equip de mesura corresponent, la identificació de cables, circuits i polaritats, la comprovació del sentit de mesura, la verificació de lectures i la posada en servei. En xarxes trifàsiques, caldrà preveure un transformador sumador per fase quan sigui necessari sumar diversos transformadors d’intensitat per cada fase.</t>
  </si>
  <si>
    <t xml:space="preserve">IEH01</t>
  </si>
  <si>
    <t xml:space="preserve">IEO01</t>
  </si>
  <si>
    <t xml:space="preserve">Capítol</t>
  </si>
  <si>
    <t xml:space="preserve">Canalitzacions</t>
  </si>
  <si>
    <t xml:space="preserve">IEO010d</t>
  </si>
  <si>
    <t xml:space="preserve">Partida</t>
  </si>
  <si>
    <t xml:space="preserve">m</t>
  </si>
  <si>
    <t xml:space="preserve">Canalització superficial de 300mm d'amplada en façana. degudament instal·lada i fixada</t>
  </si>
  <si>
    <t xml:space="preserve">Subministrament i muntatge de safata aïllant per a conducció de cablejat elèctric en façana exterior, marca Unex o equivalent, sèrie 66, de dimensions aproximades 60x300 mm, en material U48X sense halògens, base llisa no perforada, amb tapa del mateix material, color gris, apta per instal·lació exterior. Inclou trams de safata i tapa, unions, cobrejuntes, tapes finals, suports murals aïllants, cargoleria, ancoratges a façana, elements de fixació de tapa, petit material auxiliar, replanteig, tall, ajustos, fixació mecànica i mà d’obra necessària, totalment instal·lada i acabada. Longitud aproximada: 23 m.</t>
  </si>
  <si>
    <t xml:space="preserve">mt35ait030di</t>
  </si>
  <si>
    <t xml:space="preserve">Material</t>
  </si>
  <si>
    <t xml:space="preserve">m</t>
  </si>
  <si>
    <t xml:space="preserve">Safata llisa de PVC rígid, de 100x300 mm, per a suport i conducció de cables elèctrics, inclús accessoris. Segons UNE-EN 61537. Unex 60x300 U48X SH o equivalent amb tapa  Canalització principal mitjançant safata aïllant de material termoplàstic sense halògens, no metàl·lica, amb base llisa no perforada i tapa contínua, de 300 mm d’amplada, apta per ús exterior i instal·lació vista sobre façana. La safata disposarà dels accessoris propis del sistema: unions de base, cobrejuntes de tapa, tapes finals, suports murals, cargoleria i elements de retenció de tapa. La fixació a façana es realitzarà mitjançant suports adequats a la càrrega prevista i a la naturalesa del parament, amb cargoleria i ancoratges aptes per exterior. La separació entre suports no superarà 1,5 m, reduint-se quan sigui necessari per càrrega de cables, exposició al vent, canvis de direcció o punts singulars. La instal·lació quedarà correctament alineada, fixada i preparada per al pas ordenat del cablejat elèctric.</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</si>
  <si>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</si>
  <si>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</si>
  <si>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</si>
  <si>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</si>
  <si>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</si>
  <si>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</si>
  <si>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</si>
  <si>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</si>
  <si>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</si>
  <si>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</si>
  <si>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</si>
  <si>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IEO010d</t>
  </si>
  <si>
    <t xml:space="preserve">IEO010</t>
  </si>
  <si>
    <t xml:space="preserve">Partida</t>
  </si>
  <si>
    <t xml:space="preserve">m</t>
  </si>
  <si>
    <t xml:space="preserve">Canalització 60x60. Inclou tapa i elements de senyalització</t>
  </si>
  <si>
    <t xml:space="preserve">Canalització de safata de reixeta de filferro d'acer galvanitzat, de 60x60 mm, amb resistència al foc de 90 minuts a 1000°C E90 segons DIN 4102-12, resistència a l'impacte 20 joules, temperatura de treball -50°C fins 150°C. Instal·lació fix en superfície. Inclús elements de subjecció i accessoris.</t>
  </si>
  <si>
    <t xml:space="preserve">mt35brp020g</t>
  </si>
  <si>
    <t xml:space="preserve">Material</t>
  </si>
  <si>
    <t xml:space="preserve">m</t>
  </si>
  <si>
    <t xml:space="preserve">Safata de reixeta de filferro d'acer galvanitzat, de 60x60 mm, amb resistència al foc de 90 minuts a 1000°C E90 segons DIN 4102-12, resistència a l'impacte 20 joules, temperatura de treball -50°C fins 150°C, segons UNE-EN 61537, subministrada en trams de 3 m, per a suport i conducció de cables elèctrics, inclús elements de subjecció i accessoris.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</si>
  <si>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</si>
  <si>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</si>
  <si>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</si>
  <si>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</si>
  <si>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</si>
  <si>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</si>
  <si>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</si>
  <si>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</si>
  <si>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</si>
  <si>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</si>
  <si>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</si>
  <si>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t>
  </si>
  <si>
    <t xml:space="preserve">IEO010e</t>
  </si>
  <si>
    <t xml:space="preserve">Partida</t>
  </si>
  <si>
    <t xml:space="preserve">m</t>
  </si>
  <si>
    <t xml:space="preserve">Canalització. 60x200 Inclou tapa i elements de senyalització</t>
  </si>
  <si>
    <t xml:space="preserve">Canalització de safata de reixeta de filferro d'acer zincat, de 60x200 mm, amb resistència al foc de 90 minuts a 1000°C E90 segons DIN 4102-12, resistència a l'impacte 20 joules, temperatura de treball -50°C fins 150°C. Instal·lació fix en superfície. Inclús elements de subjecció i accessoris.</t>
  </si>
  <si>
    <t xml:space="preserve">mt35brp010i</t>
  </si>
  <si>
    <t xml:space="preserve">Material</t>
  </si>
  <si>
    <t xml:space="preserve">m</t>
  </si>
  <si>
    <t xml:space="preserve">Safata de reixeta de filferro d'acer zincat, de 60x200 mm, amb resistència al foc de 90 minuts a 1000°C E90 segons DIN 4102-12, resistència a l'impacte 20 joules, temperatura de treball -50°C fins 150°C, segons UNE-EN 61537, subministrada en trams de 3 m, per a suport i conducció de cables elèctrics, inclús elements de subjecció i accessoris.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</si>
  <si>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</si>
  <si>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</si>
  <si>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</si>
  <si>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</si>
  <si>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</si>
  <si>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</si>
  <si>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</si>
  <si>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</si>
  <si>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</si>
  <si>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</si>
  <si>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</si>
  <si>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IEO010e</t>
  </si>
  <si>
    <t xml:space="preserve">IEO010c</t>
  </si>
  <si>
    <t xml:space="preserve">Partida</t>
  </si>
  <si>
    <t xml:space="preserve">m</t>
  </si>
  <si>
    <t xml:space="preserve">Canalització. 60x300 Inclou tapa i elements de senyalització</t>
  </si>
  <si>
    <t xml:space="preserve">Canalització de safata de reixeta de filferro d'acer zincat, de 60x300 mm, amb resistència al foc de 90 minuts a 1000°C E90 segons DIN 4102-12, resistència a l'impacte 20 joules, temperatura de treball -50°C fins 150°C. Instal·lació fix en superfície. Inclús elements de subjecció i accessoris.</t>
  </si>
  <si>
    <t xml:space="preserve">mt35brp010j</t>
  </si>
  <si>
    <t xml:space="preserve">Material</t>
  </si>
  <si>
    <t xml:space="preserve">m</t>
  </si>
  <si>
    <t xml:space="preserve">Safata de reixeta de filferro d'acer zincat, de 60x300 mm, amb resistència al foc de 90 minuts a 1000°C E90 segons DIN 4102-12, resistència a l'impacte 20 joules, temperatura de treball -50°C fins 150°C, segons UNE-EN 61537, subministrada en trams de 3 m, per a suport i conducció de cables elèctrics, inclús elements de subjecció i accessoris.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</si>
  <si>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</si>
  <si>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</si>
  <si>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</si>
  <si>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</si>
  <si>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</si>
  <si>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</si>
  <si>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</si>
  <si>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</si>
  <si>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</si>
  <si>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</si>
  <si>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</si>
  <si>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IEO010c</t>
  </si>
  <si>
    <t xml:space="preserve">IEO01</t>
  </si>
  <si>
    <t xml:space="preserve">IEP01</t>
  </si>
  <si>
    <t xml:space="preserve">Capítol</t>
  </si>
  <si>
    <t xml:space="preserve">Connexió a terra per la instal·lació fotovoltaica</t>
  </si>
  <si>
    <t xml:space="preserve">IEH012d</t>
  </si>
  <si>
    <t xml:space="preserve">Partida</t>
  </si>
  <si>
    <t xml:space="preserve">m</t>
  </si>
  <si>
    <t xml:space="preserve">Cable elèctric de 0,6/1 kV de tensió nominal de 6 mm2 de secció</t>
  </si>
  <si>
    <t xml:space="preserve">Cable unipolar RZ1-K (AS), sent la seva tensió assignada de 0,6/1 kV, reacció al foc classe Cca-s1b,d1,a1, amb conductor de coure classe 5 (-K) de 6 mm² de secció, amb aïllament de polietilè reticulat (R) i coberta de compost termoplàstic a força de poliolefina lliure de halògens amb baixa emissió de fums i gasos corrosius (Z1). Inclús accessoris i elements de subjecció.</t>
  </si>
  <si>
    <t xml:space="preserve">mt35cun010e1</t>
  </si>
  <si>
    <t xml:space="preserve">Material</t>
  </si>
  <si>
    <t xml:space="preserve">m</t>
  </si>
  <si>
    <t xml:space="preserve">Cable unipolar RZ1-K (AS), sent la seva tensió assignada de 0,6/1 kV, reacció al foc classe Cca-s1b,d1,a1 segons UNE-EN 50575, amb conductor de coure classe 5 (-K) de 6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</si>
  <si>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</si>
  <si>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</si>
  <si>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</si>
  <si>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</si>
  <si>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</si>
  <si>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</si>
  <si>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</si>
  <si>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</si>
  <si>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</si>
  <si>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</si>
  <si>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</si>
  <si>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IEH012d</t>
  </si>
  <si>
    <t xml:space="preserve">IEP01</t>
  </si>
  <si>
    <t xml:space="preserve">IEI_01</t>
  </si>
  <si>
    <t xml:space="preserve">IET01</t>
  </si>
  <si>
    <t xml:space="preserve">Capítol</t>
  </si>
  <si>
    <t xml:space="preserve">Legalització i inscripció de la instal·lació</t>
  </si>
  <si>
    <t xml:space="preserve">IETLEG</t>
  </si>
  <si>
    <t xml:space="preserve">Partida</t>
  </si>
  <si>
    <t xml:space="preserve">U</t>
  </si>
  <si>
    <t xml:space="preserve">Legalització elèctrica, com a instal·lació generadora de P&gt;100kW individual amb injecció zero. Inclou: sol·licitud prèvia i incripció de la instal·lació (RITSIC i registre autoconsum). Justificant i pagament de taxes  (RITSIC i inscripció Autoconsum), Projecte Tècnic i visat. Gestió amb distribuïdora de les condicions tècniques i permisos d'accés i connexió. S'inclou també el cost de la inspecció per part d'una entitat col·laboradora de l'administració</t>
  </si>
  <si>
    <t xml:space="preserve">Legalització elèctrica, com a instal·lació generadora de P&gt;100kW individual amb injecció zero. Inclou:
-Sol·licitud d'autorització administrativa prèvia i de construcció
-Sol·licitud d'explotació definitiva i inscripció de la instal·lació (RITSIC i registre autoconsum).
-Justificant i pagament de taxes  (RITSIC i inscripció Autoconsum)
-Projecte Tècnic i visat.
-Gestió amb distribuïdora del punt de connexió permisos d'accés i connexió i contracte tècnic d'accés
S'inclou també el cost de la inspecció per part d'una entitat col·laboradora de l'administració</t>
  </si>
  <si>
    <t xml:space="preserve">IET01</t>
  </si>
  <si>
    <t xml:space="preserve">I_01</t>
  </si>
  <si>
    <t xml:space="preserve">Y_01</t>
  </si>
  <si>
    <t xml:space="preserve">Capítol</t>
  </si>
  <si>
    <t xml:space="preserve">Seguretat</t>
  </si>
  <si>
    <t xml:space="preserve">YCX010b</t>
  </si>
  <si>
    <t xml:space="preserve">Partida</t>
  </si>
  <si>
    <t xml:space="preserve">Ut</t>
  </si>
  <si>
    <t xml:space="preserve">Redacció del Pla de Seguretat</t>
  </si>
  <si>
    <t xml:space="preserve">Redacció del Pla de Seguretat per l'execució de tots els treballs d'obra</t>
  </si>
  <si>
    <t xml:space="preserve">Y_01</t>
  </si>
  <si>
    <t xml:space="preserve">01.05</t>
  </si>
  <si>
    <t xml:space="preserve">Capítol</t>
  </si>
  <si>
    <t xml:space="preserve">ALTRES</t>
  </si>
  <si>
    <t xml:space="preserve">PA_01</t>
  </si>
  <si>
    <t xml:space="preserve">Partida</t>
  </si>
  <si>
    <t xml:space="preserve">U</t>
  </si>
  <si>
    <t xml:space="preserve">Partida alçada a justificar per a subministrament i col·locació de cartell d'obra.</t>
  </si>
  <si>
    <t xml:space="preserve">Partida alçada a justificar per a subministrament i col·locació de cartell d'obra.
Inclou el disseny gràfic personalitzat, la impressió digital sobre suport rígid (lluenta de PVC, alumini dibond o xapa galvanitzada), l'estructura de fusta o metàl·lica de suport, els ancoratges i la fonamentació necessària. També inclou el muntatge inicial en un lloc visible de la parcel·la, el manteniment durant l'execució dels treballs i el desmuntatge, retirada i gestió de residus un cop finalitzada l'obra. Tot completament instal·lat segons indicacions de la Direcció Facultativa.</t>
  </si>
  <si>
    <t xml:space="preserve">01.05</t>
  </si>
  <si>
    <t xml:space="preserve">P301_IRTA MONELLS_REVISIÓ 2026</t>
  </si>
</sst>
</file>

<file path=xl/styles.xml><?xml version="1.0" encoding="utf-8"?>
<styleSheet xmlns="http://schemas.openxmlformats.org/spreadsheetml/2006/main">
  <numFmts count="2">
    <numFmt numFmtId="200" formatCode="#,##0.00"/>
    <numFmt numFmtId="201" formatCode="#,##0.000"/>
  </numFmts>
  <fonts count="5">
    <font>
      <sz val="12.00"/>
      <color rgb="FF000000"/>
      <name val="Verdana"/>
      <family val="2"/>
    </font>
    <font>
      <b/>
      <sz val="9.96"/>
      <color rgb="FF000000"/>
      <name val="Arial"/>
      <family val="2"/>
    </font>
    <font>
      <sz val="8.04"/>
      <color rgb="FF000000"/>
      <name val="Arial"/>
      <family val="2"/>
    </font>
    <font>
      <b/>
      <sz val="9.00"/>
      <color rgb="FF000000"/>
      <name val="Arial"/>
      <family val="2"/>
    </font>
    <font>
      <b/>
      <sz val="8.04"/>
      <color rgb="FF000000"/>
      <name val="Arial"/>
      <family val="2"/>
    </font>
  </fonts>
  <fills count="7">
    <fill>
      <patternFill patternType="none"/>
    </fill>
    <fill>
      <patternFill patternType="gray125"/>
    </fill>
    <fill>
      <patternFill patternType="solid">
        <fgColor rgb="FFDFFFBF"/>
      </patternFill>
    </fill>
    <fill>
      <patternFill patternType="solid">
        <fgColor rgb="FF269900"/>
      </patternFill>
    </fill>
    <fill>
      <patternFill patternType="solid">
        <fgColor rgb="FF3FB219"/>
      </patternFill>
    </fill>
    <fill>
      <patternFill patternType="solid">
        <fgColor rgb="FF58CB32"/>
      </patternFill>
    </fill>
    <fill>
      <patternFill patternType="solid">
        <fgColor rgb="FF71E44B"/>
      </patternFill>
    </fill>
  </fills>
  <borders count="4">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1">
    <xf numFmtId="0" fontId="0" fillId="0" borderId="0"/>
  </cellStyleXfs>
  <cellXfs count="82">
    <xf numFmtId="0" fontId="0" fillId="0" borderId="0" xfId="0" applyFont="1" applyAlignment="1">
      <alignment horizontal="left" vertical="center" wrapText="0"/>
    </xf>
    <xf numFmtId="0" fontId="1" fillId="0" borderId="0" xfId="0" applyFont="1" applyAlignment="1">
      <alignment horizontal="right" vertical="top" wrapText="1"/>
    </xf>
    <xf numFmtId="0" fontId="1" fillId="2" borderId="0" xfId="0" applyFont="1" applyAlignment="1">
      <alignment horizontal="right" vertical="top" wrapText="1"/>
    </xf>
    <xf numFmtId="0" fontId="1" fillId="0" borderId="0" xfId="0" applyFont="1" applyAlignment="1">
      <alignment horizontal="left" vertical="top" wrapText="1"/>
    </xf>
    <xf numFmtId="0" fontId="1" fillId="2" borderId="0" xfId="0" applyFont="1" applyAlignment="1">
      <alignment horizontal="left" vertical="top" wrapText="1"/>
    </xf>
    <xf numFmtId="0" fontId="0" fillId="2" borderId="0" xfId="0" applyFont="1" applyAlignment="1">
      <alignment horizontal="left" vertical="top" wrapText="1"/>
    </xf>
    <xf numFmtId="0" fontId="2" fillId="0" borderId="0" xfId="0" applyFont="1" applyAlignment="1">
      <alignment horizontal="right" vertical="top" wrapText="1"/>
    </xf>
    <xf numFmtId="0" fontId="2" fillId="2" borderId="0" xfId="0" applyFont="1" applyAlignment="1">
      <alignment horizontal="right" vertical="top" wrapText="1"/>
    </xf>
    <xf numFmtId="0" fontId="2" fillId="0" borderId="0" xfId="0" applyFont="1" applyAlignment="1">
      <alignment horizontal="left" vertical="top" wrapText="1"/>
    </xf>
    <xf numFmtId="0" fontId="2" fillId="2" borderId="0" xfId="0" applyFont="1" applyAlignment="1">
      <alignment horizontal="left" vertical="top" wrapText="1"/>
    </xf>
    <xf numFmtId="0" fontId="3" fillId="0" borderId="0" xfId="0" applyFont="1" applyAlignment="1">
      <alignment horizontal="left" vertical="top" wrapText="1"/>
    </xf>
    <xf numFmtId="0" fontId="3" fillId="2" borderId="1" xfId="0" applyFont="1" applyAlignment="1">
      <alignment horizontal="left" vertical="top" wrapText="1"/>
    </xf>
    <xf numFmtId="0" fontId="0" fillId="2" borderId="1" xfId="0" applyFont="1" applyAlignment="1">
      <alignment horizontal="left" vertical="top" wrapText="1"/>
    </xf>
    <xf numFmtId="0" fontId="3" fillId="0" borderId="0" xfId="0" applyFont="1" applyAlignment="1">
      <alignment horizontal="right" vertical="top" wrapText="1"/>
    </xf>
    <xf numFmtId="0" fontId="3" fillId="2" borderId="1" xfId="0" applyFont="1" applyAlignment="1">
      <alignment horizontal="right" vertical="top" wrapText="1"/>
    </xf>
    <xf numFmtId="0" fontId="4" fillId="0" borderId="0" xfId="0" applyFont="1" applyAlignment="1">
      <alignment horizontal="left" vertical="top" wrapText="1"/>
    </xf>
    <xf numFmtId="0" fontId="4" fillId="3" borderId="2" xfId="0" applyFont="1" applyAlignment="1">
      <alignment horizontal="left" vertical="top" wrapText="1"/>
    </xf>
    <xf numFmtId="0" fontId="0" fillId="3" borderId="2" xfId="0" applyFont="1" applyAlignment="1">
      <alignment horizontal="left" vertical="top" wrapText="1"/>
    </xf>
    <xf numFmtId="0" fontId="4" fillId="0" borderId="0" xfId="0" applyFont="1" applyAlignment="1">
      <alignment horizontal="justify" vertical="top" wrapText="1"/>
    </xf>
    <xf numFmtId="0" fontId="4" fillId="3" borderId="2" xfId="0" applyFont="1" applyAlignment="1">
      <alignment horizontal="justify" vertical="top" wrapText="1"/>
    </xf>
    <xf numFmtId="200" fontId="4" fillId="0" borderId="0" xfId="0" applyFont="1" applyAlignment="1">
      <alignment horizontal="right" vertical="top" wrapText="1"/>
    </xf>
    <xf numFmtId="200" fontId="4" fillId="3" borderId="2" xfId="0" applyFont="1" applyAlignment="1">
      <alignment horizontal="right" vertical="top" wrapText="1"/>
    </xf>
    <xf numFmtId="0" fontId="4" fillId="4" borderId="0" xfId="0" applyFont="1" applyAlignment="1">
      <alignment horizontal="left" vertical="top" wrapText="1"/>
    </xf>
    <xf numFmtId="0" fontId="0" fillId="4" borderId="0" xfId="0" applyFont="1" applyAlignment="1">
      <alignment horizontal="left" vertical="top" wrapText="1"/>
    </xf>
    <xf numFmtId="0" fontId="4" fillId="4" borderId="0" xfId="0" applyFont="1" applyAlignment="1">
      <alignment horizontal="justify" vertical="top" wrapText="1"/>
    </xf>
    <xf numFmtId="200" fontId="4" fillId="4" borderId="0" xfId="0" applyFont="1" applyAlignment="1">
      <alignment horizontal="right" vertical="top" wrapText="1"/>
    </xf>
    <xf numFmtId="0" fontId="2" fillId="0" borderId="0" xfId="0" applyFont="1" applyAlignment="1">
      <alignment horizontal="justify" vertical="top" wrapText="1"/>
    </xf>
    <xf numFmtId="201" fontId="2" fillId="0" borderId="0" xfId="0" applyFont="1" applyAlignment="1">
      <alignment horizontal="right" vertical="top" wrapText="1"/>
    </xf>
    <xf numFmtId="200" fontId="2" fillId="0" borderId="0" xfId="0" applyFont="1" applyAlignment="1">
      <alignment horizontal="right" vertical="top" wrapText="1"/>
    </xf>
    <xf numFmtId="0" fontId="0" fillId="0" borderId="0" xfId="0" applyFont="1" applyAlignment="1">
      <alignment horizontal="center" vertical="center" wrapText="1"/>
    </xf>
    <xf numFmtId="0" fontId="0" fillId="0" borderId="1" xfId="0" applyFont="1" applyAlignment="1">
      <alignment horizontal="center" vertical="center" wrapText="1"/>
    </xf>
    <xf numFmtId="0" fontId="4" fillId="0" borderId="1" xfId="0" applyFont="1" applyAlignment="1">
      <alignment horizontal="left" vertical="top" wrapText="1"/>
    </xf>
    <xf numFmtId="201" fontId="4" fillId="0" borderId="0" xfId="0" applyFont="1" applyAlignment="1">
      <alignment horizontal="right" vertical="top" wrapText="1"/>
    </xf>
    <xf numFmtId="201" fontId="4" fillId="0" borderId="1" xfId="0" applyFont="1" applyAlignment="1">
      <alignment horizontal="right" vertical="top" wrapText="1"/>
    </xf>
    <xf numFmtId="200" fontId="4" fillId="0" borderId="1" xfId="0" applyFont="1" applyAlignment="1">
      <alignment horizontal="right" vertical="top" wrapText="1"/>
    </xf>
    <xf numFmtId="0" fontId="0" fillId="0" borderId="3" xfId="0" applyFont="1" applyAlignment="1">
      <alignment horizontal="center" vertical="center" wrapText="1"/>
    </xf>
    <xf numFmtId="0" fontId="4" fillId="4" borderId="3" xfId="0" applyFont="1" applyAlignment="1">
      <alignment horizontal="left" vertical="top" wrapText="1"/>
    </xf>
    <xf numFmtId="0" fontId="0" fillId="4" borderId="3" xfId="0" applyFont="1" applyAlignment="1">
      <alignment horizontal="left" vertical="top" wrapText="1"/>
    </xf>
    <xf numFmtId="200" fontId="4" fillId="4" borderId="3" xfId="0" applyFont="1" applyAlignment="1">
      <alignment horizontal="right" vertical="top" wrapText="1"/>
    </xf>
    <xf numFmtId="0" fontId="4" fillId="4" borderId="2" xfId="0" applyFont="1" applyAlignment="1">
      <alignment horizontal="left" vertical="top" wrapText="1"/>
    </xf>
    <xf numFmtId="0" fontId="0" fillId="4" borderId="2" xfId="0" applyFont="1" applyAlignment="1">
      <alignment horizontal="left" vertical="top" wrapText="1"/>
    </xf>
    <xf numFmtId="0" fontId="4" fillId="4" borderId="2" xfId="0" applyFont="1" applyAlignment="1">
      <alignment horizontal="justify" vertical="top" wrapText="1"/>
    </xf>
    <xf numFmtId="200" fontId="4" fillId="4" borderId="2" xfId="0" applyFont="1" applyAlignment="1">
      <alignment horizontal="right" vertical="top" wrapText="1"/>
    </xf>
    <xf numFmtId="0" fontId="4" fillId="4" borderId="1" xfId="0" applyFont="1" applyAlignment="1">
      <alignment horizontal="left" vertical="top" wrapText="1"/>
    </xf>
    <xf numFmtId="0" fontId="0" fillId="4" borderId="1" xfId="0" applyFont="1" applyAlignment="1">
      <alignment horizontal="left" vertical="top" wrapText="1"/>
    </xf>
    <xf numFmtId="200" fontId="4" fillId="4" borderId="1" xfId="0" applyFont="1" applyAlignment="1">
      <alignment horizontal="right" vertical="top" wrapText="1"/>
    </xf>
    <xf numFmtId="0" fontId="4" fillId="5" borderId="0" xfId="0" applyFont="1" applyAlignment="1">
      <alignment horizontal="left" vertical="top" wrapText="1"/>
    </xf>
    <xf numFmtId="0" fontId="0" fillId="5" borderId="0" xfId="0" applyFont="1" applyAlignment="1">
      <alignment horizontal="left" vertical="top" wrapText="1"/>
    </xf>
    <xf numFmtId="0" fontId="4" fillId="5" borderId="0" xfId="0" applyFont="1" applyAlignment="1">
      <alignment horizontal="justify" vertical="top" wrapText="1"/>
    </xf>
    <xf numFmtId="200" fontId="4" fillId="5" borderId="0" xfId="0" applyFont="1" applyAlignment="1">
      <alignment horizontal="right" vertical="top" wrapText="1"/>
    </xf>
    <xf numFmtId="0" fontId="4" fillId="6" borderId="0" xfId="0" applyFont="1" applyAlignment="1">
      <alignment horizontal="left" vertical="top" wrapText="1"/>
    </xf>
    <xf numFmtId="0" fontId="0" fillId="6" borderId="0" xfId="0" applyFont="1" applyAlignment="1">
      <alignment horizontal="left" vertical="top" wrapText="1"/>
    </xf>
    <xf numFmtId="0" fontId="4" fillId="6" borderId="0" xfId="0" applyFont="1" applyAlignment="1">
      <alignment horizontal="justify" vertical="top" wrapText="1"/>
    </xf>
    <xf numFmtId="200" fontId="4" fillId="6" borderId="0" xfId="0" applyFont="1" applyAlignment="1">
      <alignment horizontal="right" vertical="top" wrapText="1"/>
    </xf>
    <xf numFmtId="0" fontId="4" fillId="0" borderId="2" xfId="0" applyFont="1" applyAlignment="1">
      <alignment horizontal="left" vertical="top" wrapText="1"/>
    </xf>
    <xf numFmtId="0" fontId="2" fillId="0" borderId="2" xfId="0" applyFont="1" applyAlignment="1">
      <alignment horizontal="left" vertical="top" wrapText="1"/>
    </xf>
    <xf numFmtId="0" fontId="2" fillId="0" borderId="2" xfId="0" applyFont="1" applyAlignment="1">
      <alignment horizontal="justify" vertical="top" wrapText="1"/>
    </xf>
    <xf numFmtId="201" fontId="2" fillId="0" borderId="2" xfId="0" applyFont="1" applyAlignment="1">
      <alignment horizontal="right" vertical="top" wrapText="1"/>
    </xf>
    <xf numFmtId="200" fontId="2" fillId="0" borderId="2" xfId="0" applyFont="1" applyAlignment="1">
      <alignment horizontal="right" vertical="top" wrapText="1"/>
    </xf>
    <xf numFmtId="0" fontId="4" fillId="6" borderId="3" xfId="0" applyFont="1" applyAlignment="1">
      <alignment horizontal="left" vertical="top" wrapText="1"/>
    </xf>
    <xf numFmtId="0" fontId="0" fillId="6" borderId="3" xfId="0" applyFont="1" applyAlignment="1">
      <alignment horizontal="left" vertical="top" wrapText="1"/>
    </xf>
    <xf numFmtId="200" fontId="4" fillId="6" borderId="3" xfId="0" applyFont="1" applyAlignment="1">
      <alignment horizontal="right" vertical="top" wrapText="1"/>
    </xf>
    <xf numFmtId="0" fontId="4" fillId="6" borderId="2" xfId="0" applyFont="1" applyAlignment="1">
      <alignment horizontal="left" vertical="top" wrapText="1"/>
    </xf>
    <xf numFmtId="0" fontId="0" fillId="6" borderId="2" xfId="0" applyFont="1" applyAlignment="1">
      <alignment horizontal="left" vertical="top" wrapText="1"/>
    </xf>
    <xf numFmtId="0" fontId="4" fillId="6" borderId="2" xfId="0" applyFont="1" applyAlignment="1">
      <alignment horizontal="justify" vertical="top" wrapText="1"/>
    </xf>
    <xf numFmtId="200" fontId="4" fillId="6" borderId="2" xfId="0" applyFont="1" applyAlignment="1">
      <alignment horizontal="right" vertical="top" wrapText="1"/>
    </xf>
    <xf numFmtId="0" fontId="4" fillId="6" borderId="1" xfId="0" applyFont="1" applyAlignment="1">
      <alignment horizontal="left" vertical="top" wrapText="1"/>
    </xf>
    <xf numFmtId="0" fontId="0" fillId="6" borderId="1" xfId="0" applyFont="1" applyAlignment="1">
      <alignment horizontal="left" vertical="top" wrapText="1"/>
    </xf>
    <xf numFmtId="200" fontId="4" fillId="6" borderId="1" xfId="0" applyFont="1" applyAlignment="1">
      <alignment horizontal="right" vertical="top" wrapText="1"/>
    </xf>
    <xf numFmtId="0" fontId="4" fillId="5" borderId="3" xfId="0" applyFont="1" applyAlignment="1">
      <alignment horizontal="left" vertical="top" wrapText="1"/>
    </xf>
    <xf numFmtId="0" fontId="0" fillId="5" borderId="3" xfId="0" applyFont="1" applyAlignment="1">
      <alignment horizontal="left" vertical="top" wrapText="1"/>
    </xf>
    <xf numFmtId="200" fontId="4" fillId="5" borderId="3" xfId="0" applyFont="1" applyAlignment="1">
      <alignment horizontal="right" vertical="top" wrapText="1"/>
    </xf>
    <xf numFmtId="0" fontId="4" fillId="5" borderId="2" xfId="0" applyFont="1" applyAlignment="1">
      <alignment horizontal="left" vertical="top" wrapText="1"/>
    </xf>
    <xf numFmtId="0" fontId="0" fillId="5" borderId="2" xfId="0" applyFont="1" applyAlignment="1">
      <alignment horizontal="left" vertical="top" wrapText="1"/>
    </xf>
    <xf numFmtId="0" fontId="4" fillId="5" borderId="2" xfId="0" applyFont="1" applyAlignment="1">
      <alignment horizontal="justify" vertical="top" wrapText="1"/>
    </xf>
    <xf numFmtId="200" fontId="4" fillId="5" borderId="2" xfId="0" applyFont="1" applyAlignment="1">
      <alignment horizontal="right" vertical="top" wrapText="1"/>
    </xf>
    <xf numFmtId="0" fontId="4" fillId="5" borderId="1" xfId="0" applyFont="1" applyAlignment="1">
      <alignment horizontal="left" vertical="top" wrapText="1"/>
    </xf>
    <xf numFmtId="0" fontId="0" fillId="5" borderId="1" xfId="0" applyFont="1" applyAlignment="1">
      <alignment horizontal="left" vertical="top" wrapText="1"/>
    </xf>
    <xf numFmtId="200" fontId="4" fillId="5" borderId="1" xfId="0" applyFont="1" applyAlignment="1">
      <alignment horizontal="right" vertical="top" wrapText="1"/>
    </xf>
    <xf numFmtId="0" fontId="4" fillId="3" borderId="3" xfId="0" applyFont="1" applyAlignment="1">
      <alignment horizontal="left" vertical="top" wrapText="1"/>
    </xf>
    <xf numFmtId="0" fontId="0" fillId="3" borderId="3" xfId="0" applyFont="1" applyAlignment="1">
      <alignment horizontal="left" vertical="top" wrapText="1"/>
    </xf>
    <xf numFmtId="200" fontId="4" fillId="3" borderId="3" xfId="0" applyFont="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E200"/>
  <sheetViews>
    <sheetView tabSelected="1" view="pageLayout" workbookViewId="0">
      <selection activeCell="A1" sqref="A1"/>
    </sheetView>
  </sheetViews>
  <sheetFormatPr baseColWidth="10" defaultRowHeight="15"/>
  <cols>
    <col min="1" max="1" width="7.43" customWidth="1"/>
    <col min="2" max="2" width="6.57" customWidth="1"/>
    <col min="3" max="3" width="3.14" customWidth="1"/>
    <col min="4" max="4" width="17.74" customWidth="1"/>
    <col min="5" max="5" width="10.33" customWidth="1"/>
    <col min="6" max="6" width="5.61" customWidth="1"/>
    <col min="7" max="7" width="5.59" customWidth="1"/>
    <col min="8" max="8" width="5.72" customWidth="1"/>
    <col min="9" max="9" width="4.92" customWidth="1"/>
    <col min="10" max="10" width="6.20" customWidth="1"/>
    <col min="11" max="11" width="8.16" customWidth="1"/>
    <col min="12" max="12" width="8.08" customWidth="1"/>
    <col min="13" max="13" width="8.16" customWidth="1"/>
  </cols>
  <sheetData>
    <row r="1" spans="1:13" ht="29.64" thickBot="1" customHeight="1">
      <c r="A1" s="2" t="s">
        <v>0</v>
      </c>
      <c r="B1" s="4" t="s">
        <v>1</v>
      </c>
      <c r="C1" s="4"/>
      <c r="D1" s="4"/>
      <c r="E1" s="4"/>
      <c r="F1" s="4"/>
      <c r="G1" s="4"/>
      <c r="H1" s="4"/>
      <c r="I1" s="4"/>
      <c r="J1" s="4"/>
      <c r="K1" s="4"/>
      <c r="L1" s="4"/>
      <c r="M1" s="4"/>
    </row>
    <row r="2" spans="1:13" ht="17.76" thickBot="1" customHeight="1">
      <c r="A2" s="4" t="s">
        <v>2</v>
      </c>
      <c r="B2" s="4"/>
      <c r="C2" s="4"/>
      <c r="D2" s="5"/>
      <c r="E2" s="5"/>
      <c r="F2" s="5"/>
      <c r="G2" s="5"/>
      <c r="H2" s="5"/>
      <c r="I2" s="5"/>
      <c r="J2" s="5"/>
      <c r="K2" s="5"/>
      <c r="L2" s="7" t="s">
        <v>3</v>
      </c>
      <c r="M2" s="9">
        <v>3</v>
      </c>
    </row>
    <row r="3" spans="1:13" ht="16.68" thickBot="1" customHeight="1">
      <c r="A3" s="11" t="s">
        <v>4</v>
      </c>
      <c r="B3" s="11" t="s">
        <v>5</v>
      </c>
      <c r="C3" s="11" t="s">
        <v>6</v>
      </c>
      <c r="D3" s="11" t="s">
        <v>7</v>
      </c>
      <c r="E3" s="12"/>
      <c r="F3" s="12"/>
      <c r="G3" s="12"/>
      <c r="H3" s="12"/>
      <c r="I3" s="12"/>
      <c r="J3" s="12"/>
      <c r="K3" s="14" t="s">
        <v>8</v>
      </c>
      <c r="L3" s="14" t="s">
        <v>9</v>
      </c>
      <c r="M3" s="14" t="s">
        <v>10</v>
      </c>
    </row>
    <row r="4" spans="1:13" ht="34.68" thickBot="1" customHeight="1">
      <c r="A4" s="16" t="s">
        <v>11</v>
      </c>
      <c r="B4" s="16" t="s">
        <v>12</v>
      </c>
      <c r="C4" s="17"/>
      <c r="D4" s="19" t="s">
        <v>13</v>
      </c>
      <c r="E4" s="19"/>
      <c r="F4" s="19"/>
      <c r="G4" s="19"/>
      <c r="H4" s="19"/>
      <c r="I4" s="19"/>
      <c r="J4" s="19"/>
      <c r="K4" s="17"/>
      <c r="L4" s="21">
        <f ca="1">L172</f>
        <v>0</v>
      </c>
      <c r="M4" s="21">
        <f ca="1">ROUND(L4,2)</f>
        <v>0</v>
      </c>
    </row>
    <row r="5" spans="1:13" ht="15.48" thickBot="1" customHeight="1">
      <c r="A5" s="22" t="s">
        <v>14</v>
      </c>
      <c r="B5" s="22" t="s">
        <v>15</v>
      </c>
      <c r="C5" s="23"/>
      <c r="D5" s="24" t="s">
        <v>16</v>
      </c>
      <c r="E5" s="24"/>
      <c r="F5" s="24"/>
      <c r="G5" s="24"/>
      <c r="H5" s="24"/>
      <c r="I5" s="24"/>
      <c r="J5" s="24"/>
      <c r="K5" s="23"/>
      <c r="L5" s="25">
        <f ca="1">L10</f>
        <v>0</v>
      </c>
      <c r="M5" s="25">
        <f ca="1">ROUND(L5,2)</f>
        <v>0</v>
      </c>
    </row>
    <row r="6" spans="1:13" ht="15.48" thickBot="1" customHeight="1">
      <c r="A6" s="15" t="s">
        <v>17</v>
      </c>
      <c r="B6" s="8" t="s">
        <v>18</v>
      </c>
      <c r="C6" s="8" t="s">
        <v>19</v>
      </c>
      <c r="D6" s="26" t="s">
        <v>20</v>
      </c>
      <c r="E6" s="26"/>
      <c r="F6" s="26"/>
      <c r="G6" s="26"/>
      <c r="H6" s="26"/>
      <c r="I6" s="26"/>
      <c r="J6" s="26"/>
      <c r="K6" s="27">
        <f ca="1">ROUND(10.00,2)</f>
        <v>0</v>
      </c>
      <c r="L6" s="28">
        <f ca="1">L9</f>
        <v>0</v>
      </c>
      <c r="M6" s="28">
        <f ca="1">ROUND(K6*L6,2)</f>
        <v>0</v>
      </c>
    </row>
    <row r="7" spans="1:13" ht="21.36" thickBot="1" customHeight="1">
      <c r="A7" s="29"/>
      <c r="B7" s="29"/>
      <c r="C7" s="29"/>
      <c r="D7" s="26" t="s">
        <v>21</v>
      </c>
      <c r="E7" s="26"/>
      <c r="F7" s="26"/>
      <c r="G7" s="26"/>
      <c r="H7" s="26"/>
      <c r="I7" s="26"/>
      <c r="J7" s="26"/>
      <c r="K7" s="26"/>
      <c r="L7" s="26"/>
      <c r="M7" s="26"/>
    </row>
    <row r="8" spans="1:13" ht="24.36" thickBot="1" customHeight="1">
      <c r="A8" s="8" t="s">
        <v>22</v>
      </c>
      <c r="B8" s="8" t="s">
        <v>23</v>
      </c>
      <c r="C8" s="8" t="s">
        <v>24</v>
      </c>
      <c r="D8" s="26" t="s">
        <v>25</v>
      </c>
      <c r="E8" s="26"/>
      <c r="F8" s="26"/>
      <c r="G8" s="26"/>
      <c r="H8" s="26"/>
      <c r="I8" s="26"/>
      <c r="J8" s="26"/>
      <c r="K8" s="27">
        <v>1.000</v>
      </c>
      <c r="L8" s="27">
        <f ca="1">ROUND(110.070,3)</f>
        <v>0</v>
      </c>
      <c r="M8" s="28">
        <f ca="1">ROUND(K8*L8,2)</f>
        <v>0</v>
      </c>
    </row>
    <row r="9" spans="1:13" ht="15.48" thickBot="1" customHeight="1">
      <c r="A9" s="30"/>
      <c r="B9" s="30"/>
      <c r="C9" s="30"/>
      <c r="D9" s="31" t="s">
        <v>26</v>
      </c>
      <c r="E9" s="30"/>
      <c r="F9" s="30"/>
      <c r="G9" s="30"/>
      <c r="H9" s="30"/>
      <c r="I9" s="30"/>
      <c r="J9" s="30"/>
      <c r="K9" s="33">
        <v>10.000</v>
      </c>
      <c r="L9" s="34">
        <f ca="1">ROUND((M8)*(1+M2/100),2)</f>
        <v>0</v>
      </c>
      <c r="M9" s="34">
        <f ca="1">ROUND(K9*L9,2)</f>
        <v>0</v>
      </c>
    </row>
    <row r="10" spans="1:13" ht="15.48" thickBot="1" customHeight="1">
      <c r="A10" s="35"/>
      <c r="B10" s="35"/>
      <c r="C10" s="35"/>
      <c r="D10" s="36" t="s">
        <v>27</v>
      </c>
      <c r="E10" s="37"/>
      <c r="F10" s="37"/>
      <c r="G10" s="37"/>
      <c r="H10" s="37"/>
      <c r="I10" s="37"/>
      <c r="J10" s="37"/>
      <c r="K10" s="37"/>
      <c r="L10" s="38">
        <f ca="1">M6</f>
        <v>0</v>
      </c>
      <c r="M10" s="38">
        <f ca="1">ROUND(L10,2)</f>
        <v>0</v>
      </c>
    </row>
    <row r="11" spans="1:13" ht="15.48" thickBot="1" customHeight="1">
      <c r="A11" s="39" t="s">
        <v>28</v>
      </c>
      <c r="B11" s="39" t="s">
        <v>29</v>
      </c>
      <c r="C11" s="40"/>
      <c r="D11" s="41" t="s">
        <v>30</v>
      </c>
      <c r="E11" s="41"/>
      <c r="F11" s="41"/>
      <c r="G11" s="41"/>
      <c r="H11" s="41"/>
      <c r="I11" s="41"/>
      <c r="J11" s="41"/>
      <c r="K11" s="40"/>
      <c r="L11" s="42">
        <f ca="1">L14</f>
        <v>0</v>
      </c>
      <c r="M11" s="42">
        <f ca="1">ROUND(L11,2)</f>
        <v>0</v>
      </c>
    </row>
    <row r="12" spans="1:13" ht="39.84" thickBot="1" customHeight="1">
      <c r="A12" s="15" t="s">
        <v>31</v>
      </c>
      <c r="B12" s="8" t="s">
        <v>32</v>
      </c>
      <c r="C12" s="8" t="s">
        <v>33</v>
      </c>
      <c r="D12" s="26" t="s">
        <v>34</v>
      </c>
      <c r="E12" s="26"/>
      <c r="F12" s="26"/>
      <c r="G12" s="26"/>
      <c r="H12" s="26"/>
      <c r="I12" s="26"/>
      <c r="J12" s="26"/>
      <c r="K12" s="27">
        <f ca="1">ROUND(1.00,2)</f>
        <v>0</v>
      </c>
      <c r="L12" s="28">
        <f ca="1">ROUND(4678.524*(1+M2/100),2)</f>
        <v>0</v>
      </c>
      <c r="M12" s="28">
        <f ca="1">ROUND(K12*L12,2)</f>
        <v>0</v>
      </c>
    </row>
    <row r="13" spans="1:13" ht="178.44" thickBot="1" customHeight="1">
      <c r="A13" s="29"/>
      <c r="B13" s="29"/>
      <c r="C13" s="29"/>
      <c r="D13" s="26" t="s">
        <v>35</v>
      </c>
      <c r="E13" s="26"/>
      <c r="F13" s="26"/>
      <c r="G13" s="26"/>
      <c r="H13" s="26"/>
      <c r="I13" s="26"/>
      <c r="J13" s="26"/>
      <c r="K13" s="26"/>
      <c r="L13" s="26"/>
      <c r="M13" s="26"/>
    </row>
    <row r="14" spans="1:13" ht="15.48" thickBot="1" customHeight="1">
      <c r="A14" s="30"/>
      <c r="B14" s="30"/>
      <c r="C14" s="30"/>
      <c r="D14" s="43" t="s">
        <v>36</v>
      </c>
      <c r="E14" s="44"/>
      <c r="F14" s="44"/>
      <c r="G14" s="44"/>
      <c r="H14" s="44"/>
      <c r="I14" s="44"/>
      <c r="J14" s="44"/>
      <c r="K14" s="44"/>
      <c r="L14" s="45">
        <f ca="1">M12</f>
        <v>0</v>
      </c>
      <c r="M14" s="45">
        <f ca="1">ROUND(L14,2)</f>
        <v>0</v>
      </c>
    </row>
    <row r="15" spans="1:13" ht="15.48" thickBot="1" customHeight="1">
      <c r="A15" s="39" t="s">
        <v>37</v>
      </c>
      <c r="B15" s="39" t="s">
        <v>38</v>
      </c>
      <c r="C15" s="40"/>
      <c r="D15" s="41" t="s">
        <v>39</v>
      </c>
      <c r="E15" s="41"/>
      <c r="F15" s="41"/>
      <c r="G15" s="41"/>
      <c r="H15" s="41"/>
      <c r="I15" s="41"/>
      <c r="J15" s="41"/>
      <c r="K15" s="40"/>
      <c r="L15" s="42">
        <f ca="1">L163</f>
        <v>0</v>
      </c>
      <c r="M15" s="42">
        <f ca="1">ROUND(L15,2)</f>
        <v>0</v>
      </c>
    </row>
    <row r="16" spans="1:13" ht="15.48" thickBot="1" customHeight="1">
      <c r="A16" s="46" t="s">
        <v>40</v>
      </c>
      <c r="B16" s="46" t="s">
        <v>41</v>
      </c>
      <c r="C16" s="47"/>
      <c r="D16" s="48" t="s">
        <v>42</v>
      </c>
      <c r="E16" s="48"/>
      <c r="F16" s="48"/>
      <c r="G16" s="48"/>
      <c r="H16" s="48"/>
      <c r="I16" s="48"/>
      <c r="J16" s="48"/>
      <c r="K16" s="47"/>
      <c r="L16" s="49">
        <f ca="1">L158</f>
        <v>0</v>
      </c>
      <c r="M16" s="49">
        <f ca="1">ROUND(L16,2)</f>
        <v>0</v>
      </c>
    </row>
    <row r="17" spans="1:13" ht="15.48" thickBot="1" customHeight="1">
      <c r="A17" s="50" t="s">
        <v>43</v>
      </c>
      <c r="B17" s="50" t="s">
        <v>44</v>
      </c>
      <c r="C17" s="51"/>
      <c r="D17" s="52" t="s">
        <v>45</v>
      </c>
      <c r="E17" s="52"/>
      <c r="F17" s="52"/>
      <c r="G17" s="52"/>
      <c r="H17" s="52"/>
      <c r="I17" s="52"/>
      <c r="J17" s="52"/>
      <c r="K17" s="51"/>
      <c r="L17" s="53">
        <f ca="1">L48</f>
        <v>0</v>
      </c>
      <c r="M17" s="53">
        <f ca="1">ROUND(L17,2)</f>
        <v>0</v>
      </c>
    </row>
    <row r="18" spans="1:13" ht="30.60" thickBot="1" customHeight="1">
      <c r="A18" s="15" t="s">
        <v>46</v>
      </c>
      <c r="B18" s="8" t="s">
        <v>47</v>
      </c>
      <c r="C18" s="8" t="s">
        <v>48</v>
      </c>
      <c r="D18" s="26" t="s">
        <v>49</v>
      </c>
      <c r="E18" s="26"/>
      <c r="F18" s="26"/>
      <c r="G18" s="26"/>
      <c r="H18" s="26"/>
      <c r="I18" s="26"/>
      <c r="J18" s="26"/>
      <c r="K18" s="27">
        <f ca="1">ROUND(1.00,2)</f>
        <v>0</v>
      </c>
      <c r="L18" s="28">
        <f ca="1">L24</f>
        <v>0</v>
      </c>
      <c r="M18" s="28">
        <f ca="1">ROUND(K18*L18,2)</f>
        <v>0</v>
      </c>
    </row>
    <row r="19" spans="1:13" ht="49.08" thickBot="1" customHeight="1">
      <c r="A19" s="29"/>
      <c r="B19" s="29"/>
      <c r="C19" s="29"/>
      <c r="D19" s="26" t="s">
        <v>50</v>
      </c>
      <c r="E19" s="26"/>
      <c r="F19" s="26"/>
      <c r="G19" s="26"/>
      <c r="H19" s="26"/>
      <c r="I19" s="26"/>
      <c r="J19" s="26"/>
      <c r="K19" s="26"/>
      <c r="L19" s="26"/>
      <c r="M19" s="26"/>
    </row>
    <row r="20" spans="1:13" ht="21.36" thickBot="1" customHeight="1">
      <c r="A20" s="8" t="s">
        <v>51</v>
      </c>
      <c r="B20" s="8" t="s">
        <v>52</v>
      </c>
      <c r="C20" s="8" t="s">
        <v>53</v>
      </c>
      <c r="D20" s="26" t="s">
        <v>54</v>
      </c>
      <c r="E20" s="26"/>
      <c r="F20" s="26"/>
      <c r="G20" s="26"/>
      <c r="H20" s="26"/>
      <c r="I20" s="26"/>
      <c r="J20" s="26"/>
      <c r="K20" s="27">
        <v>1.000</v>
      </c>
      <c r="L20" s="27">
        <f ca="1">ROUND(8485.000,3)</f>
        <v>0</v>
      </c>
      <c r="M20" s="28">
        <f ca="1">ROUND(K20*L20,2)</f>
        <v>0</v>
      </c>
    </row>
    <row r="21" spans="1:13" ht="15.12" thickBot="1" customHeight="1">
      <c r="A21" s="8" t="s">
        <v>55</v>
      </c>
      <c r="B21" s="8" t="s">
        <v>56</v>
      </c>
      <c r="C21" s="8" t="s">
        <v>57</v>
      </c>
      <c r="D21" s="26" t="s">
        <v>58</v>
      </c>
      <c r="E21" s="26"/>
      <c r="F21" s="26"/>
      <c r="G21" s="26"/>
      <c r="H21" s="26"/>
      <c r="I21" s="26"/>
      <c r="J21" s="26"/>
      <c r="K21" s="27">
        <v>32.000</v>
      </c>
      <c r="L21" s="27">
        <f ca="1">ROUND(26.980,3)</f>
        <v>0</v>
      </c>
      <c r="M21" s="28">
        <f ca="1">ROUND(K21*L21,2)</f>
        <v>0</v>
      </c>
    </row>
    <row r="22" spans="1:13" ht="15.12" thickBot="1" customHeight="1">
      <c r="A22" s="8" t="s">
        <v>59</v>
      </c>
      <c r="B22" s="8" t="s">
        <v>60</v>
      </c>
      <c r="C22" s="8" t="s">
        <v>61</v>
      </c>
      <c r="D22" s="26" t="s">
        <v>62</v>
      </c>
      <c r="E22" s="26"/>
      <c r="F22" s="26"/>
      <c r="G22" s="26"/>
      <c r="H22" s="26"/>
      <c r="I22" s="26"/>
      <c r="J22" s="26"/>
      <c r="K22" s="27">
        <v>32.000</v>
      </c>
      <c r="L22" s="27">
        <f ca="1">ROUND(23.050,3)</f>
        <v>0</v>
      </c>
      <c r="M22" s="28">
        <f ca="1">ROUND(K22*L22,2)</f>
        <v>0</v>
      </c>
    </row>
    <row r="23" spans="1:13" ht="15.12" thickBot="1" customHeight="1">
      <c r="A23" s="8" t="s">
        <v>63</v>
      </c>
      <c r="B23" s="8"/>
      <c r="C23" s="8" t="s">
        <v>64</v>
      </c>
      <c r="D23" s="26" t="s">
        <v>65</v>
      </c>
      <c r="E23" s="26"/>
      <c r="F23" s="26"/>
      <c r="G23" s="26"/>
      <c r="H23" s="26"/>
      <c r="I23" s="26"/>
      <c r="J23" s="26"/>
      <c r="K23" s="27">
        <v>2.000</v>
      </c>
      <c r="L23" s="27">
        <f ca="1">ROUND(10085.960,3)</f>
        <v>0</v>
      </c>
      <c r="M23" s="28">
        <f ca="1">ROUND((K23*L23)/100,2)</f>
        <v>0</v>
      </c>
    </row>
    <row r="24" spans="1:13" ht="15.48" thickBot="1" customHeight="1">
      <c r="A24" s="30"/>
      <c r="B24" s="30"/>
      <c r="C24" s="30"/>
      <c r="D24" s="31" t="s">
        <v>66</v>
      </c>
      <c r="E24" s="30"/>
      <c r="F24" s="30"/>
      <c r="G24" s="30"/>
      <c r="H24" s="30"/>
      <c r="I24" s="30"/>
      <c r="J24" s="30"/>
      <c r="K24" s="33">
        <v>1.000</v>
      </c>
      <c r="L24" s="34">
        <f ca="1">ROUND((M20+M21+M22+M23)*(1+M2/100),2)</f>
        <v>0</v>
      </c>
      <c r="M24" s="34">
        <f ca="1">ROUND(K24*L24,2)</f>
        <v>0</v>
      </c>
    </row>
    <row r="25" spans="1:13" ht="30.60" thickBot="1" customHeight="1">
      <c r="A25" s="54" t="s">
        <v>67</v>
      </c>
      <c r="B25" s="55" t="s">
        <v>68</v>
      </c>
      <c r="C25" s="55" t="s">
        <v>69</v>
      </c>
      <c r="D25" s="56" t="s">
        <v>70</v>
      </c>
      <c r="E25" s="56"/>
      <c r="F25" s="56"/>
      <c r="G25" s="56"/>
      <c r="H25" s="56"/>
      <c r="I25" s="56"/>
      <c r="J25" s="56"/>
      <c r="K25" s="57">
        <f ca="1">ROUND(1.00,2)</f>
        <v>0</v>
      </c>
      <c r="L25" s="58">
        <f ca="1">ROUND(1218.000*(1+M2/100),2)</f>
        <v>0</v>
      </c>
      <c r="M25" s="58">
        <f ca="1">ROUND(K25*L25,2)</f>
        <v>0</v>
      </c>
    </row>
    <row r="26" spans="1:13" ht="104.52" thickBot="1" customHeight="1">
      <c r="A26" s="29"/>
      <c r="B26" s="29"/>
      <c r="C26" s="29"/>
      <c r="D26" s="26" t="s">
        <v>71</v>
      </c>
      <c r="E26" s="26"/>
      <c r="F26" s="26"/>
      <c r="G26" s="26"/>
      <c r="H26" s="26"/>
      <c r="I26" s="26"/>
      <c r="J26" s="26"/>
      <c r="K26" s="26"/>
      <c r="L26" s="26"/>
      <c r="M26" s="26"/>
    </row>
    <row r="27" spans="1:13" ht="49.08" thickBot="1" customHeight="1">
      <c r="A27" s="15" t="s">
        <v>72</v>
      </c>
      <c r="B27" s="8" t="s">
        <v>73</v>
      </c>
      <c r="C27" s="8" t="s">
        <v>74</v>
      </c>
      <c r="D27" s="26" t="s">
        <v>75</v>
      </c>
      <c r="E27" s="26"/>
      <c r="F27" s="26"/>
      <c r="G27" s="26"/>
      <c r="H27" s="26"/>
      <c r="I27" s="26"/>
      <c r="J27" s="26"/>
      <c r="K27" s="27">
        <f ca="1">ROUND(300.00,2)</f>
        <v>0</v>
      </c>
      <c r="L27" s="28">
        <f ca="1">L33</f>
        <v>0</v>
      </c>
      <c r="M27" s="28">
        <f ca="1">ROUND(K27*L27,2)</f>
        <v>0</v>
      </c>
    </row>
    <row r="28" spans="1:13" ht="67.56" thickBot="1" customHeight="1">
      <c r="A28" s="29"/>
      <c r="B28" s="29"/>
      <c r="C28" s="29"/>
      <c r="D28" s="26" t="s">
        <v>76</v>
      </c>
      <c r="E28" s="26"/>
      <c r="F28" s="26"/>
      <c r="G28" s="26"/>
      <c r="H28" s="26"/>
      <c r="I28" s="26"/>
      <c r="J28" s="26"/>
      <c r="K28" s="26"/>
      <c r="L28" s="26"/>
      <c r="M28" s="26"/>
    </row>
    <row r="29" spans="1:13" ht="49.08" thickBot="1" customHeight="1">
      <c r="A29" s="8" t="s">
        <v>77</v>
      </c>
      <c r="B29" s="8" t="s">
        <v>78</v>
      </c>
      <c r="C29" s="8" t="s">
        <v>79</v>
      </c>
      <c r="D29" s="26" t="s">
        <v>80</v>
      </c>
      <c r="E29" s="26"/>
      <c r="F29" s="26"/>
      <c r="G29" s="26"/>
      <c r="H29" s="26"/>
      <c r="I29" s="26"/>
      <c r="J29" s="26"/>
      <c r="K29" s="27">
        <v>1.000</v>
      </c>
      <c r="L29" s="27">
        <f ca="1">ROUND(113.280,3)</f>
        <v>0</v>
      </c>
      <c r="M29" s="28">
        <f ca="1">ROUND(K29*L29,2)</f>
        <v>0</v>
      </c>
    </row>
    <row r="30" spans="1:13" ht="15.12" thickBot="1" customHeight="1">
      <c r="A30" s="8" t="s">
        <v>81</v>
      </c>
      <c r="B30" s="8" t="s">
        <v>82</v>
      </c>
      <c r="C30" s="8" t="s">
        <v>83</v>
      </c>
      <c r="D30" s="26" t="s">
        <v>84</v>
      </c>
      <c r="E30" s="26"/>
      <c r="F30" s="26"/>
      <c r="G30" s="26"/>
      <c r="H30" s="26"/>
      <c r="I30" s="26"/>
      <c r="J30" s="26"/>
      <c r="K30" s="27">
        <v>0.700</v>
      </c>
      <c r="L30" s="27">
        <f ca="1">ROUND(26.980,3)</f>
        <v>0</v>
      </c>
      <c r="M30" s="28">
        <f ca="1">ROUND(K30*L30,2)</f>
        <v>0</v>
      </c>
    </row>
    <row r="31" spans="1:13" ht="15.12" thickBot="1" customHeight="1">
      <c r="A31" s="8" t="s">
        <v>85</v>
      </c>
      <c r="B31" s="8" t="s">
        <v>86</v>
      </c>
      <c r="C31" s="8" t="s">
        <v>87</v>
      </c>
      <c r="D31" s="26" t="s">
        <v>88</v>
      </c>
      <c r="E31" s="26"/>
      <c r="F31" s="26"/>
      <c r="G31" s="26"/>
      <c r="H31" s="26"/>
      <c r="I31" s="26"/>
      <c r="J31" s="26"/>
      <c r="K31" s="27">
        <v>0.700</v>
      </c>
      <c r="L31" s="27">
        <f ca="1">ROUND(23.050,3)</f>
        <v>0</v>
      </c>
      <c r="M31" s="28">
        <f ca="1">ROUND(K31*L31,2)</f>
        <v>0</v>
      </c>
    </row>
    <row r="32" spans="1:13" ht="15.12" thickBot="1" customHeight="1">
      <c r="A32" s="8" t="s">
        <v>89</v>
      </c>
      <c r="B32" s="8"/>
      <c r="C32" s="8" t="s">
        <v>90</v>
      </c>
      <c r="D32" s="26" t="s">
        <v>91</v>
      </c>
      <c r="E32" s="26"/>
      <c r="F32" s="26"/>
      <c r="G32" s="26"/>
      <c r="H32" s="26"/>
      <c r="I32" s="26"/>
      <c r="J32" s="26"/>
      <c r="K32" s="27">
        <v>2.000</v>
      </c>
      <c r="L32" s="27">
        <f ca="1">ROUND(148.310,3)</f>
        <v>0</v>
      </c>
      <c r="M32" s="28">
        <f ca="1">ROUND((K32*L32)/100,2)</f>
        <v>0</v>
      </c>
    </row>
    <row r="33" spans="1:13" ht="15.48" thickBot="1" customHeight="1">
      <c r="A33" s="30"/>
      <c r="B33" s="30"/>
      <c r="C33" s="30"/>
      <c r="D33" s="31" t="s">
        <v>92</v>
      </c>
      <c r="E33" s="30"/>
      <c r="F33" s="30"/>
      <c r="G33" s="30"/>
      <c r="H33" s="30"/>
      <c r="I33" s="30"/>
      <c r="J33" s="30"/>
      <c r="K33" s="33">
        <v>300.000</v>
      </c>
      <c r="L33" s="34">
        <f ca="1">ROUND((M29+M30+M31+M32)*(1+M2/100),2)</f>
        <v>0</v>
      </c>
      <c r="M33" s="34">
        <f ca="1">ROUND(K33*L33,2)</f>
        <v>0</v>
      </c>
    </row>
    <row r="34" spans="1:13" ht="30.60" thickBot="1" customHeight="1">
      <c r="A34" s="54" t="s">
        <v>93</v>
      </c>
      <c r="B34" s="55" t="s">
        <v>94</v>
      </c>
      <c r="C34" s="55" t="s">
        <v>95</v>
      </c>
      <c r="D34" s="56" t="s">
        <v>96</v>
      </c>
      <c r="E34" s="56"/>
      <c r="F34" s="56"/>
      <c r="G34" s="56"/>
      <c r="H34" s="56"/>
      <c r="I34" s="56"/>
      <c r="J34" s="56"/>
      <c r="K34" s="57">
        <f ca="1">ROUND(36.00,2)</f>
        <v>0</v>
      </c>
      <c r="L34" s="58">
        <f ca="1">L40</f>
        <v>0</v>
      </c>
      <c r="M34" s="58">
        <f ca="1">ROUND(K34*L34,2)</f>
        <v>0</v>
      </c>
    </row>
    <row r="35" spans="1:13" ht="49.08" thickBot="1" customHeight="1">
      <c r="A35" s="29"/>
      <c r="B35" s="29"/>
      <c r="C35" s="29"/>
      <c r="D35" s="26" t="s">
        <v>97</v>
      </c>
      <c r="E35" s="26"/>
      <c r="F35" s="26"/>
      <c r="G35" s="26"/>
      <c r="H35" s="26"/>
      <c r="I35" s="26"/>
      <c r="J35" s="26"/>
      <c r="K35" s="26"/>
      <c r="L35" s="26"/>
      <c r="M35" s="26"/>
    </row>
    <row r="36" spans="1:13" ht="30.60" thickBot="1" customHeight="1">
      <c r="A36" s="8" t="s">
        <v>98</v>
      </c>
      <c r="B36" s="8" t="s">
        <v>99</v>
      </c>
      <c r="C36" s="8" t="s">
        <v>100</v>
      </c>
      <c r="D36" s="26" t="s">
        <v>101</v>
      </c>
      <c r="E36" s="26"/>
      <c r="F36" s="26"/>
      <c r="G36" s="26"/>
      <c r="H36" s="26"/>
      <c r="I36" s="26"/>
      <c r="J36" s="26"/>
      <c r="K36" s="27">
        <v>1.000</v>
      </c>
      <c r="L36" s="27">
        <f ca="1">ROUND(104.760,3)</f>
        <v>0</v>
      </c>
      <c r="M36" s="28">
        <f ca="1">ROUND(K36*L36,2)</f>
        <v>0</v>
      </c>
    </row>
    <row r="37" spans="1:13" ht="15.12" thickBot="1" customHeight="1">
      <c r="A37" s="8" t="s">
        <v>102</v>
      </c>
      <c r="B37" s="8" t="s">
        <v>103</v>
      </c>
      <c r="C37" s="8" t="s">
        <v>104</v>
      </c>
      <c r="D37" s="26" t="s">
        <v>105</v>
      </c>
      <c r="E37" s="26"/>
      <c r="F37" s="26"/>
      <c r="G37" s="26"/>
      <c r="H37" s="26"/>
      <c r="I37" s="26"/>
      <c r="J37" s="26"/>
      <c r="K37" s="27">
        <v>0.500</v>
      </c>
      <c r="L37" s="27">
        <f ca="1">ROUND(26.980,3)</f>
        <v>0</v>
      </c>
      <c r="M37" s="28">
        <f ca="1">ROUND(K37*L37,2)</f>
        <v>0</v>
      </c>
    </row>
    <row r="38" spans="1:13" ht="15.12" thickBot="1" customHeight="1">
      <c r="A38" s="8" t="s">
        <v>106</v>
      </c>
      <c r="B38" s="8" t="s">
        <v>107</v>
      </c>
      <c r="C38" s="8" t="s">
        <v>108</v>
      </c>
      <c r="D38" s="26" t="s">
        <v>109</v>
      </c>
      <c r="E38" s="26"/>
      <c r="F38" s="26"/>
      <c r="G38" s="26"/>
      <c r="H38" s="26"/>
      <c r="I38" s="26"/>
      <c r="J38" s="26"/>
      <c r="K38" s="27">
        <v>0.500</v>
      </c>
      <c r="L38" s="27">
        <f ca="1">ROUND(23.050,3)</f>
        <v>0</v>
      </c>
      <c r="M38" s="28">
        <f ca="1">ROUND(K38*L38,2)</f>
        <v>0</v>
      </c>
    </row>
    <row r="39" spans="1:13" ht="15.12" thickBot="1" customHeight="1">
      <c r="A39" s="8" t="s">
        <v>110</v>
      </c>
      <c r="B39" s="8"/>
      <c r="C39" s="8" t="s">
        <v>111</v>
      </c>
      <c r="D39" s="26" t="s">
        <v>112</v>
      </c>
      <c r="E39" s="26"/>
      <c r="F39" s="26"/>
      <c r="G39" s="26"/>
      <c r="H39" s="26"/>
      <c r="I39" s="26"/>
      <c r="J39" s="26"/>
      <c r="K39" s="27">
        <v>2.000</v>
      </c>
      <c r="L39" s="27">
        <f ca="1">ROUND(129.780,3)</f>
        <v>0</v>
      </c>
      <c r="M39" s="28">
        <f ca="1">ROUND((K39*L39)/100,2)</f>
        <v>0</v>
      </c>
    </row>
    <row r="40" spans="1:13" ht="15.48" thickBot="1" customHeight="1">
      <c r="A40" s="30"/>
      <c r="B40" s="30"/>
      <c r="C40" s="30"/>
      <c r="D40" s="31" t="s">
        <v>113</v>
      </c>
      <c r="E40" s="30"/>
      <c r="F40" s="30"/>
      <c r="G40" s="30"/>
      <c r="H40" s="30"/>
      <c r="I40" s="30"/>
      <c r="J40" s="30"/>
      <c r="K40" s="33">
        <v>36.000</v>
      </c>
      <c r="L40" s="34">
        <f ca="1">ROUND((M36+M37+M38+M39)*(1+M2/100),2)</f>
        <v>0</v>
      </c>
      <c r="M40" s="34">
        <f ca="1">ROUND(K40*L40,2)</f>
        <v>0</v>
      </c>
    </row>
    <row r="41" spans="1:13" ht="30.60" thickBot="1" customHeight="1">
      <c r="A41" s="54" t="s">
        <v>114</v>
      </c>
      <c r="B41" s="55" t="s">
        <v>115</v>
      </c>
      <c r="C41" s="55" t="s">
        <v>116</v>
      </c>
      <c r="D41" s="56" t="s">
        <v>117</v>
      </c>
      <c r="E41" s="56"/>
      <c r="F41" s="56"/>
      <c r="G41" s="56"/>
      <c r="H41" s="56"/>
      <c r="I41" s="56"/>
      <c r="J41" s="56"/>
      <c r="K41" s="57">
        <f ca="1">ROUND(2.00,2)</f>
        <v>0</v>
      </c>
      <c r="L41" s="58">
        <f ca="1">L47</f>
        <v>0</v>
      </c>
      <c r="M41" s="58">
        <f ca="1">ROUND(K41*L41,2)</f>
        <v>0</v>
      </c>
    </row>
    <row r="42" spans="1:13" ht="400.20" thickBot="1" customHeight="1">
      <c r="A42" s="29"/>
      <c r="B42" s="29"/>
      <c r="C42" s="29"/>
      <c r="D42" s="26" t="s">
        <v>118</v>
      </c>
      <c r="E42" s="26"/>
      <c r="F42" s="26"/>
      <c r="G42" s="26"/>
      <c r="H42" s="26"/>
      <c r="I42" s="26"/>
      <c r="J42" s="26"/>
      <c r="K42" s="26"/>
      <c r="L42" s="26"/>
      <c r="M42" s="26"/>
    </row>
    <row r="43" spans="1:13" ht="49.08" thickBot="1" customHeight="1">
      <c r="A43" s="8" t="s">
        <v>119</v>
      </c>
      <c r="B43" s="8" t="s">
        <v>120</v>
      </c>
      <c r="C43" s="8" t="s">
        <v>121</v>
      </c>
      <c r="D43" s="26" t="s">
        <v>122</v>
      </c>
      <c r="E43" s="26"/>
      <c r="F43" s="26"/>
      <c r="G43" s="26"/>
      <c r="H43" s="26"/>
      <c r="I43" s="26"/>
      <c r="J43" s="26"/>
      <c r="K43" s="27">
        <v>1.000</v>
      </c>
      <c r="L43" s="27">
        <f ca="1">ROUND(4465.000,3)</f>
        <v>0</v>
      </c>
      <c r="M43" s="28">
        <f ca="1">ROUND(K43*L43,2)</f>
        <v>0</v>
      </c>
    </row>
    <row r="44" spans="1:13" ht="15.12" thickBot="1" customHeight="1">
      <c r="A44" s="8" t="s">
        <v>123</v>
      </c>
      <c r="B44" s="8" t="s">
        <v>124</v>
      </c>
      <c r="C44" s="8" t="s">
        <v>125</v>
      </c>
      <c r="D44" s="26" t="s">
        <v>126</v>
      </c>
      <c r="E44" s="26"/>
      <c r="F44" s="26"/>
      <c r="G44" s="26"/>
      <c r="H44" s="26"/>
      <c r="I44" s="26"/>
      <c r="J44" s="26"/>
      <c r="K44" s="27">
        <v>10.000</v>
      </c>
      <c r="L44" s="27">
        <f ca="1">ROUND(26.980,3)</f>
        <v>0</v>
      </c>
      <c r="M44" s="28">
        <f ca="1">ROUND(K44*L44,2)</f>
        <v>0</v>
      </c>
    </row>
    <row r="45" spans="1:13" ht="15.12" thickBot="1" customHeight="1">
      <c r="A45" s="8" t="s">
        <v>127</v>
      </c>
      <c r="B45" s="8" t="s">
        <v>128</v>
      </c>
      <c r="C45" s="8" t="s">
        <v>129</v>
      </c>
      <c r="D45" s="26" t="s">
        <v>130</v>
      </c>
      <c r="E45" s="26"/>
      <c r="F45" s="26"/>
      <c r="G45" s="26"/>
      <c r="H45" s="26"/>
      <c r="I45" s="26"/>
      <c r="J45" s="26"/>
      <c r="K45" s="27">
        <v>10.000</v>
      </c>
      <c r="L45" s="27">
        <f ca="1">ROUND(23.050,3)</f>
        <v>0</v>
      </c>
      <c r="M45" s="28">
        <f ca="1">ROUND(K45*L45,2)</f>
        <v>0</v>
      </c>
    </row>
    <row r="46" spans="1:13" ht="15.12" thickBot="1" customHeight="1">
      <c r="A46" s="8" t="s">
        <v>131</v>
      </c>
      <c r="B46" s="8"/>
      <c r="C46" s="8" t="s">
        <v>132</v>
      </c>
      <c r="D46" s="26" t="s">
        <v>133</v>
      </c>
      <c r="E46" s="26"/>
      <c r="F46" s="26"/>
      <c r="G46" s="26"/>
      <c r="H46" s="26"/>
      <c r="I46" s="26"/>
      <c r="J46" s="26"/>
      <c r="K46" s="27">
        <v>2.000</v>
      </c>
      <c r="L46" s="27">
        <f ca="1">ROUND(4965.300,3)</f>
        <v>0</v>
      </c>
      <c r="M46" s="28">
        <f ca="1">ROUND((K46*L46)/100,2)</f>
        <v>0</v>
      </c>
    </row>
    <row r="47" spans="1:13" ht="15.48" thickBot="1" customHeight="1">
      <c r="A47" s="30"/>
      <c r="B47" s="30"/>
      <c r="C47" s="30"/>
      <c r="D47" s="31" t="s">
        <v>134</v>
      </c>
      <c r="E47" s="30"/>
      <c r="F47" s="30"/>
      <c r="G47" s="30"/>
      <c r="H47" s="30"/>
      <c r="I47" s="30"/>
      <c r="J47" s="30"/>
      <c r="K47" s="33">
        <v>2.000</v>
      </c>
      <c r="L47" s="34">
        <f ca="1">ROUND((M43+M44+M45+M46)*(1+M2/100),2)</f>
        <v>0</v>
      </c>
      <c r="M47" s="34">
        <f ca="1">ROUND(K47*L47,2)</f>
        <v>0</v>
      </c>
    </row>
    <row r="48" spans="1:13" ht="15.48" thickBot="1" customHeight="1">
      <c r="A48" s="35"/>
      <c r="B48" s="35"/>
      <c r="C48" s="35"/>
      <c r="D48" s="59" t="s">
        <v>135</v>
      </c>
      <c r="E48" s="60"/>
      <c r="F48" s="60"/>
      <c r="G48" s="60"/>
      <c r="H48" s="60"/>
      <c r="I48" s="60"/>
      <c r="J48" s="60"/>
      <c r="K48" s="60"/>
      <c r="L48" s="61">
        <f ca="1">M18+M25+M27+M34+M41</f>
        <v>0</v>
      </c>
      <c r="M48" s="61">
        <f ca="1">ROUND(L48,2)</f>
        <v>0</v>
      </c>
    </row>
    <row r="49" spans="1:13" ht="15.48" thickBot="1" customHeight="1">
      <c r="A49" s="62" t="s">
        <v>136</v>
      </c>
      <c r="B49" s="62" t="s">
        <v>137</v>
      </c>
      <c r="C49" s="63"/>
      <c r="D49" s="64" t="s">
        <v>138</v>
      </c>
      <c r="E49" s="64"/>
      <c r="F49" s="64"/>
      <c r="G49" s="64"/>
      <c r="H49" s="64"/>
      <c r="I49" s="64"/>
      <c r="J49" s="64"/>
      <c r="K49" s="63"/>
      <c r="L49" s="65">
        <f ca="1">L63</f>
        <v>0</v>
      </c>
      <c r="M49" s="65">
        <f ca="1">ROUND(L49,2)</f>
        <v>0</v>
      </c>
    </row>
    <row r="50" spans="1:13" ht="30.60" thickBot="1" customHeight="1">
      <c r="A50" s="15" t="s">
        <v>139</v>
      </c>
      <c r="B50" s="8" t="s">
        <v>140</v>
      </c>
      <c r="C50" s="8" t="s">
        <v>141</v>
      </c>
      <c r="D50" s="26" t="s">
        <v>142</v>
      </c>
      <c r="E50" s="26"/>
      <c r="F50" s="26"/>
      <c r="G50" s="26"/>
      <c r="H50" s="26"/>
      <c r="I50" s="26"/>
      <c r="J50" s="26"/>
      <c r="K50" s="27">
        <f ca="1">ROUND(2.00,2)</f>
        <v>0</v>
      </c>
      <c r="L50" s="28">
        <f ca="1">L56</f>
        <v>0</v>
      </c>
      <c r="M50" s="28">
        <f ca="1">ROUND(K50*L50,2)</f>
        <v>0</v>
      </c>
    </row>
    <row r="51" spans="1:13" ht="39.84" thickBot="1" customHeight="1">
      <c r="A51" s="29"/>
      <c r="B51" s="29"/>
      <c r="C51" s="29"/>
      <c r="D51" s="26" t="s">
        <v>143</v>
      </c>
      <c r="E51" s="26"/>
      <c r="F51" s="26"/>
      <c r="G51" s="26"/>
      <c r="H51" s="26"/>
      <c r="I51" s="26"/>
      <c r="J51" s="26"/>
      <c r="K51" s="26"/>
      <c r="L51" s="26"/>
      <c r="M51" s="26"/>
    </row>
    <row r="52" spans="1:13" ht="58.32" thickBot="1" customHeight="1">
      <c r="A52" s="8" t="s">
        <v>144</v>
      </c>
      <c r="B52" s="8" t="s">
        <v>145</v>
      </c>
      <c r="C52" s="8" t="s">
        <v>146</v>
      </c>
      <c r="D52" s="26" t="s">
        <v>147</v>
      </c>
      <c r="E52" s="26"/>
      <c r="F52" s="26"/>
      <c r="G52" s="26"/>
      <c r="H52" s="26"/>
      <c r="I52" s="26"/>
      <c r="J52" s="26"/>
      <c r="K52" s="27">
        <v>1.000</v>
      </c>
      <c r="L52" s="27">
        <f ca="1">ROUND(915.000,3)</f>
        <v>0</v>
      </c>
      <c r="M52" s="28">
        <f ca="1">ROUND(K52*L52,2)</f>
        <v>0</v>
      </c>
    </row>
    <row r="53" spans="1:13" ht="15.12" thickBot="1" customHeight="1">
      <c r="A53" s="8" t="s">
        <v>148</v>
      </c>
      <c r="B53" s="8" t="s">
        <v>149</v>
      </c>
      <c r="C53" s="8" t="s">
        <v>150</v>
      </c>
      <c r="D53" s="26" t="s">
        <v>151</v>
      </c>
      <c r="E53" s="26"/>
      <c r="F53" s="26"/>
      <c r="G53" s="26"/>
      <c r="H53" s="26"/>
      <c r="I53" s="26"/>
      <c r="J53" s="26"/>
      <c r="K53" s="27">
        <v>8.000</v>
      </c>
      <c r="L53" s="27">
        <f ca="1">ROUND(26.980,3)</f>
        <v>0</v>
      </c>
      <c r="M53" s="28">
        <f ca="1">ROUND(K53*L53,2)</f>
        <v>0</v>
      </c>
    </row>
    <row r="54" spans="1:13" ht="15.12" thickBot="1" customHeight="1">
      <c r="A54" s="8" t="s">
        <v>152</v>
      </c>
      <c r="B54" s="8" t="s">
        <v>153</v>
      </c>
      <c r="C54" s="8" t="s">
        <v>154</v>
      </c>
      <c r="D54" s="26" t="s">
        <v>155</v>
      </c>
      <c r="E54" s="26"/>
      <c r="F54" s="26"/>
      <c r="G54" s="26"/>
      <c r="H54" s="26"/>
      <c r="I54" s="26"/>
      <c r="J54" s="26"/>
      <c r="K54" s="27">
        <v>8.000</v>
      </c>
      <c r="L54" s="27">
        <f ca="1">ROUND(23.050,3)</f>
        <v>0</v>
      </c>
      <c r="M54" s="28">
        <f ca="1">ROUND(K54*L54,2)</f>
        <v>0</v>
      </c>
    </row>
    <row r="55" spans="1:13" ht="15.12" thickBot="1" customHeight="1">
      <c r="A55" s="8" t="s">
        <v>156</v>
      </c>
      <c r="B55" s="8"/>
      <c r="C55" s="8" t="s">
        <v>157</v>
      </c>
      <c r="D55" s="26" t="s">
        <v>158</v>
      </c>
      <c r="E55" s="26"/>
      <c r="F55" s="26"/>
      <c r="G55" s="26"/>
      <c r="H55" s="26"/>
      <c r="I55" s="26"/>
      <c r="J55" s="26"/>
      <c r="K55" s="27">
        <v>2.000</v>
      </c>
      <c r="L55" s="27">
        <f ca="1">ROUND(1315.240,3)</f>
        <v>0</v>
      </c>
      <c r="M55" s="28">
        <f ca="1">ROUND((K55*L55)/100,2)</f>
        <v>0</v>
      </c>
    </row>
    <row r="56" spans="1:13" ht="15.48" thickBot="1" customHeight="1">
      <c r="A56" s="30"/>
      <c r="B56" s="30"/>
      <c r="C56" s="30"/>
      <c r="D56" s="31" t="s">
        <v>159</v>
      </c>
      <c r="E56" s="30"/>
      <c r="F56" s="30"/>
      <c r="G56" s="30"/>
      <c r="H56" s="30"/>
      <c r="I56" s="30"/>
      <c r="J56" s="30"/>
      <c r="K56" s="33">
        <v>2.000</v>
      </c>
      <c r="L56" s="34">
        <f ca="1">ROUND((M52+M53+M54+M55)*(1+M2/100),2)</f>
        <v>0</v>
      </c>
      <c r="M56" s="34">
        <f ca="1">ROUND(K56*L56,2)</f>
        <v>0</v>
      </c>
    </row>
    <row r="57" spans="1:13" ht="30.60" thickBot="1" customHeight="1">
      <c r="A57" s="54" t="s">
        <v>160</v>
      </c>
      <c r="B57" s="55" t="s">
        <v>161</v>
      </c>
      <c r="C57" s="55" t="s">
        <v>162</v>
      </c>
      <c r="D57" s="56" t="s">
        <v>163</v>
      </c>
      <c r="E57" s="56"/>
      <c r="F57" s="56"/>
      <c r="G57" s="56"/>
      <c r="H57" s="56"/>
      <c r="I57" s="56"/>
      <c r="J57" s="56"/>
      <c r="K57" s="57">
        <f ca="1">ROUND(2.00,2)</f>
        <v>0</v>
      </c>
      <c r="L57" s="58">
        <f ca="1">L62</f>
        <v>0</v>
      </c>
      <c r="M57" s="58">
        <f ca="1">ROUND(K57*L57,2)</f>
        <v>0</v>
      </c>
    </row>
    <row r="58" spans="1:13" ht="39.84" thickBot="1" customHeight="1">
      <c r="A58" s="29"/>
      <c r="B58" s="29"/>
      <c r="C58" s="29"/>
      <c r="D58" s="26" t="s">
        <v>164</v>
      </c>
      <c r="E58" s="26"/>
      <c r="F58" s="26"/>
      <c r="G58" s="26"/>
      <c r="H58" s="26"/>
      <c r="I58" s="26"/>
      <c r="J58" s="26"/>
      <c r="K58" s="26"/>
      <c r="L58" s="26"/>
      <c r="M58" s="26"/>
    </row>
    <row r="59" spans="1:13" ht="21.36" thickBot="1" customHeight="1">
      <c r="A59" s="8" t="s">
        <v>165</v>
      </c>
      <c r="B59" s="8" t="s">
        <v>166</v>
      </c>
      <c r="C59" s="8" t="s">
        <v>167</v>
      </c>
      <c r="D59" s="26" t="s">
        <v>168</v>
      </c>
      <c r="E59" s="26"/>
      <c r="F59" s="26"/>
      <c r="G59" s="26"/>
      <c r="H59" s="26"/>
      <c r="I59" s="26"/>
      <c r="J59" s="26"/>
      <c r="K59" s="27">
        <v>1.000</v>
      </c>
      <c r="L59" s="27">
        <f ca="1">ROUND(1162.000,3)</f>
        <v>0</v>
      </c>
      <c r="M59" s="28">
        <f ca="1">ROUND(K59*L59,2)</f>
        <v>0</v>
      </c>
    </row>
    <row r="60" spans="1:13" ht="15.12" thickBot="1" customHeight="1">
      <c r="A60" s="8" t="s">
        <v>169</v>
      </c>
      <c r="B60" s="8" t="s">
        <v>170</v>
      </c>
      <c r="C60" s="8" t="s">
        <v>171</v>
      </c>
      <c r="D60" s="26" t="s">
        <v>172</v>
      </c>
      <c r="E60" s="26"/>
      <c r="F60" s="26"/>
      <c r="G60" s="26"/>
      <c r="H60" s="26"/>
      <c r="I60" s="26"/>
      <c r="J60" s="26"/>
      <c r="K60" s="27">
        <v>17.000</v>
      </c>
      <c r="L60" s="27">
        <f ca="1">ROUND(26.980,3)</f>
        <v>0</v>
      </c>
      <c r="M60" s="28">
        <f ca="1">ROUND(K60*L60,2)</f>
        <v>0</v>
      </c>
    </row>
    <row r="61" spans="1:13" ht="15.12" thickBot="1" customHeight="1">
      <c r="A61" s="8" t="s">
        <v>173</v>
      </c>
      <c r="B61" s="8"/>
      <c r="C61" s="8" t="s">
        <v>174</v>
      </c>
      <c r="D61" s="26" t="s">
        <v>175</v>
      </c>
      <c r="E61" s="26"/>
      <c r="F61" s="26"/>
      <c r="G61" s="26"/>
      <c r="H61" s="26"/>
      <c r="I61" s="26"/>
      <c r="J61" s="26"/>
      <c r="K61" s="27">
        <v>2.000</v>
      </c>
      <c r="L61" s="27">
        <f ca="1">ROUND(1620.660,3)</f>
        <v>0</v>
      </c>
      <c r="M61" s="28">
        <f ca="1">ROUND((K61*L61)/100,2)</f>
        <v>0</v>
      </c>
    </row>
    <row r="62" spans="1:13" ht="15.48" thickBot="1" customHeight="1">
      <c r="A62" s="30"/>
      <c r="B62" s="30"/>
      <c r="C62" s="30"/>
      <c r="D62" s="31" t="s">
        <v>176</v>
      </c>
      <c r="E62" s="30"/>
      <c r="F62" s="30"/>
      <c r="G62" s="30"/>
      <c r="H62" s="30"/>
      <c r="I62" s="30"/>
      <c r="J62" s="30"/>
      <c r="K62" s="33">
        <v>2.000</v>
      </c>
      <c r="L62" s="34">
        <f ca="1">ROUND((M59+M60+M61)*(1+M2/100),2)</f>
        <v>0</v>
      </c>
      <c r="M62" s="34">
        <f ca="1">ROUND(K62*L62,2)</f>
        <v>0</v>
      </c>
    </row>
    <row r="63" spans="1:13" ht="15.48" thickBot="1" customHeight="1">
      <c r="A63" s="35"/>
      <c r="B63" s="35"/>
      <c r="C63" s="35"/>
      <c r="D63" s="59" t="s">
        <v>177</v>
      </c>
      <c r="E63" s="60"/>
      <c r="F63" s="60"/>
      <c r="G63" s="60"/>
      <c r="H63" s="60"/>
      <c r="I63" s="60"/>
      <c r="J63" s="60"/>
      <c r="K63" s="60"/>
      <c r="L63" s="61">
        <f ca="1">M50+M57</f>
        <v>0</v>
      </c>
      <c r="M63" s="61">
        <f ca="1">ROUND(L63,2)</f>
        <v>0</v>
      </c>
    </row>
    <row r="64" spans="1:13" ht="15.48" thickBot="1" customHeight="1">
      <c r="A64" s="62" t="s">
        <v>178</v>
      </c>
      <c r="B64" s="62" t="s">
        <v>179</v>
      </c>
      <c r="C64" s="63"/>
      <c r="D64" s="64" t="s">
        <v>180</v>
      </c>
      <c r="E64" s="64"/>
      <c r="F64" s="64"/>
      <c r="G64" s="64"/>
      <c r="H64" s="64"/>
      <c r="I64" s="64"/>
      <c r="J64" s="64"/>
      <c r="K64" s="63"/>
      <c r="L64" s="65">
        <f ca="1">L118</f>
        <v>0</v>
      </c>
      <c r="M64" s="65">
        <f ca="1">ROUND(L64,2)</f>
        <v>0</v>
      </c>
    </row>
    <row r="65" spans="1:13" ht="49.08" thickBot="1" customHeight="1">
      <c r="A65" s="15" t="s">
        <v>181</v>
      </c>
      <c r="B65" s="8" t="s">
        <v>182</v>
      </c>
      <c r="C65" s="8" t="s">
        <v>183</v>
      </c>
      <c r="D65" s="26" t="s">
        <v>184</v>
      </c>
      <c r="E65" s="26"/>
      <c r="F65" s="26"/>
      <c r="G65" s="26"/>
      <c r="H65" s="26"/>
      <c r="I65" s="26"/>
      <c r="J65" s="26"/>
      <c r="K65" s="27">
        <f ca="1">ROUND(1452.00,2)</f>
        <v>0</v>
      </c>
      <c r="L65" s="28">
        <f ca="1">L71</f>
        <v>0</v>
      </c>
      <c r="M65" s="28">
        <f ca="1">ROUND(K65*L65,2)</f>
        <v>0</v>
      </c>
    </row>
    <row r="66" spans="1:13" ht="30.60" thickBot="1" customHeight="1">
      <c r="A66" s="29"/>
      <c r="B66" s="29"/>
      <c r="C66" s="29"/>
      <c r="D66" s="26" t="s">
        <v>185</v>
      </c>
      <c r="E66" s="26"/>
      <c r="F66" s="26"/>
      <c r="G66" s="26"/>
      <c r="H66" s="26"/>
      <c r="I66" s="26"/>
      <c r="J66" s="26"/>
      <c r="K66" s="26"/>
      <c r="L66" s="26"/>
      <c r="M66" s="26"/>
    </row>
    <row r="67" spans="1:13" ht="49.08" thickBot="1" customHeight="1">
      <c r="A67" s="8" t="s">
        <v>186</v>
      </c>
      <c r="B67" s="8" t="s">
        <v>187</v>
      </c>
      <c r="C67" s="8" t="s">
        <v>188</v>
      </c>
      <c r="D67" s="26" t="s">
        <v>189</v>
      </c>
      <c r="E67" s="26"/>
      <c r="F67" s="26"/>
      <c r="G67" s="26"/>
      <c r="H67" s="26"/>
      <c r="I67" s="26"/>
      <c r="J67" s="26"/>
      <c r="K67" s="27">
        <v>1.000</v>
      </c>
      <c r="L67" s="27">
        <f ca="1">ROUND(0.920,3)</f>
        <v>0</v>
      </c>
      <c r="M67" s="28">
        <f ca="1">ROUND(K67*L67,2)</f>
        <v>0</v>
      </c>
    </row>
    <row r="68" spans="1:13" ht="15.12" thickBot="1" customHeight="1">
      <c r="A68" s="8" t="s">
        <v>190</v>
      </c>
      <c r="B68" s="8" t="s">
        <v>191</v>
      </c>
      <c r="C68" s="8" t="s">
        <v>192</v>
      </c>
      <c r="D68" s="26" t="s">
        <v>193</v>
      </c>
      <c r="E68" s="26"/>
      <c r="F68" s="26"/>
      <c r="G68" s="26"/>
      <c r="H68" s="26"/>
      <c r="I68" s="26"/>
      <c r="J68" s="26"/>
      <c r="K68" s="27">
        <v>0.043</v>
      </c>
      <c r="L68" s="27">
        <f ca="1">ROUND(26.980,3)</f>
        <v>0</v>
      </c>
      <c r="M68" s="28">
        <f ca="1">ROUND(K68*L68,2)</f>
        <v>0</v>
      </c>
    </row>
    <row r="69" spans="1:13" ht="15.12" thickBot="1" customHeight="1">
      <c r="A69" s="8" t="s">
        <v>194</v>
      </c>
      <c r="B69" s="8" t="s">
        <v>195</v>
      </c>
      <c r="C69" s="8" t="s">
        <v>196</v>
      </c>
      <c r="D69" s="26" t="s">
        <v>197</v>
      </c>
      <c r="E69" s="26"/>
      <c r="F69" s="26"/>
      <c r="G69" s="26"/>
      <c r="H69" s="26"/>
      <c r="I69" s="26"/>
      <c r="J69" s="26"/>
      <c r="K69" s="27">
        <v>0.043</v>
      </c>
      <c r="L69" s="27">
        <f ca="1">ROUND(23.050,3)</f>
        <v>0</v>
      </c>
      <c r="M69" s="28">
        <f ca="1">ROUND(K69*L69,2)</f>
        <v>0</v>
      </c>
    </row>
    <row r="70" spans="1:13" ht="15.12" thickBot="1" customHeight="1">
      <c r="A70" s="8" t="s">
        <v>198</v>
      </c>
      <c r="B70" s="8"/>
      <c r="C70" s="8" t="s">
        <v>199</v>
      </c>
      <c r="D70" s="26" t="s">
        <v>200</v>
      </c>
      <c r="E70" s="26"/>
      <c r="F70" s="26"/>
      <c r="G70" s="26"/>
      <c r="H70" s="26"/>
      <c r="I70" s="26"/>
      <c r="J70" s="26"/>
      <c r="K70" s="27">
        <v>2.000</v>
      </c>
      <c r="L70" s="27">
        <f ca="1">ROUND(3.070,3)</f>
        <v>0</v>
      </c>
      <c r="M70" s="28">
        <f ca="1">ROUND((K70*L70)/100,2)</f>
        <v>0</v>
      </c>
    </row>
    <row r="71" spans="1:13" ht="15.48" thickBot="1" customHeight="1">
      <c r="A71" s="30"/>
      <c r="B71" s="30"/>
      <c r="C71" s="30"/>
      <c r="D71" s="31" t="s">
        <v>201</v>
      </c>
      <c r="E71" s="30"/>
      <c r="F71" s="30"/>
      <c r="G71" s="30"/>
      <c r="H71" s="30"/>
      <c r="I71" s="30"/>
      <c r="J71" s="30"/>
      <c r="K71" s="33">
        <v>1452.000</v>
      </c>
      <c r="L71" s="34">
        <f ca="1">ROUND((M67+M68+M69+M70)*(1+M2/100),2)</f>
        <v>0</v>
      </c>
      <c r="M71" s="34">
        <f ca="1">ROUND(K71*L71,2)</f>
        <v>0</v>
      </c>
    </row>
    <row r="72" spans="1:13" ht="49.08" thickBot="1" customHeight="1">
      <c r="A72" s="54" t="s">
        <v>202</v>
      </c>
      <c r="B72" s="55" t="s">
        <v>203</v>
      </c>
      <c r="C72" s="55" t="s">
        <v>204</v>
      </c>
      <c r="D72" s="56" t="s">
        <v>205</v>
      </c>
      <c r="E72" s="56"/>
      <c r="F72" s="56"/>
      <c r="G72" s="56"/>
      <c r="H72" s="56"/>
      <c r="I72" s="56"/>
      <c r="J72" s="56"/>
      <c r="K72" s="57">
        <f ca="1">ROUND(1452.00,2)</f>
        <v>0</v>
      </c>
      <c r="L72" s="58">
        <f ca="1">L78</f>
        <v>0</v>
      </c>
      <c r="M72" s="58">
        <f ca="1">ROUND(K72*L72,2)</f>
        <v>0</v>
      </c>
    </row>
    <row r="73" spans="1:13" ht="30.60" thickBot="1" customHeight="1">
      <c r="A73" s="29"/>
      <c r="B73" s="29"/>
      <c r="C73" s="29"/>
      <c r="D73" s="26" t="s">
        <v>206</v>
      </c>
      <c r="E73" s="26"/>
      <c r="F73" s="26"/>
      <c r="G73" s="26"/>
      <c r="H73" s="26"/>
      <c r="I73" s="26"/>
      <c r="J73" s="26"/>
      <c r="K73" s="26"/>
      <c r="L73" s="26"/>
      <c r="M73" s="26"/>
    </row>
    <row r="74" spans="1:13" ht="49.08" thickBot="1" customHeight="1">
      <c r="A74" s="8" t="s">
        <v>207</v>
      </c>
      <c r="B74" s="8" t="s">
        <v>208</v>
      </c>
      <c r="C74" s="8" t="s">
        <v>209</v>
      </c>
      <c r="D74" s="26" t="s">
        <v>210</v>
      </c>
      <c r="E74" s="26"/>
      <c r="F74" s="26"/>
      <c r="G74" s="26"/>
      <c r="H74" s="26"/>
      <c r="I74" s="26"/>
      <c r="J74" s="26"/>
      <c r="K74" s="27">
        <v>1.000</v>
      </c>
      <c r="L74" s="27">
        <f ca="1">ROUND(0.920,3)</f>
        <v>0</v>
      </c>
      <c r="M74" s="28">
        <f ca="1">ROUND(K74*L74,2)</f>
        <v>0</v>
      </c>
    </row>
    <row r="75" spans="1:13" ht="15.12" thickBot="1" customHeight="1">
      <c r="A75" s="8" t="s">
        <v>211</v>
      </c>
      <c r="B75" s="8" t="s">
        <v>212</v>
      </c>
      <c r="C75" s="8" t="s">
        <v>213</v>
      </c>
      <c r="D75" s="26" t="s">
        <v>214</v>
      </c>
      <c r="E75" s="26"/>
      <c r="F75" s="26"/>
      <c r="G75" s="26"/>
      <c r="H75" s="26"/>
      <c r="I75" s="26"/>
      <c r="J75" s="26"/>
      <c r="K75" s="27">
        <v>0.043</v>
      </c>
      <c r="L75" s="27">
        <f ca="1">ROUND(26.980,3)</f>
        <v>0</v>
      </c>
      <c r="M75" s="28">
        <f ca="1">ROUND(K75*L75,2)</f>
        <v>0</v>
      </c>
    </row>
    <row r="76" spans="1:13" ht="15.12" thickBot="1" customHeight="1">
      <c r="A76" s="8" t="s">
        <v>215</v>
      </c>
      <c r="B76" s="8" t="s">
        <v>216</v>
      </c>
      <c r="C76" s="8" t="s">
        <v>217</v>
      </c>
      <c r="D76" s="26" t="s">
        <v>218</v>
      </c>
      <c r="E76" s="26"/>
      <c r="F76" s="26"/>
      <c r="G76" s="26"/>
      <c r="H76" s="26"/>
      <c r="I76" s="26"/>
      <c r="J76" s="26"/>
      <c r="K76" s="27">
        <v>0.043</v>
      </c>
      <c r="L76" s="27">
        <f ca="1">ROUND(23.050,3)</f>
        <v>0</v>
      </c>
      <c r="M76" s="28">
        <f ca="1">ROUND(K76*L76,2)</f>
        <v>0</v>
      </c>
    </row>
    <row r="77" spans="1:13" ht="15.12" thickBot="1" customHeight="1">
      <c r="A77" s="8" t="s">
        <v>219</v>
      </c>
      <c r="B77" s="8"/>
      <c r="C77" s="8" t="s">
        <v>220</v>
      </c>
      <c r="D77" s="26" t="s">
        <v>221</v>
      </c>
      <c r="E77" s="26"/>
      <c r="F77" s="26"/>
      <c r="G77" s="26"/>
      <c r="H77" s="26"/>
      <c r="I77" s="26"/>
      <c r="J77" s="26"/>
      <c r="K77" s="27">
        <v>2.000</v>
      </c>
      <c r="L77" s="27">
        <f ca="1">ROUND(3.070,3)</f>
        <v>0</v>
      </c>
      <c r="M77" s="28">
        <f ca="1">ROUND((K77*L77)/100,2)</f>
        <v>0</v>
      </c>
    </row>
    <row r="78" spans="1:13" ht="15.48" thickBot="1" customHeight="1">
      <c r="A78" s="30"/>
      <c r="B78" s="30"/>
      <c r="C78" s="30"/>
      <c r="D78" s="31" t="s">
        <v>222</v>
      </c>
      <c r="E78" s="30"/>
      <c r="F78" s="30"/>
      <c r="G78" s="30"/>
      <c r="H78" s="30"/>
      <c r="I78" s="30"/>
      <c r="J78" s="30"/>
      <c r="K78" s="33">
        <v>1452.000</v>
      </c>
      <c r="L78" s="34">
        <f ca="1">ROUND((M74+M75+M76+M77)*(1+M2/100),2)</f>
        <v>0</v>
      </c>
      <c r="M78" s="34">
        <f ca="1">ROUND(K78*L78,2)</f>
        <v>0</v>
      </c>
    </row>
    <row r="79" spans="1:13" ht="15.48" thickBot="1" customHeight="1">
      <c r="A79" s="54" t="s">
        <v>223</v>
      </c>
      <c r="B79" s="55" t="s">
        <v>224</v>
      </c>
      <c r="C79" s="55" t="s">
        <v>225</v>
      </c>
      <c r="D79" s="56" t="s">
        <v>226</v>
      </c>
      <c r="E79" s="56"/>
      <c r="F79" s="56"/>
      <c r="G79" s="56"/>
      <c r="H79" s="56"/>
      <c r="I79" s="56"/>
      <c r="J79" s="56"/>
      <c r="K79" s="57">
        <f ca="1">ROUND(90.00,2)</f>
        <v>0</v>
      </c>
      <c r="L79" s="58">
        <f ca="1">L85</f>
        <v>0</v>
      </c>
      <c r="M79" s="58">
        <f ca="1">ROUND(K79*L79,2)</f>
        <v>0</v>
      </c>
    </row>
    <row r="80" spans="1:13" ht="30.60" thickBot="1" customHeight="1">
      <c r="A80" s="29"/>
      <c r="B80" s="29"/>
      <c r="C80" s="29"/>
      <c r="D80" s="26" t="s">
        <v>227</v>
      </c>
      <c r="E80" s="26"/>
      <c r="F80" s="26"/>
      <c r="G80" s="26"/>
      <c r="H80" s="26"/>
      <c r="I80" s="26"/>
      <c r="J80" s="26"/>
      <c r="K80" s="26"/>
      <c r="L80" s="26"/>
      <c r="M80" s="26"/>
    </row>
    <row r="81" spans="1:13" ht="39.84" thickBot="1" customHeight="1">
      <c r="A81" s="8" t="s">
        <v>228</v>
      </c>
      <c r="B81" s="8" t="s">
        <v>229</v>
      </c>
      <c r="C81" s="8" t="s">
        <v>230</v>
      </c>
      <c r="D81" s="26" t="s">
        <v>231</v>
      </c>
      <c r="E81" s="26"/>
      <c r="F81" s="26"/>
      <c r="G81" s="26"/>
      <c r="H81" s="26"/>
      <c r="I81" s="26"/>
      <c r="J81" s="26"/>
      <c r="K81" s="27">
        <v>1.000</v>
      </c>
      <c r="L81" s="27">
        <f ca="1">ROUND(12.264,3)</f>
        <v>0</v>
      </c>
      <c r="M81" s="28">
        <f ca="1">ROUND(K81*L81,2)</f>
        <v>0</v>
      </c>
    </row>
    <row r="82" spans="1:13" ht="15.12" thickBot="1" customHeight="1">
      <c r="A82" s="8" t="s">
        <v>232</v>
      </c>
      <c r="B82" s="8" t="s">
        <v>233</v>
      </c>
      <c r="C82" s="8" t="s">
        <v>234</v>
      </c>
      <c r="D82" s="26" t="s">
        <v>235</v>
      </c>
      <c r="E82" s="26"/>
      <c r="F82" s="26"/>
      <c r="G82" s="26"/>
      <c r="H82" s="26"/>
      <c r="I82" s="26"/>
      <c r="J82" s="26"/>
      <c r="K82" s="27">
        <v>0.096</v>
      </c>
      <c r="L82" s="27">
        <f ca="1">ROUND(26.980,3)</f>
        <v>0</v>
      </c>
      <c r="M82" s="28">
        <f ca="1">ROUND(K82*L82,2)</f>
        <v>0</v>
      </c>
    </row>
    <row r="83" spans="1:13" ht="15.12" thickBot="1" customHeight="1">
      <c r="A83" s="8" t="s">
        <v>236</v>
      </c>
      <c r="B83" s="8" t="s">
        <v>237</v>
      </c>
      <c r="C83" s="8" t="s">
        <v>238</v>
      </c>
      <c r="D83" s="26" t="s">
        <v>239</v>
      </c>
      <c r="E83" s="26"/>
      <c r="F83" s="26"/>
      <c r="G83" s="26"/>
      <c r="H83" s="26"/>
      <c r="I83" s="26"/>
      <c r="J83" s="26"/>
      <c r="K83" s="27">
        <v>0.096</v>
      </c>
      <c r="L83" s="27">
        <f ca="1">ROUND(23.050,3)</f>
        <v>0</v>
      </c>
      <c r="M83" s="28">
        <f ca="1">ROUND(K83*L83,2)</f>
        <v>0</v>
      </c>
    </row>
    <row r="84" spans="1:13" ht="15.12" thickBot="1" customHeight="1">
      <c r="A84" s="8" t="s">
        <v>240</v>
      </c>
      <c r="B84" s="8"/>
      <c r="C84" s="8" t="s">
        <v>241</v>
      </c>
      <c r="D84" s="26" t="s">
        <v>242</v>
      </c>
      <c r="E84" s="26"/>
      <c r="F84" s="26"/>
      <c r="G84" s="26"/>
      <c r="H84" s="26"/>
      <c r="I84" s="26"/>
      <c r="J84" s="26"/>
      <c r="K84" s="27">
        <v>2.000</v>
      </c>
      <c r="L84" s="27">
        <f ca="1">ROUND(17.060,3)</f>
        <v>0</v>
      </c>
      <c r="M84" s="28">
        <f ca="1">ROUND((K84*L84)/100,2)</f>
        <v>0</v>
      </c>
    </row>
    <row r="85" spans="1:13" ht="15.48" thickBot="1" customHeight="1">
      <c r="A85" s="30"/>
      <c r="B85" s="30"/>
      <c r="C85" s="30"/>
      <c r="D85" s="31" t="s">
        <v>243</v>
      </c>
      <c r="E85" s="30"/>
      <c r="F85" s="30"/>
      <c r="G85" s="30"/>
      <c r="H85" s="30"/>
      <c r="I85" s="30"/>
      <c r="J85" s="30"/>
      <c r="K85" s="33">
        <v>90.000</v>
      </c>
      <c r="L85" s="34">
        <f ca="1">ROUND((M81+M82+M83+M84)*(1+M2/100),2)</f>
        <v>0</v>
      </c>
      <c r="M85" s="34">
        <f ca="1">ROUND(K85*L85,2)</f>
        <v>0</v>
      </c>
    </row>
    <row r="86" spans="1:13" ht="15.48" thickBot="1" customHeight="1">
      <c r="A86" s="54" t="s">
        <v>244</v>
      </c>
      <c r="B86" s="55" t="s">
        <v>245</v>
      </c>
      <c r="C86" s="55" t="s">
        <v>246</v>
      </c>
      <c r="D86" s="56" t="s">
        <v>247</v>
      </c>
      <c r="E86" s="56"/>
      <c r="F86" s="56"/>
      <c r="G86" s="56"/>
      <c r="H86" s="56"/>
      <c r="I86" s="56"/>
      <c r="J86" s="56"/>
      <c r="K86" s="57">
        <f ca="1">ROUND(60.00,2)</f>
        <v>0</v>
      </c>
      <c r="L86" s="58">
        <f ca="1">L92</f>
        <v>0</v>
      </c>
      <c r="M86" s="58">
        <f ca="1">ROUND(K86*L86,2)</f>
        <v>0</v>
      </c>
    </row>
    <row r="87" spans="1:13" ht="30.60" thickBot="1" customHeight="1">
      <c r="A87" s="29"/>
      <c r="B87" s="29"/>
      <c r="C87" s="29"/>
      <c r="D87" s="26" t="s">
        <v>248</v>
      </c>
      <c r="E87" s="26"/>
      <c r="F87" s="26"/>
      <c r="G87" s="26"/>
      <c r="H87" s="26"/>
      <c r="I87" s="26"/>
      <c r="J87" s="26"/>
      <c r="K87" s="26"/>
      <c r="L87" s="26"/>
      <c r="M87" s="26"/>
    </row>
    <row r="88" spans="1:13" ht="39.84" thickBot="1" customHeight="1">
      <c r="A88" s="8" t="s">
        <v>249</v>
      </c>
      <c r="B88" s="8" t="s">
        <v>250</v>
      </c>
      <c r="C88" s="8" t="s">
        <v>251</v>
      </c>
      <c r="D88" s="26" t="s">
        <v>252</v>
      </c>
      <c r="E88" s="26"/>
      <c r="F88" s="26"/>
      <c r="G88" s="26"/>
      <c r="H88" s="26"/>
      <c r="I88" s="26"/>
      <c r="J88" s="26"/>
      <c r="K88" s="27">
        <v>1.000</v>
      </c>
      <c r="L88" s="27">
        <f ca="1">ROUND(6.370,3)</f>
        <v>0</v>
      </c>
      <c r="M88" s="28">
        <f ca="1">ROUND(K88*L88,2)</f>
        <v>0</v>
      </c>
    </row>
    <row r="89" spans="1:13" ht="15.12" thickBot="1" customHeight="1">
      <c r="A89" s="8" t="s">
        <v>253</v>
      </c>
      <c r="B89" s="8" t="s">
        <v>254</v>
      </c>
      <c r="C89" s="8" t="s">
        <v>255</v>
      </c>
      <c r="D89" s="26" t="s">
        <v>256</v>
      </c>
      <c r="E89" s="26"/>
      <c r="F89" s="26"/>
      <c r="G89" s="26"/>
      <c r="H89" s="26"/>
      <c r="I89" s="26"/>
      <c r="J89" s="26"/>
      <c r="K89" s="27">
        <v>0.071</v>
      </c>
      <c r="L89" s="27">
        <f ca="1">ROUND(26.980,3)</f>
        <v>0</v>
      </c>
      <c r="M89" s="28">
        <f ca="1">ROUND(K89*L89,2)</f>
        <v>0</v>
      </c>
    </row>
    <row r="90" spans="1:13" ht="15.12" thickBot="1" customHeight="1">
      <c r="A90" s="8" t="s">
        <v>257</v>
      </c>
      <c r="B90" s="8" t="s">
        <v>258</v>
      </c>
      <c r="C90" s="8" t="s">
        <v>259</v>
      </c>
      <c r="D90" s="26" t="s">
        <v>260</v>
      </c>
      <c r="E90" s="26"/>
      <c r="F90" s="26"/>
      <c r="G90" s="26"/>
      <c r="H90" s="26"/>
      <c r="I90" s="26"/>
      <c r="J90" s="26"/>
      <c r="K90" s="27">
        <v>0.071</v>
      </c>
      <c r="L90" s="27">
        <f ca="1">ROUND(23.050,3)</f>
        <v>0</v>
      </c>
      <c r="M90" s="28">
        <f ca="1">ROUND(K90*L90,2)</f>
        <v>0</v>
      </c>
    </row>
    <row r="91" spans="1:13" ht="15.12" thickBot="1" customHeight="1">
      <c r="A91" s="8" t="s">
        <v>261</v>
      </c>
      <c r="B91" s="8"/>
      <c r="C91" s="8" t="s">
        <v>262</v>
      </c>
      <c r="D91" s="26" t="s">
        <v>263</v>
      </c>
      <c r="E91" s="26"/>
      <c r="F91" s="26"/>
      <c r="G91" s="26"/>
      <c r="H91" s="26"/>
      <c r="I91" s="26"/>
      <c r="J91" s="26"/>
      <c r="K91" s="27">
        <v>2.000</v>
      </c>
      <c r="L91" s="27">
        <f ca="1">ROUND(9.930,3)</f>
        <v>0</v>
      </c>
      <c r="M91" s="28">
        <f ca="1">ROUND((K91*L91)/100,2)</f>
        <v>0</v>
      </c>
    </row>
    <row r="92" spans="1:13" ht="15.48" thickBot="1" customHeight="1">
      <c r="A92" s="30"/>
      <c r="B92" s="30"/>
      <c r="C92" s="30"/>
      <c r="D92" s="31" t="s">
        <v>264</v>
      </c>
      <c r="E92" s="30"/>
      <c r="F92" s="30"/>
      <c r="G92" s="30"/>
      <c r="H92" s="30"/>
      <c r="I92" s="30"/>
      <c r="J92" s="30"/>
      <c r="K92" s="33">
        <v>60.000</v>
      </c>
      <c r="L92" s="34">
        <f ca="1">ROUND((M88+M89+M90+M91)*(1+M2/100),2)</f>
        <v>0</v>
      </c>
      <c r="M92" s="34">
        <f ca="1">ROUND(K92*L92,2)</f>
        <v>0</v>
      </c>
    </row>
    <row r="93" spans="1:13" ht="39.84" thickBot="1" customHeight="1">
      <c r="A93" s="54" t="s">
        <v>265</v>
      </c>
      <c r="B93" s="55" t="s">
        <v>266</v>
      </c>
      <c r="C93" s="55" t="s">
        <v>267</v>
      </c>
      <c r="D93" s="56" t="s">
        <v>268</v>
      </c>
      <c r="E93" s="56"/>
      <c r="F93" s="56"/>
      <c r="G93" s="56"/>
      <c r="H93" s="56"/>
      <c r="I93" s="56"/>
      <c r="J93" s="56"/>
      <c r="K93" s="57">
        <f ca="1">ROUND(30.00,2)</f>
        <v>0</v>
      </c>
      <c r="L93" s="58">
        <f ca="1">L99</f>
        <v>0</v>
      </c>
      <c r="M93" s="58">
        <f ca="1">ROUND(K93*L93,2)</f>
        <v>0</v>
      </c>
    </row>
    <row r="94" spans="1:13" ht="30.60" thickBot="1" customHeight="1">
      <c r="A94" s="29"/>
      <c r="B94" s="29"/>
      <c r="C94" s="29"/>
      <c r="D94" s="26" t="s">
        <v>269</v>
      </c>
      <c r="E94" s="26"/>
      <c r="F94" s="26"/>
      <c r="G94" s="26"/>
      <c r="H94" s="26"/>
      <c r="I94" s="26"/>
      <c r="J94" s="26"/>
      <c r="K94" s="26"/>
      <c r="L94" s="26"/>
      <c r="M94" s="26"/>
    </row>
    <row r="95" spans="1:13" ht="39.84" thickBot="1" customHeight="1">
      <c r="A95" s="8" t="s">
        <v>270</v>
      </c>
      <c r="B95" s="8" t="s">
        <v>271</v>
      </c>
      <c r="C95" s="8" t="s">
        <v>272</v>
      </c>
      <c r="D95" s="26" t="s">
        <v>273</v>
      </c>
      <c r="E95" s="26"/>
      <c r="F95" s="26"/>
      <c r="G95" s="26"/>
      <c r="H95" s="26"/>
      <c r="I95" s="26"/>
      <c r="J95" s="26"/>
      <c r="K95" s="27">
        <v>1.000</v>
      </c>
      <c r="L95" s="27">
        <f ca="1">ROUND(1.430,3)</f>
        <v>0</v>
      </c>
      <c r="M95" s="28">
        <f ca="1">ROUND(K95*L95,2)</f>
        <v>0</v>
      </c>
    </row>
    <row r="96" spans="1:13" ht="15.12" thickBot="1" customHeight="1">
      <c r="A96" s="8" t="s">
        <v>274</v>
      </c>
      <c r="B96" s="8" t="s">
        <v>275</v>
      </c>
      <c r="C96" s="8" t="s">
        <v>276</v>
      </c>
      <c r="D96" s="26" t="s">
        <v>277</v>
      </c>
      <c r="E96" s="26"/>
      <c r="F96" s="26"/>
      <c r="G96" s="26"/>
      <c r="H96" s="26"/>
      <c r="I96" s="26"/>
      <c r="J96" s="26"/>
      <c r="K96" s="27">
        <v>0.016</v>
      </c>
      <c r="L96" s="27">
        <f ca="1">ROUND(21.900,3)</f>
        <v>0</v>
      </c>
      <c r="M96" s="28">
        <f ca="1">ROUND(K96*L96,2)</f>
        <v>0</v>
      </c>
    </row>
    <row r="97" spans="1:13" ht="15.12" thickBot="1" customHeight="1">
      <c r="A97" s="8" t="s">
        <v>278</v>
      </c>
      <c r="B97" s="8" t="s">
        <v>279</v>
      </c>
      <c r="C97" s="8" t="s">
        <v>280</v>
      </c>
      <c r="D97" s="26" t="s">
        <v>281</v>
      </c>
      <c r="E97" s="26"/>
      <c r="F97" s="26"/>
      <c r="G97" s="26"/>
      <c r="H97" s="26"/>
      <c r="I97" s="26"/>
      <c r="J97" s="26"/>
      <c r="K97" s="27">
        <v>0.016</v>
      </c>
      <c r="L97" s="27">
        <f ca="1">ROUND(19.190,3)</f>
        <v>0</v>
      </c>
      <c r="M97" s="28">
        <f ca="1">ROUND(K97*L97,2)</f>
        <v>0</v>
      </c>
    </row>
    <row r="98" spans="1:13" ht="15.12" thickBot="1" customHeight="1">
      <c r="A98" s="8" t="s">
        <v>282</v>
      </c>
      <c r="B98" s="8"/>
      <c r="C98" s="8" t="s">
        <v>283</v>
      </c>
      <c r="D98" s="26" t="s">
        <v>284</v>
      </c>
      <c r="E98" s="26"/>
      <c r="F98" s="26"/>
      <c r="G98" s="26"/>
      <c r="H98" s="26"/>
      <c r="I98" s="26"/>
      <c r="J98" s="26"/>
      <c r="K98" s="27">
        <v>2.000</v>
      </c>
      <c r="L98" s="27">
        <f ca="1">ROUND(2.090,3)</f>
        <v>0</v>
      </c>
      <c r="M98" s="28">
        <f ca="1">ROUND((K98*L98)/100,2)</f>
        <v>0</v>
      </c>
    </row>
    <row r="99" spans="1:13" ht="15.48" thickBot="1" customHeight="1">
      <c r="A99" s="30"/>
      <c r="B99" s="30"/>
      <c r="C99" s="30"/>
      <c r="D99" s="31" t="s">
        <v>285</v>
      </c>
      <c r="E99" s="30"/>
      <c r="F99" s="30"/>
      <c r="G99" s="30"/>
      <c r="H99" s="30"/>
      <c r="I99" s="30"/>
      <c r="J99" s="30"/>
      <c r="K99" s="33">
        <v>30.000</v>
      </c>
      <c r="L99" s="34">
        <f ca="1">ROUND((M95+M96+M97+M98)*(1+M2/100),2)</f>
        <v>0</v>
      </c>
      <c r="M99" s="34">
        <f ca="1">ROUND(K99*L99,2)</f>
        <v>0</v>
      </c>
    </row>
    <row r="100" spans="1:13" ht="15.48" thickBot="1" customHeight="1">
      <c r="A100" s="54" t="s">
        <v>286</v>
      </c>
      <c r="B100" s="55" t="s">
        <v>287</v>
      </c>
      <c r="C100" s="55" t="s">
        <v>288</v>
      </c>
      <c r="D100" s="56" t="s">
        <v>289</v>
      </c>
      <c r="E100" s="56"/>
      <c r="F100" s="56"/>
      <c r="G100" s="56"/>
      <c r="H100" s="56"/>
      <c r="I100" s="56"/>
      <c r="J100" s="56"/>
      <c r="K100" s="57">
        <f ca="1">ROUND(2.00,2)</f>
        <v>0</v>
      </c>
      <c r="L100" s="58">
        <f ca="1">L105</f>
        <v>0</v>
      </c>
      <c r="M100" s="58">
        <f ca="1">ROUND(K100*L100,2)</f>
        <v>0</v>
      </c>
    </row>
    <row r="101" spans="1:13" ht="21.36" thickBot="1" customHeight="1">
      <c r="A101" s="29"/>
      <c r="B101" s="29"/>
      <c r="C101" s="29"/>
      <c r="D101" s="26" t="s">
        <v>290</v>
      </c>
      <c r="E101" s="26"/>
      <c r="F101" s="26"/>
      <c r="G101" s="26"/>
      <c r="H101" s="26"/>
      <c r="I101" s="26"/>
      <c r="J101" s="26"/>
      <c r="K101" s="26"/>
      <c r="L101" s="26"/>
      <c r="M101" s="26"/>
    </row>
    <row r="102" spans="1:13" ht="30.60" thickBot="1" customHeight="1">
      <c r="A102" s="8" t="s">
        <v>291</v>
      </c>
      <c r="B102" s="8" t="s">
        <v>292</v>
      </c>
      <c r="C102" s="8" t="s">
        <v>293</v>
      </c>
      <c r="D102" s="26" t="s">
        <v>294</v>
      </c>
      <c r="E102" s="26"/>
      <c r="F102" s="26"/>
      <c r="G102" s="26"/>
      <c r="H102" s="26"/>
      <c r="I102" s="26"/>
      <c r="J102" s="26"/>
      <c r="K102" s="27">
        <v>1.000</v>
      </c>
      <c r="L102" s="27">
        <f ca="1">ROUND(26.650,3)</f>
        <v>0</v>
      </c>
      <c r="M102" s="28">
        <f ca="1">ROUND(K102*L102,2)</f>
        <v>0</v>
      </c>
    </row>
    <row r="103" spans="1:13" ht="15.12" thickBot="1" customHeight="1">
      <c r="A103" s="8" t="s">
        <v>295</v>
      </c>
      <c r="B103" s="8" t="s">
        <v>296</v>
      </c>
      <c r="C103" s="8" t="s">
        <v>297</v>
      </c>
      <c r="D103" s="26" t="s">
        <v>298</v>
      </c>
      <c r="E103" s="26"/>
      <c r="F103" s="26"/>
      <c r="G103" s="26"/>
      <c r="H103" s="26"/>
      <c r="I103" s="26"/>
      <c r="J103" s="26"/>
      <c r="K103" s="27">
        <v>0.272</v>
      </c>
      <c r="L103" s="27">
        <f ca="1">ROUND(26.980,3)</f>
        <v>0</v>
      </c>
      <c r="M103" s="28">
        <f ca="1">ROUND(K103*L103,2)</f>
        <v>0</v>
      </c>
    </row>
    <row r="104" spans="1:13" ht="15.12" thickBot="1" customHeight="1">
      <c r="A104" s="8" t="s">
        <v>299</v>
      </c>
      <c r="B104" s="8"/>
      <c r="C104" s="8" t="s">
        <v>300</v>
      </c>
      <c r="D104" s="26" t="s">
        <v>301</v>
      </c>
      <c r="E104" s="26"/>
      <c r="F104" s="26"/>
      <c r="G104" s="26"/>
      <c r="H104" s="26"/>
      <c r="I104" s="26"/>
      <c r="J104" s="26"/>
      <c r="K104" s="27">
        <v>2.000</v>
      </c>
      <c r="L104" s="27">
        <f ca="1">ROUND(33.990,3)</f>
        <v>0</v>
      </c>
      <c r="M104" s="28">
        <f ca="1">ROUND((K104*L104)/100,2)</f>
        <v>0</v>
      </c>
    </row>
    <row r="105" spans="1:13" ht="15.48" thickBot="1" customHeight="1">
      <c r="A105" s="30"/>
      <c r="B105" s="30"/>
      <c r="C105" s="30"/>
      <c r="D105" s="31" t="s">
        <v>302</v>
      </c>
      <c r="E105" s="30"/>
      <c r="F105" s="30"/>
      <c r="G105" s="30"/>
      <c r="H105" s="30"/>
      <c r="I105" s="30"/>
      <c r="J105" s="30"/>
      <c r="K105" s="33">
        <v>2.000</v>
      </c>
      <c r="L105" s="34">
        <f ca="1">ROUND((M102+M103+M104)*(1+M2/100),2)</f>
        <v>0</v>
      </c>
      <c r="M105" s="34">
        <f ca="1">ROUND(K105*L105,2)</f>
        <v>0</v>
      </c>
    </row>
    <row r="106" spans="1:13" ht="15.48" thickBot="1" customHeight="1">
      <c r="A106" s="54" t="s">
        <v>303</v>
      </c>
      <c r="B106" s="55" t="s">
        <v>304</v>
      </c>
      <c r="C106" s="55" t="s">
        <v>305</v>
      </c>
      <c r="D106" s="56" t="s">
        <v>306</v>
      </c>
      <c r="E106" s="56"/>
      <c r="F106" s="56"/>
      <c r="G106" s="56"/>
      <c r="H106" s="56"/>
      <c r="I106" s="56"/>
      <c r="J106" s="56"/>
      <c r="K106" s="57">
        <f ca="1">ROUND(2.00,2)</f>
        <v>0</v>
      </c>
      <c r="L106" s="58">
        <f ca="1">L111</f>
        <v>0</v>
      </c>
      <c r="M106" s="58">
        <f ca="1">ROUND(K106*L106,2)</f>
        <v>0</v>
      </c>
    </row>
    <row r="107" spans="1:13" ht="30.60" thickBot="1" customHeight="1">
      <c r="A107" s="29"/>
      <c r="B107" s="29"/>
      <c r="C107" s="29"/>
      <c r="D107" s="26" t="s">
        <v>307</v>
      </c>
      <c r="E107" s="26"/>
      <c r="F107" s="26"/>
      <c r="G107" s="26"/>
      <c r="H107" s="26"/>
      <c r="I107" s="26"/>
      <c r="J107" s="26"/>
      <c r="K107" s="26"/>
      <c r="L107" s="26"/>
      <c r="M107" s="26"/>
    </row>
    <row r="108" spans="1:13" ht="39.84" thickBot="1" customHeight="1">
      <c r="A108" s="8" t="s">
        <v>308</v>
      </c>
      <c r="B108" s="8" t="s">
        <v>309</v>
      </c>
      <c r="C108" s="8" t="s">
        <v>310</v>
      </c>
      <c r="D108" s="26" t="s">
        <v>311</v>
      </c>
      <c r="E108" s="26"/>
      <c r="F108" s="26"/>
      <c r="G108" s="26"/>
      <c r="H108" s="26"/>
      <c r="I108" s="26"/>
      <c r="J108" s="26"/>
      <c r="K108" s="27">
        <v>1.000</v>
      </c>
      <c r="L108" s="27">
        <f ca="1">ROUND(66.770,3)</f>
        <v>0</v>
      </c>
      <c r="M108" s="28">
        <f ca="1">ROUND(K108*L108,2)</f>
        <v>0</v>
      </c>
    </row>
    <row r="109" spans="1:13" ht="15.12" thickBot="1" customHeight="1">
      <c r="A109" s="8" t="s">
        <v>312</v>
      </c>
      <c r="B109" s="8" t="s">
        <v>313</v>
      </c>
      <c r="C109" s="8" t="s">
        <v>314</v>
      </c>
      <c r="D109" s="26" t="s">
        <v>315</v>
      </c>
      <c r="E109" s="26"/>
      <c r="F109" s="26"/>
      <c r="G109" s="26"/>
      <c r="H109" s="26"/>
      <c r="I109" s="26"/>
      <c r="J109" s="26"/>
      <c r="K109" s="27">
        <v>0.244</v>
      </c>
      <c r="L109" s="27">
        <f ca="1">ROUND(26.980,3)</f>
        <v>0</v>
      </c>
      <c r="M109" s="28">
        <f ca="1">ROUND(K109*L109,2)</f>
        <v>0</v>
      </c>
    </row>
    <row r="110" spans="1:13" ht="15.12" thickBot="1" customHeight="1">
      <c r="A110" s="8" t="s">
        <v>316</v>
      </c>
      <c r="B110" s="8"/>
      <c r="C110" s="8" t="s">
        <v>317</v>
      </c>
      <c r="D110" s="26" t="s">
        <v>318</v>
      </c>
      <c r="E110" s="26"/>
      <c r="F110" s="26"/>
      <c r="G110" s="26"/>
      <c r="H110" s="26"/>
      <c r="I110" s="26"/>
      <c r="J110" s="26"/>
      <c r="K110" s="27">
        <v>2.000</v>
      </c>
      <c r="L110" s="27">
        <f ca="1">ROUND(73.350,3)</f>
        <v>0</v>
      </c>
      <c r="M110" s="28">
        <f ca="1">ROUND((K110*L110)/100,2)</f>
        <v>0</v>
      </c>
    </row>
    <row r="111" spans="1:13" ht="15.48" thickBot="1" customHeight="1">
      <c r="A111" s="30"/>
      <c r="B111" s="30"/>
      <c r="C111" s="30"/>
      <c r="D111" s="31" t="s">
        <v>319</v>
      </c>
      <c r="E111" s="30"/>
      <c r="F111" s="30"/>
      <c r="G111" s="30"/>
      <c r="H111" s="30"/>
      <c r="I111" s="30"/>
      <c r="J111" s="30"/>
      <c r="K111" s="33">
        <v>2.000</v>
      </c>
      <c r="L111" s="34">
        <f ca="1">ROUND((M108+M109+M110)*(1+M2/100),2)</f>
        <v>0</v>
      </c>
      <c r="M111" s="34">
        <f ca="1">ROUND(K111*L111,2)</f>
        <v>0</v>
      </c>
    </row>
    <row r="112" spans="1:13" ht="39.84" thickBot="1" customHeight="1">
      <c r="A112" s="54" t="s">
        <v>320</v>
      </c>
      <c r="B112" s="55" t="s">
        <v>321</v>
      </c>
      <c r="C112" s="55" t="s">
        <v>322</v>
      </c>
      <c r="D112" s="56" t="s">
        <v>323</v>
      </c>
      <c r="E112" s="56"/>
      <c r="F112" s="56"/>
      <c r="G112" s="56"/>
      <c r="H112" s="56"/>
      <c r="I112" s="56"/>
      <c r="J112" s="56"/>
      <c r="K112" s="57">
        <f ca="1">ROUND(1.00,2)</f>
        <v>0</v>
      </c>
      <c r="L112" s="58">
        <f ca="1">ROUND(971.845*(1+M2/100),2)</f>
        <v>0</v>
      </c>
      <c r="M112" s="58">
        <f ca="1">ROUND(K112*L112,2)</f>
        <v>0</v>
      </c>
    </row>
    <row r="113" spans="1:13" ht="169.20" thickBot="1" customHeight="1">
      <c r="A113" s="29"/>
      <c r="B113" s="29"/>
      <c r="C113" s="29"/>
      <c r="D113" s="26" t="s">
        <v>324</v>
      </c>
      <c r="E113" s="26"/>
      <c r="F113" s="26"/>
      <c r="G113" s="26"/>
      <c r="H113" s="26"/>
      <c r="I113" s="26"/>
      <c r="J113" s="26"/>
      <c r="K113" s="26"/>
      <c r="L113" s="26"/>
      <c r="M113" s="26"/>
    </row>
    <row r="114" spans="1:13" ht="30.60" thickBot="1" customHeight="1">
      <c r="A114" s="15" t="s">
        <v>325</v>
      </c>
      <c r="B114" s="8" t="s">
        <v>326</v>
      </c>
      <c r="C114" s="8" t="s">
        <v>327</v>
      </c>
      <c r="D114" s="26" t="s">
        <v>328</v>
      </c>
      <c r="E114" s="26"/>
      <c r="F114" s="26"/>
      <c r="G114" s="26"/>
      <c r="H114" s="26"/>
      <c r="I114" s="26"/>
      <c r="J114" s="26"/>
      <c r="K114" s="27">
        <f ca="1">ROUND(6.00,2)</f>
        <v>0</v>
      </c>
      <c r="L114" s="28">
        <f ca="1">ROUND(178.000*(1+M2/100),2)</f>
        <v>0</v>
      </c>
      <c r="M114" s="28">
        <f ca="1">ROUND(K114*L114,2)</f>
        <v>0</v>
      </c>
    </row>
    <row r="115" spans="1:13" ht="261.60" thickBot="1" customHeight="1">
      <c r="A115" s="29"/>
      <c r="B115" s="29"/>
      <c r="C115" s="29"/>
      <c r="D115" s="26" t="s">
        <v>329</v>
      </c>
      <c r="E115" s="26"/>
      <c r="F115" s="26"/>
      <c r="G115" s="26"/>
      <c r="H115" s="26"/>
      <c r="I115" s="26"/>
      <c r="J115" s="26"/>
      <c r="K115" s="26"/>
      <c r="L115" s="26"/>
      <c r="M115" s="26"/>
    </row>
    <row r="116" spans="1:13" ht="30.60" thickBot="1" customHeight="1">
      <c r="A116" s="15" t="s">
        <v>330</v>
      </c>
      <c r="B116" s="8" t="s">
        <v>331</v>
      </c>
      <c r="C116" s="8" t="s">
        <v>332</v>
      </c>
      <c r="D116" s="26" t="s">
        <v>333</v>
      </c>
      <c r="E116" s="26"/>
      <c r="F116" s="26"/>
      <c r="G116" s="26"/>
      <c r="H116" s="26"/>
      <c r="I116" s="26"/>
      <c r="J116" s="26"/>
      <c r="K116" s="27">
        <f ca="1">ROUND(1.00,2)</f>
        <v>0</v>
      </c>
      <c r="L116" s="28">
        <f ca="1">ROUND(383.913*(1+M2/100),2)</f>
        <v>0</v>
      </c>
      <c r="M116" s="28">
        <f ca="1">ROUND(K116*L116,2)</f>
        <v>0</v>
      </c>
    </row>
    <row r="117" spans="1:13" ht="123.00" thickBot="1" customHeight="1">
      <c r="A117" s="29"/>
      <c r="B117" s="29"/>
      <c r="C117" s="29"/>
      <c r="D117" s="26" t="s">
        <v>334</v>
      </c>
      <c r="E117" s="26"/>
      <c r="F117" s="26"/>
      <c r="G117" s="26"/>
      <c r="H117" s="26"/>
      <c r="I117" s="26"/>
      <c r="J117" s="26"/>
      <c r="K117" s="26"/>
      <c r="L117" s="26"/>
      <c r="M117" s="26"/>
    </row>
    <row r="118" spans="1:13" ht="15.48" thickBot="1" customHeight="1">
      <c r="A118" s="30"/>
      <c r="B118" s="30"/>
      <c r="C118" s="30"/>
      <c r="D118" s="66" t="s">
        <v>335</v>
      </c>
      <c r="E118" s="67"/>
      <c r="F118" s="67"/>
      <c r="G118" s="67"/>
      <c r="H118" s="67"/>
      <c r="I118" s="67"/>
      <c r="J118" s="67"/>
      <c r="K118" s="67"/>
      <c r="L118" s="68">
        <f ca="1">M65+M72+M79+M86+M93+M100+M106+M112+M114+M116</f>
        <v>0</v>
      </c>
      <c r="M118" s="68">
        <f ca="1">ROUND(L118,2)</f>
        <v>0</v>
      </c>
    </row>
    <row r="119" spans="1:13" ht="15.48" thickBot="1" customHeight="1">
      <c r="A119" s="62" t="s">
        <v>336</v>
      </c>
      <c r="B119" s="62" t="s">
        <v>337</v>
      </c>
      <c r="C119" s="63"/>
      <c r="D119" s="64" t="s">
        <v>338</v>
      </c>
      <c r="E119" s="64"/>
      <c r="F119" s="64"/>
      <c r="G119" s="64"/>
      <c r="H119" s="64"/>
      <c r="I119" s="64"/>
      <c r="J119" s="64"/>
      <c r="K119" s="63"/>
      <c r="L119" s="65">
        <f ca="1">L148</f>
        <v>0</v>
      </c>
      <c r="M119" s="65">
        <f ca="1">ROUND(L119,2)</f>
        <v>0</v>
      </c>
    </row>
    <row r="120" spans="1:13" ht="15.48" thickBot="1" customHeight="1">
      <c r="A120" s="15" t="s">
        <v>339</v>
      </c>
      <c r="B120" s="8" t="s">
        <v>340</v>
      </c>
      <c r="C120" s="8" t="s">
        <v>341</v>
      </c>
      <c r="D120" s="26" t="s">
        <v>342</v>
      </c>
      <c r="E120" s="26"/>
      <c r="F120" s="26"/>
      <c r="G120" s="26"/>
      <c r="H120" s="26"/>
      <c r="I120" s="26"/>
      <c r="J120" s="26"/>
      <c r="K120" s="27">
        <f ca="1">ROUND(7.00,2)</f>
        <v>0</v>
      </c>
      <c r="L120" s="28">
        <f ca="1">L126</f>
        <v>0</v>
      </c>
      <c r="M120" s="28">
        <f ca="1">ROUND(K120*L120,2)</f>
        <v>0</v>
      </c>
    </row>
    <row r="121" spans="1:13" ht="39.84" thickBot="1" customHeight="1">
      <c r="A121" s="29"/>
      <c r="B121" s="29"/>
      <c r="C121" s="29"/>
      <c r="D121" s="26" t="s">
        <v>343</v>
      </c>
      <c r="E121" s="26"/>
      <c r="F121" s="26"/>
      <c r="G121" s="26"/>
      <c r="H121" s="26"/>
      <c r="I121" s="26"/>
      <c r="J121" s="26"/>
      <c r="K121" s="26"/>
      <c r="L121" s="26"/>
      <c r="M121" s="26"/>
    </row>
    <row r="122" spans="1:13" ht="86.04" thickBot="1" customHeight="1">
      <c r="A122" s="8" t="s">
        <v>344</v>
      </c>
      <c r="B122" s="8" t="s">
        <v>345</v>
      </c>
      <c r="C122" s="8" t="s">
        <v>346</v>
      </c>
      <c r="D122" s="26" t="s">
        <v>347</v>
      </c>
      <c r="E122" s="26"/>
      <c r="F122" s="26"/>
      <c r="G122" s="26"/>
      <c r="H122" s="26"/>
      <c r="I122" s="26"/>
      <c r="J122" s="26"/>
      <c r="K122" s="27">
        <v>1.000</v>
      </c>
      <c r="L122" s="27">
        <f ca="1">ROUND(76.010,3)</f>
        <v>0</v>
      </c>
      <c r="M122" s="28">
        <f ca="1">ROUND(K122*L122,2)</f>
        <v>0</v>
      </c>
    </row>
    <row r="123" spans="1:13" ht="15.12" thickBot="1" customHeight="1">
      <c r="A123" s="8" t="s">
        <v>348</v>
      </c>
      <c r="B123" s="8" t="s">
        <v>349</v>
      </c>
      <c r="C123" s="8" t="s">
        <v>350</v>
      </c>
      <c r="D123" s="26" t="s">
        <v>351</v>
      </c>
      <c r="E123" s="26"/>
      <c r="F123" s="26"/>
      <c r="G123" s="26"/>
      <c r="H123" s="26"/>
      <c r="I123" s="26"/>
      <c r="J123" s="26"/>
      <c r="K123" s="27">
        <v>0.800</v>
      </c>
      <c r="L123" s="27">
        <f ca="1">ROUND(26.980,3)</f>
        <v>0</v>
      </c>
      <c r="M123" s="28">
        <f ca="1">ROUND(K123*L123,2)</f>
        <v>0</v>
      </c>
    </row>
    <row r="124" spans="1:13" ht="15.12" thickBot="1" customHeight="1">
      <c r="A124" s="8" t="s">
        <v>352</v>
      </c>
      <c r="B124" s="8" t="s">
        <v>353</v>
      </c>
      <c r="C124" s="8" t="s">
        <v>354</v>
      </c>
      <c r="D124" s="26" t="s">
        <v>355</v>
      </c>
      <c r="E124" s="26"/>
      <c r="F124" s="26"/>
      <c r="G124" s="26"/>
      <c r="H124" s="26"/>
      <c r="I124" s="26"/>
      <c r="J124" s="26"/>
      <c r="K124" s="27">
        <v>0.800</v>
      </c>
      <c r="L124" s="27">
        <f ca="1">ROUND(23.050,3)</f>
        <v>0</v>
      </c>
      <c r="M124" s="28">
        <f ca="1">ROUND(K124*L124,2)</f>
        <v>0</v>
      </c>
    </row>
    <row r="125" spans="1:13" ht="15.12" thickBot="1" customHeight="1">
      <c r="A125" s="8" t="s">
        <v>356</v>
      </c>
      <c r="B125" s="8"/>
      <c r="C125" s="8" t="s">
        <v>357</v>
      </c>
      <c r="D125" s="26" t="s">
        <v>358</v>
      </c>
      <c r="E125" s="26"/>
      <c r="F125" s="26"/>
      <c r="G125" s="26"/>
      <c r="H125" s="26"/>
      <c r="I125" s="26"/>
      <c r="J125" s="26"/>
      <c r="K125" s="27">
        <v>5.000</v>
      </c>
      <c r="L125" s="27">
        <f ca="1">ROUND(116.030,3)</f>
        <v>0</v>
      </c>
      <c r="M125" s="28">
        <f ca="1">ROUND((K125*L125)/100,2)</f>
        <v>0</v>
      </c>
    </row>
    <row r="126" spans="1:13" ht="15.48" thickBot="1" customHeight="1">
      <c r="A126" s="30"/>
      <c r="B126" s="30"/>
      <c r="C126" s="30"/>
      <c r="D126" s="31" t="s">
        <v>359</v>
      </c>
      <c r="E126" s="30"/>
      <c r="F126" s="30"/>
      <c r="G126" s="30"/>
      <c r="H126" s="30"/>
      <c r="I126" s="30"/>
      <c r="J126" s="30"/>
      <c r="K126" s="33">
        <v>7.000</v>
      </c>
      <c r="L126" s="34">
        <f ca="1">ROUND((M122+M123+M124+M125)*(1+M2/100),2)</f>
        <v>0</v>
      </c>
      <c r="M126" s="34">
        <f ca="1">ROUND(K126*L126,2)</f>
        <v>0</v>
      </c>
    </row>
    <row r="127" spans="1:13" ht="15.48" thickBot="1" customHeight="1">
      <c r="A127" s="54" t="s">
        <v>360</v>
      </c>
      <c r="B127" s="55" t="s">
        <v>361</v>
      </c>
      <c r="C127" s="55" t="s">
        <v>362</v>
      </c>
      <c r="D127" s="56" t="s">
        <v>363</v>
      </c>
      <c r="E127" s="56"/>
      <c r="F127" s="56"/>
      <c r="G127" s="56"/>
      <c r="H127" s="56"/>
      <c r="I127" s="56"/>
      <c r="J127" s="56"/>
      <c r="K127" s="57">
        <f ca="1">ROUND(155.24,2)</f>
        <v>0</v>
      </c>
      <c r="L127" s="58">
        <f ca="1">L133</f>
        <v>0</v>
      </c>
      <c r="M127" s="58">
        <f ca="1">ROUND(K127*L127,2)</f>
        <v>0</v>
      </c>
    </row>
    <row r="128" spans="1:13" ht="21.36" thickBot="1" customHeight="1">
      <c r="A128" s="29"/>
      <c r="B128" s="29"/>
      <c r="C128" s="29"/>
      <c r="D128" s="26" t="s">
        <v>364</v>
      </c>
      <c r="E128" s="26"/>
      <c r="F128" s="26"/>
      <c r="G128" s="26"/>
      <c r="H128" s="26"/>
      <c r="I128" s="26"/>
      <c r="J128" s="26"/>
      <c r="K128" s="26"/>
      <c r="L128" s="26"/>
      <c r="M128" s="26"/>
    </row>
    <row r="129" spans="1:13" ht="39.84" thickBot="1" customHeight="1">
      <c r="A129" s="8" t="s">
        <v>365</v>
      </c>
      <c r="B129" s="8" t="s">
        <v>366</v>
      </c>
      <c r="C129" s="8" t="s">
        <v>367</v>
      </c>
      <c r="D129" s="26" t="s">
        <v>368</v>
      </c>
      <c r="E129" s="26"/>
      <c r="F129" s="26"/>
      <c r="G129" s="26"/>
      <c r="H129" s="26"/>
      <c r="I129" s="26"/>
      <c r="J129" s="26"/>
      <c r="K129" s="27">
        <v>1.000</v>
      </c>
      <c r="L129" s="27">
        <f ca="1">ROUND(12.415,3)</f>
        <v>0</v>
      </c>
      <c r="M129" s="28">
        <f ca="1">ROUND(K129*L129,2)</f>
        <v>0</v>
      </c>
    </row>
    <row r="130" spans="1:13" ht="15.12" thickBot="1" customHeight="1">
      <c r="A130" s="8" t="s">
        <v>369</v>
      </c>
      <c r="B130" s="8" t="s">
        <v>370</v>
      </c>
      <c r="C130" s="8" t="s">
        <v>371</v>
      </c>
      <c r="D130" s="26" t="s">
        <v>372</v>
      </c>
      <c r="E130" s="26"/>
      <c r="F130" s="26"/>
      <c r="G130" s="26"/>
      <c r="H130" s="26"/>
      <c r="I130" s="26"/>
      <c r="J130" s="26"/>
      <c r="K130" s="27">
        <v>0.218</v>
      </c>
      <c r="L130" s="27">
        <f ca="1">ROUND(26.980,3)</f>
        <v>0</v>
      </c>
      <c r="M130" s="28">
        <f ca="1">ROUND(K130*L130,2)</f>
        <v>0</v>
      </c>
    </row>
    <row r="131" spans="1:13" ht="15.12" thickBot="1" customHeight="1">
      <c r="A131" s="8" t="s">
        <v>373</v>
      </c>
      <c r="B131" s="8" t="s">
        <v>374</v>
      </c>
      <c r="C131" s="8" t="s">
        <v>375</v>
      </c>
      <c r="D131" s="26" t="s">
        <v>376</v>
      </c>
      <c r="E131" s="26"/>
      <c r="F131" s="26"/>
      <c r="G131" s="26"/>
      <c r="H131" s="26"/>
      <c r="I131" s="26"/>
      <c r="J131" s="26"/>
      <c r="K131" s="27">
        <v>0.218</v>
      </c>
      <c r="L131" s="27">
        <f ca="1">ROUND(23.050,3)</f>
        <v>0</v>
      </c>
      <c r="M131" s="28">
        <f ca="1">ROUND(K131*L131,2)</f>
        <v>0</v>
      </c>
    </row>
    <row r="132" spans="1:13" ht="15.12" thickBot="1" customHeight="1">
      <c r="A132" s="8" t="s">
        <v>377</v>
      </c>
      <c r="B132" s="8"/>
      <c r="C132" s="8" t="s">
        <v>378</v>
      </c>
      <c r="D132" s="26" t="s">
        <v>379</v>
      </c>
      <c r="E132" s="26"/>
      <c r="F132" s="26"/>
      <c r="G132" s="26"/>
      <c r="H132" s="26"/>
      <c r="I132" s="26"/>
      <c r="J132" s="26"/>
      <c r="K132" s="27">
        <v>2.000</v>
      </c>
      <c r="L132" s="27">
        <f ca="1">ROUND(23.320,3)</f>
        <v>0</v>
      </c>
      <c r="M132" s="28">
        <f ca="1">ROUND((K132*L132)/100,2)</f>
        <v>0</v>
      </c>
    </row>
    <row r="133" spans="1:13" ht="15.48" thickBot="1" customHeight="1">
      <c r="A133" s="30"/>
      <c r="B133" s="30"/>
      <c r="C133" s="30"/>
      <c r="D133" s="31" t="s">
        <v>380</v>
      </c>
      <c r="E133" s="30"/>
      <c r="F133" s="30"/>
      <c r="G133" s="30"/>
      <c r="H133" s="30"/>
      <c r="I133" s="30"/>
      <c r="J133" s="30"/>
      <c r="K133" s="33">
        <v>155.240</v>
      </c>
      <c r="L133" s="34">
        <f ca="1">ROUND((M129+M130+M131+M132)*(1+M2/100),2)</f>
        <v>0</v>
      </c>
      <c r="M133" s="34">
        <f ca="1">ROUND(K133*L133,2)</f>
        <v>0</v>
      </c>
    </row>
    <row r="134" spans="1:13" ht="15.48" thickBot="1" customHeight="1">
      <c r="A134" s="54" t="s">
        <v>381</v>
      </c>
      <c r="B134" s="55" t="s">
        <v>382</v>
      </c>
      <c r="C134" s="55" t="s">
        <v>383</v>
      </c>
      <c r="D134" s="56" t="s">
        <v>384</v>
      </c>
      <c r="E134" s="56"/>
      <c r="F134" s="56"/>
      <c r="G134" s="56"/>
      <c r="H134" s="56"/>
      <c r="I134" s="56"/>
      <c r="J134" s="56"/>
      <c r="K134" s="57">
        <f ca="1">ROUND(70.00,2)</f>
        <v>0</v>
      </c>
      <c r="L134" s="58">
        <f ca="1">L140</f>
        <v>0</v>
      </c>
      <c r="M134" s="58">
        <f ca="1">ROUND(K134*L134,2)</f>
        <v>0</v>
      </c>
    </row>
    <row r="135" spans="1:13" ht="21.36" thickBot="1" customHeight="1">
      <c r="A135" s="29"/>
      <c r="B135" s="29"/>
      <c r="C135" s="29"/>
      <c r="D135" s="26" t="s">
        <v>385</v>
      </c>
      <c r="E135" s="26"/>
      <c r="F135" s="26"/>
      <c r="G135" s="26"/>
      <c r="H135" s="26"/>
      <c r="I135" s="26"/>
      <c r="J135" s="26"/>
      <c r="K135" s="26"/>
      <c r="L135" s="26"/>
      <c r="M135" s="26"/>
    </row>
    <row r="136" spans="1:13" ht="39.84" thickBot="1" customHeight="1">
      <c r="A136" s="8" t="s">
        <v>386</v>
      </c>
      <c r="B136" s="8" t="s">
        <v>387</v>
      </c>
      <c r="C136" s="8" t="s">
        <v>388</v>
      </c>
      <c r="D136" s="26" t="s">
        <v>389</v>
      </c>
      <c r="E136" s="26"/>
      <c r="F136" s="26"/>
      <c r="G136" s="26"/>
      <c r="H136" s="26"/>
      <c r="I136" s="26"/>
      <c r="J136" s="26"/>
      <c r="K136" s="27">
        <v>1.000</v>
      </c>
      <c r="L136" s="27">
        <f ca="1">ROUND(36.160,3)</f>
        <v>0</v>
      </c>
      <c r="M136" s="28">
        <f ca="1">ROUND(K136*L136,2)</f>
        <v>0</v>
      </c>
    </row>
    <row r="137" spans="1:13" ht="15.12" thickBot="1" customHeight="1">
      <c r="A137" s="8" t="s">
        <v>390</v>
      </c>
      <c r="B137" s="8" t="s">
        <v>391</v>
      </c>
      <c r="C137" s="8" t="s">
        <v>392</v>
      </c>
      <c r="D137" s="26" t="s">
        <v>393</v>
      </c>
      <c r="E137" s="26"/>
      <c r="F137" s="26"/>
      <c r="G137" s="26"/>
      <c r="H137" s="26"/>
      <c r="I137" s="26"/>
      <c r="J137" s="26"/>
      <c r="K137" s="27">
        <v>0.218</v>
      </c>
      <c r="L137" s="27">
        <f ca="1">ROUND(26.980,3)</f>
        <v>0</v>
      </c>
      <c r="M137" s="28">
        <f ca="1">ROUND(K137*L137,2)</f>
        <v>0</v>
      </c>
    </row>
    <row r="138" spans="1:13" ht="15.12" thickBot="1" customHeight="1">
      <c r="A138" s="8" t="s">
        <v>394</v>
      </c>
      <c r="B138" s="8" t="s">
        <v>395</v>
      </c>
      <c r="C138" s="8" t="s">
        <v>396</v>
      </c>
      <c r="D138" s="26" t="s">
        <v>397</v>
      </c>
      <c r="E138" s="26"/>
      <c r="F138" s="26"/>
      <c r="G138" s="26"/>
      <c r="H138" s="26"/>
      <c r="I138" s="26"/>
      <c r="J138" s="26"/>
      <c r="K138" s="27">
        <v>0.218</v>
      </c>
      <c r="L138" s="27">
        <f ca="1">ROUND(23.050,3)</f>
        <v>0</v>
      </c>
      <c r="M138" s="28">
        <f ca="1">ROUND(K138*L138,2)</f>
        <v>0</v>
      </c>
    </row>
    <row r="139" spans="1:13" ht="15.12" thickBot="1" customHeight="1">
      <c r="A139" s="8" t="s">
        <v>398</v>
      </c>
      <c r="B139" s="8"/>
      <c r="C139" s="8" t="s">
        <v>399</v>
      </c>
      <c r="D139" s="26" t="s">
        <v>400</v>
      </c>
      <c r="E139" s="26"/>
      <c r="F139" s="26"/>
      <c r="G139" s="26"/>
      <c r="H139" s="26"/>
      <c r="I139" s="26"/>
      <c r="J139" s="26"/>
      <c r="K139" s="27">
        <v>2.000</v>
      </c>
      <c r="L139" s="27">
        <f ca="1">ROUND(47.060,3)</f>
        <v>0</v>
      </c>
      <c r="M139" s="28">
        <f ca="1">ROUND((K139*L139)/100,2)</f>
        <v>0</v>
      </c>
    </row>
    <row r="140" spans="1:13" ht="15.48" thickBot="1" customHeight="1">
      <c r="A140" s="30"/>
      <c r="B140" s="30"/>
      <c r="C140" s="30"/>
      <c r="D140" s="31" t="s">
        <v>401</v>
      </c>
      <c r="E140" s="30"/>
      <c r="F140" s="30"/>
      <c r="G140" s="30"/>
      <c r="H140" s="30"/>
      <c r="I140" s="30"/>
      <c r="J140" s="30"/>
      <c r="K140" s="33">
        <v>70.000</v>
      </c>
      <c r="L140" s="34">
        <f ca="1">ROUND((M136+M137+M138+M139)*(1+M2/100),2)</f>
        <v>0</v>
      </c>
      <c r="M140" s="34">
        <f ca="1">ROUND(K140*L140,2)</f>
        <v>0</v>
      </c>
    </row>
    <row r="141" spans="1:13" ht="15.48" thickBot="1" customHeight="1">
      <c r="A141" s="54" t="s">
        <v>402</v>
      </c>
      <c r="B141" s="55" t="s">
        <v>403</v>
      </c>
      <c r="C141" s="55" t="s">
        <v>404</v>
      </c>
      <c r="D141" s="56" t="s">
        <v>405</v>
      </c>
      <c r="E141" s="56"/>
      <c r="F141" s="56"/>
      <c r="G141" s="56"/>
      <c r="H141" s="56"/>
      <c r="I141" s="56"/>
      <c r="J141" s="56"/>
      <c r="K141" s="57">
        <f ca="1">ROUND(60.00,2)</f>
        <v>0</v>
      </c>
      <c r="L141" s="58">
        <f ca="1">L147</f>
        <v>0</v>
      </c>
      <c r="M141" s="58">
        <f ca="1">ROUND(K141*L141,2)</f>
        <v>0</v>
      </c>
    </row>
    <row r="142" spans="1:13" ht="21.36" thickBot="1" customHeight="1">
      <c r="A142" s="29"/>
      <c r="B142" s="29"/>
      <c r="C142" s="29"/>
      <c r="D142" s="26" t="s">
        <v>406</v>
      </c>
      <c r="E142" s="26"/>
      <c r="F142" s="26"/>
      <c r="G142" s="26"/>
      <c r="H142" s="26"/>
      <c r="I142" s="26"/>
      <c r="J142" s="26"/>
      <c r="K142" s="26"/>
      <c r="L142" s="26"/>
      <c r="M142" s="26"/>
    </row>
    <row r="143" spans="1:13" ht="39.84" thickBot="1" customHeight="1">
      <c r="A143" s="8" t="s">
        <v>407</v>
      </c>
      <c r="B143" s="8" t="s">
        <v>408</v>
      </c>
      <c r="C143" s="8" t="s">
        <v>409</v>
      </c>
      <c r="D143" s="26" t="s">
        <v>410</v>
      </c>
      <c r="E143" s="26"/>
      <c r="F143" s="26"/>
      <c r="G143" s="26"/>
      <c r="H143" s="26"/>
      <c r="I143" s="26"/>
      <c r="J143" s="26"/>
      <c r="K143" s="27">
        <v>1.000</v>
      </c>
      <c r="L143" s="27">
        <f ca="1">ROUND(53.310,3)</f>
        <v>0</v>
      </c>
      <c r="M143" s="28">
        <f ca="1">ROUND(K143*L143,2)</f>
        <v>0</v>
      </c>
    </row>
    <row r="144" spans="1:13" ht="15.12" thickBot="1" customHeight="1">
      <c r="A144" s="8" t="s">
        <v>411</v>
      </c>
      <c r="B144" s="8" t="s">
        <v>412</v>
      </c>
      <c r="C144" s="8" t="s">
        <v>413</v>
      </c>
      <c r="D144" s="26" t="s">
        <v>414</v>
      </c>
      <c r="E144" s="26"/>
      <c r="F144" s="26"/>
      <c r="G144" s="26"/>
      <c r="H144" s="26"/>
      <c r="I144" s="26"/>
      <c r="J144" s="26"/>
      <c r="K144" s="27">
        <v>0.239</v>
      </c>
      <c r="L144" s="27">
        <f ca="1">ROUND(26.980,3)</f>
        <v>0</v>
      </c>
      <c r="M144" s="28">
        <f ca="1">ROUND(K144*L144,2)</f>
        <v>0</v>
      </c>
    </row>
    <row r="145" spans="1:13" ht="15.12" thickBot="1" customHeight="1">
      <c r="A145" s="8" t="s">
        <v>415</v>
      </c>
      <c r="B145" s="8" t="s">
        <v>416</v>
      </c>
      <c r="C145" s="8" t="s">
        <v>417</v>
      </c>
      <c r="D145" s="26" t="s">
        <v>418</v>
      </c>
      <c r="E145" s="26"/>
      <c r="F145" s="26"/>
      <c r="G145" s="26"/>
      <c r="H145" s="26"/>
      <c r="I145" s="26"/>
      <c r="J145" s="26"/>
      <c r="K145" s="27">
        <v>0.239</v>
      </c>
      <c r="L145" s="27">
        <f ca="1">ROUND(23.050,3)</f>
        <v>0</v>
      </c>
      <c r="M145" s="28">
        <f ca="1">ROUND(K145*L145,2)</f>
        <v>0</v>
      </c>
    </row>
    <row r="146" spans="1:13" ht="15.12" thickBot="1" customHeight="1">
      <c r="A146" s="8" t="s">
        <v>419</v>
      </c>
      <c r="B146" s="8"/>
      <c r="C146" s="8" t="s">
        <v>420</v>
      </c>
      <c r="D146" s="26" t="s">
        <v>421</v>
      </c>
      <c r="E146" s="26"/>
      <c r="F146" s="26"/>
      <c r="G146" s="26"/>
      <c r="H146" s="26"/>
      <c r="I146" s="26"/>
      <c r="J146" s="26"/>
      <c r="K146" s="27">
        <v>2.000</v>
      </c>
      <c r="L146" s="27">
        <f ca="1">ROUND(65.270,3)</f>
        <v>0</v>
      </c>
      <c r="M146" s="28">
        <f ca="1">ROUND((K146*L146)/100,2)</f>
        <v>0</v>
      </c>
    </row>
    <row r="147" spans="1:13" ht="15.48" thickBot="1" customHeight="1">
      <c r="A147" s="30"/>
      <c r="B147" s="30"/>
      <c r="C147" s="30"/>
      <c r="D147" s="31" t="s">
        <v>422</v>
      </c>
      <c r="E147" s="30"/>
      <c r="F147" s="30"/>
      <c r="G147" s="30"/>
      <c r="H147" s="30"/>
      <c r="I147" s="30"/>
      <c r="J147" s="30"/>
      <c r="K147" s="33">
        <v>60.000</v>
      </c>
      <c r="L147" s="34">
        <f ca="1">ROUND((M143+M144+M145+M146)*(1+M2/100),2)</f>
        <v>0</v>
      </c>
      <c r="M147" s="34">
        <f ca="1">ROUND(K147*L147,2)</f>
        <v>0</v>
      </c>
    </row>
    <row r="148" spans="1:13" ht="15.48" thickBot="1" customHeight="1">
      <c r="A148" s="35"/>
      <c r="B148" s="35"/>
      <c r="C148" s="35"/>
      <c r="D148" s="59" t="s">
        <v>423</v>
      </c>
      <c r="E148" s="60"/>
      <c r="F148" s="60"/>
      <c r="G148" s="60"/>
      <c r="H148" s="60"/>
      <c r="I148" s="60"/>
      <c r="J148" s="60"/>
      <c r="K148" s="60"/>
      <c r="L148" s="61">
        <f ca="1">M120+M127+M134+M141</f>
        <v>0</v>
      </c>
      <c r="M148" s="61">
        <f ca="1">ROUND(L148,2)</f>
        <v>0</v>
      </c>
    </row>
    <row r="149" spans="1:13" ht="15.48" thickBot="1" customHeight="1">
      <c r="A149" s="62" t="s">
        <v>424</v>
      </c>
      <c r="B149" s="62" t="s">
        <v>425</v>
      </c>
      <c r="C149" s="63"/>
      <c r="D149" s="64" t="s">
        <v>426</v>
      </c>
      <c r="E149" s="64"/>
      <c r="F149" s="64"/>
      <c r="G149" s="64"/>
      <c r="H149" s="64"/>
      <c r="I149" s="64"/>
      <c r="J149" s="64"/>
      <c r="K149" s="63"/>
      <c r="L149" s="65">
        <f ca="1">L157</f>
        <v>0</v>
      </c>
      <c r="M149" s="65">
        <f ca="1">ROUND(L149,2)</f>
        <v>0</v>
      </c>
    </row>
    <row r="150" spans="1:13" ht="15.48" thickBot="1" customHeight="1">
      <c r="A150" s="15" t="s">
        <v>427</v>
      </c>
      <c r="B150" s="8" t="s">
        <v>428</v>
      </c>
      <c r="C150" s="8" t="s">
        <v>429</v>
      </c>
      <c r="D150" s="26" t="s">
        <v>430</v>
      </c>
      <c r="E150" s="26"/>
      <c r="F150" s="26"/>
      <c r="G150" s="26"/>
      <c r="H150" s="26"/>
      <c r="I150" s="26"/>
      <c r="J150" s="26"/>
      <c r="K150" s="27">
        <f ca="1">ROUND(290.00,2)</f>
        <v>0</v>
      </c>
      <c r="L150" s="28">
        <f ca="1">L156</f>
        <v>0</v>
      </c>
      <c r="M150" s="28">
        <f ca="1">ROUND(K150*L150,2)</f>
        <v>0</v>
      </c>
    </row>
    <row r="151" spans="1:13" ht="30.60" thickBot="1" customHeight="1">
      <c r="A151" s="29"/>
      <c r="B151" s="29"/>
      <c r="C151" s="29"/>
      <c r="D151" s="26" t="s">
        <v>431</v>
      </c>
      <c r="E151" s="26"/>
      <c r="F151" s="26"/>
      <c r="G151" s="26"/>
      <c r="H151" s="26"/>
      <c r="I151" s="26"/>
      <c r="J151" s="26"/>
      <c r="K151" s="26"/>
      <c r="L151" s="26"/>
      <c r="M151" s="26"/>
    </row>
    <row r="152" spans="1:13" ht="39.84" thickBot="1" customHeight="1">
      <c r="A152" s="8" t="s">
        <v>432</v>
      </c>
      <c r="B152" s="8" t="s">
        <v>433</v>
      </c>
      <c r="C152" s="8" t="s">
        <v>434</v>
      </c>
      <c r="D152" s="26" t="s">
        <v>435</v>
      </c>
      <c r="E152" s="26"/>
      <c r="F152" s="26"/>
      <c r="G152" s="26"/>
      <c r="H152" s="26"/>
      <c r="I152" s="26"/>
      <c r="J152" s="26"/>
      <c r="K152" s="27">
        <v>1.000</v>
      </c>
      <c r="L152" s="27">
        <f ca="1">ROUND(1.610,3)</f>
        <v>0</v>
      </c>
      <c r="M152" s="28">
        <f ca="1">ROUND(K152*L152,2)</f>
        <v>0</v>
      </c>
    </row>
    <row r="153" spans="1:13" ht="15.12" thickBot="1" customHeight="1">
      <c r="A153" s="8" t="s">
        <v>436</v>
      </c>
      <c r="B153" s="8" t="s">
        <v>437</v>
      </c>
      <c r="C153" s="8" t="s">
        <v>438</v>
      </c>
      <c r="D153" s="26" t="s">
        <v>439</v>
      </c>
      <c r="E153" s="26"/>
      <c r="F153" s="26"/>
      <c r="G153" s="26"/>
      <c r="H153" s="26"/>
      <c r="I153" s="26"/>
      <c r="J153" s="26"/>
      <c r="K153" s="27">
        <v>0.044</v>
      </c>
      <c r="L153" s="27">
        <f ca="1">ROUND(26.980,3)</f>
        <v>0</v>
      </c>
      <c r="M153" s="28">
        <f ca="1">ROUND(K153*L153,2)</f>
        <v>0</v>
      </c>
    </row>
    <row r="154" spans="1:13" ht="15.12" thickBot="1" customHeight="1">
      <c r="A154" s="8" t="s">
        <v>440</v>
      </c>
      <c r="B154" s="8" t="s">
        <v>441</v>
      </c>
      <c r="C154" s="8" t="s">
        <v>442</v>
      </c>
      <c r="D154" s="26" t="s">
        <v>443</v>
      </c>
      <c r="E154" s="26"/>
      <c r="F154" s="26"/>
      <c r="G154" s="26"/>
      <c r="H154" s="26"/>
      <c r="I154" s="26"/>
      <c r="J154" s="26"/>
      <c r="K154" s="27">
        <v>0.044</v>
      </c>
      <c r="L154" s="27">
        <f ca="1">ROUND(23.050,3)</f>
        <v>0</v>
      </c>
      <c r="M154" s="28">
        <f ca="1">ROUND(K154*L154,2)</f>
        <v>0</v>
      </c>
    </row>
    <row r="155" spans="1:13" ht="15.12" thickBot="1" customHeight="1">
      <c r="A155" s="8" t="s">
        <v>444</v>
      </c>
      <c r="B155" s="8"/>
      <c r="C155" s="8" t="s">
        <v>445</v>
      </c>
      <c r="D155" s="26" t="s">
        <v>446</v>
      </c>
      <c r="E155" s="26"/>
      <c r="F155" s="26"/>
      <c r="G155" s="26"/>
      <c r="H155" s="26"/>
      <c r="I155" s="26"/>
      <c r="J155" s="26"/>
      <c r="K155" s="27">
        <v>2.000</v>
      </c>
      <c r="L155" s="27">
        <f ca="1">ROUND(3.810,3)</f>
        <v>0</v>
      </c>
      <c r="M155" s="28">
        <f ca="1">ROUND((K155*L155)/100,2)</f>
        <v>0</v>
      </c>
    </row>
    <row r="156" spans="1:13" ht="15.48" thickBot="1" customHeight="1">
      <c r="A156" s="30"/>
      <c r="B156" s="30"/>
      <c r="C156" s="30"/>
      <c r="D156" s="31" t="s">
        <v>447</v>
      </c>
      <c r="E156" s="30"/>
      <c r="F156" s="30"/>
      <c r="G156" s="30"/>
      <c r="H156" s="30"/>
      <c r="I156" s="30"/>
      <c r="J156" s="30"/>
      <c r="K156" s="33">
        <v>290.000</v>
      </c>
      <c r="L156" s="34">
        <f ca="1">ROUND((M152+M153+M154+M155)*(1+M2/100),2)</f>
        <v>0</v>
      </c>
      <c r="M156" s="34">
        <f ca="1">ROUND(K156*L156,2)</f>
        <v>0</v>
      </c>
    </row>
    <row r="157" spans="1:13" ht="15.48" thickBot="1" customHeight="1">
      <c r="A157" s="35"/>
      <c r="B157" s="35"/>
      <c r="C157" s="35"/>
      <c r="D157" s="59" t="s">
        <v>448</v>
      </c>
      <c r="E157" s="60"/>
      <c r="F157" s="60"/>
      <c r="G157" s="60"/>
      <c r="H157" s="60"/>
      <c r="I157" s="60"/>
      <c r="J157" s="60"/>
      <c r="K157" s="60"/>
      <c r="L157" s="61">
        <f ca="1">M150</f>
        <v>0</v>
      </c>
      <c r="M157" s="61">
        <f ca="1">ROUND(L157,2)</f>
        <v>0</v>
      </c>
    </row>
    <row r="158" spans="1:13" ht="15.48" thickBot="1" customHeight="1">
      <c r="A158" s="35"/>
      <c r="B158" s="35"/>
      <c r="C158" s="35"/>
      <c r="D158" s="69" t="s">
        <v>449</v>
      </c>
      <c r="E158" s="70"/>
      <c r="F158" s="70"/>
      <c r="G158" s="70"/>
      <c r="H158" s="70"/>
      <c r="I158" s="70"/>
      <c r="J158" s="70"/>
      <c r="K158" s="70"/>
      <c r="L158" s="71">
        <f ca="1">M48+M63+M118+M148+M157</f>
        <v>0</v>
      </c>
      <c r="M158" s="71">
        <f ca="1">ROUND(L158,2)</f>
        <v>0</v>
      </c>
    </row>
    <row r="159" spans="1:13" ht="15.48" thickBot="1" customHeight="1">
      <c r="A159" s="72" t="s">
        <v>450</v>
      </c>
      <c r="B159" s="72" t="s">
        <v>451</v>
      </c>
      <c r="C159" s="73"/>
      <c r="D159" s="74" t="s">
        <v>452</v>
      </c>
      <c r="E159" s="74"/>
      <c r="F159" s="74"/>
      <c r="G159" s="74"/>
      <c r="H159" s="74"/>
      <c r="I159" s="74"/>
      <c r="J159" s="74"/>
      <c r="K159" s="73"/>
      <c r="L159" s="75">
        <f ca="1">L162</f>
        <v>0</v>
      </c>
      <c r="M159" s="75">
        <f ca="1">ROUND(L159,2)</f>
        <v>0</v>
      </c>
    </row>
    <row r="160" spans="1:13" ht="39.84" thickBot="1" customHeight="1">
      <c r="A160" s="15" t="s">
        <v>453</v>
      </c>
      <c r="B160" s="8" t="s">
        <v>454</v>
      </c>
      <c r="C160" s="8" t="s">
        <v>455</v>
      </c>
      <c r="D160" s="26" t="s">
        <v>456</v>
      </c>
      <c r="E160" s="26"/>
      <c r="F160" s="26"/>
      <c r="G160" s="26"/>
      <c r="H160" s="26"/>
      <c r="I160" s="26"/>
      <c r="J160" s="26"/>
      <c r="K160" s="27">
        <f ca="1">ROUND(1.00,2)</f>
        <v>0</v>
      </c>
      <c r="L160" s="28">
        <f ca="1">ROUND(1699.029*(1+M2/100),2)</f>
        <v>0</v>
      </c>
      <c r="M160" s="28">
        <f ca="1">ROUND(K160*L160,2)</f>
        <v>0</v>
      </c>
    </row>
    <row r="161" spans="1:13" ht="86.04" thickBot="1" customHeight="1">
      <c r="A161" s="29"/>
      <c r="B161" s="29"/>
      <c r="C161" s="29"/>
      <c r="D161" s="26" t="s">
        <v>457</v>
      </c>
      <c r="E161" s="26"/>
      <c r="F161" s="26"/>
      <c r="G161" s="26"/>
      <c r="H161" s="26"/>
      <c r="I161" s="26"/>
      <c r="J161" s="26"/>
      <c r="K161" s="26"/>
      <c r="L161" s="26"/>
      <c r="M161" s="26"/>
    </row>
    <row r="162" spans="1:13" ht="15.48" thickBot="1" customHeight="1">
      <c r="A162" s="30"/>
      <c r="B162" s="30"/>
      <c r="C162" s="30"/>
      <c r="D162" s="76" t="s">
        <v>458</v>
      </c>
      <c r="E162" s="77"/>
      <c r="F162" s="77"/>
      <c r="G162" s="77"/>
      <c r="H162" s="77"/>
      <c r="I162" s="77"/>
      <c r="J162" s="77"/>
      <c r="K162" s="77"/>
      <c r="L162" s="78">
        <f ca="1">M160</f>
        <v>0</v>
      </c>
      <c r="M162" s="78">
        <f ca="1">ROUND(L162,2)</f>
        <v>0</v>
      </c>
    </row>
    <row r="163" spans="1:13" ht="15.48" thickBot="1" customHeight="1">
      <c r="A163" s="35"/>
      <c r="B163" s="35"/>
      <c r="C163" s="35"/>
      <c r="D163" s="36" t="s">
        <v>459</v>
      </c>
      <c r="E163" s="37"/>
      <c r="F163" s="37"/>
      <c r="G163" s="37"/>
      <c r="H163" s="37"/>
      <c r="I163" s="37"/>
      <c r="J163" s="37"/>
      <c r="K163" s="37"/>
      <c r="L163" s="38">
        <f ca="1">M158+M162</f>
        <v>0</v>
      </c>
      <c r="M163" s="38">
        <f ca="1">ROUND(L163,2)</f>
        <v>0</v>
      </c>
    </row>
    <row r="164" spans="1:13" ht="15.48" thickBot="1" customHeight="1">
      <c r="A164" s="39" t="s">
        <v>460</v>
      </c>
      <c r="B164" s="39" t="s">
        <v>461</v>
      </c>
      <c r="C164" s="40"/>
      <c r="D164" s="41" t="s">
        <v>462</v>
      </c>
      <c r="E164" s="41"/>
      <c r="F164" s="41"/>
      <c r="G164" s="41"/>
      <c r="H164" s="41"/>
      <c r="I164" s="41"/>
      <c r="J164" s="41"/>
      <c r="K164" s="40"/>
      <c r="L164" s="42">
        <f ca="1">L167</f>
        <v>0</v>
      </c>
      <c r="M164" s="42">
        <f ca="1">ROUND(L164,2)</f>
        <v>0</v>
      </c>
    </row>
    <row r="165" spans="1:13" ht="15.48" thickBot="1" customHeight="1">
      <c r="A165" s="15" t="s">
        <v>463</v>
      </c>
      <c r="B165" s="8" t="s">
        <v>464</v>
      </c>
      <c r="C165" s="8" t="s">
        <v>465</v>
      </c>
      <c r="D165" s="26" t="s">
        <v>466</v>
      </c>
      <c r="E165" s="26"/>
      <c r="F165" s="26"/>
      <c r="G165" s="26"/>
      <c r="H165" s="26"/>
      <c r="I165" s="26"/>
      <c r="J165" s="26"/>
      <c r="K165" s="27">
        <f ca="1">ROUND(1.00,2)</f>
        <v>0</v>
      </c>
      <c r="L165" s="28">
        <f ca="1">ROUND(485.000*(1+M2/100),2)</f>
        <v>0</v>
      </c>
      <c r="M165" s="28">
        <f ca="1">ROUND(K165*L165,2)</f>
        <v>0</v>
      </c>
    </row>
    <row r="166" spans="1:13" ht="12.12" thickBot="1" customHeight="1">
      <c r="A166" s="29"/>
      <c r="B166" s="29"/>
      <c r="C166" s="29"/>
      <c r="D166" s="26" t="s">
        <v>467</v>
      </c>
      <c r="E166" s="26"/>
      <c r="F166" s="26"/>
      <c r="G166" s="26"/>
      <c r="H166" s="26"/>
      <c r="I166" s="26"/>
      <c r="J166" s="26"/>
      <c r="K166" s="26"/>
      <c r="L166" s="26"/>
      <c r="M166" s="26"/>
    </row>
    <row r="167" spans="1:13" ht="15.48" thickBot="1" customHeight="1">
      <c r="A167" s="30"/>
      <c r="B167" s="30"/>
      <c r="C167" s="30"/>
      <c r="D167" s="43" t="s">
        <v>468</v>
      </c>
      <c r="E167" s="44"/>
      <c r="F167" s="44"/>
      <c r="G167" s="44"/>
      <c r="H167" s="44"/>
      <c r="I167" s="44"/>
      <c r="J167" s="44"/>
      <c r="K167" s="44"/>
      <c r="L167" s="45">
        <f ca="1">M165</f>
        <v>0</v>
      </c>
      <c r="M167" s="45">
        <f ca="1">ROUND(L167,2)</f>
        <v>0</v>
      </c>
    </row>
    <row r="168" spans="1:13" ht="15.48" thickBot="1" customHeight="1">
      <c r="A168" s="39" t="s">
        <v>469</v>
      </c>
      <c r="B168" s="39" t="s">
        <v>470</v>
      </c>
      <c r="C168" s="40"/>
      <c r="D168" s="41" t="s">
        <v>471</v>
      </c>
      <c r="E168" s="41"/>
      <c r="F168" s="41"/>
      <c r="G168" s="41"/>
      <c r="H168" s="41"/>
      <c r="I168" s="41"/>
      <c r="J168" s="41"/>
      <c r="K168" s="40"/>
      <c r="L168" s="42">
        <f ca="1">L171</f>
        <v>0</v>
      </c>
      <c r="M168" s="42">
        <f ca="1">ROUND(L168,2)</f>
        <v>0</v>
      </c>
    </row>
    <row r="169" spans="1:13" ht="15.48" thickBot="1" customHeight="1">
      <c r="A169" s="15" t="s">
        <v>472</v>
      </c>
      <c r="B169" s="8" t="s">
        <v>473</v>
      </c>
      <c r="C169" s="8" t="s">
        <v>474</v>
      </c>
      <c r="D169" s="26" t="s">
        <v>475</v>
      </c>
      <c r="E169" s="26"/>
      <c r="F169" s="26"/>
      <c r="G169" s="26"/>
      <c r="H169" s="26"/>
      <c r="I169" s="26"/>
      <c r="J169" s="26"/>
      <c r="K169" s="27">
        <f ca="1">ROUND(1.00,2)</f>
        <v>0</v>
      </c>
      <c r="L169" s="28">
        <f ca="1">ROUND(1350.000*(1+M2/100),2)</f>
        <v>0</v>
      </c>
      <c r="M169" s="28">
        <f ca="1">ROUND(K169*L169,2)</f>
        <v>0</v>
      </c>
    </row>
    <row r="170" spans="1:13" ht="49.08" thickBot="1" customHeight="1">
      <c r="A170" s="29"/>
      <c r="B170" s="29"/>
      <c r="C170" s="29"/>
      <c r="D170" s="26" t="s">
        <v>476</v>
      </c>
      <c r="E170" s="26"/>
      <c r="F170" s="26"/>
      <c r="G170" s="26"/>
      <c r="H170" s="26"/>
      <c r="I170" s="26"/>
      <c r="J170" s="26"/>
      <c r="K170" s="26"/>
      <c r="L170" s="26"/>
      <c r="M170" s="26"/>
    </row>
    <row r="171" spans="1:13" ht="15.48" thickBot="1" customHeight="1">
      <c r="A171" s="30"/>
      <c r="B171" s="30"/>
      <c r="C171" s="30"/>
      <c r="D171" s="43" t="s">
        <v>477</v>
      </c>
      <c r="E171" s="44"/>
      <c r="F171" s="44"/>
      <c r="G171" s="44"/>
      <c r="H171" s="44"/>
      <c r="I171" s="44"/>
      <c r="J171" s="44"/>
      <c r="K171" s="44"/>
      <c r="L171" s="45">
        <f ca="1">M169</f>
        <v>0</v>
      </c>
      <c r="M171" s="45">
        <f ca="1">ROUND(L171,2)</f>
        <v>0</v>
      </c>
    </row>
    <row r="172" spans="1:13" ht="25.08" thickBot="1" customHeight="1">
      <c r="A172" s="35"/>
      <c r="B172" s="35"/>
      <c r="C172" s="35"/>
      <c r="D172" s="79" t="s">
        <v>478</v>
      </c>
      <c r="E172" s="80"/>
      <c r="F172" s="80"/>
      <c r="G172" s="80"/>
      <c r="H172" s="80"/>
      <c r="I172" s="80"/>
      <c r="J172" s="80"/>
      <c r="K172" s="80"/>
      <c r="L172" s="81">
        <f ca="1">M10+M14+M163+M167+M171</f>
        <v>0</v>
      </c>
      <c r="M172" s="81">
        <f ca="1">ROUND(L172,2)</f>
        <v>0</v>
      </c>
    </row>
  </sheetData>
  <mergeCells count="139">
    <mergeCell ref="B1:M1"/>
    <mergeCell ref="A2:C2"/>
    <mergeCell ref="D4:J4"/>
    <mergeCell ref="D5:J5"/>
    <mergeCell ref="D6:J6"/>
    <mergeCell ref="D7:M7"/>
    <mergeCell ref="D8:J8"/>
    <mergeCell ref="D11:J11"/>
    <mergeCell ref="D12:J12"/>
    <mergeCell ref="D13:M13"/>
    <mergeCell ref="D15:J15"/>
    <mergeCell ref="D16:J16"/>
    <mergeCell ref="D17:J17"/>
    <mergeCell ref="D18:J18"/>
    <mergeCell ref="D19:M19"/>
    <mergeCell ref="D20:J20"/>
    <mergeCell ref="D21:J21"/>
    <mergeCell ref="D22:J22"/>
    <mergeCell ref="D23:J23"/>
    <mergeCell ref="D25:J25"/>
    <mergeCell ref="D26:M26"/>
    <mergeCell ref="D27:J27"/>
    <mergeCell ref="D28:M28"/>
    <mergeCell ref="D29:J29"/>
    <mergeCell ref="D30:J30"/>
    <mergeCell ref="D31:J31"/>
    <mergeCell ref="D32:J32"/>
    <mergeCell ref="D34:J34"/>
    <mergeCell ref="D35:M35"/>
    <mergeCell ref="D36:J36"/>
    <mergeCell ref="D37:J37"/>
    <mergeCell ref="D38:J38"/>
    <mergeCell ref="D39:J39"/>
    <mergeCell ref="D41:J41"/>
    <mergeCell ref="D42:M42"/>
    <mergeCell ref="D43:J43"/>
    <mergeCell ref="D44:J44"/>
    <mergeCell ref="D45:J45"/>
    <mergeCell ref="D46:J46"/>
    <mergeCell ref="D49:J49"/>
    <mergeCell ref="D50:J50"/>
    <mergeCell ref="D51:M51"/>
    <mergeCell ref="D52:J52"/>
    <mergeCell ref="D53:J53"/>
    <mergeCell ref="D54:J54"/>
    <mergeCell ref="D55:J55"/>
    <mergeCell ref="D57:J57"/>
    <mergeCell ref="D58:M58"/>
    <mergeCell ref="D59:J59"/>
    <mergeCell ref="D60:J60"/>
    <mergeCell ref="D61:J61"/>
    <mergeCell ref="D64:J64"/>
    <mergeCell ref="D65:J65"/>
    <mergeCell ref="D66:M66"/>
    <mergeCell ref="D67:J67"/>
    <mergeCell ref="D68:J68"/>
    <mergeCell ref="D69:J69"/>
    <mergeCell ref="D70:J70"/>
    <mergeCell ref="D72:J72"/>
    <mergeCell ref="D73:M73"/>
    <mergeCell ref="D74:J74"/>
    <mergeCell ref="D75:J75"/>
    <mergeCell ref="D76:J76"/>
    <mergeCell ref="D77:J77"/>
    <mergeCell ref="D79:J79"/>
    <mergeCell ref="D80:M80"/>
    <mergeCell ref="D81:J81"/>
    <mergeCell ref="D82:J82"/>
    <mergeCell ref="D83:J83"/>
    <mergeCell ref="D84:J84"/>
    <mergeCell ref="D86:J86"/>
    <mergeCell ref="D87:M87"/>
    <mergeCell ref="D88:J88"/>
    <mergeCell ref="D89:J89"/>
    <mergeCell ref="D90:J90"/>
    <mergeCell ref="D91:J91"/>
    <mergeCell ref="D93:J93"/>
    <mergeCell ref="D94:M94"/>
    <mergeCell ref="D95:J95"/>
    <mergeCell ref="D96:J96"/>
    <mergeCell ref="D97:J97"/>
    <mergeCell ref="D98:J98"/>
    <mergeCell ref="D100:J100"/>
    <mergeCell ref="D101:M101"/>
    <mergeCell ref="D102:J102"/>
    <mergeCell ref="D103:J103"/>
    <mergeCell ref="D104:J104"/>
    <mergeCell ref="D106:J106"/>
    <mergeCell ref="D107:M107"/>
    <mergeCell ref="D108:J108"/>
    <mergeCell ref="D109:J109"/>
    <mergeCell ref="D110:J110"/>
    <mergeCell ref="D112:J112"/>
    <mergeCell ref="D113:M113"/>
    <mergeCell ref="D114:J114"/>
    <mergeCell ref="D115:M115"/>
    <mergeCell ref="D116:J116"/>
    <mergeCell ref="D117:M117"/>
    <mergeCell ref="D119:J119"/>
    <mergeCell ref="D120:J120"/>
    <mergeCell ref="D121:M121"/>
    <mergeCell ref="D122:J122"/>
    <mergeCell ref="D123:J123"/>
    <mergeCell ref="D124:J124"/>
    <mergeCell ref="D125:J125"/>
    <mergeCell ref="D127:J127"/>
    <mergeCell ref="D128:M128"/>
    <mergeCell ref="D129:J129"/>
    <mergeCell ref="D130:J130"/>
    <mergeCell ref="D131:J131"/>
    <mergeCell ref="D132:J132"/>
    <mergeCell ref="D134:J134"/>
    <mergeCell ref="D135:M135"/>
    <mergeCell ref="D136:J136"/>
    <mergeCell ref="D137:J137"/>
    <mergeCell ref="D138:J138"/>
    <mergeCell ref="D139:J139"/>
    <mergeCell ref="D141:J141"/>
    <mergeCell ref="D142:M142"/>
    <mergeCell ref="D143:J143"/>
    <mergeCell ref="D144:J144"/>
    <mergeCell ref="D145:J145"/>
    <mergeCell ref="D146:J146"/>
    <mergeCell ref="D149:J149"/>
    <mergeCell ref="D150:J150"/>
    <mergeCell ref="D151:M151"/>
    <mergeCell ref="D152:J152"/>
    <mergeCell ref="D153:J153"/>
    <mergeCell ref="D154:J154"/>
    <mergeCell ref="D155:J155"/>
    <mergeCell ref="D159:J159"/>
    <mergeCell ref="D160:J160"/>
    <mergeCell ref="D161:M161"/>
    <mergeCell ref="D164:J164"/>
    <mergeCell ref="D165:J165"/>
    <mergeCell ref="D166:M166"/>
    <mergeCell ref="D168:J168"/>
    <mergeCell ref="D169:J169"/>
    <mergeCell ref="D170:M170"/>
  </mergeCells>
  <pageMargins left="0.620079" right="0.472441" top="0.472441" bottom="0.472441" header="0.0" footer="0.0"/>
  <pageSetup paperSize="9" orientation="landscape"/>
  <rowBreaks count="2" manualBreakCount="2">
    <brk id="0" max="16383" man="1"/>
    <brk id="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83B2DDF189544CA91F3E942C6E88BE" ma:contentTypeVersion="14" ma:contentTypeDescription="Crea un document nou" ma:contentTypeScope="" ma:versionID="89e7a8ccf54d1d1c2c4d46782f2df10b">
  <xsd:schema xmlns:xsd="http://www.w3.org/2001/XMLSchema" xmlns:xs="http://www.w3.org/2001/XMLSchema" xmlns:p="http://schemas.microsoft.com/office/2006/metadata/properties" xmlns:ns2="60418b6a-a757-4efd-8e50-44fdcd308ff9" xmlns:ns3="cd4f4e34-2c83-4423-b724-725a3fe064fe" targetNamespace="http://schemas.microsoft.com/office/2006/metadata/properties" ma:root="true" ma:fieldsID="efe4fb5689511b4607270c6555250dd2" ns2:_="" ns3:_="">
    <xsd:import namespace="60418b6a-a757-4efd-8e50-44fdcd308ff9"/>
    <xsd:import namespace="cd4f4e34-2c83-4423-b724-725a3fe064f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418b6a-a757-4efd-8e50-44fdcd308f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es de la imatge" ma:readOnly="false" ma:fieldId="{5cf76f15-5ced-4ddc-b409-7134ff3c332f}" ma:taxonomyMulti="true" ma:sspId="fc9fdf53-5fc8-4dfd-ab7a-db58370f135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4f4e34-2c83-4423-b724-725a3fe064fe" elementFormDefault="qualified">
    <xsd:import namespace="http://schemas.microsoft.com/office/2006/documentManagement/types"/>
    <xsd:import namespace="http://schemas.microsoft.com/office/infopath/2007/PartnerControls"/>
    <xsd:element name="SharedWithUsers" ma:index="10"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 compartit amb detalls" ma:internalName="SharedWithDetails" ma:readOnly="true">
      <xsd:simpleType>
        <xsd:restriction base="dms:Note">
          <xsd:maxLength value="255"/>
        </xsd:restriction>
      </xsd:simpleType>
    </xsd:element>
    <xsd:element name="TaxCatchAll" ma:index="15" nillable="true" ma:displayName="Taxonomy Catch All Column" ma:hidden="true" ma:list="{b3528856-104b-4b0d-8784-71d7cefaec61}" ma:internalName="TaxCatchAll" ma:showField="CatchAllData" ma:web="cd4f4e34-2c83-4423-b724-725a3fe064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4f4e34-2c83-4423-b724-725a3fe064fe" xsi:nil="true"/>
    <lcf76f155ced4ddcb4097134ff3c332f xmlns="60418b6a-a757-4efd-8e50-44fdcd308ff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F686343-0640-4FF5-92AE-3D9EBAF92D5D}"/>
</file>

<file path=customXml/itemProps2.xml><?xml version="1.0" encoding="utf-8"?>
<ds:datastoreItem xmlns:ds="http://schemas.openxmlformats.org/officeDocument/2006/customXml" ds:itemID="{2AFC0D66-570F-42F4-AF0F-B8910CA3B4FB}"/>
</file>

<file path=customXml/itemProps3.xml><?xml version="1.0" encoding="utf-8"?>
<ds:datastoreItem xmlns:ds="http://schemas.openxmlformats.org/officeDocument/2006/customXml" ds:itemID="{B85E0A05-C846-4CDA-AC2B-82E360CBA6CF}"/>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0x0101000683B2DDF189544CA91F3E942C6E88BE</vt:lpwstr>
  </property>
</Properties>
</file>