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ull 1" sheetId="1" r:id="rId1"/>
  </sheets>
  <calcPr calcId="124519"/>
</workbook>
</file>

<file path=xl/sharedStrings.xml><?xml version="1.0" encoding="utf-8"?>
<sst xmlns="http://schemas.openxmlformats.org/spreadsheetml/2006/main" count="2856" uniqueCount="2856">
  <si>
    <t xml:space="preserve">Obra:</t>
  </si>
  <si>
    <t xml:space="preserve">Projecte per la instal·lació de 18 carregadors per via pública a la facultat d'econòmiques de la Universitat de Girona</t>
  </si>
  <si>
    <t xml:space="preserve">Pressupost</t>
  </si>
  <si>
    <t xml:space="preserve">% C.I.</t>
  </si>
  <si>
    <t xml:space="preserve">Codi</t>
  </si>
  <si>
    <t xml:space="preserve">Tipus</t>
  </si>
  <si>
    <t xml:space="preserve">U</t>
  </si>
  <si>
    <t xml:space="preserve">Resum</t>
  </si>
  <si>
    <t xml:space="preserve">Quantitat</t>
  </si>
  <si>
    <t xml:space="preserve">Preu (€)</t>
  </si>
  <si>
    <t xml:space="preserve">Import (€)</t>
  </si>
  <si>
    <t xml:space="preserve">P719-UDG_CARREGADORS_AMIDAMENTS_TOT</t>
  </si>
  <si>
    <t xml:space="preserve">Capítol</t>
  </si>
  <si>
    <t xml:space="preserve">Projecte per la instal·lació de 18 carregadors per via pública a la facultat d'econòmiques de la Universitat de Girona</t>
  </si>
  <si>
    <t xml:space="preserve">I_FCEE</t>
  </si>
  <si>
    <t xml:space="preserve">Capítol</t>
  </si>
  <si>
    <t xml:space="preserve">Facultat de Ciències Econòmiques. Instal·lació</t>
  </si>
  <si>
    <t xml:space="preserve">OBRA_FCEE</t>
  </si>
  <si>
    <t xml:space="preserve">Capítol</t>
  </si>
  <si>
    <t xml:space="preserve">Adequació obra civil Albert</t>
  </si>
  <si>
    <t xml:space="preserve">ROO020b</t>
  </si>
  <si>
    <t xml:space="preserve">Partida</t>
  </si>
  <si>
    <t xml:space="preserve">m²</t>
  </si>
  <si>
    <t xml:space="preserve">Pintura de poliuretà alifàtic, sobre terra de garatge. Color verd</t>
  </si>
  <si>
    <t xml:space="preserve">Aplicació manual de dues mans de pintura de poliuretà alifàtic, incolor, acabat mat, textura llisa, (rendiment: 0,06 l/m² cada mà); sobre terra de garatge de formigó.
Inclou: Neteja general de la superfície suport. Preparació de la mescla. Aplicació d'una mà de fons i una mà d'acabat.
Criteri d'amidament de projecte: Superfície mesurada segons documentació gràfica de Projecte, amb el mateix criteri que el suport base.
Criteri de mesura d'obra: Es mesurarà la superfície realment executada segons especificacions de Projecte, amb el mateix criteri que el suport base.</t>
  </si>
  <si>
    <t xml:space="preserve">mt27ppi020e</t>
  </si>
  <si>
    <t xml:space="preserve">Material</t>
  </si>
  <si>
    <t xml:space="preserve">l</t>
  </si>
  <si>
    <t xml:space="preserve">Pintura per a interior, monocomponent a base de poliuretà alifàtic, incolor, acabat mat, textura llisa; per a aplicar amb brotxa, corró o pistola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</si>
  <si>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</si>
  <si>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</si>
  <si>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</si>
  <si>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</si>
  <si>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</si>
  <si>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</si>
  <si>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</si>
  <si>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</si>
  <si>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</si>
  <si>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</si>
  <si>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</si>
  <si>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ROO020b</t>
  </si>
  <si>
    <t xml:space="preserve">ROO040b</t>
  </si>
  <si>
    <t xml:space="preserve">Partida</t>
  </si>
  <si>
    <t xml:space="preserve">U</t>
  </si>
  <si>
    <t xml:space="preserve">Marcat de fletxes i inscripcions en pintura a terra. Color blanc</t>
  </si>
  <si>
    <t xml:space="preserve">Aplicació manual de dues mans de pintura plàstica, color blanc, acabat setinat, textura llisa, diluïdes amb un 10 a 15% d'aigua; per a marcat de fletxes i inscripcions en garatges, amb una plantilla de fins a 100x100 cm.
Inclou: Preparació de la superfície. Execució del marcat.
Criteri d'amidament de projecte: Nombre d'unitats previstes, segons documentació gràfica de Projecte.
Criteri de mesura d'obra: Es mesurarà el nombre d'unitats realment executades segons especificacions de Projecte.</t>
  </si>
  <si>
    <t xml:space="preserve">mt27mvp010e</t>
  </si>
  <si>
    <t xml:space="preserve">Material</t>
  </si>
  <si>
    <t xml:space="preserve">l</t>
  </si>
  <si>
    <t xml:space="preserve">Pintura per a exterior, a base de resines acríliques, color blanc, acabat setinat, textura llisa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</si>
  <si>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</si>
  <si>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</si>
  <si>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</si>
  <si>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</si>
  <si>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</si>
  <si>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</si>
  <si>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</si>
  <si>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</si>
  <si>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</si>
  <si>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</si>
  <si>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</si>
  <si>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ROO040b</t>
  </si>
  <si>
    <t xml:space="preserve">ROO030b</t>
  </si>
  <si>
    <t xml:space="preserve">Partida</t>
  </si>
  <si>
    <t xml:space="preserve">m</t>
  </si>
  <si>
    <t xml:space="preserve">Marcat de places de garatge.</t>
  </si>
  <si>
    <t xml:space="preserve">Aplicació manual de dues mans de pintura plàstica, color blanc, acabat setinat, textura llisa, diluïdes amb un 10 a 15% d'aigua; per a marcat de places de garatge, amb línies de 10 cm d'amplada, contínues o discontínues.
Inclou: Preparació de la superfície. Execució del marcat.
Criteri d'amidament de projecte: Longitud mesurada segons documentació gràfica de Projecte.
Criteri de mesura d'obra: Es mesurarà la longitud realment executada segons especificacions de Projecte.</t>
  </si>
  <si>
    <t xml:space="preserve">mt27mvp010e</t>
  </si>
  <si>
    <t xml:space="preserve">Material</t>
  </si>
  <si>
    <t xml:space="preserve">l</t>
  </si>
  <si>
    <t xml:space="preserve">Pintura per a exterior, a base de resines acríliques, color blanc, acabat setinat, textura llisa</t>
  </si>
  <si>
    <t xml:space="preserve">mt27wav020a</t>
  </si>
  <si>
    <t xml:space="preserve">Material</t>
  </si>
  <si>
    <t xml:space="preserve">m</t>
  </si>
  <si>
    <t xml:space="preserve">Cinta adhesiva de pintor, de 25 mm d'amplada.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</si>
  <si>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</si>
  <si>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</si>
  <si>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</si>
  <si>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</si>
  <si>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</si>
  <si>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</si>
  <si>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</si>
  <si>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</si>
  <si>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</si>
  <si>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</si>
  <si>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</si>
  <si>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ROO030b</t>
  </si>
  <si>
    <t xml:space="preserve">UMH010b</t>
  </si>
  <si>
    <t xml:space="preserve">Partida</t>
  </si>
  <si>
    <t xml:space="preserve">U</t>
  </si>
  <si>
    <t xml:space="preserve">Bol·lard fixe</t>
  </si>
  <si>
    <t xml:space="preserve">Bol·lard fixe, de 820x185 mm, acabat amb pintura antioxidant de color negre, fixat amb tacs d'expansió d'acer, cargols especials i pasta química a una base de formigó HM-20/P/20/X0. Inclús excavació i formigonat de la base de recolzament. Totalment muntat.
Inclou: Replanteig d'alineacions i nivells. Excavació. Execució de la base de formigó. Col·locació i fixació de les peces.
Criteri d'amidament de projecte: Nombre d'unitats previstes, segons documentació gràfica de Projecte.
Criteri de mesura d'obra: Es mesurarà el nombre d'unitats realment executades segons especificacions de Projecte.</t>
  </si>
  <si>
    <t xml:space="preserve">mt52mug010a</t>
  </si>
  <si>
    <t xml:space="preserve">Material</t>
  </si>
  <si>
    <t xml:space="preserve">U</t>
  </si>
  <si>
    <t xml:space="preserve">Bol·lard fixe, de 820x185 mm, acabat amb pintura antioxidant de color negre.</t>
  </si>
  <si>
    <t xml:space="preserve">mt52mug200g</t>
  </si>
  <si>
    <t xml:space="preserve">Material</t>
  </si>
  <si>
    <t xml:space="preserve">U</t>
  </si>
  <si>
    <t xml:space="preserve">Repercussió, en la col·locació de bol·lard, d'elements de fixació sobre formigó: tacs d'expansió d'acer, cargols especials i pasta química.</t>
  </si>
  <si>
    <t xml:space="preserve">mt10hmf010tLc</t>
  </si>
  <si>
    <t xml:space="preserve">Material</t>
  </si>
  <si>
    <t xml:space="preserve">m³</t>
  </si>
  <si>
    <t xml:space="preserve">Formigó HM-20/P/20/X0, fabricat en central.</t>
  </si>
  <si>
    <t xml:space="preserve">mo041</t>
  </si>
  <si>
    <t xml:space="preserve">Mà d'obra</t>
  </si>
  <si>
    <t xml:space="preserve">h</t>
  </si>
  <si>
    <t xml:space="preserve">Oficial 1ª construcció d'obra civil.</t>
  </si>
  <si>
    <t xml:space="preserve">mo087</t>
  </si>
  <si>
    <t xml:space="preserve">Mà d'obra</t>
  </si>
  <si>
    <t xml:space="preserve">h</t>
  </si>
  <si>
    <t xml:space="preserve">Ajudant construcció d'obra civil.</t>
  </si>
  <si>
    <t xml:space="preserve">%</t>
  </si>
  <si>
    <t xml:space="preserve">%</t>
  </si>
  <si>
    <t xml:space="preserve">Costos directes complementaris</t>
  </si>
  <si>
    <t xml:space="preserve">UMH010b</t>
  </si>
  <si>
    <t xml:space="preserve">UMH011</t>
  </si>
  <si>
    <t xml:space="preserve">Partida</t>
  </si>
  <si>
    <t xml:space="preserve">U</t>
  </si>
  <si>
    <t xml:space="preserve">Senyal Vertical per aparctament de vehicles elèctrics</t>
  </si>
  <si>
    <t xml:space="preserve">Senyal vertical fixe de 600x900 mmm . Decorat en impressió vinil, antigrafitis, dors natural. Suport d'acer galvanitzat de 80x40x2mm de 3.5 mt d'alçada i abraçadera d'alumini 80x40.Inclou partides addicionals per la seva correcte fixació i col·locació. Criteri d'amidament de projecte: Nombre d'unitats previstes, segons documentació gràfica de Projecte. Criteri de mesura d'obra: Es mesurarà el nombre d'unitats realment executades segons especificacions de Projecte.</t>
  </si>
  <si>
    <t xml:space="preserve">mt52mug010c</t>
  </si>
  <si>
    <t xml:space="preserve">Material</t>
  </si>
  <si>
    <t xml:space="preserve">U</t>
  </si>
  <si>
    <t xml:space="preserve">Senyal Fixe, rectangular, de 600x900, decorat en impressió de vinil a tot color, antigrafi + suport acer galvanitzat 80x40x2,, de 3.5mt d'alçada</t>
  </si>
  <si>
    <t xml:space="preserve">mt52mug200g</t>
  </si>
  <si>
    <t xml:space="preserve">Material</t>
  </si>
  <si>
    <t xml:space="preserve">U</t>
  </si>
  <si>
    <t xml:space="preserve">Repercussió, en la col·locació de bol·lard, d'elements de fixació sobre formigó: tacs d'expansió d'acer, cargols especials i pasta química.</t>
  </si>
  <si>
    <t xml:space="preserve">mt10hmf010tLc</t>
  </si>
  <si>
    <t xml:space="preserve">Material</t>
  </si>
  <si>
    <t xml:space="preserve">m³</t>
  </si>
  <si>
    <t xml:space="preserve">Formigó HM-20/P/20/X0, fabricat en central.</t>
  </si>
  <si>
    <t xml:space="preserve">mo041</t>
  </si>
  <si>
    <t xml:space="preserve">Mà d'obra</t>
  </si>
  <si>
    <t xml:space="preserve">h</t>
  </si>
  <si>
    <t xml:space="preserve">Oficial 1ª construcció d'obra civil.</t>
  </si>
  <si>
    <t xml:space="preserve">mo087</t>
  </si>
  <si>
    <t xml:space="preserve">Mà d'obra</t>
  </si>
  <si>
    <t xml:space="preserve">h</t>
  </si>
  <si>
    <t xml:space="preserve">Ajudant construcció d'obra civil.</t>
  </si>
  <si>
    <t xml:space="preserve">%</t>
  </si>
  <si>
    <t xml:space="preserve">%</t>
  </si>
  <si>
    <t xml:space="preserve">Costos directes complementaris</t>
  </si>
  <si>
    <t xml:space="preserve">UMH011</t>
  </si>
  <si>
    <t xml:space="preserve">UIA010e</t>
  </si>
  <si>
    <t xml:space="preserve">Partida</t>
  </si>
  <si>
    <t xml:space="preserve">U</t>
  </si>
  <si>
    <t xml:space="preserve">Pericó de connexió elèctrica.</t>
  </si>
  <si>
    <t xml:space="preserve">Pericó de connexió elèctrica, prefabricat de formigó, sense fons, registrable, de 60x60x60 cm de mesures interiors, amb parets rebaixades per a l'entrada de tubs, capaç de suportar una càrrega de 400 kN, amb marc d'acer galvanitzat i tapa de formigó armat alleugerit, de 69,5x68,5 cm, per a pericó de connexió elèctrica, capaç de suportar una càrrega de 125 kN; prèvia excavació amb mitjans mecànics i posterior reomplert de l'extradós amb material granular.
Inclou: Replanteig. Excavació amb mitjans mecànics. Eliminació de les terres soltes del fons de l'excavació. Col·locació de l'arqueta prefabricada. Execució de forats per a connexionat de tubs. Connexionat dels tubs al pericó. Col·locació de la tapa i els accessoris. Reblert de l'extradós.
Criteri d'amidament de projecte: Nombre d'unitats previstes, segons documentació gràfica de Projecte.
Criteri de mesura d'obra: Es mesurarà el nombre d'unitats realment executades segons especificacions de Projecte.</t>
  </si>
  <si>
    <t xml:space="preserve">mt35arg100f</t>
  </si>
  <si>
    <t xml:space="preserve">Material</t>
  </si>
  <si>
    <t xml:space="preserve">U</t>
  </si>
  <si>
    <t xml:space="preserve">Pericó de connexió elèctrica, prefabricat de formigó, sense fons, registrable, de 60x60x60 cm de mesures interiors, amb parets rebaixades per a l'entrada de tubs, capaç de suportar una càrrega de 400 kN.</t>
  </si>
  <si>
    <t xml:space="preserve">mt35arg105d</t>
  </si>
  <si>
    <t xml:space="preserve">Material</t>
  </si>
  <si>
    <t xml:space="preserve">U</t>
  </si>
  <si>
    <t xml:space="preserve">Marc d'acer galvanitzat i tapa de formigó armat alleugerit, de 69,5x68,5 cm, per a pericó de connexió elèctrica, capaç de suportar una càrrega de 125 kN.</t>
  </si>
  <si>
    <t xml:space="preserve">mt01arr010a</t>
  </si>
  <si>
    <t xml:space="preserve">Material</t>
  </si>
  <si>
    <t xml:space="preserve">t</t>
  </si>
  <si>
    <t xml:space="preserve">Grava de pedrera, de 19 a 25 mm de diàmetre.</t>
  </si>
  <si>
    <t xml:space="preserve">mq01ret020b</t>
  </si>
  <si>
    <t xml:space="preserve">Maquinària</t>
  </si>
  <si>
    <t xml:space="preserve">h</t>
  </si>
  <si>
    <t xml:space="preserve">Retrocarregadora sobre pneumàtics, de 70 kW.</t>
  </si>
  <si>
    <t xml:space="preserve">mo020</t>
  </si>
  <si>
    <t xml:space="preserve">Mà d'obra</t>
  </si>
  <si>
    <t xml:space="preserve">h</t>
  </si>
  <si>
    <t xml:space="preserve">Oficial 1ª construcció.</t>
  </si>
  <si>
    <t xml:space="preserve">mo077</t>
  </si>
  <si>
    <t xml:space="preserve">Mà d'obra</t>
  </si>
  <si>
    <t xml:space="preserve">h</t>
  </si>
  <si>
    <t xml:space="preserve">Ajudant construcció.</t>
  </si>
  <si>
    <t xml:space="preserve">%</t>
  </si>
  <si>
    <t xml:space="preserve">%</t>
  </si>
  <si>
    <t xml:space="preserve">Costos directes complementaris</t>
  </si>
  <si>
    <t xml:space="preserve">UIA010e</t>
  </si>
  <si>
    <t xml:space="preserve">OBRA_FCEE</t>
  </si>
  <si>
    <t xml:space="preserve">IE_FCEE</t>
  </si>
  <si>
    <t xml:space="preserve">Capítol</t>
  </si>
  <si>
    <t xml:space="preserve">Elèctriques</t>
  </si>
  <si>
    <t xml:space="preserve">IEI_V2C_POLE</t>
  </si>
  <si>
    <t xml:space="preserve">Partida</t>
  </si>
  <si>
    <t xml:space="preserve">U</t>
  </si>
  <si>
    <t xml:space="preserve">Subministre i instal·lació de punt de recàrrega doble V2C Pole Pro 22 kW, 2 bases T2, trifàsic, de terra</t>
  </si>
  <si>
    <t xml:space="preserve">Subministrament i instal·lació de 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 configurat i provat.</t>
  </si>
  <si>
    <t xml:space="preserve">mt35cgm050</t>
  </si>
  <si>
    <t xml:space="preserve">Material</t>
  </si>
  <si>
    <t xml:space="preserve">U</t>
  </si>
  <si>
    <t xml:space="preserve">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t>
  </si>
  <si>
    <t xml:space="preserve">mo102</t>
  </si>
  <si>
    <t xml:space="preserve">Mà d'obra</t>
  </si>
  <si>
    <t xml:space="preserve">h</t>
  </si>
  <si>
    <t xml:space="preserve">Ajudant electricista.</t>
  </si>
  <si>
    <t xml:space="preserve">mo003</t>
  </si>
  <si>
    <t xml:space="preserve">Mà d'obra</t>
  </si>
  <si>
    <t xml:space="preserve">h</t>
  </si>
  <si>
    <t xml:space="preserve">Oficial 1ª electricista.</t>
  </si>
  <si>
    <t xml:space="preserve">IEI_V2C_POLE</t>
  </si>
  <si>
    <t xml:space="preserve">IEH012b</t>
  </si>
  <si>
    <t xml:space="preserve">Partida</t>
  </si>
  <si>
    <t xml:space="preserve">m</t>
  </si>
  <si>
    <t xml:space="preserve">Cable elèctric de 0,6/1 kV de tensió nominal. 1x95</t>
  </si>
  <si>
    <t xml:space="preserve">Cable unipolar RZ1-K (AS), sent la seva tensió assignada de 0,6/1 kV, reacció al foc classe Cca-s1b,d1,a1, amb conductor de coure classe 5 (-K) de 95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</si>
  <si>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</si>
  <si>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</si>
  <si>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</si>
  <si>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</si>
  <si>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</si>
  <si>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</si>
  <si>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</si>
  <si>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mt35cun010l1</t>
  </si>
  <si>
    <t xml:space="preserve">Material</t>
  </si>
  <si>
    <t xml:space="preserve">m</t>
  </si>
  <si>
    <t xml:space="preserve">Cable unipolar RZ1-K (AS), sent la seva tensió assignada de 0,6/1 kV, reacció al foc classe Cca-s1b,d1,a1 segons UNE-EN 50575, amb conductor de coure classe 5 (-K) de 95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</si>
  <si>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</si>
  <si>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</si>
  <si>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</si>
  <si>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</si>
  <si>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</si>
  <si>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</si>
  <si>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</si>
  <si>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</si>
  <si>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</si>
  <si>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</si>
  <si>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</si>
  <si>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IEH012b</t>
  </si>
  <si>
    <t xml:space="preserve">IEH012c</t>
  </si>
  <si>
    <t xml:space="preserve">Partida</t>
  </si>
  <si>
    <t xml:space="preserve">m</t>
  </si>
  <si>
    <t xml:space="preserve">Cable elèctric de 0,6/1 kV de tensió nominal. 1x120</t>
  </si>
  <si>
    <t xml:space="preserve">Cable unipolar RZ1-K (AS), sent la seva tensió assignada de 0,6/1 kV, reacció al foc classe Cca-s1b,d1,a1, amb conductor de coure classe 5 (-K) de 120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</si>
  <si>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</si>
  <si>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</si>
  <si>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</si>
  <si>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</si>
  <si>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</si>
  <si>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</si>
  <si>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</si>
  <si>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mt35cun010m1</t>
  </si>
  <si>
    <t xml:space="preserve">Material</t>
  </si>
  <si>
    <t xml:space="preserve">m</t>
  </si>
  <si>
    <t xml:space="preserve">Cable unipolar RZ1-K (AS), sent la seva tensió assignada de 0,6/1 kV, reacció al foc classe Cca-s1b,d1,a1 segons UNE-EN 50575, amb conductor de coure classe 5 (-K) de 120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</si>
  <si>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</si>
  <si>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</si>
  <si>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</si>
  <si>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</si>
  <si>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</si>
  <si>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</si>
  <si>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</si>
  <si>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</si>
  <si>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</si>
  <si>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</si>
  <si>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</si>
  <si>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IEH012c</t>
  </si>
  <si>
    <t xml:space="preserve">IEH012d</t>
  </si>
  <si>
    <t xml:space="preserve">Partida</t>
  </si>
  <si>
    <t xml:space="preserve">m</t>
  </si>
  <si>
    <t xml:space="preserve">Cable elèctric de 0,6/1 kV de tensió nominal. 1x185</t>
  </si>
  <si>
    <t xml:space="preserve">Cable unipolar RZ1-K (AS), sent la seva tensió assignada de 0,6/1 kV, reacció al foc classe Cca-s1b,d1,a1, amb conductor de coure classe 5 (-K) de 185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</si>
  <si>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</si>
  <si>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</si>
  <si>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</si>
  <si>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</si>
  <si>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</si>
  <si>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</si>
  <si>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</si>
  <si>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mt35cun010o1</t>
  </si>
  <si>
    <t xml:space="preserve">Material</t>
  </si>
  <si>
    <t xml:space="preserve">m</t>
  </si>
  <si>
    <t xml:space="preserve">Cable unipolar RZ1-K (AS), sent la seva tensió assignada de 0,6/1 kV, reacció al foc classe Cca-s1b,d1,a1 segons UNE-EN 50575, amb conductor de coure classe 5 (-K) de 185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</si>
  <si>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</si>
  <si>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</si>
  <si>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</si>
  <si>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</si>
  <si>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</si>
  <si>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</si>
  <si>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</si>
  <si>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</si>
  <si>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</si>
  <si>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</si>
  <si>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</si>
  <si>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IEH012d</t>
  </si>
  <si>
    <t xml:space="preserve">IEH012e</t>
  </si>
  <si>
    <t xml:space="preserve">Partida</t>
  </si>
  <si>
    <t xml:space="preserve">m</t>
  </si>
  <si>
    <t xml:space="preserve">Cable elèctric de 0,6/1 kV de tensió nominal. 1x240</t>
  </si>
  <si>
    <t xml:space="preserve">Cable unipolar RZ1-K (AS), sent la seva tensió assignada de 0,6/1 kV, reacció al foc classe Cca-s1b,d1,a1, amb conductor de coure classe 5 (-K) de 240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</si>
  <si>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</si>
  <si>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</si>
  <si>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</si>
  <si>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</si>
  <si>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</si>
  <si>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</si>
  <si>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</si>
  <si>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mt35cun010p1</t>
  </si>
  <si>
    <t xml:space="preserve">Material</t>
  </si>
  <si>
    <t xml:space="preserve">m</t>
  </si>
  <si>
    <t xml:space="preserve">Cable unipolar RZ1-K (AS), sent la seva tensió assignada de 0,6/1 kV, reacció al foc classe Cca-s1b,d1,a1 segons UNE-EN 50575, amb conductor de coure classe 5 (-K) de 240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</si>
  <si>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</si>
  <si>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</si>
  <si>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</si>
  <si>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</si>
  <si>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</si>
  <si>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</si>
  <si>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</si>
  <si>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</si>
  <si>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</si>
  <si>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</si>
  <si>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</si>
  <si>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IEH012e</t>
  </si>
  <si>
    <t xml:space="preserve">IEH012f</t>
  </si>
  <si>
    <t xml:space="preserve">Partida</t>
  </si>
  <si>
    <t xml:space="preserve">m</t>
  </si>
  <si>
    <t xml:space="preserve">Cable elèctric de 0,6/1 kV de tensió nominal. 5g6</t>
  </si>
  <si>
    <t xml:space="preserve">Cable multipolar RZ1-K (AS), sent la seva tensió assignada de 0,6/1 kV, reacció al foc classe Cca-s1b,d1,a1, amb conductor de coure classe 5 (-K) de 5G6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</si>
  <si>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mt35cun010f2</t>
  </si>
  <si>
    <t xml:space="preserve">Material</t>
  </si>
  <si>
    <t xml:space="preserve">m</t>
  </si>
  <si>
    <t xml:space="preserve">Cable multipolar RZ1-K (AS), sent la seva tensió assignada de 0,6/1 kV, reacció al foc classe Cca-s1b,d1,a1 segons UNE-EN 50575, amb conductor de coure classe 5 (-K) de 5G6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</si>
  <si>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</si>
  <si>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</si>
  <si>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</si>
  <si>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</si>
  <si>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</si>
  <si>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</si>
  <si>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</si>
  <si>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</si>
  <si>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</si>
  <si>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</si>
  <si>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</si>
  <si>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IEH012f</t>
  </si>
  <si>
    <t xml:space="preserve">IEH012j</t>
  </si>
  <si>
    <t xml:space="preserve">Partida</t>
  </si>
  <si>
    <t xml:space="preserve">m</t>
  </si>
  <si>
    <t xml:space="preserve">Cable elèctric de 0,6/1 kV de tensió nominal. 3g6</t>
  </si>
  <si>
    <t xml:space="preserve">Cable multipolar RZ1-K (AS), sent la seva tensió assignada de 0,6/1 kV, reacció al foc classe Cca-s1b,d1,a1, amb conductor de coure classe 5 (-K) de 3G6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</si>
  <si>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mt35cun010B1</t>
  </si>
  <si>
    <t xml:space="preserve">Material</t>
  </si>
  <si>
    <t xml:space="preserve">m</t>
  </si>
  <si>
    <t xml:space="preserve">Cable multipolar RZ1-K (AS), sent la seva tensió assignada de 0,6/1 kV, reacció al foc classe Cca-s1b,d1,a1 segons UNE-EN 50575, amb conductor de coure classe 5 (-K) de 3G6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</si>
  <si>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</si>
  <si>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</si>
  <si>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</si>
  <si>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</si>
  <si>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</si>
  <si>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</si>
  <si>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</si>
  <si>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</si>
  <si>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</si>
  <si>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</si>
  <si>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</si>
  <si>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IEH012j</t>
  </si>
  <si>
    <t xml:space="preserve">IEI070</t>
  </si>
  <si>
    <t xml:space="preserve">Partida</t>
  </si>
  <si>
    <t xml:space="preserve">U</t>
  </si>
  <si>
    <t xml:space="preserve">Quadre elèctric. Distribució als carregador</t>
  </si>
  <si>
    <t xml:space="preserve">Quadre secundari Subquadre Quadre individual 1.1 format per caixes encastables de material aïllant amb porta opaca, per a allotjament de dispositius individuals de comandament i protecció. Inclús elements de fixació, reglets de connexió i quants accessoris siguin necessaris per a la seva correcta instal·lació. Totalment muntat, connexionat i provat.
Inclou: Replanteig. Col·locació de les caixes per al quadre secundari. Connexionat. Muntatge dels components.
Criteri d'amidament de projecte: Nombre d'unitats previstes, segons documentació gràfica de Projecte.
Criteri de mesura d'obra: Es mesurarà el nombre d'unitats realment executades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</si>
  <si>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</si>
  <si>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</si>
  <si>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</si>
  <si>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</si>
  <si>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</si>
  <si>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</si>
  <si>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</si>
  <si>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mt35cgm041A</t>
  </si>
  <si>
    <t xml:space="preserve">Material</t>
  </si>
  <si>
    <t xml:space="preserve">U</t>
  </si>
  <si>
    <t xml:space="preserve">Caixa per a allotjament dels interruptors de protecció de la instal·lació, 3 files de 12 mòduls, de ABS autoextingible, de color blanc RAL 9010, amb porta opaca, grau de protecció IP40 i doble aïllament (classe II), per a encastar. Segons UNE-EN 60670-1.</t>
  </si>
  <si>
    <t xml:space="preserve">mt35cgm041u</t>
  </si>
  <si>
    <t xml:space="preserve">Material</t>
  </si>
  <si>
    <t xml:space="preserve">U</t>
  </si>
  <si>
    <t xml:space="preserve">Caixa per a allotjament dels interruptors de protecció de la instal·lació, 1 fila de 12 mòduls, de ABS autoextingible, de color blanc RAL 9010, amb porta opaca, grau de protecció IP40 i doble aïllament (classe II), per a encastar. Segons UNE-EN 60670-1.</t>
  </si>
  <si>
    <t xml:space="preserve">mt35cgm042</t>
  </si>
  <si>
    <t xml:space="preserve">Material</t>
  </si>
  <si>
    <t xml:space="preserve">U</t>
  </si>
  <si>
    <t xml:space="preserve">Accessori d'unió per a caixa modular estanca.</t>
  </si>
  <si>
    <t xml:space="preserve">mt35cgm029aa</t>
  </si>
  <si>
    <t xml:space="preserve">Material</t>
  </si>
  <si>
    <t xml:space="preserve">U</t>
  </si>
  <si>
    <t xml:space="preserve">Interruptor diferencial instantani, 2P/25A/30mA, de 2 mòduls, inclús accessoris de muntatge. Segons UNE-EN 61008-1.</t>
  </si>
  <si>
    <t xml:space="preserve">mt35cgm031ab</t>
  </si>
  <si>
    <t xml:space="preserve">Material</t>
  </si>
  <si>
    <t xml:space="preserve">U</t>
  </si>
  <si>
    <t xml:space="preserve">Interruptor diferencial instantani, 4P/40A/30mA, de 4 mòduls, inclús accessoris de muntatge. Segons UNE-EN 61008-1.</t>
  </si>
  <si>
    <t xml:space="preserve">mt35cgm021bbeaj</t>
  </si>
  <si>
    <t xml:space="preserve">Material</t>
  </si>
  <si>
    <t xml:space="preserve">U</t>
  </si>
  <si>
    <t xml:space="preserve">Interruptor automàtic magnetotèrmic, de 4 mòduls, tetrapolar (4P), amb 6 kA de poder de tall, de 32 A d'intensitat nominal, corba C, inclús accessoris de muntatge. Segons UNE-EN 60898-1.</t>
  </si>
  <si>
    <t xml:space="preserve">mt35cgm021bkeqC</t>
  </si>
  <si>
    <t xml:space="preserve">Material</t>
  </si>
  <si>
    <t xml:space="preserve">U</t>
  </si>
  <si>
    <t xml:space="preserve">Interruptor automàtic magnetotèrmic, tetrapolar (4P), amb 50 kA de poder de tall, de 400 A d'intensitat nominal, llindar regulable, inclús accessoris de muntatge. Segons UNE-EN 60947-2.</t>
  </si>
  <si>
    <t xml:space="preserve">mt35cgm010d</t>
  </si>
  <si>
    <t xml:space="preserve">Material</t>
  </si>
  <si>
    <t xml:space="preserve">U</t>
  </si>
  <si>
    <t xml:space="preserve">Joc de 2 cobreborns llargs per a interruptor automàtic magnetotèrmic de 400 - 630 A, tetrapolar (4P), per a la protecció contra els contactes directes.</t>
  </si>
  <si>
    <t xml:space="preserve">mt35cgm015</t>
  </si>
  <si>
    <t xml:space="preserve">Material</t>
  </si>
  <si>
    <t xml:space="preserve">U</t>
  </si>
  <si>
    <t xml:space="preserve">Col·lector de terra de 450 mm d'amplada, equipat amb 40 connectors amb cargols imperdibles i un connector de 35 mm².</t>
  </si>
  <si>
    <t xml:space="preserve">mt35cgm011d</t>
  </si>
  <si>
    <t xml:space="preserve">Material</t>
  </si>
  <si>
    <t xml:space="preserve">U</t>
  </si>
  <si>
    <t xml:space="preserve">Placa suport per a interruptor automàtic magnetotèrmic de 400 - 630 A, tetrapolar (4P).</t>
  </si>
  <si>
    <t xml:space="preserve">mt35cgm012b</t>
  </si>
  <si>
    <t xml:space="preserve">Material</t>
  </si>
  <si>
    <t xml:space="preserve">U</t>
  </si>
  <si>
    <t xml:space="preserve">Tapa perforada per a interruptor automàtic magnetotèrmic de 400 - 630 A.</t>
  </si>
  <si>
    <t xml:space="preserve">mt35cgm013a</t>
  </si>
  <si>
    <t xml:space="preserve">Material</t>
  </si>
  <si>
    <t xml:space="preserve">U</t>
  </si>
  <si>
    <t xml:space="preserve">Tapa plena per a interruptor automàtic magnetotèrmic de 1 mòdul i 50 mm d'altura.</t>
  </si>
  <si>
    <t xml:space="preserve">mt35cgm013b</t>
  </si>
  <si>
    <t xml:space="preserve">Material</t>
  </si>
  <si>
    <t xml:space="preserve">U</t>
  </si>
  <si>
    <t xml:space="preserve">Tapa plena per a interruptor automàtic magnetotèrmic de 2 mòduls i 100 mm d'altura.</t>
  </si>
  <si>
    <t xml:space="preserve">mt35cgm021bbbab</t>
  </si>
  <si>
    <t xml:space="preserve">Material</t>
  </si>
  <si>
    <t xml:space="preserve">U</t>
  </si>
  <si>
    <t xml:space="preserve">Interruptor automàtic magnetotèrmic, de 2 mòduls, bipolar (2P), amb 6 kA de poder de tall, de 10 A d'intensitat nominal, corba C, inclús accessoris de muntatge. Segons UNE-EN 60898-1.</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</si>
  <si>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</si>
  <si>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</si>
  <si>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</si>
  <si>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</si>
  <si>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</si>
  <si>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</si>
  <si>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</si>
  <si>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</si>
  <si>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</si>
  <si>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</si>
  <si>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</si>
  <si>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</si>
  <si>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</si>
  <si>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</si>
  <si>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</si>
  <si>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t>
  </si>
  <si>
    <t xml:space="preserve">IEI070b</t>
  </si>
  <si>
    <t xml:space="preserve">Partida</t>
  </si>
  <si>
    <t xml:space="preserve">U</t>
  </si>
  <si>
    <t xml:space="preserve">Quadre elèctric. Connexió a quadre general</t>
  </si>
  <si>
    <t xml:space="preserve">Quadre individual format per caixa encastable de material aïllant amb porta opaca, per a allotjament del interruptor de control de potència (ICP) (no inclòs en aquest preu) en compartiment independent i precintable, 1 interruptor general automàtic (IGA) tetrapolar (4P) i altres dispositius generals i individuals de comandament i protecció. Inclús elements de fixació, reglets de connexió i quants accessoris siguin necessaris per a la seva correcta instal·lació. Totalment muntat, connexionat i provat.
Inclou: Replanteig. Col·locació de la caixa per al quadre. Connexionat. Muntatge dels components.
Criteri d'amidament de projecte: Nombre d'unitats previstes, segons documentació gràfica de Projecte.
Criteri de mesura d'obra: Es mesurarà el nombre d'unitats realment executades segons especificacions de Projecte.</t>
  </si>
  <si>
    <t xml:space="preserve">Uts.</t>
  </si>
  <si>
    <t xml:space="preserve">Llargada</t>
  </si>
  <si>
    <t xml:space="preserve">Amplada</t>
  </si>
  <si>
    <t xml:space="preserve">Alçada</t>
  </si>
  <si>
    <t xml:space="preserve">Parcial</t>
  </si>
  <si>
    <t xml:space="preserve">Subtotal</t>
  </si>
  <si>
    <t xml:space="preserve">Quadre individual 1</t>
  </si>
  <si>
    <t xml:space="preserve">mt35cgm040m</t>
  </si>
  <si>
    <t xml:space="preserve">Material</t>
  </si>
  <si>
    <t xml:space="preserve">U</t>
  </si>
  <si>
    <t xml:space="preserve">Caixa encastable amb porta opaca, per allotjament del interruptor de control de potència (ICP) en compartiment independent i precintable i els interruptors de protecció de la instal·lació, 1 fila de 4 mòduls (ICP) + 2 files de 24 mòduls. Fabricada en ABS autoextingible, amb grau de protecció IP40, doble aïllament (classe II), color blanc RAL 9010. Segons UNE-EN 60670-1.</t>
  </si>
  <si>
    <t xml:space="preserve">mt35cgm021akeqC</t>
  </si>
  <si>
    <t xml:space="preserve">Material</t>
  </si>
  <si>
    <t xml:space="preserve">U</t>
  </si>
  <si>
    <t xml:space="preserve">Interruptor general automàtic (IGA), tetrapolar (4P), amb 50 kA de poder de tall, de 400 A d'intensitat nominal, llindar regulable, inclús accessoris de muntatge. Segons UNE-EN 60947-2.</t>
  </si>
  <si>
    <t xml:space="preserve">mt35cgm010d</t>
  </si>
  <si>
    <t xml:space="preserve">Material</t>
  </si>
  <si>
    <t xml:space="preserve">U</t>
  </si>
  <si>
    <t xml:space="preserve">Joc de 2 cobreborns llargs per a interruptor automàtic magnetotèrmic de 400 - 630 A, tetrapolar (4P), per a la protecció contra els contactes directes.</t>
  </si>
  <si>
    <t xml:space="preserve">mt35cgm015</t>
  </si>
  <si>
    <t xml:space="preserve">Material</t>
  </si>
  <si>
    <t xml:space="preserve">U</t>
  </si>
  <si>
    <t xml:space="preserve">Col·lector de terra de 450 mm d'amplada, equipat amb 40 connectors amb cargols imperdibles i un connector de 35 mm².</t>
  </si>
  <si>
    <t xml:space="preserve">mt35cgm011d</t>
  </si>
  <si>
    <t xml:space="preserve">Material</t>
  </si>
  <si>
    <t xml:space="preserve">U</t>
  </si>
  <si>
    <t xml:space="preserve">Placa suport per a interruptor automàtic magnetotèrmic de 400 - 630 A, tetrapolar (4P).</t>
  </si>
  <si>
    <t xml:space="preserve">mt35cgm012b</t>
  </si>
  <si>
    <t xml:space="preserve">Material</t>
  </si>
  <si>
    <t xml:space="preserve">U</t>
  </si>
  <si>
    <t xml:space="preserve">Tapa perforada per a interruptor automàtic magnetotèrmic de 400 - 630 A.</t>
  </si>
  <si>
    <t xml:space="preserve">mt35cgm013b</t>
  </si>
  <si>
    <t xml:space="preserve">Material</t>
  </si>
  <si>
    <t xml:space="preserve">U</t>
  </si>
  <si>
    <t xml:space="preserve">Tapa plena per a interruptor automàtic magnetotèrmic de 2 mòduls i 100 mm d'altura.</t>
  </si>
  <si>
    <t xml:space="preserve">mt35cgm013a</t>
  </si>
  <si>
    <t xml:space="preserve">Material</t>
  </si>
  <si>
    <t xml:space="preserve">U</t>
  </si>
  <si>
    <t xml:space="preserve">Tapa plena per a interruptor automàtic magnetotèrmic de 1 mòdul i 50 mm d'altura.</t>
  </si>
  <si>
    <t xml:space="preserve">mt35cgm060</t>
  </si>
  <si>
    <t xml:space="preserve">Material</t>
  </si>
  <si>
    <t xml:space="preserve">U</t>
  </si>
  <si>
    <t xml:space="preserve">Bobina de protecció contra sobretensions permanents fase-neutre de 230 Vca i tensió de disparament de 255 Vca.</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</si>
  <si>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</si>
  <si>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</si>
  <si>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</si>
  <si>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</si>
  <si>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</si>
  <si>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</si>
  <si>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</si>
  <si>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</si>
  <si>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</si>
  <si>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</si>
  <si>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</si>
  <si>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</si>
  <si>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</si>
  <si>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</si>
  <si>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</si>
  <si>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IEI070b</t>
  </si>
  <si>
    <t xml:space="preserve">IEO010e</t>
  </si>
  <si>
    <t xml:space="preserve">Partida</t>
  </si>
  <si>
    <t xml:space="preserve">m</t>
  </si>
  <si>
    <t xml:space="preserve">Canalització línia elèctrica principal DN200</t>
  </si>
  <si>
    <t xml:space="preserve">Canalització de tub corbable, subministrat en rotllo, de polietilè de doble paret (interior llisa i exterior corrugada), de color taronja, de 200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</si>
  <si>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</si>
  <si>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</si>
  <si>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</si>
  <si>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</si>
  <si>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</si>
  <si>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</si>
  <si>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</si>
  <si>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mt01ara010a</t>
  </si>
  <si>
    <t xml:space="preserve">Material</t>
  </si>
  <si>
    <t xml:space="preserve">m³</t>
  </si>
  <si>
    <t xml:space="preserve">Sorra amb granulometria de 0 a 5 mm de diàmetre, neta.</t>
  </si>
  <si>
    <t xml:space="preserve">mt35aia070ai</t>
  </si>
  <si>
    <t xml:space="preserve">Material</t>
  </si>
  <si>
    <t xml:space="preserve">m</t>
  </si>
  <si>
    <t xml:space="preserve">Tub corbable, subministrat en rotllo, de polietilè de doble paret (interior llisa i exterior corrugada), de color taronja, de 200 mm de diàmetre nominal, per a canalització soterrada, resistència a la compressió 450 N, resistència a l'impacte 40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</si>
  <si>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</si>
  <si>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</si>
  <si>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</si>
  <si>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</si>
  <si>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</si>
  <si>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</si>
  <si>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</si>
  <si>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</si>
  <si>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</si>
  <si>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</si>
  <si>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</si>
  <si>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</si>
  <si>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</si>
  <si>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</si>
  <si>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</si>
  <si>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</si>
  <si>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</si>
  <si>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</si>
  <si>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</si>
  <si>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</si>
  <si>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</si>
  <si>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</si>
  <si>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</si>
  <si>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</si>
  <si>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</si>
  <si>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</si>
  <si>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</si>
  <si>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</si>
  <si>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</si>
  <si>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</si>
  <si>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</si>
  <si>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</si>
  <si>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</si>
  <si>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</si>
  <si>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</si>
  <si>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IEO010e</t>
  </si>
  <si>
    <t xml:space="preserve">IEO010f</t>
  </si>
  <si>
    <t xml:space="preserve">Partida</t>
  </si>
  <si>
    <t xml:space="preserve">m</t>
  </si>
  <si>
    <t xml:space="preserve">Canalització línia elèctrica reserva DN200</t>
  </si>
  <si>
    <t xml:space="preserve">Canalització de tub corbable, subministrat en rotllo, de polietilè de doble paret (interior llisa i exterior corrugada), de color taronja, de 200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</si>
  <si>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</si>
  <si>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</si>
  <si>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</si>
  <si>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</si>
  <si>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mt35aia070ai</t>
  </si>
  <si>
    <t xml:space="preserve">Material</t>
  </si>
  <si>
    <t xml:space="preserve">m</t>
  </si>
  <si>
    <t xml:space="preserve">Tub corbable, subministrat en rotllo, de polietilè de doble paret (interior llisa i exterior corrugada), de color taronja, de 200 mm de diàmetre nominal, per a canalització soterrada, resistència a la compressió 450 N, resistència a l'impacte 40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</si>
  <si>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</si>
  <si>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</si>
  <si>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</si>
  <si>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</si>
  <si>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</si>
  <si>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</si>
  <si>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</si>
  <si>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</si>
  <si>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</si>
  <si>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</si>
  <si>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</si>
  <si>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</si>
  <si>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</si>
  <si>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</si>
  <si>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</si>
  <si>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</si>
  <si>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</si>
  <si>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</si>
  <si>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</si>
  <si>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</si>
  <si>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</si>
  <si>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</si>
  <si>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</si>
  <si>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</si>
  <si>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</si>
  <si>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</si>
  <si>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</si>
  <si>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</si>
  <si>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</si>
  <si>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</si>
  <si>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</si>
  <si>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</si>
  <si>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</si>
  <si>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</si>
  <si>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</si>
  <si>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IEO010f</t>
  </si>
  <si>
    <t xml:space="preserve">IEO010g</t>
  </si>
  <si>
    <t xml:space="preserve">Partida</t>
  </si>
  <si>
    <t xml:space="preserve">m</t>
  </si>
  <si>
    <t xml:space="preserve">Canalització Subquadre a Carregadors DN110</t>
  </si>
  <si>
    <t xml:space="preserve">Canalització de tub corbable, subministrat en rotllo, de polietilè de doble paret (interior llisa i exterior corrugada), de color taronja, de 110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</si>
  <si>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</si>
  <si>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</si>
  <si>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</si>
  <si>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</si>
  <si>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mt35aia070af</t>
  </si>
  <si>
    <t xml:space="preserve">Material</t>
  </si>
  <si>
    <t xml:space="preserve">m</t>
  </si>
  <si>
    <t xml:space="preserve">Tub corbable, subministrat en rotllo, de polietilè de doble paret (interior llisa i exterior corrugada), de color taronja, de 110 mm de diàmetre nominal, per a canalització soterrada, resistència a la compressió 450 N, resistència a l'impacte 28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</si>
  <si>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</si>
  <si>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</si>
  <si>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</si>
  <si>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</si>
  <si>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</si>
  <si>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</si>
  <si>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</si>
  <si>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</si>
  <si>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</si>
  <si>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</si>
  <si>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</si>
  <si>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</si>
  <si>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</si>
  <si>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</si>
  <si>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</si>
  <si>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</si>
  <si>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</si>
  <si>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</si>
  <si>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</si>
  <si>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</si>
  <si>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</si>
  <si>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</si>
  <si>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</si>
  <si>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</si>
  <si>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</si>
  <si>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</si>
  <si>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</si>
  <si>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</si>
  <si>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</si>
  <si>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</si>
  <si>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</si>
  <si>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</si>
  <si>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</si>
  <si>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</si>
  <si>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</si>
  <si>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IEO010g</t>
  </si>
  <si>
    <t xml:space="preserve">IEO010h</t>
  </si>
  <si>
    <t xml:space="preserve">Partida</t>
  </si>
  <si>
    <t xml:space="preserve">m</t>
  </si>
  <si>
    <t xml:space="preserve">Canalització.Entre carregadors DN90</t>
  </si>
  <si>
    <t xml:space="preserve">Canalització de tub corbable, subministrat en rotllo, de polietilè de doble paret (interior llisa i exterior corrugada), de color taronja, de 90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</si>
  <si>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</si>
  <si>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</si>
  <si>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</si>
  <si>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</si>
  <si>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mt35aia070ae</t>
  </si>
  <si>
    <t xml:space="preserve">Material</t>
  </si>
  <si>
    <t xml:space="preserve">m</t>
  </si>
  <si>
    <t xml:space="preserve">Tub corbable, subministrat en rotllo, de polietilè de doble paret (interior llisa i exterior corrugada), de color taronja, de 90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</si>
  <si>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</si>
  <si>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</si>
  <si>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</si>
  <si>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</si>
  <si>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</si>
  <si>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</si>
  <si>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</si>
  <si>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</si>
  <si>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</si>
  <si>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</si>
  <si>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</si>
  <si>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</si>
  <si>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</si>
  <si>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</si>
  <si>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</si>
  <si>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</si>
  <si>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</si>
  <si>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</si>
  <si>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</si>
  <si>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</si>
  <si>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</si>
  <si>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</si>
  <si>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</si>
  <si>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</si>
  <si>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</si>
  <si>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</si>
  <si>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</si>
  <si>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</si>
  <si>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</si>
  <si>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</si>
  <si>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</si>
  <si>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</si>
  <si>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</si>
  <si>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</si>
  <si>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</si>
  <si>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IEO010h</t>
  </si>
  <si>
    <t xml:space="preserve">IEO010b</t>
  </si>
  <si>
    <t xml:space="preserve">Partida</t>
  </si>
  <si>
    <t xml:space="preserve">m</t>
  </si>
  <si>
    <t xml:space="preserve">Canalització. Entre carregadors DN63</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</si>
  <si>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</si>
  <si>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</si>
  <si>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</si>
  <si>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</si>
  <si>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</si>
  <si>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</si>
  <si>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</si>
  <si>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</si>
  <si>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</si>
  <si>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</si>
  <si>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</si>
  <si>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</si>
  <si>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</si>
  <si>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</si>
  <si>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</si>
  <si>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</si>
  <si>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</si>
  <si>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</si>
  <si>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</si>
  <si>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</si>
  <si>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</si>
  <si>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</si>
  <si>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</si>
  <si>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</si>
  <si>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</si>
  <si>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</si>
  <si>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</si>
  <si>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</si>
  <si>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</si>
  <si>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</si>
  <si>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</si>
  <si>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</si>
  <si>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</si>
  <si>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</si>
  <si>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</si>
  <si>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</si>
  <si>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</si>
  <si>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</si>
  <si>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</si>
  <si>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</si>
  <si>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</si>
  <si>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</si>
  <si>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</si>
  <si>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</si>
  <si>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IEO010b</t>
  </si>
  <si>
    <t xml:space="preserve">UIA010</t>
  </si>
  <si>
    <t xml:space="preserve">Partida</t>
  </si>
  <si>
    <t xml:space="preserve">U</t>
  </si>
  <si>
    <t xml:space="preserve">Pericó de connexió elèctrica. 60x60x60</t>
  </si>
  <si>
    <t xml:space="preserve">Pericó de connexió elèctrica, prefabricat de formigó, sense fons, registrable, de 60x60x60 cm de mesures interiors, amb parets rebaixades per a l'entrada de tubs, capaç de suportar una càrrega de 400 kN, amb marc d'acer galvanitzat i tapa de formigó armat alleugerit, de 69,5x68,5 cm, per a pericó de connexió elèctrica, capaç de suportar una càrrega de 125 kN; prèvia excavació amb mitjans manuals i posterior reomplert de l'extradós amb material granular.
Inclou: Replanteig. Excavació amb mitjans manuals. Eliminació de les terres soltes del fons de l'excavació. Col·locació de l'arqueta prefabricada. Execució de forats per a connexionat de tubs. Connexionat dels tubs al pericó. Col·locació de la tapa i els accessoris. Reblert de l'extradós.
Criteri d'amidament de projecte: Nombre d'unitats previstes, segons documentació gràfica de Projecte.
Criteri de mesura d'obra: Es mesurarà el nombre d'unitats realment executades segons especificacions de Projecte.</t>
  </si>
  <si>
    <t xml:space="preserve">mt35arg100f</t>
  </si>
  <si>
    <t xml:space="preserve">Material</t>
  </si>
  <si>
    <t xml:space="preserve">U</t>
  </si>
  <si>
    <t xml:space="preserve">Pericó de connexió elèctrica, prefabricat de formigó, sense fons, registrable, de 60x60x60 cm de mesures interiors, amb parets rebaixades per a l'entrada de tubs, capaç de suportar una càrrega de 400 kN.</t>
  </si>
  <si>
    <t xml:space="preserve">mt35arg105d</t>
  </si>
  <si>
    <t xml:space="preserve">Material</t>
  </si>
  <si>
    <t xml:space="preserve">U</t>
  </si>
  <si>
    <t xml:space="preserve">Marc d'acer galvanitzat i tapa de formigó armat alleugerit, de 69,5x68,5 cm, per a pericó de connexió elèctrica, capaç de suportar una càrrega de 125 kN.</t>
  </si>
  <si>
    <t xml:space="preserve">mt01arr010a</t>
  </si>
  <si>
    <t xml:space="preserve">Material</t>
  </si>
  <si>
    <t xml:space="preserve">t</t>
  </si>
  <si>
    <t xml:space="preserve">Grava de pedrera, de 19 a 25 mm de diàmetre.</t>
  </si>
  <si>
    <t xml:space="preserve">mo020</t>
  </si>
  <si>
    <t xml:space="preserve">Mà d'obra</t>
  </si>
  <si>
    <t xml:space="preserve">h</t>
  </si>
  <si>
    <t xml:space="preserve">Oficial 1ª construcció.</t>
  </si>
  <si>
    <t xml:space="preserve">mo077</t>
  </si>
  <si>
    <t xml:space="preserve">Mà d'obra</t>
  </si>
  <si>
    <t xml:space="preserve">h</t>
  </si>
  <si>
    <t xml:space="preserve">Ajudant construcció.</t>
  </si>
  <si>
    <t xml:space="preserve">%</t>
  </si>
  <si>
    <t xml:space="preserve">%</t>
  </si>
  <si>
    <t xml:space="preserve">Costos directes complementaris</t>
  </si>
  <si>
    <t xml:space="preserve">UIA010</t>
  </si>
  <si>
    <t xml:space="preserve">IEO012b</t>
  </si>
  <si>
    <t xml:space="preserve">Partida</t>
  </si>
  <si>
    <t xml:space="preserve">U</t>
  </si>
  <si>
    <t xml:space="preserve">Sistema de mesura DLM trifàsic indirecte amb Carlo Gavazzi EM530 Modbus MID i TC Circutor TQR-8 1000/5 A, instal·lat, programat i provat</t>
  </si>
  <si>
    <t xml:space="preserve">**Descripció llarga de la partida**
Subministrament, instal·lació, connexió, configuració, programació i posada en servei de sistema de mesura trifàsic indirecte destinat a la funcionalitat de gestió dinàmica de càrrega —DLM, Dynamic Load Management— d’un conjunt de carregadors de vehicle elèctric.
La partida inclou el subministrament i instal·lació d’un contador/analitzador trifàsic **Carlo Gavazzi EM530**, o equivalent de prestacions iguals o superiors, per a mesura indirecta mitjançant transformadors de corrent, apte per a mesura de consum i/o subministrament, amb certificació **MID**, display **LCD**, comunicació **Modbus**, tensió nominal entre **208 i 415 V N-L**, entrada de corrent nominal secundària **5 A**, grau de protecció **IP40**, i totes les prestacions necessàries per a la lectura de potència, energia, intensitat, tensió i resta de magnituds elèctriques necessàries per a la gestió energètica del sistema de recàrrega.
Inclou també el subministrament i instal·lació de transformadors de corrent de nucli partit **Circutor TQR-8 Ø80 mm 1000/5 A**, o equivalents, amb relació de transformació **1000/5 A**, classe d’exactitud **3**, obertura de **80 mm**, grau de protecció **IP20**, aptes per a instal·lació sobre conductors existents sense necessitat de desconnexió del cablejat principal, sempre que les condicions de seguretat i execució ho permetin.
El sistema de mesura s’instal·larà al quadre elèctric general, subquadre de recàrrega o punt de mesura definit al projecte, de manera que permeti conèixer en temps real la potència disponible i/o demandada pel conjunt de la instal·lació, amb l’objectiu de transmetre aquesta informació al sistema de control dels carregadors i limitar dinàmicament la potència de recàrrega disponible, evitant sobrecàrregues, superacions de potència admissible i dispars intempestius de les proteccions generals.
La partida inclou el cablejat de senyal dels transformadors de corrent fins al contador, cablejat d’alimentació i mesura de tensió, cablejat de comunicació Modbus fins al controlador, passarel·la, carregador màster, router, switch o equip de gestió DLM corresponent, segons arquitectura definida pel fabricant dels carregadors i pel projecte. Inclou també bornes, terminals, punteres, petit material, proteccions auxiliars, identificació de circuits, etiquetatge de cables, verificació del sentit dels transformadors, configuració de la relació de transformació, parametrització de comunicacions, adreça Modbus, velocitat de comunicació, paritat i resta de paràmetres necessaris per a la correcta integració del sistema.
El sistema haurà de quedar completament configurat i verificat perquè la informació de mesura sigui llegida correctament pel sistema de gestió dinàmica de càrrega dels carregadors. S’inclou la programació, calibratge funcional, comprovació de lectures de tensió, intensitat, potència activa, energia i sentit de flux, així com la prova de comunicació amb el sistema DLM i la verificació que la limitació de potència actua correctament sobre el grup de carregadors.
S’inclouen les proves finals de funcionament, comprovació de lectures, verificació de coherència amb pinça amperimètrica o equip de mesura extern, comprovació de comunicacions Modbus, simulació o prova real de demanda dels carregadors, ajust de consignes de potència i entrega de la configuració final. També s’inclou la documentació de posada en servei, indicant relació de transformació configurada, punt de mesura, esquema de connexió, adreça de comunicació, paràmetres Modbus, equip o plataforma DLM associada i resultats de les proves realitzades.
La partida inclou tots els materials, accessoris, mà d’obra, connexions, programació, proves, verificacions i posada en servei necessaris per deixar el sistema completament operatiu i integrat amb la gestió dinàmica de càrrega dels carregadors.</t>
  </si>
  <si>
    <t xml:space="preserve">IE_FCEE</t>
  </si>
  <si>
    <t xml:space="preserve">II_FCEE</t>
  </si>
  <si>
    <t xml:space="preserve">Capítol</t>
  </si>
  <si>
    <t xml:space="preserve">Il·luminació</t>
  </si>
  <si>
    <t xml:space="preserve">IIX002</t>
  </si>
  <si>
    <t xml:space="preserve">Partida</t>
  </si>
  <si>
    <t xml:space="preserve">U</t>
  </si>
  <si>
    <t xml:space="preserve">Subministre i d'enllumenat exterior model Lluminària IGUZZIN model ITEKA referència 3.BV22.715.0 amb lluminària LED de 1910 LM 22.1 en columna de 4 mts d'altura</t>
  </si>
  <si>
    <t xml:space="preserve">Subministre i instal·lació de lluminària per exterior Lluminària iTeka BV22, inclou Columna 4 m + accessoris/adaptador/base, Petit material, cablejat interior, borns, fixacions, Mà d’obra de muntatg
Amb dau de fonamentació, ancoratges i connexió exterior. Inclou: Replanteig. Muntatge,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</si>
  <si>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II_FCEE</t>
  </si>
  <si>
    <t xml:space="preserve">IT_FCEE</t>
  </si>
  <si>
    <t xml:space="preserve">Capítol</t>
  </si>
  <si>
    <t xml:space="preserve">Telecomunicacions</t>
  </si>
  <si>
    <t xml:space="preserve">IAO020</t>
  </si>
  <si>
    <t xml:space="preserve">Partida</t>
  </si>
  <si>
    <t xml:space="preserve">m</t>
  </si>
  <si>
    <t xml:space="preserve">Cable de fibra òptica.</t>
  </si>
  <si>
    <t xml:space="preserve">Cable dielèctric de 16 fibres òptiques monomode G657A2 en micromòduls de material termoplàstic ignífug, lliure de halògens, de 0,85 mm de diàmetre, reomplerts amb gel bloquejant de l'aigua, reforç de fibres d'aramida i coberta exterior de material termoplàstic ignífug resistent als raigs UV, lliure de halògens de 7,6 mm de diàmetre, de baixa atenuació, reacció al foc classe Dca-s2,d2,a2 segons UNE-EN 50575. Inclús accessoris i elements de subjecció.
Inclou: Estesa de cables.
Criteri d'amidament de projecte: Longitud mesurada segons documentació gràfica de Projecte.
Criteri de mesura d'obra: Es mesurarà la longitud realment executada segons especificacions de Projecte.</t>
  </si>
  <si>
    <t xml:space="preserve">mt40foc040a</t>
  </si>
  <si>
    <t xml:space="preserve">Material</t>
  </si>
  <si>
    <t xml:space="preserve">m</t>
  </si>
  <si>
    <t xml:space="preserve">Cable dielèctric de 16 fibres òptiques monomode G657A2 en micromòduls de material termoplàstic ignífug, lliure de halògens, de 0,85 mm de diàmetre, reomplerts amb gel bloquejant de l'aigua, reforç de fibres d'aramida i coberta exterior de material termoplàstic ignífug resistent als raigs UV, lliure de halògens de 7,6 mm de diàmetre, de baixa atenuació, reacció al foc classe Dca-s2,d2,a2 segons UNE-EN 50575.</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</si>
  <si>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</si>
  <si>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</si>
  <si>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</si>
  <si>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</si>
  <si>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</si>
  <si>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</si>
  <si>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</si>
  <si>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</si>
  <si>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</si>
  <si>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</si>
  <si>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</si>
  <si>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IAO020</t>
  </si>
  <si>
    <t xml:space="preserve">IAF070</t>
  </si>
  <si>
    <t xml:space="preserve">Partida</t>
  </si>
  <si>
    <t xml:space="preserve">m</t>
  </si>
  <si>
    <t xml:space="preserve">Cable de parells de coure.</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</si>
  <si>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Inclús accessoris i elements de subjecció.
Inclou: Estesa de cables.
Criteri d'amidament de projecte: Longitud mesurada segons documentació gràfica de Projecte.
Criteri de mesura d'obra: Es mesurarà la longitud realment executada segons especificacions de Projecte.</t>
  </si>
  <si>
    <t xml:space="preserve">mt40cpt010c</t>
  </si>
  <si>
    <t xml:space="preserve">Material</t>
  </si>
  <si>
    <t xml:space="preserve">m</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</si>
  <si>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</si>
  <si>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</si>
  <si>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</si>
  <si>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</si>
  <si>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</si>
  <si>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</si>
  <si>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</si>
  <si>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</si>
  <si>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</si>
  <si>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</si>
  <si>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</si>
  <si>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</si>
  <si>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IAF070</t>
  </si>
  <si>
    <t xml:space="preserve">IAF07e</t>
  </si>
  <si>
    <t xml:space="preserve">Partida</t>
  </si>
  <si>
    <t xml:space="preserve">m</t>
  </si>
  <si>
    <t xml:space="preserve">Cable RS-485/Modbus 2x2x0,22–0,25 mm² apantallat 120 ohms</t>
  </si>
  <si>
    <t xml:space="preserve">Cable de comunicacions industrial per a bus Modbus RTU/RS-485, tipus 2x2x0,50 mm² apantallat, impedància característica 120 ?, baixa capacitat, coberta LSZH lliure d’halògens i baixa emissió de fums, apte per a instal·lació en canalització enterrada o entorn industrial, inclosa estesa en tub existent, connexió a bornes, continuïtat de pantalla, etiquetatge, comprovació de polaritat A/B, verificació de comunicació Modbus i proves finals.Inclús accessoris i elements de subjecció.
Inclou: Estesa de cables.
Criteri d'amidament de projecte: Longitud mesurada segons documentació gràfica de Projecte.
Criteri de mesura d'obra: Es mesurarà la longitud realment executada segons especificacions de Projecte.
S’admetrà cable equivalent 2x2x22 AWG apantallat 120 ? LSZH sempre que el fabricant acrediti la seva aptitud per a comunicació RS-485/Modbus en la distància prevista i condicions d’instal·lació del projecte.</t>
  </si>
  <si>
    <t xml:space="preserve">mt40cpt01d</t>
  </si>
  <si>
    <t xml:space="preserve">Material</t>
  </si>
  <si>
    <t xml:space="preserve">m</t>
  </si>
  <si>
    <t xml:space="preserve">Cable RS-485 Modbus RTU 2x2x0,50 mm² apantallat, 120 ?, LSZH, en canalització existent, inclosa estesa, connexió, etiquetatge i proves</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</si>
  <si>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</si>
  <si>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</si>
  <si>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</si>
  <si>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</si>
  <si>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</si>
  <si>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</si>
  <si>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</si>
  <si>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</si>
  <si>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</si>
  <si>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</si>
  <si>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</si>
  <si>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IAF07e</t>
  </si>
  <si>
    <t xml:space="preserve">IEO010</t>
  </si>
  <si>
    <t xml:space="preserve">Partida</t>
  </si>
  <si>
    <t xml:space="preserve">m</t>
  </si>
  <si>
    <t xml:space="preserve">Canalització de de telecomunicacions DN63</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</si>
  <si>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</si>
  <si>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</si>
  <si>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</si>
  <si>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</si>
  <si>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</si>
  <si>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</si>
  <si>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</si>
  <si>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</si>
  <si>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</si>
  <si>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</si>
  <si>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</si>
  <si>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</si>
  <si>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</si>
  <si>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</si>
  <si>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</si>
  <si>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</si>
  <si>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</si>
  <si>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</si>
  <si>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</si>
  <si>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</si>
  <si>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</si>
  <si>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</si>
  <si>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</si>
  <si>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</si>
  <si>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</si>
  <si>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</si>
  <si>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</si>
  <si>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</si>
  <si>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</si>
  <si>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</si>
  <si>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</si>
  <si>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</si>
  <si>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</si>
  <si>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</si>
  <si>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</si>
  <si>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</si>
  <si>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</si>
  <si>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</si>
  <si>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</si>
  <si>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</si>
  <si>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</si>
  <si>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</si>
  <si>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</si>
  <si>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</si>
  <si>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t>
  </si>
  <si>
    <t xml:space="preserve">IEO010j</t>
  </si>
  <si>
    <t xml:space="preserve">Partida</t>
  </si>
  <si>
    <t xml:space="preserve">m</t>
  </si>
  <si>
    <t xml:space="preserve">Canalització de de telecomunicacions DN63. reserva</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</si>
  <si>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</si>
  <si>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</si>
  <si>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</si>
  <si>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</si>
  <si>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</si>
  <si>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</si>
  <si>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</si>
  <si>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</si>
  <si>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</si>
  <si>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</si>
  <si>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</si>
  <si>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</si>
  <si>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</si>
  <si>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</si>
  <si>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</si>
  <si>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</si>
  <si>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</si>
  <si>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</si>
  <si>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</si>
  <si>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</si>
  <si>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</si>
  <si>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</si>
  <si>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</si>
  <si>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</si>
  <si>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</si>
  <si>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</si>
  <si>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</si>
  <si>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</si>
  <si>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</si>
  <si>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</si>
  <si>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</si>
  <si>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</si>
  <si>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</si>
  <si>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</si>
  <si>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</si>
  <si>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</si>
  <si>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</si>
  <si>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</si>
  <si>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</si>
  <si>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</si>
  <si>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</si>
  <si>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</si>
  <si>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</si>
  <si>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</si>
  <si>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IEO010j</t>
  </si>
  <si>
    <t xml:space="preserve">IAF085</t>
  </si>
  <si>
    <t xml:space="preserve">Partida</t>
  </si>
  <si>
    <t xml:space="preserve">U</t>
  </si>
  <si>
    <t xml:space="preserve">Multiplexor.</t>
  </si>
  <si>
    <t xml:space="preserve">Multiplexor passiu d'una entrada i 8 sortides, amb connectors femella tipus RJ-45 de 8 contactes, categoria 6, color blanc i tirantet de connexió de 0,5 m de longitud format per cable rígid U/UTP no propagador de la flama de 4 parells de coure, categoria 6, amb conductor unifilar de coure, aïllament de polietilè i beina exterior de PVC LSFH lliure de halògens, amb baixa emissió de fums i gasos corrosius i connector mascle tipus RJ-45 de 8 contactes, categoria 6, en tots dos extrems.
Inclou: Col·locació del multiplexor.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</si>
  <si>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mt40mta060b</t>
  </si>
  <si>
    <t xml:space="preserve">Material</t>
  </si>
  <si>
    <t xml:space="preserve">U</t>
  </si>
  <si>
    <t xml:space="preserve">Multiplexor passiu d'una entrada i 8 sortides, amb connectors femella tipus RJ-45 de 8 contactes, categoria 6, color blanc.</t>
  </si>
  <si>
    <t xml:space="preserve">mt40mta070b</t>
  </si>
  <si>
    <t xml:space="preserve">Material</t>
  </si>
  <si>
    <t xml:space="preserve">U</t>
  </si>
  <si>
    <t xml:space="preserve">Tirantet de connexió de 0,5 m de longitud format per cable rígid U/UTP no propagador de la flama de 4 parells de coure, categoria 6, amb conductor unifilar de coure, aïllament de polietilè i beina exterior de PVC LSFH lliure de halògens, amb baixa emissió de fums i gasos corrosius i connector mascle tipus RJ-45 de 8 contactes, categoria 6, en tots dos extrems,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</si>
  <si>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</si>
  <si>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</si>
  <si>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</si>
  <si>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</si>
  <si>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</si>
  <si>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</si>
  <si>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</si>
  <si>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</si>
  <si>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</si>
  <si>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</si>
  <si>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</si>
  <si>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IAF085</t>
  </si>
  <si>
    <t xml:space="preserve">IAO099</t>
  </si>
  <si>
    <t xml:space="preserve">Partida</t>
  </si>
  <si>
    <t xml:space="preserve">U</t>
  </si>
  <si>
    <t xml:space="preserve">Subministrament i instal·lació de convertidor industrial Gigabit RJ45/fibra, 1×RJ45 + 1×SFP, carril DIN, amb SFP i posada en servei</t>
  </si>
  <si>
    <t xml:space="preserve">Convertidor industrial de mitjans Ethernet/fibra òptica Gigabit, format per equip industrial de carril DIN amb 1 port RJ45 10/100/1000Base-T i 1 port SFP 100/1000Base-X o 1000Base-X, inclòs mòdul SFP compatible amb la fibra òptica prevista, alimentació industrial, connexió de comunicacions, latiguets, etiquetatge, configuració, proves de comunicació i posada en servei.</t>
  </si>
  <si>
    <t xml:space="preserve">mo001</t>
  </si>
  <si>
    <t xml:space="preserve">Mà d'obra</t>
  </si>
  <si>
    <t xml:space="preserve">h</t>
  </si>
  <si>
    <t xml:space="preserve">Oficial 1ª instal·lador de telecomunicacions.</t>
  </si>
  <si>
    <t xml:space="preserve">mo003</t>
  </si>
  <si>
    <t xml:space="preserve">Mà d'obra</t>
  </si>
  <si>
    <t xml:space="preserve">h</t>
  </si>
  <si>
    <t xml:space="preserve">Oficial 1ª electricista.</t>
  </si>
  <si>
    <t xml:space="preserve">mt0099</t>
  </si>
  <si>
    <t xml:space="preserve">Material</t>
  </si>
  <si>
    <t xml:space="preserve">U</t>
  </si>
  <si>
    <t xml:space="preserve">Convertidor industrial Gigabit Ethernet/fibra òptica, 1×RJ45 + 1×SFP, carril DIN, inclòs SFP, font d’alimentació, latiguets, connexió, configuració i proves</t>
  </si>
  <si>
    <t xml:space="preserve">IAO099</t>
  </si>
  <si>
    <t xml:space="preserve">IT_FCEE</t>
  </si>
  <si>
    <t xml:space="preserve">I_FCEE</t>
  </si>
  <si>
    <t xml:space="preserve">I_AC_LEAR</t>
  </si>
  <si>
    <t xml:space="preserve">Capítol</t>
  </si>
  <si>
    <t xml:space="preserve">Aulari Comú - Lear</t>
  </si>
  <si>
    <t xml:space="preserve">OBRA</t>
  </si>
  <si>
    <t xml:space="preserve">Capítol</t>
  </si>
  <si>
    <t xml:space="preserve">Adequació obra civil Albert</t>
  </si>
  <si>
    <t xml:space="preserve">ROO020</t>
  </si>
  <si>
    <t xml:space="preserve">Partida</t>
  </si>
  <si>
    <t xml:space="preserve">m²</t>
  </si>
  <si>
    <t xml:space="preserve">Pintura de poliuretà alifàtic, sobre terra de garatge. Color verd</t>
  </si>
  <si>
    <t xml:space="preserve">Aplicació manual de dues mans de pintura de poliuretà alifàtic, incolor, acabat mat, textura llisa, (rendiment: 0,06 l/m² cada mà); sobre terra de garatge de formigó.
Inclou: Neteja general de la superfície suport. Preparació de la mescla. Aplicació d'una mà de fons i una mà d'acabat.
Criteri d'amidament de projecte: Superfície mesurada segons documentació gràfica de Projecte, amb el mateix criteri que el suport base.
Criteri de mesura d'obra: Es mesurarà la superfície realment executada segons especificacions de Projecte, amb el mateix criteri que el suport base.</t>
  </si>
  <si>
    <t xml:space="preserve">mt27ppi020e</t>
  </si>
  <si>
    <t xml:space="preserve">Material</t>
  </si>
  <si>
    <t xml:space="preserve">l</t>
  </si>
  <si>
    <t xml:space="preserve">Pintura per a interior, monocomponent a base de poliuretà alifàtic, incolor, acabat mat, textura llisa; per a aplicar amb brotxa, corró o pistola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</si>
  <si>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</si>
  <si>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</si>
  <si>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</si>
  <si>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</si>
  <si>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</si>
  <si>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</si>
  <si>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</si>
  <si>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</si>
  <si>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</si>
  <si>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</si>
  <si>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</si>
  <si>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ROO020</t>
  </si>
  <si>
    <t xml:space="preserve">ROO040</t>
  </si>
  <si>
    <t xml:space="preserve">Partida</t>
  </si>
  <si>
    <t xml:space="preserve">U</t>
  </si>
  <si>
    <t xml:space="preserve">Marcat de fletxes i inscripcions en pintura a terra. Color blanc</t>
  </si>
  <si>
    <t xml:space="preserve">Aplicació manual de dues mans de pintura plàstica, color blanc, acabat setinat, textura llisa, diluïdes amb un 10 a 15% d'aigua; per a marcat de fletxes i inscripcions en garatges, amb una plantilla de fins a 100x100 cm.
Inclou: Preparació de la superfície. Execució del marcat.
Criteri d'amidament de projecte: Nombre d'unitats previstes, segons documentació gràfica de Projecte.
Criteri de mesura d'obra: Es mesurarà el nombre d'unitats realment executades segons especificacions de Projecte.</t>
  </si>
  <si>
    <t xml:space="preserve">mt27mvp010e</t>
  </si>
  <si>
    <t xml:space="preserve">Material</t>
  </si>
  <si>
    <t xml:space="preserve">l</t>
  </si>
  <si>
    <t xml:space="preserve">Pintura per a exterior, a base de resines acríliques, color blanc, acabat setinat, textura llisa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</si>
  <si>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</si>
  <si>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</si>
  <si>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</si>
  <si>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</si>
  <si>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</si>
  <si>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</si>
  <si>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</si>
  <si>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</si>
  <si>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</si>
  <si>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</si>
  <si>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</si>
  <si>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ROO040</t>
  </si>
  <si>
    <t xml:space="preserve">ROO030</t>
  </si>
  <si>
    <t xml:space="preserve">Partida</t>
  </si>
  <si>
    <t xml:space="preserve">m</t>
  </si>
  <si>
    <t xml:space="preserve">Marcat de places de garatge.</t>
  </si>
  <si>
    <t xml:space="preserve">Aplicació manual de dues mans de pintura plàstica, color blanc, acabat setinat, textura llisa, diluïdes amb un 10 a 15% d'aigua; per a marcat de places de garatge, amb línies de 10 cm d'amplada, contínues o discontínues.
Inclou: Preparació de la superfície. Execució del marcat.
Criteri d'amidament de projecte: Longitud mesurada segons documentació gràfica de Projecte.
Criteri de mesura d'obra: Es mesurarà la longitud realment executada segons especificacions de Projecte.</t>
  </si>
  <si>
    <t xml:space="preserve">mt27mvp010e</t>
  </si>
  <si>
    <t xml:space="preserve">Material</t>
  </si>
  <si>
    <t xml:space="preserve">l</t>
  </si>
  <si>
    <t xml:space="preserve">Pintura per a exterior, a base de resines acríliques, color blanc, acabat setinat, textura llisa</t>
  </si>
  <si>
    <t xml:space="preserve">mt27wav020a</t>
  </si>
  <si>
    <t xml:space="preserve">Material</t>
  </si>
  <si>
    <t xml:space="preserve">m</t>
  </si>
  <si>
    <t xml:space="preserve">Cinta adhesiva de pintor, de 25 mm d'amplada.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</si>
  <si>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</si>
  <si>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</si>
  <si>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</si>
  <si>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</si>
  <si>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</si>
  <si>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</si>
  <si>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</si>
  <si>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</si>
  <si>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</si>
  <si>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</si>
  <si>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</si>
  <si>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ROO030</t>
  </si>
  <si>
    <t xml:space="preserve">UMH010</t>
  </si>
  <si>
    <t xml:space="preserve">Partida</t>
  </si>
  <si>
    <t xml:space="preserve">U</t>
  </si>
  <si>
    <t xml:space="preserve">Bol·lard fixe</t>
  </si>
  <si>
    <t xml:space="preserve">Bol·lard fixe, de 820x185 mm, acabat amb pintura antioxidant de color negre, fixat amb tacs d'expansió d'acer, cargols especials i pasta química a una base de formigó HM-20/P/20/X0. Inclús excavació i formigonat de la base de recolzament. Totalment muntat.
Inclou: Replanteig d'alineacions i nivells. Excavació. Execució de la base de formigó. Col·locació i fixació de les peces.
Criteri d'amidament de projecte: Nombre d'unitats previstes, segons documentació gràfica de Projecte.
Criteri de mesura d'obra: Es mesurarà el nombre d'unitats realment executades segons especificacions de Projecte.</t>
  </si>
  <si>
    <t xml:space="preserve">mt52mug010a</t>
  </si>
  <si>
    <t xml:space="preserve">Material</t>
  </si>
  <si>
    <t xml:space="preserve">U</t>
  </si>
  <si>
    <t xml:space="preserve">Bol·lard fixe, de 820x185 mm, acabat amb pintura antioxidant de color negre.</t>
  </si>
  <si>
    <t xml:space="preserve">mt52mug200g</t>
  </si>
  <si>
    <t xml:space="preserve">Material</t>
  </si>
  <si>
    <t xml:space="preserve">U</t>
  </si>
  <si>
    <t xml:space="preserve">Repercussió, en la col·locació de bol·lard, d'elements de fixació sobre formigó: tacs d'expansió d'acer, cargols especials i pasta química.</t>
  </si>
  <si>
    <t xml:space="preserve">mt10hmf010tLc</t>
  </si>
  <si>
    <t xml:space="preserve">Material</t>
  </si>
  <si>
    <t xml:space="preserve">m³</t>
  </si>
  <si>
    <t xml:space="preserve">Formigó HM-20/P/20/X0, fabricat en central.</t>
  </si>
  <si>
    <t xml:space="preserve">mo041</t>
  </si>
  <si>
    <t xml:space="preserve">Mà d'obra</t>
  </si>
  <si>
    <t xml:space="preserve">h</t>
  </si>
  <si>
    <t xml:space="preserve">Oficial 1ª construcció d'obra civil.</t>
  </si>
  <si>
    <t xml:space="preserve">mo087</t>
  </si>
  <si>
    <t xml:space="preserve">Mà d'obra</t>
  </si>
  <si>
    <t xml:space="preserve">h</t>
  </si>
  <si>
    <t xml:space="preserve">Ajudant construcció d'obra civil.</t>
  </si>
  <si>
    <t xml:space="preserve">%</t>
  </si>
  <si>
    <t xml:space="preserve">%</t>
  </si>
  <si>
    <t xml:space="preserve">Costos directes complementaris</t>
  </si>
  <si>
    <t xml:space="preserve">UMH010</t>
  </si>
  <si>
    <t xml:space="preserve">UMH011</t>
  </si>
  <si>
    <t xml:space="preserve">Partida</t>
  </si>
  <si>
    <t xml:space="preserve">U</t>
  </si>
  <si>
    <t xml:space="preserve">Senyal Vertical per aparctament de vehicles elèctrics</t>
  </si>
  <si>
    <t xml:space="preserve">Senyal vertical fixe de 600x900 mmm . Decorat en impressió vinil, antigrafitis, dors natural. Suport d'acer galvanitzat de 80x40x2mm de 3.5 mt d'alçada i abraçadera d'alumini 80x40.Inclou partides addicionals per la seva correcte fixació i col·locació. Criteri d'amidament de projecte: Nombre d'unitats previstes, segons documentació gràfica de Projecte. Criteri de mesura d'obra: Es mesurarà el nombre d'unitats realment executades segons especificacions de Projecte.</t>
  </si>
  <si>
    <t xml:space="preserve">mt52mug010c</t>
  </si>
  <si>
    <t xml:space="preserve">Material</t>
  </si>
  <si>
    <t xml:space="preserve">U</t>
  </si>
  <si>
    <t xml:space="preserve">Senyal Fixe, rectangular, de 600x900, decorat en impressió de vinil a tot color, antigrafi + suport acer galvanitzat 80x40x2,, de 3.5mt d'alçada</t>
  </si>
  <si>
    <t xml:space="preserve">mt52mug200g</t>
  </si>
  <si>
    <t xml:space="preserve">Material</t>
  </si>
  <si>
    <t xml:space="preserve">U</t>
  </si>
  <si>
    <t xml:space="preserve">Repercussió, en la col·locació de bol·lard, d'elements de fixació sobre formigó: tacs d'expansió d'acer, cargols especials i pasta química.</t>
  </si>
  <si>
    <t xml:space="preserve">mt10hmf010tLc</t>
  </si>
  <si>
    <t xml:space="preserve">Material</t>
  </si>
  <si>
    <t xml:space="preserve">m³</t>
  </si>
  <si>
    <t xml:space="preserve">Formigó HM-20/P/20/X0, fabricat en central.</t>
  </si>
  <si>
    <t xml:space="preserve">mo041</t>
  </si>
  <si>
    <t xml:space="preserve">Mà d'obra</t>
  </si>
  <si>
    <t xml:space="preserve">h</t>
  </si>
  <si>
    <t xml:space="preserve">Oficial 1ª construcció d'obra civil.</t>
  </si>
  <si>
    <t xml:space="preserve">mo087</t>
  </si>
  <si>
    <t xml:space="preserve">Mà d'obra</t>
  </si>
  <si>
    <t xml:space="preserve">h</t>
  </si>
  <si>
    <t xml:space="preserve">Ajudant construcció d'obra civil.</t>
  </si>
  <si>
    <t xml:space="preserve">%</t>
  </si>
  <si>
    <t xml:space="preserve">%</t>
  </si>
  <si>
    <t xml:space="preserve">Costos directes complementaris</t>
  </si>
  <si>
    <t xml:space="preserve">UMH011</t>
  </si>
  <si>
    <t xml:space="preserve">UIA010d</t>
  </si>
  <si>
    <t xml:space="preserve">Partida</t>
  </si>
  <si>
    <t xml:space="preserve">U</t>
  </si>
  <si>
    <t xml:space="preserve">Pericó de connexió elèctrica.</t>
  </si>
  <si>
    <t xml:space="preserve">Pericó de connexió elèctrica, prefabricat de formigó, sense fons, registrable, de 60x60x60 cm de mesures interiors, amb parets rebaixades per a l'entrada de tubs, capaç de suportar una càrrega de 400 kN, amb marc d'acer galvanitzat i tapa de formigó armat alleugerit, de 69,5x68,5 cm, per a pericó de connexió elèctrica, capaç de suportar una càrrega de 125 kN; prèvia excavació amb mitjans mecànics i posterior reomplert de l'extradós amb material granular.
Inclou: Replanteig. Excavació amb mitjans mecànics. Eliminació de les terres soltes del fons de l'excavació. Col·locació de l'arqueta prefabricada. Execució de forats per a connexionat de tubs. Connexionat dels tubs al pericó. Col·locació de la tapa i els accessoris. Reblert de l'extradós.
Criteri d'amidament de projecte: Nombre d'unitats previstes, segons documentació gràfica de Projecte.
Criteri de mesura d'obra: Es mesurarà el nombre d'unitats realment executades segons especificacions de Projecte.</t>
  </si>
  <si>
    <t xml:space="preserve">mt35arg100f</t>
  </si>
  <si>
    <t xml:space="preserve">Material</t>
  </si>
  <si>
    <t xml:space="preserve">U</t>
  </si>
  <si>
    <t xml:space="preserve">Pericó de connexió elèctrica, prefabricat de formigó, sense fons, registrable, de 60x60x60 cm de mesures interiors, amb parets rebaixades per a l'entrada de tubs, capaç de suportar una càrrega de 400 kN.</t>
  </si>
  <si>
    <t xml:space="preserve">mt35arg105d</t>
  </si>
  <si>
    <t xml:space="preserve">Material</t>
  </si>
  <si>
    <t xml:space="preserve">U</t>
  </si>
  <si>
    <t xml:space="preserve">Marc d'acer galvanitzat i tapa de formigó armat alleugerit, de 69,5x68,5 cm, per a pericó de connexió elèctrica, capaç de suportar una càrrega de 125 kN.</t>
  </si>
  <si>
    <t xml:space="preserve">mt01arr010a</t>
  </si>
  <si>
    <t xml:space="preserve">Material</t>
  </si>
  <si>
    <t xml:space="preserve">t</t>
  </si>
  <si>
    <t xml:space="preserve">Grava de pedrera, de 19 a 25 mm de diàmetre.</t>
  </si>
  <si>
    <t xml:space="preserve">mq01ret020b</t>
  </si>
  <si>
    <t xml:space="preserve">Maquinària</t>
  </si>
  <si>
    <t xml:space="preserve">h</t>
  </si>
  <si>
    <t xml:space="preserve">Retrocarregadora sobre pneumàtics, de 70 kW.</t>
  </si>
  <si>
    <t xml:space="preserve">mo020</t>
  </si>
  <si>
    <t xml:space="preserve">Mà d'obra</t>
  </si>
  <si>
    <t xml:space="preserve">h</t>
  </si>
  <si>
    <t xml:space="preserve">Oficial 1ª construcció.</t>
  </si>
  <si>
    <t xml:space="preserve">mo077</t>
  </si>
  <si>
    <t xml:space="preserve">Mà d'obra</t>
  </si>
  <si>
    <t xml:space="preserve">h</t>
  </si>
  <si>
    <t xml:space="preserve">Ajudant construcció.</t>
  </si>
  <si>
    <t xml:space="preserve">%</t>
  </si>
  <si>
    <t xml:space="preserve">%</t>
  </si>
  <si>
    <t xml:space="preserve">Costos directes complementaris</t>
  </si>
  <si>
    <t xml:space="preserve">UIA010d</t>
  </si>
  <si>
    <t xml:space="preserve">OBRA</t>
  </si>
  <si>
    <t xml:space="preserve">IE_AC_LEAR</t>
  </si>
  <si>
    <t xml:space="preserve">Capítol</t>
  </si>
  <si>
    <t xml:space="preserve">Instal·lacions elèctriques</t>
  </si>
  <si>
    <t xml:space="preserve">IEI_V2C_POLEb</t>
  </si>
  <si>
    <t xml:space="preserve">Partida</t>
  </si>
  <si>
    <t xml:space="preserve">U</t>
  </si>
  <si>
    <t xml:space="preserve">Subministre i instal·lació de punt de recàrrega doble V2C Pole Pro 22 kW, 2 bases T2, trifàsic, de terra</t>
  </si>
  <si>
    <t xml:space="preserve">Subministrament i instal·lació de 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 configurat i provat.</t>
  </si>
  <si>
    <t xml:space="preserve">mt35cgm050</t>
  </si>
  <si>
    <t xml:space="preserve">Material</t>
  </si>
  <si>
    <t xml:space="preserve">U</t>
  </si>
  <si>
    <t xml:space="preserve">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t>
  </si>
  <si>
    <t xml:space="preserve">mo102</t>
  </si>
  <si>
    <t xml:space="preserve">Mà d'obra</t>
  </si>
  <si>
    <t xml:space="preserve">h</t>
  </si>
  <si>
    <t xml:space="preserve">Ajudant electricista.</t>
  </si>
  <si>
    <t xml:space="preserve">mo003</t>
  </si>
  <si>
    <t xml:space="preserve">Mà d'obra</t>
  </si>
  <si>
    <t xml:space="preserve">h</t>
  </si>
  <si>
    <t xml:space="preserve">Oficial 1ª electricista.</t>
  </si>
  <si>
    <t xml:space="preserve">IEI_V2C_POLEb</t>
  </si>
  <si>
    <t xml:space="preserve">IEI070</t>
  </si>
  <si>
    <t xml:space="preserve">Partida</t>
  </si>
  <si>
    <t xml:space="preserve">U</t>
  </si>
  <si>
    <t xml:space="preserve">Quadre elèctric. Distribució als carregador</t>
  </si>
  <si>
    <t xml:space="preserve">Quadre secundari Subquadre Quadre individual 1.1 format per caixes encastables de material aïllant amb porta opaca, per a allotjament de dispositius individuals de comandament i protecció. Inclús elements de fixació, reglets de connexió i quants accessoris siguin necessaris per a la seva correcta instal·lació. Totalment muntat, connexionat i provat.
Inclou: Replanteig. Col·locació de les caixes per al quadre secundari. Connexionat. Muntatge dels components.
Criteri d'amidament de projecte: Nombre d'unitats previstes, segons documentació gràfica de Projecte.
Criteri de mesura d'obra: Es mesurarà el nombre d'unitats realment executades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</si>
  <si>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</si>
  <si>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</si>
  <si>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</si>
  <si>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</si>
  <si>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</si>
  <si>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</si>
  <si>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</si>
  <si>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mt35cgm041A</t>
  </si>
  <si>
    <t xml:space="preserve">Material</t>
  </si>
  <si>
    <t xml:space="preserve">U</t>
  </si>
  <si>
    <t xml:space="preserve">Caixa per a allotjament dels interruptors de protecció de la instal·lació, 3 files de 12 mòduls, de ABS autoextingible, de color blanc RAL 9010, amb porta opaca, grau de protecció IP40 i doble aïllament (classe II), per a encastar. Segons UNE-EN 60670-1.</t>
  </si>
  <si>
    <t xml:space="preserve">mt35cgm041u</t>
  </si>
  <si>
    <t xml:space="preserve">Material</t>
  </si>
  <si>
    <t xml:space="preserve">U</t>
  </si>
  <si>
    <t xml:space="preserve">Caixa per a allotjament dels interruptors de protecció de la instal·lació, 1 fila de 12 mòduls, de ABS autoextingible, de color blanc RAL 9010, amb porta opaca, grau de protecció IP40 i doble aïllament (classe II), per a encastar. Segons UNE-EN 60670-1.</t>
  </si>
  <si>
    <t xml:space="preserve">mt35cgm042</t>
  </si>
  <si>
    <t xml:space="preserve">Material</t>
  </si>
  <si>
    <t xml:space="preserve">U</t>
  </si>
  <si>
    <t xml:space="preserve">Accessori d'unió per a caixa modular estanca.</t>
  </si>
  <si>
    <t xml:space="preserve">mt35cgm029aa</t>
  </si>
  <si>
    <t xml:space="preserve">Material</t>
  </si>
  <si>
    <t xml:space="preserve">U</t>
  </si>
  <si>
    <t xml:space="preserve">Interruptor diferencial instantani, 2P/25A/30mA, de 2 mòduls, inclús accessoris de muntatge. Segons UNE-EN 61008-1.</t>
  </si>
  <si>
    <t xml:space="preserve">mt35cgm031ab</t>
  </si>
  <si>
    <t xml:space="preserve">Material</t>
  </si>
  <si>
    <t xml:space="preserve">U</t>
  </si>
  <si>
    <t xml:space="preserve">Interruptor diferencial instantani, 4P/40A/30mA, de 4 mòduls, inclús accessoris de muntatge. Segons UNE-EN 61008-1.</t>
  </si>
  <si>
    <t xml:space="preserve">mt35cgm021bbeaj</t>
  </si>
  <si>
    <t xml:space="preserve">Material</t>
  </si>
  <si>
    <t xml:space="preserve">U</t>
  </si>
  <si>
    <t xml:space="preserve">Interruptor automàtic magnetotèrmic, de 4 mòduls, tetrapolar (4P), amb 6 kA de poder de tall, de 32 A d'intensitat nominal, corba C, inclús accessoris de muntatge. Segons UNE-EN 60898-1.</t>
  </si>
  <si>
    <t xml:space="preserve">mt35cgm021bkeqC</t>
  </si>
  <si>
    <t xml:space="preserve">Material</t>
  </si>
  <si>
    <t xml:space="preserve">U</t>
  </si>
  <si>
    <t xml:space="preserve">Interruptor automàtic magnetotèrmic, tetrapolar (4P), amb 50 kA de poder de tall, de 400 A d'intensitat nominal, llindar regulable, inclús accessoris de muntatge. Segons UNE-EN 60947-2.</t>
  </si>
  <si>
    <t xml:space="preserve">mt35cgm010d</t>
  </si>
  <si>
    <t xml:space="preserve">Material</t>
  </si>
  <si>
    <t xml:space="preserve">U</t>
  </si>
  <si>
    <t xml:space="preserve">Joc de 2 cobreborns llargs per a interruptor automàtic magnetotèrmic de 400 - 630 A, tetrapolar (4P), per a la protecció contra els contactes directes.</t>
  </si>
  <si>
    <t xml:space="preserve">mt35cgm015</t>
  </si>
  <si>
    <t xml:space="preserve">Material</t>
  </si>
  <si>
    <t xml:space="preserve">U</t>
  </si>
  <si>
    <t xml:space="preserve">Col·lector de terra de 450 mm d'amplada, equipat amb 40 connectors amb cargols imperdibles i un connector de 35 mm².</t>
  </si>
  <si>
    <t xml:space="preserve">mt35cgm011d</t>
  </si>
  <si>
    <t xml:space="preserve">Material</t>
  </si>
  <si>
    <t xml:space="preserve">U</t>
  </si>
  <si>
    <t xml:space="preserve">Placa suport per a interruptor automàtic magnetotèrmic de 400 - 630 A, tetrapolar (4P).</t>
  </si>
  <si>
    <t xml:space="preserve">mt35cgm012b</t>
  </si>
  <si>
    <t xml:space="preserve">Material</t>
  </si>
  <si>
    <t xml:space="preserve">U</t>
  </si>
  <si>
    <t xml:space="preserve">Tapa perforada per a interruptor automàtic magnetotèrmic de 400 - 630 A.</t>
  </si>
  <si>
    <t xml:space="preserve">mt35cgm013a</t>
  </si>
  <si>
    <t xml:space="preserve">Material</t>
  </si>
  <si>
    <t xml:space="preserve">U</t>
  </si>
  <si>
    <t xml:space="preserve">Tapa plena per a interruptor automàtic magnetotèrmic de 1 mòdul i 50 mm d'altura.</t>
  </si>
  <si>
    <t xml:space="preserve">mt35cgm013b</t>
  </si>
  <si>
    <t xml:space="preserve">Material</t>
  </si>
  <si>
    <t xml:space="preserve">U</t>
  </si>
  <si>
    <t xml:space="preserve">Tapa plena per a interruptor automàtic magnetotèrmic de 2 mòduls i 100 mm d'altura.</t>
  </si>
  <si>
    <t xml:space="preserve">mt35cgm021bbbab</t>
  </si>
  <si>
    <t xml:space="preserve">Material</t>
  </si>
  <si>
    <t xml:space="preserve">U</t>
  </si>
  <si>
    <t xml:space="preserve">Interruptor automàtic magnetotèrmic, de 2 mòduls, bipolar (2P), amb 6 kA de poder de tall, de 10 A d'intensitat nominal, corba C, inclús accessoris de muntatge. Segons UNE-EN 60898-1.</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</si>
  <si>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</si>
  <si>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</si>
  <si>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</si>
  <si>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</si>
  <si>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</si>
  <si>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</si>
  <si>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</si>
  <si>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</si>
  <si>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</si>
  <si>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</si>
  <si>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</si>
  <si>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</si>
  <si>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</si>
  <si>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</si>
  <si>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</si>
  <si>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t>
  </si>
  <si>
    <t xml:space="preserve">IEI070b</t>
  </si>
  <si>
    <t xml:space="preserve">Partida</t>
  </si>
  <si>
    <t xml:space="preserve">U</t>
  </si>
  <si>
    <t xml:space="preserve">Quadre elèctric. Connexió a quadre general</t>
  </si>
  <si>
    <t xml:space="preserve">Quadre individual format per caixa encastable de material aïllant amb porta opaca, per a allotjament del interruptor de control de potència (ICP) (no inclòs en aquest preu) en compartiment independent i precintable, 1 interruptor general automàtic (IGA) tetrapolar (4P) i altres dispositius generals i individuals de comandament i protecció. Inclús elements de fixació, reglets de connexió i quants accessoris siguin necessaris per a la seva correcta instal·lació. Totalment muntat, connexionat i provat.
Inclou: Replanteig. Col·locació de la caixa per al quadre. Connexionat. Muntatge dels components.
Criteri d'amidament de projecte: Nombre d'unitats previstes, segons documentació gràfica de Projecte.
Criteri de mesura d'obra: Es mesurarà el nombre d'unitats realment executades segons especificacions de Projecte.</t>
  </si>
  <si>
    <t xml:space="preserve">Uts.</t>
  </si>
  <si>
    <t xml:space="preserve">Llargada</t>
  </si>
  <si>
    <t xml:space="preserve">Amplada</t>
  </si>
  <si>
    <t xml:space="preserve">Alçada</t>
  </si>
  <si>
    <t xml:space="preserve">Parcial</t>
  </si>
  <si>
    <t xml:space="preserve">Subtotal</t>
  </si>
  <si>
    <t xml:space="preserve">Quadre individual 1</t>
  </si>
  <si>
    <t xml:space="preserve">mt35cgm040m</t>
  </si>
  <si>
    <t xml:space="preserve">Material</t>
  </si>
  <si>
    <t xml:space="preserve">U</t>
  </si>
  <si>
    <t xml:space="preserve">Caixa encastable amb porta opaca, per allotjament del interruptor de control de potència (ICP) en compartiment independent i precintable i els interruptors de protecció de la instal·lació, 1 fila de 4 mòduls (ICP) + 2 files de 24 mòduls. Fabricada en ABS autoextingible, amb grau de protecció IP40, doble aïllament (classe II), color blanc RAL 9010. Segons UNE-EN 60670-1.</t>
  </si>
  <si>
    <t xml:space="preserve">mt35cgm021akeqC</t>
  </si>
  <si>
    <t xml:space="preserve">Material</t>
  </si>
  <si>
    <t xml:space="preserve">U</t>
  </si>
  <si>
    <t xml:space="preserve">Interruptor general automàtic (IGA), tetrapolar (4P), amb 50 kA de poder de tall, de 400 A d'intensitat nominal, llindar regulable, inclús accessoris de muntatge. Segons UNE-EN 60947-2.</t>
  </si>
  <si>
    <t xml:space="preserve">mt35cgm010d</t>
  </si>
  <si>
    <t xml:space="preserve">Material</t>
  </si>
  <si>
    <t xml:space="preserve">U</t>
  </si>
  <si>
    <t xml:space="preserve">Joc de 2 cobreborns llargs per a interruptor automàtic magnetotèrmic de 400 - 630 A, tetrapolar (4P), per a la protecció contra els contactes directes.</t>
  </si>
  <si>
    <t xml:space="preserve">mt35cgm015</t>
  </si>
  <si>
    <t xml:space="preserve">Material</t>
  </si>
  <si>
    <t xml:space="preserve">U</t>
  </si>
  <si>
    <t xml:space="preserve">Col·lector de terra de 450 mm d'amplada, equipat amb 40 connectors amb cargols imperdibles i un connector de 35 mm².</t>
  </si>
  <si>
    <t xml:space="preserve">mt35cgm011d</t>
  </si>
  <si>
    <t xml:space="preserve">Material</t>
  </si>
  <si>
    <t xml:space="preserve">U</t>
  </si>
  <si>
    <t xml:space="preserve">Placa suport per a interruptor automàtic magnetotèrmic de 400 - 630 A, tetrapolar (4P).</t>
  </si>
  <si>
    <t xml:space="preserve">mt35cgm012b</t>
  </si>
  <si>
    <t xml:space="preserve">Material</t>
  </si>
  <si>
    <t xml:space="preserve">U</t>
  </si>
  <si>
    <t xml:space="preserve">Tapa perforada per a interruptor automàtic magnetotèrmic de 400 - 630 A.</t>
  </si>
  <si>
    <t xml:space="preserve">mt35cgm013b</t>
  </si>
  <si>
    <t xml:space="preserve">Material</t>
  </si>
  <si>
    <t xml:space="preserve">U</t>
  </si>
  <si>
    <t xml:space="preserve">Tapa plena per a interruptor automàtic magnetotèrmic de 2 mòduls i 100 mm d'altura.</t>
  </si>
  <si>
    <t xml:space="preserve">mt35cgm013a</t>
  </si>
  <si>
    <t xml:space="preserve">Material</t>
  </si>
  <si>
    <t xml:space="preserve">U</t>
  </si>
  <si>
    <t xml:space="preserve">Tapa plena per a interruptor automàtic magnetotèrmic de 1 mòdul i 50 mm d'altura.</t>
  </si>
  <si>
    <t xml:space="preserve">mt35cgm060</t>
  </si>
  <si>
    <t xml:space="preserve">Material</t>
  </si>
  <si>
    <t xml:space="preserve">U</t>
  </si>
  <si>
    <t xml:space="preserve">Bobina de protecció contra sobretensions permanents fase-neutre de 230 Vca i tensió de disparament de 255 Vca.</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</si>
  <si>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</si>
  <si>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</si>
  <si>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</si>
  <si>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</si>
  <si>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</si>
  <si>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</si>
  <si>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</si>
  <si>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</si>
  <si>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</si>
  <si>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</si>
  <si>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</si>
  <si>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</si>
  <si>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</si>
  <si>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</si>
  <si>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</si>
  <si>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IEI070b</t>
  </si>
  <si>
    <t xml:space="preserve">IEI071b</t>
  </si>
  <si>
    <t xml:space="preserve">Partida</t>
  </si>
  <si>
    <t xml:space="preserve">U</t>
  </si>
  <si>
    <t xml:space="preserve">Subministre i instal·lació d'armari prefabricat monobloc amb peana, amb porta metàl·lica galvanitzada 2400x800x345</t>
  </si>
  <si>
    <t xml:space="preserve">Subministre i instal·lació d'armari prefabricat monobloc amb peana, amb porta metàl·lica galvaniitzada de mides 2400x800x345. Inlcou part proporcional de mitjans mecàcnics per la seva col·lcació.
Características principales
Estructura monobloque de hormigón reforzado con fibra de vidrio.
Composición GRC según UNE-EN 1169.
Resistencia Flexión GRC &gt; 8 N/mm2 (Mpa) según UNE-EN 1170-4.
Tipo de cemento: CEM I 52,5 R.
Puerta en chapa galvanizada ?1,2 mm
Marco en chapa galvanizada ?1,5 mm en inglete.
Apertura de la puerta ? 150º con anticierre fijado.
Cierre por pestillo.
Cerradura triangular 11 mm de lado y dispositivo para candado &gt; 8 mm Ø (para otros tipos de cerradura, consultar).
Peso: 380 kg
Código ENDESA: 6703951
Se suministra con peana especial, diseñada y obligatoria por la Compañía ENDESA.
Dimensiones exteriores : 
Alto : 2.450 mm
Ancho :  800 mm
Profundidad : 345 mm
Dimensiones interiores útiles : 
Alto : 1.360 mm
Ancho :  660 mm
Profundidad : 260 mm</t>
  </si>
  <si>
    <t xml:space="preserve">IEH012g</t>
  </si>
  <si>
    <t xml:space="preserve">Partida</t>
  </si>
  <si>
    <t xml:space="preserve">m</t>
  </si>
  <si>
    <t xml:space="preserve">Cable elèctric de 0,6/1 kV de tensió nominal. 1x70</t>
  </si>
  <si>
    <t xml:space="preserve">Cable unipolar RZ1-K (AS), sent la seva tensió assignada de 0,6/1 kV, reacció al foc classe Cca-s1b,d1,a1, amb conductor de coure classe 5 (-K) de 70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</si>
  <si>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</si>
  <si>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</si>
  <si>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</si>
  <si>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</si>
  <si>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</si>
  <si>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</si>
  <si>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</si>
  <si>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Subquadre Quadre individual 1.1</t>
  </si>
  <si>
    <t xml:space="preserve">mt35cun010k1</t>
  </si>
  <si>
    <t xml:space="preserve">Material</t>
  </si>
  <si>
    <t xml:space="preserve">m</t>
  </si>
  <si>
    <t xml:space="preserve">Cable unipolar RZ1-K (AS), sent la seva tensió assignada de 0,6/1 kV, reacció al foc classe Cca-s1b,d1,a1 segons UNE-EN 50575, amb conductor de coure classe 5 (-K) de 70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</si>
  <si>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</si>
  <si>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</si>
  <si>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</si>
  <si>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</si>
  <si>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</si>
  <si>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</si>
  <si>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</si>
  <si>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</si>
  <si>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</si>
  <si>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</si>
  <si>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</si>
  <si>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IEH012g</t>
  </si>
  <si>
    <t xml:space="preserve">IEH012h</t>
  </si>
  <si>
    <t xml:space="preserve">Partida</t>
  </si>
  <si>
    <t xml:space="preserve">m</t>
  </si>
  <si>
    <t xml:space="preserve">Cable elèctric de 0,6/1 kV de tensió nominal. 1x120</t>
  </si>
  <si>
    <t xml:space="preserve">Cable unipolar RZ1-K (AS), sent la seva tensió assignada de 0,6/1 kV, reacció al foc classe Cca-s1b,d1,a1, amb conductor de coure classe 5 (-K) de 120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</si>
  <si>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</si>
  <si>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</si>
  <si>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</si>
  <si>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</si>
  <si>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</si>
  <si>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</si>
  <si>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</si>
  <si>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mt35cun010m1</t>
  </si>
  <si>
    <t xml:space="preserve">Material</t>
  </si>
  <si>
    <t xml:space="preserve">m</t>
  </si>
  <si>
    <t xml:space="preserve">Cable unipolar RZ1-K (AS), sent la seva tensió assignada de 0,6/1 kV, reacció al foc classe Cca-s1b,d1,a1 segons UNE-EN 50575, amb conductor de coure classe 5 (-K) de 120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</si>
  <si>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</si>
  <si>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</si>
  <si>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</si>
  <si>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</si>
  <si>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</si>
  <si>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</si>
  <si>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</si>
  <si>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</si>
  <si>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</si>
  <si>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</si>
  <si>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</si>
  <si>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IEH012h</t>
  </si>
  <si>
    <t xml:space="preserve">IEH012i</t>
  </si>
  <si>
    <t xml:space="preserve">Partida</t>
  </si>
  <si>
    <t xml:space="preserve">m</t>
  </si>
  <si>
    <t xml:space="preserve">Cable elèctric de 0,6/1 kV de tensió nominal 1x150.</t>
  </si>
  <si>
    <t xml:space="preserve">Cable unipolar RZ1-K (AS), sent la seva tensió assignada de 0,6/1 kV, reacció al foc classe Cca-s1b,d1,a1, amb conductor de coure classe 5 (-K) de 150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</si>
  <si>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</si>
  <si>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</si>
  <si>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</si>
  <si>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</si>
  <si>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</si>
  <si>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</si>
  <si>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</si>
  <si>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mt35cun010n1</t>
  </si>
  <si>
    <t xml:space="preserve">Material</t>
  </si>
  <si>
    <t xml:space="preserve">m</t>
  </si>
  <si>
    <t xml:space="preserve">Cable unipolar RZ1-K (AS), sent la seva tensió assignada de 0,6/1 kV, reacció al foc classe Cca-s1b,d1,a1 segons UNE-EN 50575, amb conductor de coure classe 5 (-K) de 150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</si>
  <si>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</si>
  <si>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</si>
  <si>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</si>
  <si>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</si>
  <si>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</si>
  <si>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</si>
  <si>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</si>
  <si>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</si>
  <si>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</si>
  <si>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</si>
  <si>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</si>
  <si>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IEH012i</t>
  </si>
  <si>
    <t xml:space="preserve">IEH012k</t>
  </si>
  <si>
    <t xml:space="preserve">Partida</t>
  </si>
  <si>
    <t xml:space="preserve">m</t>
  </si>
  <si>
    <t xml:space="preserve">Cable elèctric de 0,6/1 kV de tensió nominal. 3G6 enllumenat</t>
  </si>
  <si>
    <t xml:space="preserve">Cable multipolar RZ1-K (AS), sent la seva tensió assignada de 0,6/1 kV, reacció al foc classe Cca-s1b,d1,a1, amb conductor de coure classe 5 (-K) de 3G6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</si>
  <si>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mt35cun010B1</t>
  </si>
  <si>
    <t xml:space="preserve">Material</t>
  </si>
  <si>
    <t xml:space="preserve">m</t>
  </si>
  <si>
    <t xml:space="preserve">Cable multipolar RZ1-K (AS), sent la seva tensió assignada de 0,6/1 kV, reacció al foc classe Cca-s1b,d1,a1 segons UNE-EN 50575, amb conductor de coure classe 5 (-K) de 3G6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</si>
  <si>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</si>
  <si>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</si>
  <si>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</si>
  <si>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</si>
  <si>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</si>
  <si>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</si>
  <si>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</si>
  <si>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</si>
  <si>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</si>
  <si>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</si>
  <si>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</si>
  <si>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IEH012k</t>
  </si>
  <si>
    <t xml:space="preserve">IEH012</t>
  </si>
  <si>
    <t xml:space="preserve">Partida</t>
  </si>
  <si>
    <t xml:space="preserve">m</t>
  </si>
  <si>
    <t xml:space="preserve">Cable elèctric de 0,6/1 kV de tensió nominal. 5g6 carregadors</t>
  </si>
  <si>
    <t xml:space="preserve">Cable multipolar RZ1-K (AS), sent la seva tensió assignada de 0,6/1 kV, reacció al foc classe Cca-s1b,d1,a1, amb conductor de coure classe 5 (-K) de 5G6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</si>
  <si>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mt35cun010f2</t>
  </si>
  <si>
    <t xml:space="preserve">Material</t>
  </si>
  <si>
    <t xml:space="preserve">m</t>
  </si>
  <si>
    <t xml:space="preserve">Cable multipolar RZ1-K (AS), sent la seva tensió assignada de 0,6/1 kV, reacció al foc classe Cca-s1b,d1,a1 segons UNE-EN 50575, amb conductor de coure classe 5 (-K) de 5G6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</si>
  <si>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</si>
  <si>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</si>
  <si>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</si>
  <si>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</si>
  <si>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</si>
  <si>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</si>
  <si>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</si>
  <si>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</si>
  <si>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</si>
  <si>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</si>
  <si>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</si>
  <si>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t>
  </si>
  <si>
    <t xml:space="preserve">IEO010c</t>
  </si>
  <si>
    <t xml:space="preserve">Partida</t>
  </si>
  <si>
    <t xml:space="preserve">m</t>
  </si>
  <si>
    <t xml:space="preserve">Canalització interior sala elèctrica</t>
  </si>
  <si>
    <t xml:space="preserve">Canalització de safata de reixeta de filferro d'acer zincat, de 35x200 mm, amb resistència al foc de 90 minuts a 1000°C E90 segons DIN 4102-12, resistència a l'impacte 20 joules, temperatura de treball -50°C fins 150°C. Instal·lació fix en superfície. Inclús elements de subjecció i accessoris.
Inclou: Replanteig. Col·locació i fixació de la safata.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</si>
  <si>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</si>
  <si>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</si>
  <si>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</si>
  <si>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</si>
  <si>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</si>
  <si>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</si>
  <si>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</si>
  <si>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mt35brp010c</t>
  </si>
  <si>
    <t xml:space="preserve">Material</t>
  </si>
  <si>
    <t xml:space="preserve">m</t>
  </si>
  <si>
    <t xml:space="preserve">Safata de reixeta de filferro d'acer zincat, de 35x200 mm, amb resistència al foc de 90 minuts a 1000°C E90 segons DIN 4102-12, resistència a l'impacte 20 joules, temperatura de treball -50°C fins 150°C, segons UNE-EN 61537, subministrada en trams de 3 m, per a suport i conducció de cables elèctrics, inclús elements de subjecció i accessoris.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</si>
  <si>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</si>
  <si>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</si>
  <si>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</si>
  <si>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</si>
  <si>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</si>
  <si>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</si>
  <si>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</si>
  <si>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</si>
  <si>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</si>
  <si>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</si>
  <si>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</si>
  <si>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IEO010c</t>
  </si>
  <si>
    <t xml:space="preserve">IEO010l</t>
  </si>
  <si>
    <t xml:space="preserve">Partida</t>
  </si>
  <si>
    <t xml:space="preserve">m</t>
  </si>
  <si>
    <t xml:space="preserve">Canalització enterrada DN200. Línia elèctrica</t>
  </si>
  <si>
    <t xml:space="preserve">Canalització de tub corbable, subministrat en rotllo, de polietilè de doble paret (interior llisa i exterior corrugada), de color taronja, de 200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</si>
  <si>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</si>
  <si>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</si>
  <si>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</si>
  <si>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</si>
  <si>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</si>
  <si>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</si>
  <si>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Subquadre Quadre individual 1.1</t>
  </si>
  <si>
    <t xml:space="preserve">mt01ara010a</t>
  </si>
  <si>
    <t xml:space="preserve">Material</t>
  </si>
  <si>
    <t xml:space="preserve">m³</t>
  </si>
  <si>
    <t xml:space="preserve">Sorra amb granulometria de 0 a 5 mm de diàmetre, neta.</t>
  </si>
  <si>
    <t xml:space="preserve">mt35aia070ai</t>
  </si>
  <si>
    <t xml:space="preserve">Material</t>
  </si>
  <si>
    <t xml:space="preserve">m</t>
  </si>
  <si>
    <t xml:space="preserve">Tub corbable, subministrat en rotllo, de polietilè de doble paret (interior llisa i exterior corrugada), de color taronja, de 200 mm de diàmetre nominal, per a canalització soterrada, resistència a la compressió 450 N, resistència a l'impacte 40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</si>
  <si>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</si>
  <si>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</si>
  <si>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</si>
  <si>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</si>
  <si>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</si>
  <si>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</si>
  <si>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</si>
  <si>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</si>
  <si>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</si>
  <si>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</si>
  <si>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</si>
  <si>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</si>
  <si>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</si>
  <si>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</si>
  <si>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</si>
  <si>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</si>
  <si>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</si>
  <si>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</si>
  <si>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</si>
  <si>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</si>
  <si>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</si>
  <si>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</si>
  <si>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</si>
  <si>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</si>
  <si>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</si>
  <si>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</si>
  <si>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</si>
  <si>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</si>
  <si>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</si>
  <si>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</si>
  <si>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</si>
  <si>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</si>
  <si>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</si>
  <si>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</si>
  <si>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</si>
  <si>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IEO010l</t>
  </si>
  <si>
    <t xml:space="preserve">IEO010lb</t>
  </si>
  <si>
    <t xml:space="preserve">Partida</t>
  </si>
  <si>
    <t xml:space="preserve">m</t>
  </si>
  <si>
    <t xml:space="preserve">Canalització enterrada DN200. Reserva</t>
  </si>
  <si>
    <t xml:space="preserve">Canalització de tub corbable, subministrat en rotllo, de polietilè de doble paret (interior llisa i exterior corrugada), de color taronja, de 200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</si>
  <si>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</si>
  <si>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</si>
  <si>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</si>
  <si>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</si>
  <si>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mt35aia070ai</t>
  </si>
  <si>
    <t xml:space="preserve">Material</t>
  </si>
  <si>
    <t xml:space="preserve">m</t>
  </si>
  <si>
    <t xml:space="preserve">Tub corbable, subministrat en rotllo, de polietilè de doble paret (interior llisa i exterior corrugada), de color taronja, de 200 mm de diàmetre nominal, per a canalització soterrada, resistència a la compressió 450 N, resistència a l'impacte 40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</si>
  <si>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</si>
  <si>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</si>
  <si>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</si>
  <si>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</si>
  <si>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</si>
  <si>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</si>
  <si>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</si>
  <si>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</si>
  <si>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</si>
  <si>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</si>
  <si>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</si>
  <si>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</si>
  <si>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</si>
  <si>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</si>
  <si>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</si>
  <si>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</si>
  <si>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</si>
  <si>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</si>
  <si>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</si>
  <si>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</si>
  <si>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</si>
  <si>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</si>
  <si>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</si>
  <si>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</si>
  <si>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</si>
  <si>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</si>
  <si>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</si>
  <si>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</si>
  <si>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</si>
  <si>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</si>
  <si>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</si>
  <si>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</si>
  <si>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</si>
  <si>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</si>
  <si>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</si>
  <si>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IEO010lb</t>
  </si>
  <si>
    <t xml:space="preserve">IEO010d</t>
  </si>
  <si>
    <t xml:space="preserve">Partida</t>
  </si>
  <si>
    <t xml:space="preserve">m</t>
  </si>
  <si>
    <t xml:space="preserve">Canalització enterrada DN90 entre carregadors</t>
  </si>
  <si>
    <t xml:space="preserve">Canalització de tub corbable, subministrat en rotllo, de polietilè de doble paret (interior llisa i exterior corrugada), de color taronja, de 90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</si>
  <si>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</si>
  <si>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</si>
  <si>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</si>
  <si>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</si>
  <si>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mt35aia070ae</t>
  </si>
  <si>
    <t xml:space="preserve">Material</t>
  </si>
  <si>
    <t xml:space="preserve">m</t>
  </si>
  <si>
    <t xml:space="preserve">Tub corbable, subministrat en rotllo, de polietilè de doble paret (interior llisa i exterior corrugada), de color taronja, de 90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</si>
  <si>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</si>
  <si>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</si>
  <si>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</si>
  <si>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</si>
  <si>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</si>
  <si>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</si>
  <si>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</si>
  <si>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</si>
  <si>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</si>
  <si>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</si>
  <si>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</si>
  <si>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</si>
  <si>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</si>
  <si>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</si>
  <si>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</si>
  <si>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</si>
  <si>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</si>
  <si>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</si>
  <si>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</si>
  <si>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</si>
  <si>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</si>
  <si>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</si>
  <si>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</si>
  <si>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</si>
  <si>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</si>
  <si>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</si>
  <si>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</si>
  <si>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</si>
  <si>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</si>
  <si>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</si>
  <si>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</si>
  <si>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</si>
  <si>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</si>
  <si>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</si>
  <si>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</si>
  <si>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IEO010d</t>
  </si>
  <si>
    <t xml:space="preserve">IEO010i</t>
  </si>
  <si>
    <t xml:space="preserve">Partida</t>
  </si>
  <si>
    <t xml:space="preserve">m</t>
  </si>
  <si>
    <t xml:space="preserve">Canalització enterrada DN 63 entre carregadors</t>
  </si>
  <si>
    <t xml:space="preserve">Canalització de tub corbable, subministrat en rotllo, de polietilè de doble paret (interior llisa i exterior corrugada), de color taronja, de 110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</si>
  <si>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</si>
  <si>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</si>
  <si>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</si>
  <si>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</si>
  <si>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mt35aia070af</t>
  </si>
  <si>
    <t xml:space="preserve">Material</t>
  </si>
  <si>
    <t xml:space="preserve">m</t>
  </si>
  <si>
    <t xml:space="preserve">Tub corbable, subministrat en rotllo, de polietilè de doble paret (interior llisa i exterior corrugada), de color taronja, de 110 mm de diàmetre nominal, per a canalització soterrada, resistència a la compressió 450 N, resistència a l'impacte 28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</si>
  <si>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</si>
  <si>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</si>
  <si>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</si>
  <si>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</si>
  <si>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</si>
  <si>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</si>
  <si>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</si>
  <si>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</si>
  <si>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</si>
  <si>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</si>
  <si>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</si>
  <si>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</si>
  <si>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</si>
  <si>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</si>
  <si>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</si>
  <si>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</si>
  <si>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</si>
  <si>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</si>
  <si>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</si>
  <si>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</si>
  <si>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</si>
  <si>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</si>
  <si>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</si>
  <si>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</si>
  <si>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</si>
  <si>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</si>
  <si>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</si>
  <si>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</si>
  <si>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</si>
  <si>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</si>
  <si>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</si>
  <si>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</si>
  <si>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</si>
  <si>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</si>
  <si>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</si>
  <si>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IEO010i</t>
  </si>
  <si>
    <t xml:space="preserve">IEO010q</t>
  </si>
  <si>
    <t xml:space="preserve">Partida</t>
  </si>
  <si>
    <t xml:space="preserve">m</t>
  </si>
  <si>
    <t xml:space="preserve">Canalització enterrada DN63 enllumenat</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</si>
  <si>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</si>
  <si>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</si>
  <si>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</si>
  <si>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</si>
  <si>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</si>
  <si>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</si>
  <si>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</si>
  <si>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</si>
  <si>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</si>
  <si>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</si>
  <si>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</si>
  <si>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</si>
  <si>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</si>
  <si>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</si>
  <si>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</si>
  <si>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</si>
  <si>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</si>
  <si>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</si>
  <si>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</si>
  <si>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</si>
  <si>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</si>
  <si>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</si>
  <si>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</si>
  <si>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</si>
  <si>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</si>
  <si>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</si>
  <si>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</si>
  <si>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</si>
  <si>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</si>
  <si>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</si>
  <si>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</si>
  <si>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</si>
  <si>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</si>
  <si>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</si>
  <si>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</si>
  <si>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</si>
  <si>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</si>
  <si>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</si>
  <si>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</si>
  <si>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</si>
  <si>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</si>
  <si>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</si>
  <si>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</si>
  <si>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</si>
  <si>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IEO010q</t>
  </si>
  <si>
    <t xml:space="preserve">IEO012a</t>
  </si>
  <si>
    <t xml:space="preserve">Partida</t>
  </si>
  <si>
    <t xml:space="preserve">U</t>
  </si>
  <si>
    <t xml:space="preserve">Sistema de mesura DLM trifàsic indirecte amb Carlo Gavazzi EM530 Modbus MID i TC Circutor TQR-8 1000/5 A, instal·lat, programat i provat</t>
  </si>
  <si>
    <t xml:space="preserve">**Descripció llarga de la partida**
Subministrament, instal·lació, connexió, configuració, programació i posada en servei de sistema de mesura trifàsic indirecte destinat a la funcionalitat de gestió dinàmica de càrrega —DLM, Dynamic Load Management— d’un conjunt de carregadors de vehicle elèctric.
La partida inclou el subministrament i instal·lació d’un contador/analitzador trifàsic **Carlo Gavazzi EM530**, o equivalent de prestacions iguals o superiors, per a mesura indirecta mitjançant transformadors de corrent, apte per a mesura de consum i/o subministrament, amb certificació **MID**, display **LCD**, comunicació **Modbus**, tensió nominal entre **208 i 415 V N-L**, entrada de corrent nominal secundària **5 A**, grau de protecció **IP40**, i totes les prestacions necessàries per a la lectura de potència, energia, intensitat, tensió i resta de magnituds elèctriques necessàries per a la gestió energètica del sistema de recàrrega.
Inclou també el subministrament i instal·lació de transformadors de corrent de nucli partit **Circutor TQR-8 Ø80 mm 1000/5 A**, o equivalents, amb relació de transformació **1000/5 A**, classe d’exactitud **3**, obertura de **80 mm**, grau de protecció **IP20**, aptes per a instal·lació sobre conductors existents sense necessitat de desconnexió del cablejat principal, sempre que les condicions de seguretat i execució ho permetin.
El sistema de mesura s’instal·larà al quadre elèctric general, subquadre de recàrrega o punt de mesura definit al projecte, de manera que permeti conèixer en temps real la potència disponible i/o demandada pel conjunt de la instal·lació, amb l’objectiu de transmetre aquesta informació al sistema de control dels carregadors i limitar dinàmicament la potència de recàrrega disponible, evitant sobrecàrregues, superacions de potència admissible i dispars intempestius de les proteccions generals.
La partida inclou el cablejat de senyal dels transformadors de corrent fins al contador, cablejat d’alimentació i mesura de tensió, cablejat de comunicació Modbus fins al controlador, passarel·la, carregador màster, router, switch o equip de gestió DLM corresponent, segons arquitectura definida pel fabricant dels carregadors i pel projecte. Inclou també bornes, terminals, punteres, petit material, proteccions auxiliars, identificació de circuits, etiquetatge de cables, verificació del sentit dels transformadors, configuració de la relació de transformació, parametrització de comunicacions, adreça Modbus, velocitat de comunicació, paritat i resta de paràmetres necessaris per a la correcta integració del sistema.
El sistema haurà de quedar completament configurat i verificat perquè la informació de mesura sigui llegida correctament pel sistema de gestió dinàmica de càrrega dels carregadors. S’inclou la programació, calibratge funcional, comprovació de lectures de tensió, intensitat, potència activa, energia i sentit de flux, així com la prova de comunicació amb el sistema DLM i la verificació que la limitació de potència actua correctament sobre el grup de carregadors.
S’inclouen les proves finals de funcionament, comprovació de lectures, verificació de coherència amb pinça amperimètrica o equip de mesura extern, comprovació de comunicacions Modbus, simulació o prova real de demanda dels carregadors, ajust de consignes de potència i entrega de la configuració final. També s’inclou la documentació de posada en servei, indicant relació de transformació configurada, punt de mesura, esquema de connexió, adreça de comunicació, paràmetres Modbus, equip o plataforma DLM associada i resultats de les proves realitzades.
La partida inclou tots els materials, accessoris, mà d’obra, connexions, programació, proves, verificacions i posada en servei necessaris per deixar el sistema completament operatiu i integrat amb la gestió dinàmica de càrrega dels carregadors.</t>
  </si>
  <si>
    <t xml:space="preserve">IE_AC_LEAR</t>
  </si>
  <si>
    <t xml:space="preserve">II_AC_LEAR</t>
  </si>
  <si>
    <t xml:space="preserve">Capítol</t>
  </si>
  <si>
    <t xml:space="preserve">Il·luminació</t>
  </si>
  <si>
    <t xml:space="preserve">IIX001</t>
  </si>
  <si>
    <t xml:space="preserve">Partida</t>
  </si>
  <si>
    <t xml:space="preserve">U</t>
  </si>
  <si>
    <t xml:space="preserve">Subministre i d'enllumenat exterior model Lluminària IGUZZIN model ITEKA referència 3.BV22.715.0 amb lluminària LED de 1910 LM 22.1 en columna de 4 mts d'altura</t>
  </si>
  <si>
    <t xml:space="preserve">Subministre i instal·lació de lluminària per exterior Lluminària iTeka BV22, inclou Columna 4 m + accessoris/adaptador/base, Petit material, cablejat interior, borns, fixacions, Mà d’obra de muntatg
Amb dau de fonamentació, ancoratges i connexió exterior. Inclou: Replanteig. Muntatge,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</si>
  <si>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Uts.</t>
  </si>
  <si>
    <t xml:space="preserve">Llargada</t>
  </si>
  <si>
    <t xml:space="preserve">Amplada</t>
  </si>
  <si>
    <t xml:space="preserve">Alçada</t>
  </si>
  <si>
    <t xml:space="preserve">Parcial</t>
  </si>
  <si>
    <t xml:space="preserve">Subtotal</t>
  </si>
  <si>
    <t xml:space="preserve">II_AC_LEAR</t>
  </si>
  <si>
    <t xml:space="preserve">IT_AC_LEAR</t>
  </si>
  <si>
    <t xml:space="preserve">Capítol</t>
  </si>
  <si>
    <t xml:space="preserve">Telecomunicacions</t>
  </si>
  <si>
    <t xml:space="preserve">IAF070b</t>
  </si>
  <si>
    <t xml:space="preserve">Partida</t>
  </si>
  <si>
    <t xml:space="preserve">m</t>
  </si>
  <si>
    <t xml:space="preserve">Cable de parells de coure.</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</si>
  <si>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Inclús accessoris i elements de subjecció.
Inclou: Estesa de cables.
Criteri d'amidament de projecte: Longitud mesurada segons documentació gràfica de Projecte.
Criteri de mesura d'obra: Es mesurarà la longitud realment executada segons especificacions de Projecte.</t>
  </si>
  <si>
    <t xml:space="preserve">mt40cpt010c</t>
  </si>
  <si>
    <t xml:space="preserve">Material</t>
  </si>
  <si>
    <t xml:space="preserve">m</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</si>
  <si>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</si>
  <si>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</si>
  <si>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</si>
  <si>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</si>
  <si>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</si>
  <si>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</si>
  <si>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</si>
  <si>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</si>
  <si>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</si>
  <si>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</si>
  <si>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</si>
  <si>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</si>
  <si>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IAF070b</t>
  </si>
  <si>
    <t xml:space="preserve">IAF07f</t>
  </si>
  <si>
    <t xml:space="preserve">Partida</t>
  </si>
  <si>
    <t xml:space="preserve">m</t>
  </si>
  <si>
    <t xml:space="preserve">Cable RS-485/Modbus 2x2x0,22–0,25 mm² apantallat 120 ohms</t>
  </si>
  <si>
    <t xml:space="preserve">Cable de comunicacions industrial per a bus Modbus RTU/RS-485, tipus 2x2x0,50 mm² apantallat, impedància característica 120 ?, baixa capacitat, coberta LSZH lliure d’halògens i baixa emissió de fums, apte per a instal·lació en canalització enterrada o entorn industrial, inclosa estesa en tub existent, connexió a bornes, continuïtat de pantalla, etiquetatge, comprovació de polaritat A/B, verificació de comunicació Modbus i proves finals.Inclús accessoris i elements de subjecció.
Inclou: Estesa de cables.
Criteri d'amidament de projecte: Longitud mesurada segons documentació gràfica de Projecte.
Criteri de mesura d'obra: Es mesurarà la longitud realment executada segons especificacions de Projecte.
S’admetrà cable equivalent 2x2x22 AWG apantallat 120 ? LSZH sempre que el fabricant acrediti la seva aptitud per a comunicació RS-485/Modbus en la distància prevista i condicions d’instal·lació del projecte.</t>
  </si>
  <si>
    <t xml:space="preserve">mt40cpt01d</t>
  </si>
  <si>
    <t xml:space="preserve">Material</t>
  </si>
  <si>
    <t xml:space="preserve">m</t>
  </si>
  <si>
    <t xml:space="preserve">Cable RS-485 Modbus RTU 2x2x0,50 mm² apantallat, 120 ?, LSZH, en canalització existent, inclosa estesa, connexió, etiquetatge i proves</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</si>
  <si>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</si>
  <si>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</si>
  <si>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</si>
  <si>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</si>
  <si>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</si>
  <si>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</si>
  <si>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</si>
  <si>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</si>
  <si>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</si>
  <si>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</si>
  <si>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</si>
  <si>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IAF07f</t>
  </si>
  <si>
    <t xml:space="preserve">IAF085b</t>
  </si>
  <si>
    <t xml:space="preserve">Partida</t>
  </si>
  <si>
    <t xml:space="preserve">U</t>
  </si>
  <si>
    <t xml:space="preserve">Multiplexor.</t>
  </si>
  <si>
    <t xml:space="preserve">Multiplexor passiu d'una entrada i 8 sortides, amb connectors femella tipus RJ-45 de 8 contactes, categoria 6, color blanc i tirantet de connexió de 0,5 m de longitud format per cable rígid U/UTP no propagador de la flama de 4 parells de coure, categoria 6, amb conductor unifilar de coure, aïllament de polietilè i beina exterior de PVC LSFH lliure de halògens, amb baixa emissió de fums i gasos corrosius i connector mascle tipus RJ-45 de 8 contactes, categoria 6, en tots dos extrems.
Inclou: Col·locació del multiplexor.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</si>
  <si>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mt40mta060b</t>
  </si>
  <si>
    <t xml:space="preserve">Material</t>
  </si>
  <si>
    <t xml:space="preserve">U</t>
  </si>
  <si>
    <t xml:space="preserve">Multiplexor passiu d'una entrada i 8 sortides, amb connectors femella tipus RJ-45 de 8 contactes, categoria 6, color blanc.</t>
  </si>
  <si>
    <t xml:space="preserve">mt40mta070b</t>
  </si>
  <si>
    <t xml:space="preserve">Material</t>
  </si>
  <si>
    <t xml:space="preserve">U</t>
  </si>
  <si>
    <t xml:space="preserve">Tirantet de connexió de 0,5 m de longitud format per cable rígid U/UTP no propagador de la flama de 4 parells de coure, categoria 6, amb conductor unifilar de coure, aïllament de polietilè i beina exterior de PVC LSFH lliure de halògens, amb baixa emissió de fums i gasos corrosius i connector mascle tipus RJ-45 de 8 contactes, categoria 6, en tots dos extrems,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</si>
  <si>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</si>
  <si>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</si>
  <si>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</si>
  <si>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</si>
  <si>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</si>
  <si>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</si>
  <si>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</si>
  <si>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</si>
  <si>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</si>
  <si>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</si>
  <si>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</si>
  <si>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IAF085b</t>
  </si>
  <si>
    <t xml:space="preserve">IEO010m</t>
  </si>
  <si>
    <t xml:space="preserve">Partida</t>
  </si>
  <si>
    <t xml:space="preserve">m</t>
  </si>
  <si>
    <t xml:space="preserve">Canalització de de telecomunicacions DN63</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</si>
  <si>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</si>
  <si>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</si>
  <si>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</si>
  <si>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</si>
  <si>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</si>
  <si>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</si>
  <si>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</si>
  <si>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</si>
  <si>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</si>
  <si>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</si>
  <si>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</si>
  <si>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</si>
  <si>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</si>
  <si>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</si>
  <si>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</si>
  <si>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</si>
  <si>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</si>
  <si>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</si>
  <si>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</si>
  <si>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</si>
  <si>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</si>
  <si>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</si>
  <si>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</si>
  <si>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</si>
  <si>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</si>
  <si>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</si>
  <si>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</si>
  <si>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</si>
  <si>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</si>
  <si>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</si>
  <si>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</si>
  <si>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</si>
  <si>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</si>
  <si>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</si>
  <si>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</si>
  <si>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</si>
  <si>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</si>
  <si>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</si>
  <si>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</si>
  <si>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</si>
  <si>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</si>
  <si>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</si>
  <si>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</si>
  <si>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</si>
  <si>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IEO010m</t>
  </si>
  <si>
    <t xml:space="preserve">IEO010jb</t>
  </si>
  <si>
    <t xml:space="preserve">Partida</t>
  </si>
  <si>
    <t xml:space="preserve">m</t>
  </si>
  <si>
    <t xml:space="preserve">Canalització de de telecomunicacions DN63. reserva</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</si>
  <si>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</si>
  <si>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</si>
  <si>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</si>
  <si>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</si>
  <si>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</si>
  <si>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</si>
  <si>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</si>
  <si>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</si>
  <si>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</si>
  <si>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</si>
  <si>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</si>
  <si>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</si>
  <si>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</si>
  <si>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</si>
  <si>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</si>
  <si>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</si>
  <si>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</si>
  <si>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</si>
  <si>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</si>
  <si>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</si>
  <si>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</si>
  <si>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</si>
  <si>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</si>
  <si>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</si>
  <si>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</si>
  <si>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</si>
  <si>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</si>
  <si>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</si>
  <si>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</si>
  <si>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</si>
  <si>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</si>
  <si>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</si>
  <si>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</si>
  <si>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</si>
  <si>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</si>
  <si>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</si>
  <si>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</si>
  <si>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</si>
  <si>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</si>
  <si>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</si>
  <si>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</si>
  <si>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</si>
  <si>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</si>
  <si>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</si>
  <si>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IEO010jb</t>
  </si>
  <si>
    <t xml:space="preserve">IEO010jc</t>
  </si>
  <si>
    <t xml:space="preserve">Partida</t>
  </si>
  <si>
    <t xml:space="preserve">m</t>
  </si>
  <si>
    <t xml:space="preserve">Canalització de de telecomunicacions DN63. Entre carregadors</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</si>
  <si>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</si>
  <si>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</si>
  <si>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</si>
  <si>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</si>
  <si>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</si>
  <si>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</si>
  <si>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</si>
  <si>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</si>
  <si>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</si>
  <si>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</si>
  <si>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</si>
  <si>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</si>
  <si>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</si>
  <si>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</si>
  <si>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</si>
  <si>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</si>
  <si>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</si>
  <si>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</si>
  <si>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</si>
  <si>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</si>
  <si>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</si>
  <si>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</si>
  <si>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</si>
  <si>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</si>
  <si>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</si>
  <si>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</si>
  <si>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</si>
  <si>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</si>
  <si>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</si>
  <si>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</si>
  <si>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</si>
  <si>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</si>
  <si>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</si>
  <si>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</si>
  <si>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</si>
  <si>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</si>
  <si>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</si>
  <si>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</si>
  <si>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</si>
  <si>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</si>
  <si>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</si>
  <si>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</si>
  <si>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</si>
  <si>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</si>
  <si>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IEO010jc</t>
  </si>
  <si>
    <t xml:space="preserve">IT_AC_LEAR</t>
  </si>
  <si>
    <t xml:space="preserve">I_AC_LEAR</t>
  </si>
  <si>
    <t xml:space="preserve">I_EG</t>
  </si>
  <si>
    <t xml:space="preserve">Capítol</t>
  </si>
  <si>
    <t xml:space="preserve">Facultat de Medicina - Emili Grahit</t>
  </si>
  <si>
    <t xml:space="preserve">OBRA_EG</t>
  </si>
  <si>
    <t xml:space="preserve">Capítol</t>
  </si>
  <si>
    <t xml:space="preserve">Adequació obra civil Albert</t>
  </si>
  <si>
    <t xml:space="preserve">ROO020c</t>
  </si>
  <si>
    <t xml:space="preserve">Partida</t>
  </si>
  <si>
    <t xml:space="preserve">m²</t>
  </si>
  <si>
    <t xml:space="preserve">Pintura de poliuretà alifàtic, sobre terra de garatge. Color verd</t>
  </si>
  <si>
    <t xml:space="preserve">Aplicació manual de dues mans de pintura de poliuretà alifàtic, incolor, acabat mat, textura llisa, (rendiment: 0,06 l/m² cada mà); sobre terra de garatge de formigó.
Inclou: Neteja general de la superfície suport. Preparació de la mescla. Aplicació d'una mà de fons i una mà d'acabat.
Criteri d'amidament de projecte: Superfície mesurada segons documentació gràfica de Projecte, amb el mateix criteri que el suport base.
Criteri de mesura d'obra: Es mesurarà la superfície realment executada segons especificacions de Projecte, amb el mateix criteri que el suport base.</t>
  </si>
  <si>
    <t xml:space="preserve">mt27ppi020e</t>
  </si>
  <si>
    <t xml:space="preserve">Material</t>
  </si>
  <si>
    <t xml:space="preserve">l</t>
  </si>
  <si>
    <t xml:space="preserve">Pintura per a interior, monocomponent a base de poliuretà alifàtic, incolor, acabat mat, textura llisa; per a aplicar amb brotxa, corró o pistola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</si>
  <si>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</si>
  <si>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</si>
  <si>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</si>
  <si>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</si>
  <si>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</si>
  <si>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</si>
  <si>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</si>
  <si>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</si>
  <si>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</si>
  <si>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</si>
  <si>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</si>
  <si>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ROO020c</t>
  </si>
  <si>
    <t xml:space="preserve">ROO040c</t>
  </si>
  <si>
    <t xml:space="preserve">Partida</t>
  </si>
  <si>
    <t xml:space="preserve">U</t>
  </si>
  <si>
    <t xml:space="preserve">Marcat de fletxes i inscripcions en pintura a terra. Color blanc</t>
  </si>
  <si>
    <t xml:space="preserve">Aplicació manual de dues mans de pintura plàstica, color blanc, acabat setinat, textura llisa, diluïdes amb un 10 a 15% d'aigua; per a marcat de fletxes i inscripcions en garatges, amb una plantilla de fins a 100x100 cm.
Inclou: Preparació de la superfície. Execució del marcat.
Criteri d'amidament de projecte: Nombre d'unitats previstes, segons documentació gràfica de Projecte.
Criteri de mesura d'obra: Es mesurarà el nombre d'unitats realment executades segons especificacions de Projecte.</t>
  </si>
  <si>
    <t xml:space="preserve">mt27mvp010e</t>
  </si>
  <si>
    <t xml:space="preserve">Material</t>
  </si>
  <si>
    <t xml:space="preserve">l</t>
  </si>
  <si>
    <t xml:space="preserve">Pintura per a exterior, a base de resines acríliques, color blanc, acabat setinat, textura llisa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</si>
  <si>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</si>
  <si>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</si>
  <si>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</si>
  <si>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</si>
  <si>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</si>
  <si>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</si>
  <si>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</si>
  <si>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</si>
  <si>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</si>
  <si>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</si>
  <si>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</si>
  <si>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ROO040c</t>
  </si>
  <si>
    <t xml:space="preserve">ROO030c</t>
  </si>
  <si>
    <t xml:space="preserve">Partida</t>
  </si>
  <si>
    <t xml:space="preserve">m</t>
  </si>
  <si>
    <t xml:space="preserve">Marcat de places de garatge.</t>
  </si>
  <si>
    <t xml:space="preserve">Aplicació manual de dues mans de pintura plàstica, color blanc, acabat setinat, textura llisa, diluïdes amb un 10 a 15% d'aigua; per a marcat de places de garatge, amb línies de 10 cm d'amplada, contínues o discontínues.
Inclou: Preparació de la superfície. Execució del marcat.
Criteri d'amidament de projecte: Longitud mesurada segons documentació gràfica de Projecte.
Criteri de mesura d'obra: Es mesurarà la longitud realment executada segons especificacions de Projecte.</t>
  </si>
  <si>
    <t xml:space="preserve">mt27mvp010e</t>
  </si>
  <si>
    <t xml:space="preserve">Material</t>
  </si>
  <si>
    <t xml:space="preserve">l</t>
  </si>
  <si>
    <t xml:space="preserve">Pintura per a exterior, a base de resines acríliques, color blanc, acabat setinat, textura llisa</t>
  </si>
  <si>
    <t xml:space="preserve">mt27wav020a</t>
  </si>
  <si>
    <t xml:space="preserve">Material</t>
  </si>
  <si>
    <t xml:space="preserve">m</t>
  </si>
  <si>
    <t xml:space="preserve">Cinta adhesiva de pintor, de 25 mm d'amplada.</t>
  </si>
  <si>
    <t xml:space="preserve">mo038</t>
  </si>
  <si>
    <t xml:space="preserve">Mà d'obra</t>
  </si>
  <si>
    <t xml:space="preserve">h</t>
  </si>
  <si>
    <t xml:space="preserve">Oficial 1ª pintor.</t>
  </si>
  <si>
    <t xml:space="preserve">mo076</t>
  </si>
  <si>
    <t xml:space="preserve">Mà d'obra</t>
  </si>
  <si>
    <t xml:space="preserve">h</t>
  </si>
  <si>
    <t xml:space="preserve">Ajudant pintor.</t>
  </si>
  <si>
    <t xml:space="preserve">%</t>
  </si>
  <si>
    <t xml:space="preserve">%</t>
  </si>
  <si>
    <t xml:space="preserve">Costos directes complementaris</t>
  </si>
  <si>
    <t xml:space="preserve">ROO030c</t>
  </si>
  <si>
    <t xml:space="preserve">UMH010c</t>
  </si>
  <si>
    <t xml:space="preserve">Partida</t>
  </si>
  <si>
    <t xml:space="preserve">U</t>
  </si>
  <si>
    <t xml:space="preserve">Bol·lard fixe</t>
  </si>
  <si>
    <t xml:space="preserve">Bol·lard fixe, de 820x185 mm, acabat amb pintura antioxidant de color negre, fixat amb tacs d'expansió d'acer, cargols especials i pasta química a una base de formigó HM-20/P/20/X0. Inclús excavació i formigonat de la base de recolzament. Totalment muntat.
Inclou: Replanteig d'alineacions i nivells. Excavació. Execució de la base de formigó. Col·locació i fixació de les peces.
Criteri d'amidament de projecte: Nombre d'unitats previstes, segons documentació gràfica de Projecte.
Criteri de mesura d'obra: Es mesurarà el nombre d'unitats realment executades segons especificacions de Projecte.</t>
  </si>
  <si>
    <t xml:space="preserve">mt52mug010a</t>
  </si>
  <si>
    <t xml:space="preserve">Material</t>
  </si>
  <si>
    <t xml:space="preserve">U</t>
  </si>
  <si>
    <t xml:space="preserve">Bol·lard fixe, de 820x185 mm, acabat amb pintura antioxidant de color negre.</t>
  </si>
  <si>
    <t xml:space="preserve">mt52mug200g</t>
  </si>
  <si>
    <t xml:space="preserve">Material</t>
  </si>
  <si>
    <t xml:space="preserve">U</t>
  </si>
  <si>
    <t xml:space="preserve">Repercussió, en la col·locació de bol·lard, d'elements de fixació sobre formigó: tacs d'expansió d'acer, cargols especials i pasta química.</t>
  </si>
  <si>
    <t xml:space="preserve">mt10hmf010tLc</t>
  </si>
  <si>
    <t xml:space="preserve">Material</t>
  </si>
  <si>
    <t xml:space="preserve">m³</t>
  </si>
  <si>
    <t xml:space="preserve">Formigó HM-20/P/20/X0, fabricat en central.</t>
  </si>
  <si>
    <t xml:space="preserve">mo041</t>
  </si>
  <si>
    <t xml:space="preserve">Mà d'obra</t>
  </si>
  <si>
    <t xml:space="preserve">h</t>
  </si>
  <si>
    <t xml:space="preserve">Oficial 1ª construcció d'obra civil.</t>
  </si>
  <si>
    <t xml:space="preserve">mo087</t>
  </si>
  <si>
    <t xml:space="preserve">Mà d'obra</t>
  </si>
  <si>
    <t xml:space="preserve">h</t>
  </si>
  <si>
    <t xml:space="preserve">Ajudant construcció d'obra civil.</t>
  </si>
  <si>
    <t xml:space="preserve">%</t>
  </si>
  <si>
    <t xml:space="preserve">%</t>
  </si>
  <si>
    <t xml:space="preserve">Costos directes complementaris</t>
  </si>
  <si>
    <t xml:space="preserve">UMH010c</t>
  </si>
  <si>
    <t xml:space="preserve">UMH011</t>
  </si>
  <si>
    <t xml:space="preserve">Partida</t>
  </si>
  <si>
    <t xml:space="preserve">U</t>
  </si>
  <si>
    <t xml:space="preserve">Senyal Vertical per aparctament de vehicles elèctrics</t>
  </si>
  <si>
    <t xml:space="preserve">Senyal vertical fixe de 600x900 mmm . Decorat en impressió vinil, antigrafitis, dors natural. Suport d'acer galvanitzat de 80x40x2mm de 3.5 mt d'alçada i abraçadera d'alumini 80x40.Inclou partides addicionals per la seva correcte fixació i col·locació. Criteri d'amidament de projecte: Nombre d'unitats previstes, segons documentació gràfica de Projecte. Criteri de mesura d'obra: Es mesurarà el nombre d'unitats realment executades segons especificacions de Projecte.</t>
  </si>
  <si>
    <t xml:space="preserve">mt52mug010c</t>
  </si>
  <si>
    <t xml:space="preserve">Material</t>
  </si>
  <si>
    <t xml:space="preserve">U</t>
  </si>
  <si>
    <t xml:space="preserve">Senyal Fixe, rectangular, de 600x900, decorat en impressió de vinil a tot color, antigrafi + suport acer galvanitzat 80x40x2,, de 3.5mt d'alçada</t>
  </si>
  <si>
    <t xml:space="preserve">mt52mug200g</t>
  </si>
  <si>
    <t xml:space="preserve">Material</t>
  </si>
  <si>
    <t xml:space="preserve">U</t>
  </si>
  <si>
    <t xml:space="preserve">Repercussió, en la col·locació de bol·lard, d'elements de fixació sobre formigó: tacs d'expansió d'acer, cargols especials i pasta química.</t>
  </si>
  <si>
    <t xml:space="preserve">mt10hmf010tLc</t>
  </si>
  <si>
    <t xml:space="preserve">Material</t>
  </si>
  <si>
    <t xml:space="preserve">m³</t>
  </si>
  <si>
    <t xml:space="preserve">Formigó HM-20/P/20/X0, fabricat en central.</t>
  </si>
  <si>
    <t xml:space="preserve">mo041</t>
  </si>
  <si>
    <t xml:space="preserve">Mà d'obra</t>
  </si>
  <si>
    <t xml:space="preserve">h</t>
  </si>
  <si>
    <t xml:space="preserve">Oficial 1ª construcció d'obra civil.</t>
  </si>
  <si>
    <t xml:space="preserve">mo087</t>
  </si>
  <si>
    <t xml:space="preserve">Mà d'obra</t>
  </si>
  <si>
    <t xml:space="preserve">h</t>
  </si>
  <si>
    <t xml:space="preserve">Ajudant construcció d'obra civil.</t>
  </si>
  <si>
    <t xml:space="preserve">%</t>
  </si>
  <si>
    <t xml:space="preserve">%</t>
  </si>
  <si>
    <t xml:space="preserve">Costos directes complementaris</t>
  </si>
  <si>
    <t xml:space="preserve">UMH011</t>
  </si>
  <si>
    <t xml:space="preserve">OBRA_EG</t>
  </si>
  <si>
    <t xml:space="preserve">ILLU_EG</t>
  </si>
  <si>
    <t xml:space="preserve">Capítol</t>
  </si>
  <si>
    <t xml:space="preserve">Il·luminació</t>
  </si>
  <si>
    <t xml:space="preserve">IIX001c</t>
  </si>
  <si>
    <t xml:space="preserve">Partida</t>
  </si>
  <si>
    <t xml:space="preserve">U</t>
  </si>
  <si>
    <t xml:space="preserve">Instal·lació d'enllumenat exterior</t>
  </si>
  <si>
    <t xml:space="preserve">Instal·lació d'enllumenat exterior. Inclou: Replanteig. Muntatge,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</si>
  <si>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mt34aln110</t>
  </si>
  <si>
    <t xml:space="preserve">Material</t>
  </si>
  <si>
    <t xml:space="preserve">U</t>
  </si>
  <si>
    <t xml:space="preserve">Aplic per a exterior. Model: 24220K3. Casa comercial: Bega. Longitud: 80 mm. Amplada: 170 mm. Altura: 80 mm. Potència: 11 W. Alimentació: 220/240 V i 50-60 Hz. Llum LED no reemplaçable. Temperatura de color: 4000 K. Índex de reproducció cromàtica: major de 80. Flux lluminós: 753 lúmens. Eficiència de la lluminària: 68.4545 lúmens/W. Grau de protecció: IP65. Grau de protecció contra impactes: IK10. Components inclosos: accessoris.</t>
  </si>
  <si>
    <t xml:space="preserve">mt34wwn001d</t>
  </si>
  <si>
    <t xml:space="preserve">Material</t>
  </si>
  <si>
    <t xml:space="preserve">U</t>
  </si>
  <si>
    <t xml:space="preserve">Material auxiliar per a lluminària. Instal·lació en superfície, a paret, a menys de 3 m d'altura.</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</si>
  <si>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</si>
  <si>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</si>
  <si>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</si>
  <si>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</si>
  <si>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</si>
  <si>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</si>
  <si>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</si>
  <si>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</si>
  <si>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</si>
  <si>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</si>
  <si>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</si>
  <si>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IIX001c</t>
  </si>
  <si>
    <t xml:space="preserve">ILLU_EG</t>
  </si>
  <si>
    <t xml:space="preserve">IEE_EG</t>
  </si>
  <si>
    <t xml:space="preserve">Capítol</t>
  </si>
  <si>
    <t xml:space="preserve">Elèctriques</t>
  </si>
  <si>
    <t xml:space="preserve">IEI_V2C_POLE_C</t>
  </si>
  <si>
    <t xml:space="preserve">Partida</t>
  </si>
  <si>
    <t xml:space="preserve">U</t>
  </si>
  <si>
    <t xml:space="preserve">Subministre i instal·lació de punt de recàrrega doble V2C Pole Pro 22 kW, 2 bases T2, trifàsic, de terra</t>
  </si>
  <si>
    <t xml:space="preserve">Subministrament i instal·lació de 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 configurat i provat.</t>
  </si>
  <si>
    <t xml:space="preserve">mt35cgm050</t>
  </si>
  <si>
    <t xml:space="preserve">Material</t>
  </si>
  <si>
    <t xml:space="preserve">U</t>
  </si>
  <si>
    <t xml:space="preserve">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t>
  </si>
  <si>
    <t xml:space="preserve">mo102</t>
  </si>
  <si>
    <t xml:space="preserve">Mà d'obra</t>
  </si>
  <si>
    <t xml:space="preserve">h</t>
  </si>
  <si>
    <t xml:space="preserve">Ajudant electricista.</t>
  </si>
  <si>
    <t xml:space="preserve">mo003</t>
  </si>
  <si>
    <t xml:space="preserve">Mà d'obra</t>
  </si>
  <si>
    <t xml:space="preserve">h</t>
  </si>
  <si>
    <t xml:space="preserve">Oficial 1ª electricista.</t>
  </si>
  <si>
    <t xml:space="preserve">IEI_V2C_POLE_C</t>
  </si>
  <si>
    <t xml:space="preserve">IEO010s</t>
  </si>
  <si>
    <t xml:space="preserve">Partida</t>
  </si>
  <si>
    <t xml:space="preserve">m</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</si>
  <si>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</si>
  <si>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</si>
  <si>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</si>
  <si>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</si>
  <si>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</si>
  <si>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</si>
  <si>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</si>
  <si>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</si>
  <si>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</si>
  <si>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</si>
  <si>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</si>
  <si>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</si>
  <si>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</si>
  <si>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</si>
  <si>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</si>
  <si>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</si>
  <si>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</si>
  <si>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</si>
  <si>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</si>
  <si>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</si>
  <si>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</si>
  <si>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</si>
  <si>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</si>
  <si>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</si>
  <si>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</si>
  <si>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</si>
  <si>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</si>
  <si>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</si>
  <si>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</si>
  <si>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</si>
  <si>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</si>
  <si>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</si>
  <si>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</si>
  <si>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</si>
  <si>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</si>
  <si>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</si>
  <si>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</si>
  <si>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</si>
  <si>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</si>
  <si>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</si>
  <si>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</si>
  <si>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</si>
  <si>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</si>
  <si>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</si>
  <si>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</si>
  <si>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</si>
  <si>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</si>
  <si>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</si>
  <si>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</si>
  <si>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</si>
  <si>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</si>
  <si>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</si>
  <si>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IEO010s</t>
  </si>
  <si>
    <t xml:space="preserve">IEH012o</t>
  </si>
  <si>
    <t xml:space="preserve">Partida</t>
  </si>
  <si>
    <t xml:space="preserve">m</t>
  </si>
  <si>
    <t xml:space="preserve">Cable multipolar RZ1-K (AS), sent la seva tensió assignada de 0,6/1 kV, reacció al foc classe Cca-s1b,d1,a1, amb conductor de coure classe 5 (-K) de 5G10 mm² de secció, amb aïllament de polietilè reticulat (R) i coberta de compost termoplàstic a força de poliolefina lliure de halògens amb baixa emissió de fums i gasos corrosius (Z1). Inclús accessoris i elements de subjecció.</t>
  </si>
  <si>
    <t xml:space="preserve">Cable multipolar RZ1-K (AS), sent la seva tensió assignada de 0,6/1 kV, reacció al foc classe Cca-s1b,d1,a1, amb conductor de coure classe 5 (-K) de 5G10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</si>
  <si>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</si>
  <si>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</si>
  <si>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</si>
  <si>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</si>
  <si>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</si>
  <si>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</si>
  <si>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</si>
  <si>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Subquadre Quadre individual 1.1</t>
  </si>
  <si>
    <t xml:space="preserve">mt35cun010g2</t>
  </si>
  <si>
    <t xml:space="preserve">Material</t>
  </si>
  <si>
    <t xml:space="preserve">m</t>
  </si>
  <si>
    <t xml:space="preserve">Cable multipolar RZ1-K (AS), sent la seva tensió assignada de 0,6/1 kV, reacció al foc classe Cca-s1b,d1,a1 segons UNE-EN 50575, amb conductor de coure classe 5 (-K) de 5G10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</si>
  <si>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</si>
  <si>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</si>
  <si>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</si>
  <si>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</si>
  <si>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</si>
  <si>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</si>
  <si>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</si>
  <si>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</si>
  <si>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</si>
  <si>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</si>
  <si>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</si>
  <si>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IEH012o</t>
  </si>
  <si>
    <t xml:space="preserve">IEI070bb</t>
  </si>
  <si>
    <t xml:space="preserve">Partida</t>
  </si>
  <si>
    <t xml:space="preserve">U</t>
  </si>
  <si>
    <t xml:space="preserve">Quadre individual format per caixa de material aïllant i els dispositius de comandament i protecció.</t>
  </si>
  <si>
    <t xml:space="preserve">Quadre individual format per caixa encastable de material aïllant amb porta opaca, per a allotjament del interruptor de control de potència (ICP) (no inclòs en aquest preu) en compartiment independent i precintable, 1 interruptor general automàtic (IGA) tetrapolar (4P) i altres dispositius generals i individuals de comandament i protecció. Inclús elements de fixació, reglets de connexió i quants accessoris siguin necessaris per a la seva correcta instal·lació. Totalment muntat, connexionat i provat.
Inclou: Replanteig. Col·locació de la caixa per al quadre. Connexionat. Muntatge dels components.
Criteri d'amidament de projecte: Nombre d'unitats previstes, segons documentació gràfica de Projecte.
Criteri de mesura d'obra: Es mesurarà el nombre d'unitats realment executades segons especificacions de Projecte.</t>
  </si>
  <si>
    <t xml:space="preserve">mt35cgm040a</t>
  </si>
  <si>
    <t xml:space="preserve">Material</t>
  </si>
  <si>
    <t xml:space="preserve">U</t>
  </si>
  <si>
    <t xml:space="preserve">Caixa encastable amb porta opaca, per allotjament del interruptor de control de potència (ICP) en compartiment independent i precintable i els interruptors de protecció de la instal·lació, 1 fila de 4 mòduls (ICP) + 1 fila de 14 mòduls. Fabricada en ABS autoextingible, amb grau de protecció IP40, doble aïllament (classe II), color blanc RAL 9010. Segons UNE-EN 60670-1.</t>
  </si>
  <si>
    <t xml:space="preserve">mt35cgm021adeap</t>
  </si>
  <si>
    <t xml:space="preserve">Material</t>
  </si>
  <si>
    <t xml:space="preserve">U</t>
  </si>
  <si>
    <t xml:space="preserve">Interruptor general automàtic (IGA), de 4 mòduls, tetrapolar (4P), amb 15 kA de poder de tall, de 63 A d'intensitat nominal, corba C, inclús accessoris de muntatge. Segons UNE-EN 60947-2.</t>
  </si>
  <si>
    <t xml:space="preserve">mt35cgm021bdeap</t>
  </si>
  <si>
    <t xml:space="preserve">Material</t>
  </si>
  <si>
    <t xml:space="preserve">U</t>
  </si>
  <si>
    <t xml:space="preserve">Interruptor automàtic magnetotèrmic, de 4 mòduls, tetrapolar (4P), amb 15 kA de poder de tall, de 63 A d'intensitat nominal, corba C, inclús accessoris de muntatge. Segons UNE-EN 60947-2.</t>
  </si>
  <si>
    <t xml:space="preserve">mt35cgm060</t>
  </si>
  <si>
    <t xml:space="preserve">Material</t>
  </si>
  <si>
    <t xml:space="preserve">U</t>
  </si>
  <si>
    <t xml:space="preserve">Bobina de protecció contra sobretensions permanents fase-neutre de 230 Vca i tensió de disparament de 255 Vca.</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</si>
  <si>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</si>
  <si>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</si>
  <si>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</si>
  <si>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</si>
  <si>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</si>
  <si>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</si>
  <si>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</si>
  <si>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</si>
  <si>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</si>
  <si>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</si>
  <si>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</si>
  <si>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</si>
  <si>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</si>
  <si>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</si>
  <si>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</si>
  <si>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IEI070bb</t>
  </si>
  <si>
    <t xml:space="preserve">IEI070d</t>
  </si>
  <si>
    <t xml:space="preserve">Partida</t>
  </si>
  <si>
    <t xml:space="preserve">U</t>
  </si>
  <si>
    <t xml:space="preserve">Quadre secundari Subquadre Quadre individual 1.1 format per caixa de material aïllant i els dispositius de comandament i protecció.</t>
  </si>
  <si>
    <t xml:space="preserve">Quadre secundari Subquadre Quadre individual 1.1 format per caixa encastable de material aïllant amb porta opaca, per a allotjament de dispositius individuals de comandament i protecció. Inclús elements de fixació, reglets de connexió i quants accessoris siguin necessaris per a la seva correcta instal·lació. Totalment muntat, connexionat i provat.
Inclou: Replanteig. Col·locació de la caixa per al quadre secundari. Connexionat. Muntatge dels components.
Criteri d'amidament de projecte: Nombre d'unitats previstes, segons documentació gràfica de Projecte.
Criteri de mesura d'obra: Es mesurarà el nombre d'unitats realment executades segons especificacions de Projecte.</t>
  </si>
  <si>
    <t xml:space="preserve">mt35cgm041y</t>
  </si>
  <si>
    <t xml:space="preserve">Material</t>
  </si>
  <si>
    <t xml:space="preserve">U</t>
  </si>
  <si>
    <t xml:space="preserve">Caixa per a allotjament dels interruptors de protecció de la instal·lació, 2 files de 12 mòduls, de ABS autoextingible, de color blanc RAL 9010, amb porta opaca, grau de protecció IP40 i doble aïllament (classe II), per a encastar. Segons UNE-EN 60670-1.</t>
  </si>
  <si>
    <t xml:space="preserve">mt35cgm029aa</t>
  </si>
  <si>
    <t xml:space="preserve">Material</t>
  </si>
  <si>
    <t xml:space="preserve">U</t>
  </si>
  <si>
    <t xml:space="preserve">Interruptor diferencial instantani, 2P/25A/30mA, de 2 mòduls, inclús accessoris de muntatge. Segons UNE-EN 61008-1.</t>
  </si>
  <si>
    <t xml:space="preserve">mt35cgm031ab</t>
  </si>
  <si>
    <t xml:space="preserve">Material</t>
  </si>
  <si>
    <t xml:space="preserve">U</t>
  </si>
  <si>
    <t xml:space="preserve">Interruptor diferencial instantani, 4P/40A/30mA, de 4 mòduls, inclús accessoris de muntatge. Segons UNE-EN 61008-1.</t>
  </si>
  <si>
    <t xml:space="preserve">mt35cgm021bceaj</t>
  </si>
  <si>
    <t xml:space="preserve">Material</t>
  </si>
  <si>
    <t xml:space="preserve">U</t>
  </si>
  <si>
    <t xml:space="preserve">Interruptor automàtic magnetotèrmic, de 4 mòduls, tetrapolar (4P), amb 10 kA de poder de tall, de 32 A d'intensitat nominal, corba C, inclús accessoris de muntatge. Segons UNE-EN 60898-1.</t>
  </si>
  <si>
    <t xml:space="preserve">mt35cgm021bceap</t>
  </si>
  <si>
    <t xml:space="preserve">Material</t>
  </si>
  <si>
    <t xml:space="preserve">U</t>
  </si>
  <si>
    <t xml:space="preserve">Interruptor automàtic magnetotèrmic, de 4 mòduls, tetrapolar (4P), amb 10 kA de poder de tall, de 63 A d'intensitat nominal, corba C, inclús accessoris de muntatge. Segons UNE-EN 60898-1.</t>
  </si>
  <si>
    <t xml:space="preserve">mt35cgm021bcbab</t>
  </si>
  <si>
    <t xml:space="preserve">Material</t>
  </si>
  <si>
    <t xml:space="preserve">U</t>
  </si>
  <si>
    <t xml:space="preserve">Interruptor automàtic magnetotèrmic, de 2 mòduls, bipolar (2P), amb 10 kA de poder de tall, de 10 A d'intensitat nominal, corba C, inclús accessoris de muntatge. Segons UNE-EN 60898-1.</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</si>
  <si>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</si>
  <si>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</si>
  <si>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</si>
  <si>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</si>
  <si>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</si>
  <si>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</si>
  <si>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</si>
  <si>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</si>
  <si>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</si>
  <si>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</si>
  <si>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</si>
  <si>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</si>
  <si>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</si>
  <si>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</si>
  <si>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</si>
  <si>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IEI070d</t>
  </si>
  <si>
    <t xml:space="preserve">UIA010b</t>
  </si>
  <si>
    <t xml:space="preserve">Partida</t>
  </si>
  <si>
    <t xml:space="preserve">U</t>
  </si>
  <si>
    <t xml:space="preserve">Pericó de connexió elèctrica.</t>
  </si>
  <si>
    <t xml:space="preserve">Pericó de connexió elèctrica, prefabricat de formigó, sense fons, registrable, de 40x40x40 cm de mesures interiors, amb parets rebaixades per a l'entrada de tubs, capaç de suportar una càrrega de 400 kN, amb marc d'acer galvanitzat i tapa de formigó armat alleugerit, de 49,5x48,5 cm, per a pericó de connexió elèctrica, capaç de suportar una càrrega de 125 kN; prèvia excavació amb mitjans manuals i posterior reomplert de l'extradós amb material granular.
Inclou: Replanteig. Excavació amb mitjans manuals. Eliminació de les terres soltes del fons de l'excavació. Col·locació de l'arqueta prefabricada. Execució de forats per a connexionat de tubs. Connexionat dels tubs al pericó. Col·locació de la tapa i els accessoris. Reblert de l'extradós.
Criteri d'amidament de projecte: Nombre d'unitats previstes, segons documentació gràfica de Projecte.
Criteri de mesura d'obra: Es mesurarà el nombre d'unitats realment executades segons especificacions de Projecte.</t>
  </si>
  <si>
    <t xml:space="preserve">mt35arg100b</t>
  </si>
  <si>
    <t xml:space="preserve">Material</t>
  </si>
  <si>
    <t xml:space="preserve">U</t>
  </si>
  <si>
    <t xml:space="preserve">Pericó de connexió elèctrica, prefabricat de formigó, sense fons, registrable, de 40x40x40 cm de mesures interiors, amb parets rebaixades per a l'entrada de tubs, capaç de suportar una càrrega de 400 kN.</t>
  </si>
  <si>
    <t xml:space="preserve">mt35arg105b</t>
  </si>
  <si>
    <t xml:space="preserve">Material</t>
  </si>
  <si>
    <t xml:space="preserve">U</t>
  </si>
  <si>
    <t xml:space="preserve">Marc d'acer galvanitzat i tapa de formigó armat alleugerit, de 49,5x48,5 cm, per a pericó de connexió elèctrica, capaç de suportar una càrrega de 125 kN.</t>
  </si>
  <si>
    <t xml:space="preserve">mt01arr010a</t>
  </si>
  <si>
    <t xml:space="preserve">Material</t>
  </si>
  <si>
    <t xml:space="preserve">t</t>
  </si>
  <si>
    <t xml:space="preserve">Grava de pedrera, de 19 a 25 mm de diàmetre.</t>
  </si>
  <si>
    <t xml:space="preserve">mo020</t>
  </si>
  <si>
    <t xml:space="preserve">Mà d'obra</t>
  </si>
  <si>
    <t xml:space="preserve">h</t>
  </si>
  <si>
    <t xml:space="preserve">Oficial 1ª construcció.</t>
  </si>
  <si>
    <t xml:space="preserve">mo077</t>
  </si>
  <si>
    <t xml:space="preserve">Mà d'obra</t>
  </si>
  <si>
    <t xml:space="preserve">h</t>
  </si>
  <si>
    <t xml:space="preserve">Ajudant construcció.</t>
  </si>
  <si>
    <t xml:space="preserve">%</t>
  </si>
  <si>
    <t xml:space="preserve">%</t>
  </si>
  <si>
    <t xml:space="preserve">Costos directes complementaris</t>
  </si>
  <si>
    <t xml:space="preserve">UIA010b</t>
  </si>
  <si>
    <t xml:space="preserve">IEH012p</t>
  </si>
  <si>
    <t xml:space="preserve">Partida</t>
  </si>
  <si>
    <t xml:space="preserve">m</t>
  </si>
  <si>
    <t xml:space="preserve">Cable elèctric de 0,6/1 kV de tensió nominal.</t>
  </si>
  <si>
    <t xml:space="preserve">Cable multipolar RZ1-K (AS), sent la seva tensió assignada de 0,6/1 kV, reacció al foc classe Cca-s1b,d1,a1, amb conductor de coure classe 5 (-K) de 5G6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</si>
  <si>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mt35cun010f2</t>
  </si>
  <si>
    <t xml:space="preserve">Material</t>
  </si>
  <si>
    <t xml:space="preserve">m</t>
  </si>
  <si>
    <t xml:space="preserve">Cable multipolar RZ1-K (AS), sent la seva tensió assignada de 0,6/1 kV, reacció al foc classe Cca-s1b,d1,a1 segons UNE-EN 50575, amb conductor de coure classe 5 (-K) de 5G6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</si>
  <si>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</si>
  <si>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</si>
  <si>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</si>
  <si>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</si>
  <si>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</si>
  <si>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</si>
  <si>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</si>
  <si>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</si>
  <si>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</si>
  <si>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</si>
  <si>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</si>
  <si>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IEH012p</t>
  </si>
  <si>
    <t xml:space="preserve">IEO012c</t>
  </si>
  <si>
    <t xml:space="preserve">Partida</t>
  </si>
  <si>
    <t xml:space="preserve">U</t>
  </si>
  <si>
    <t xml:space="preserve">Sistema de mesura DLM trifàsic indirecte amb Carlo Gavazzi EM530 Modbus MID i TC Circutor TQR-8 1000/5 A, instal·lat, programat i provat</t>
  </si>
  <si>
    <t xml:space="preserve">**Descripció llarga de la partida**
Subministrament, instal·lació, connexió, configuració, programació i posada en servei de sistema de mesura trifàsic indirecte destinat a la funcionalitat de gestió dinàmica de càrrega —DLM, Dynamic Load Management— d’un conjunt de carregadors de vehicle elèctric.
La partida inclou el subministrament i instal·lació d’un contador/analitzador trifàsic **Carlo Gavazzi EM530**, o equivalent de prestacions iguals o superiors, per a mesura indirecta mitjançant transformadors de corrent, apte per a mesura de consum i/o subministrament, amb certificació **MID**, display **LCD**, comunicació **Modbus**, tensió nominal entre **208 i 415 V N-L**, entrada de corrent nominal secundària **5 A**, grau de protecció **IP40**, i totes les prestacions necessàries per a la lectura de potència, energia, intensitat, tensió i resta de magnituds elèctriques necessàries per a la gestió energètica del sistema de recàrrega.
Inclou també el subministrament i instal·lació de transformadors de corrent de nucli partit **Circutor TQR-8 Ø80 mm 1000/5 A**, o equivalents, amb relació de transformació **1000/5 A**, classe d’exactitud **3**, obertura de **80 mm**, grau de protecció **IP20**, aptes per a instal·lació sobre conductors existents sense necessitat de desconnexió del cablejat principal, sempre que les condicions de seguretat i execució ho permetin.
El sistema de mesura s’instal·larà al quadre elèctric general, subquadre de recàrrega o punt de mesura definit al projecte, de manera que permeti conèixer en temps real la potència disponible i/o demandada pel conjunt de la instal·lació, amb l’objectiu de transmetre aquesta informació al sistema de control dels carregadors i limitar dinàmicament la potència de recàrrega disponible, evitant sobrecàrregues, superacions de potència admissible i dispars intempestius de les proteccions generals.
La partida inclou el cablejat de senyal dels transformadors de corrent fins al contador, cablejat d’alimentació i mesura de tensió, cablejat de comunicació Modbus fins al controlador, passarel·la, carregador màster, router, switch o equip de gestió DLM corresponent, segons arquitectura definida pel fabricant dels carregadors i pel projecte. Inclou també bornes, terminals, punteres, petit material, proteccions auxiliars, identificació de circuits, etiquetatge de cables, verificació del sentit dels transformadors, configuració de la relació de transformació, parametrització de comunicacions, adreça Modbus, velocitat de comunicació, paritat i resta de paràmetres necessaris per a la correcta integració del sistema.
El sistema haurà de quedar completament configurat i verificat perquè la informació de mesura sigui llegida correctament pel sistema de gestió dinàmica de càrrega dels carregadors. S’inclou la programació, calibratge funcional, comprovació de lectures de tensió, intensitat, potència activa, energia i sentit de flux, així com la prova de comunicació amb el sistema DLM i la verificació que la limitació de potència actua correctament sobre el grup de carregadors.
S’inclouen les proves finals de funcionament, comprovació de lectures, verificació de coherència amb pinça amperimètrica o equip de mesura extern, comprovació de comunicacions Modbus, simulació o prova real de demanda dels carregadors, ajust de consignes de potència i entrega de la configuració final. També s’inclou la documentació de posada en servei, indicant relació de transformació configurada, punt de mesura, esquema de connexió, adreça de comunicació, paràmetres Modbus, equip o plataforma DLM associada i resultats de les proves realitzades.
La partida inclou tots els materials, accessoris, mà d’obra, connexions, programació, proves, verificacions i posada en servei necessaris per deixar el sistema completament operatiu i integrat amb la gestió dinàmica de càrrega dels carregadors.</t>
  </si>
  <si>
    <t xml:space="preserve">IEE_EG</t>
  </si>
  <si>
    <t xml:space="preserve">IT_EG</t>
  </si>
  <si>
    <t xml:space="preserve">Capítol</t>
  </si>
  <si>
    <t xml:space="preserve">Telecomunicacions</t>
  </si>
  <si>
    <t xml:space="preserve">IAF070e</t>
  </si>
  <si>
    <t xml:space="preserve">Partida</t>
  </si>
  <si>
    <t xml:space="preserve">m</t>
  </si>
  <si>
    <t xml:space="preserve">Cable de parells de coure.</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</si>
  <si>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Inclús accessoris i elements de subjecció.
Inclou: Estesa de cables.
Criteri d'amidament de projecte: Longitud mesurada segons documentació gràfica de Projecte.
Criteri de mesura d'obra: Es mesurarà la longitud realment executada segons especificacions de Projecte.</t>
  </si>
  <si>
    <t xml:space="preserve">mt40cpt010c</t>
  </si>
  <si>
    <t xml:space="preserve">Material</t>
  </si>
  <si>
    <t xml:space="preserve">m</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</si>
  <si>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</si>
  <si>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</si>
  <si>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</si>
  <si>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</si>
  <si>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</si>
  <si>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</si>
  <si>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</si>
  <si>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</si>
  <si>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</si>
  <si>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</si>
  <si>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</si>
  <si>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</si>
  <si>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IAF070e</t>
  </si>
  <si>
    <t xml:space="preserve">IAF070d</t>
  </si>
  <si>
    <t xml:space="preserve">Partida</t>
  </si>
  <si>
    <t xml:space="preserve">m</t>
  </si>
  <si>
    <t xml:space="preserve">Cable RS-485/Modbus 2x2x0,22–0,25 mm² apantallat 120 ohms</t>
  </si>
  <si>
    <t xml:space="preserve">Cable de comunicacions industrial per a bus Modbus RTU/RS-485, tipus 2x2x0,50 mm² apantallat, impedància característica 120 ?, baixa capacitat, coberta LSZH lliure d’halògens i baixa emissió de fums, apte per a instal·lació en canalització enterrada o entorn industrial, inclosa estesa en tub existent, connexió a bornes, continuïtat de pantalla, etiquetatge, comprovació de polaritat A/B, verificació de comunicació Modbus i proves finals.Inclús accessoris i elements de subjecció.
Inclou: Estesa de cables.
Criteri d'amidament de projecte: Longitud mesurada segons documentació gràfica de Projecte.
Criteri de mesura d'obra: Es mesurarà la longitud realment executada segons especificacions de Projecte.
S’admetrà cable equivalent 2x2x22 AWG apantallat 120 ? LSZH sempre que el fabricant acrediti la seva aptitud per a comunicació RS-485/Modbus en la distància prevista i condicions d’instal·lació del projecte.</t>
  </si>
  <si>
    <t xml:space="preserve">mt40cpt01d</t>
  </si>
  <si>
    <t xml:space="preserve">Material</t>
  </si>
  <si>
    <t xml:space="preserve">m</t>
  </si>
  <si>
    <t xml:space="preserve">Cable RS-485 Modbus RTU 2x2x0,50 mm² apantallat, 120 ?, LSZH, en canalització existent, inclosa estesa, connexió, etiquetatge i proves</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</si>
  <si>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</si>
  <si>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</si>
  <si>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</si>
  <si>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</si>
  <si>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</si>
  <si>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</si>
  <si>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</si>
  <si>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</si>
  <si>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</si>
  <si>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</si>
  <si>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</si>
  <si>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IAF070d</t>
  </si>
  <si>
    <t xml:space="preserve">IAF085c</t>
  </si>
  <si>
    <t xml:space="preserve">Partida</t>
  </si>
  <si>
    <t xml:space="preserve">U</t>
  </si>
  <si>
    <t xml:space="preserve">Multiplexor.</t>
  </si>
  <si>
    <t xml:space="preserve">Multiplexor passiu d'una entrada i 8 sortides, amb connectors femella tipus RJ-45 de 8 contactes, categoria 6, color blanc i tirantet de connexió de 0,5 m de longitud format per cable rígid U/UTP no propagador de la flama de 4 parells de coure, categoria 6, amb conductor unifilar de coure, aïllament de polietilè i beina exterior de PVC LSFH lliure de halògens, amb baixa emissió de fums i gasos corrosius i connector mascle tipus RJ-45 de 8 contactes, categoria 6, en tots dos extrems.
Inclou: Col·locació del multiplexor.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</si>
  <si>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mt40mta060b</t>
  </si>
  <si>
    <t xml:space="preserve">Material</t>
  </si>
  <si>
    <t xml:space="preserve">U</t>
  </si>
  <si>
    <t xml:space="preserve">Multiplexor passiu d'una entrada i 8 sortides, amb connectors femella tipus RJ-45 de 8 contactes, categoria 6, color blanc.</t>
  </si>
  <si>
    <t xml:space="preserve">mt40mta070b</t>
  </si>
  <si>
    <t xml:space="preserve">Material</t>
  </si>
  <si>
    <t xml:space="preserve">U</t>
  </si>
  <si>
    <t xml:space="preserve">Tirantet de connexió de 0,5 m de longitud format per cable rígid U/UTP no propagador de la flama de 4 parells de coure, categoria 6, amb conductor unifilar de coure, aïllament de polietilè i beina exterior de PVC LSFH lliure de halògens, amb baixa emissió de fums i gasos corrosius i connector mascle tipus RJ-45 de 8 contactes, categoria 6, en tots dos extrems,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</si>
  <si>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</si>
  <si>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</si>
  <si>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</si>
  <si>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</si>
  <si>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</si>
  <si>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</si>
  <si>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</si>
  <si>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</si>
  <si>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</si>
  <si>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</si>
  <si>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</si>
  <si>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IAF085c</t>
  </si>
  <si>
    <t xml:space="preserve">IEO010t</t>
  </si>
  <si>
    <t xml:space="preserve">Partida</t>
  </si>
  <si>
    <t xml:space="preserve">m</t>
  </si>
  <si>
    <t xml:space="preserve">Canalització de de telecomunicacions DN63</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</si>
  <si>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</si>
  <si>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</si>
  <si>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</si>
  <si>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</si>
  <si>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</si>
  <si>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</si>
  <si>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</si>
  <si>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</si>
  <si>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</si>
  <si>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</si>
  <si>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</si>
  <si>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</si>
  <si>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</si>
  <si>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</si>
  <si>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</si>
  <si>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</si>
  <si>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</si>
  <si>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</si>
  <si>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</si>
  <si>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</si>
  <si>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</si>
  <si>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</si>
  <si>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</si>
  <si>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</si>
  <si>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</si>
  <si>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</si>
  <si>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</si>
  <si>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</si>
  <si>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</si>
  <si>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</si>
  <si>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</si>
  <si>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</si>
  <si>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</si>
  <si>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</si>
  <si>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</si>
  <si>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</si>
  <si>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</si>
  <si>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</si>
  <si>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</si>
  <si>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</si>
  <si>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</si>
  <si>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</si>
  <si>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</si>
  <si>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</si>
  <si>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IEO010t</t>
  </si>
  <si>
    <t xml:space="preserve">IEO010v</t>
  </si>
  <si>
    <t xml:space="preserve">Partida</t>
  </si>
  <si>
    <t xml:space="preserve">m</t>
  </si>
  <si>
    <t xml:space="preserve">Canalització de de telecomunicacions DN63. Entre carregadors</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</si>
  <si>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</si>
  <si>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</si>
  <si>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</si>
  <si>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</si>
  <si>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</si>
  <si>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</si>
  <si>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</si>
  <si>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</si>
  <si>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</si>
  <si>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</si>
  <si>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</si>
  <si>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</si>
  <si>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</si>
  <si>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</si>
  <si>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</si>
  <si>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</si>
  <si>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</si>
  <si>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</si>
  <si>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</si>
  <si>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</si>
  <si>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</si>
  <si>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</si>
  <si>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</si>
  <si>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</si>
  <si>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</si>
  <si>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</si>
  <si>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</si>
  <si>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</si>
  <si>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</si>
  <si>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</si>
  <si>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</si>
  <si>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</si>
  <si>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</si>
  <si>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</si>
  <si>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</si>
  <si>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</si>
  <si>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</si>
  <si>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</si>
  <si>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</si>
  <si>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</si>
  <si>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</si>
  <si>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</si>
  <si>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</si>
  <si>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</si>
  <si>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IEO010v</t>
  </si>
  <si>
    <t xml:space="preserve">IT_EG</t>
  </si>
  <si>
    <t xml:space="preserve">I_EG</t>
  </si>
  <si>
    <t xml:space="preserve">I_AL</t>
  </si>
  <si>
    <t xml:space="preserve">Capítol</t>
  </si>
  <si>
    <t xml:space="preserve">Ed. les Àligues. Instal·lació per un carregador</t>
  </si>
  <si>
    <t xml:space="preserve">IE_AL</t>
  </si>
  <si>
    <t xml:space="preserve">Capítol</t>
  </si>
  <si>
    <t xml:space="preserve">Elèctriques</t>
  </si>
  <si>
    <t xml:space="preserve">IEI_V2C_POLE_AL</t>
  </si>
  <si>
    <t xml:space="preserve">Partida</t>
  </si>
  <si>
    <t xml:space="preserve">U</t>
  </si>
  <si>
    <t xml:space="preserve">Subministre i instal·lació de punt de recàrrega doble V2C Pole Pro 22 kW, 2 bases T2, trifàsic, de terra</t>
  </si>
  <si>
    <t xml:space="preserve">Subministrament i instal·lació de 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 configurat i provat.</t>
  </si>
  <si>
    <t xml:space="preserve">mt35cgm050</t>
  </si>
  <si>
    <t xml:space="preserve">Material</t>
  </si>
  <si>
    <t xml:space="preserve">U</t>
  </si>
  <si>
    <t xml:space="preserve">Punt de recàrrega doble per a vehicle elèctric, model V2C Pole Pro o equivalent, amb 2 bases tipus 2, alimentació trifàsica, potència màxima tècnica de 22 kW per presa i configuració funcional de 22 kW totals per equip, amb repartiment de potència entre preses, muntatge a terra, proteccions elèctriques incorporades, comptador MID, lector RFID, display, connectivitat Ethernet/Wi-Fi/Bluetooth/4G, protocols OCPP/Modbus, grau IP54 i IK10, completament instal·lat,</t>
  </si>
  <si>
    <t xml:space="preserve">mo102</t>
  </si>
  <si>
    <t xml:space="preserve">Mà d'obra</t>
  </si>
  <si>
    <t xml:space="preserve">h</t>
  </si>
  <si>
    <t xml:space="preserve">Ajudant electricista.</t>
  </si>
  <si>
    <t xml:space="preserve">mo003</t>
  </si>
  <si>
    <t xml:space="preserve">Mà d'obra</t>
  </si>
  <si>
    <t xml:space="preserve">h</t>
  </si>
  <si>
    <t xml:space="preserve">Oficial 1ª electricista.</t>
  </si>
  <si>
    <t xml:space="preserve">IEI_V2C_POLE_AL</t>
  </si>
  <si>
    <t xml:space="preserve">IEO010o</t>
  </si>
  <si>
    <t xml:space="preserve">Partida</t>
  </si>
  <si>
    <t xml:space="preserve">m</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</si>
  <si>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t>
  </si>
  <si>
    <t xml:space="preserve">Canalització de tub corbable, subministrat en rotllo, de polietilè de doble paret (interior llisa i exterior corrugada), de color taronja, de 63 mm de diàmetre nominal, resistència a la compressió 450 N, col·locat sobre llit de sorra de 5 cm d'espessor, degudament compactada i anivellada amb picó vibrant de guiat manual, reblert lateral compactant fins als ronyons i posterior reblert amb la mateixa sorra fins a 10 cm per sobre de la generatriu superior de la canonada. Instal·lació soterrada. Inclús cinta de senyalització.
Criteri de valoració econòmica: El preu inclou els equips i la maquinària necessaris per al desplaçament i la disposició en obra dels elements, però no inclou l'excavació ni el reblert principal.
Inclou: Replanteig. Execució del llit de sorra per a seient del tub. Col·locació del tub. Col·locació de la cinta de senyalització. Execució del reblert envoltant de sorra.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</si>
  <si>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</si>
  <si>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</si>
  <si>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</si>
  <si>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</si>
  <si>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</si>
  <si>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</si>
  <si>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</si>
  <si>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mt01ara010a</t>
  </si>
  <si>
    <t xml:space="preserve">Material</t>
  </si>
  <si>
    <t xml:space="preserve">m³</t>
  </si>
  <si>
    <t xml:space="preserve">Sorra amb granulometria de 0 a 5 mm de diàmetre, neta.</t>
  </si>
  <si>
    <t xml:space="preserve">mt35aia070ac</t>
  </si>
  <si>
    <t xml:space="preserve">Material</t>
  </si>
  <si>
    <t xml:space="preserve">m</t>
  </si>
  <si>
    <t xml:space="preserve">Tub corbable, subministrat en rotllo, de polietilè de doble paret (interior llisa i exterior corrugada), de color taronja, de 63 mm de diàmetre nominal, per a canalització soterrada, resistència a la compressió 450 N, resistència a l'impacte 20 joules, amb grau de protecció IP549 segons UNE 20324, amb fil guia incorporat. Segons UNE-EN 61386-1, UNE-EN 61386-22 i UNE-EN 50086-2-4.</t>
  </si>
  <si>
    <t xml:space="preserve">mt35www030</t>
  </si>
  <si>
    <t xml:space="preserve">Material</t>
  </si>
  <si>
    <t xml:space="preserve">m</t>
  </si>
  <si>
    <t xml:space="preserve">Cinta de senyalització de polietilè, de 150 mm d'amplada, color groc, amb l'inscripció "ATENCIÓ! A SOTA HI HA CABLES ELÈCTRICS" i triangle de risc elèctric.</t>
  </si>
  <si>
    <t xml:space="preserve">mq04dua020b</t>
  </si>
  <si>
    <t xml:space="preserve">Maquinària</t>
  </si>
  <si>
    <t xml:space="preserve">h</t>
  </si>
  <si>
    <t xml:space="preserve">Dúmper de descàrrega frontal de 2 t de càrrega útil.</t>
  </si>
  <si>
    <t xml:space="preserve">mq02rop020</t>
  </si>
  <si>
    <t xml:space="preserve">Maquinària</t>
  </si>
  <si>
    <t xml:space="preserve">h</t>
  </si>
  <si>
    <t xml:space="preserve">Picó vibrant de guiat manual, de 80 kg, amb placa de 30x30 cm, tipus piconadora de granota.</t>
  </si>
  <si>
    <t xml:space="preserve">mq02cia020j</t>
  </si>
  <si>
    <t xml:space="preserve">Maquinària</t>
  </si>
  <si>
    <t xml:space="preserve">h</t>
  </si>
  <si>
    <t xml:space="preserve">Camió cisterna, de 8 m³ de capacitat.</t>
  </si>
  <si>
    <t xml:space="preserve">mo020</t>
  </si>
  <si>
    <t xml:space="preserve">Mà d'obra</t>
  </si>
  <si>
    <t xml:space="preserve">h</t>
  </si>
  <si>
    <t xml:space="preserve">Oficial 1ª construcció.</t>
  </si>
  <si>
    <t xml:space="preserve">mo113</t>
  </si>
  <si>
    <t xml:space="preserve">Mà d'obra</t>
  </si>
  <si>
    <t xml:space="preserve">h</t>
  </si>
  <si>
    <t xml:space="preserve">Peó ordinari construcció.</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</si>
  <si>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</si>
  <si>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</si>
  <si>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</si>
  <si>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</si>
  <si>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</si>
  <si>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</si>
  <si>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</si>
  <si>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</si>
  <si>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</si>
  <si>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</si>
  <si>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</si>
  <si>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IEO010o</t>
  </si>
  <si>
    <t xml:space="preserve">IEO010p</t>
  </si>
  <si>
    <t xml:space="preserve">Partida</t>
  </si>
  <si>
    <t xml:space="preserve">m</t>
  </si>
  <si>
    <t xml:space="preserve">Canalització de tub rígid de policarbonat, exempt d'halògens, endollable, corbable en calent, de color gris RAL 7035, de 20 mm de diàmetre nominal, resistència a la compressió 1250 N, resistència a l'impacte 6 joules, amb grau de protecció IP44. Instal·lació fix en superfície.</t>
  </si>
  <si>
    <t xml:space="preserve">Canalització de tub rígid de policarbonat, exempt d'halògens, endollable, corbable en calent, de color gris RAL 7035, de 20 mm de diàmetre nominal, resistència a la compressió 1250 N, resistència a l'impacte 6 joules, amb grau de protecció IP44. Instal·lació fix en superfície.
Inclou: Replanteig. Col·locació i fixació del tub.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</si>
  <si>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</si>
  <si>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</si>
  <si>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</si>
  <si>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</si>
  <si>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</si>
  <si>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</si>
  <si>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Instal·lació interior (Quadre individual 1)</t>
  </si>
  <si>
    <t xml:space="preserve">mt35aia240b</t>
  </si>
  <si>
    <t xml:space="preserve">Material</t>
  </si>
  <si>
    <t xml:space="preserve">m</t>
  </si>
  <si>
    <t xml:space="preserve">Tub rígid de policarbonat, exempt d'halògens segons UNE-EN 50267-2-2, endollable, corbable en calent, de color gris RAL 7035, de 20 mm de diàmetre nominal, per a instal·lacions elèctriques en edificis públics i per a evitar emissions de fum i gasos àcids. Resistència a la compressió 1250 N, resistència a l'impacte 6 joules, temperatura de treball -15°C fins 90°C, amb grau de protecció IP44 segons UNE 20324, propietats elèctriques: aïllant, no propagador de la flama. Segons UNE-EN 61386-1 i UNE-EN 61386-22. Inclús abraçadores, elements de subjecció i accessoris (corbes, maneguets, tes, colzes i corbes flexibles).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</si>
  <si>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</si>
  <si>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</si>
  <si>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</si>
  <si>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</si>
  <si>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</si>
  <si>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</si>
  <si>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</si>
  <si>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</si>
  <si>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</si>
  <si>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</si>
  <si>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</si>
  <si>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IEO010p</t>
  </si>
  <si>
    <t xml:space="preserve">IEH012m</t>
  </si>
  <si>
    <t xml:space="preserve">Partida</t>
  </si>
  <si>
    <t xml:space="preserve">m</t>
  </si>
  <si>
    <t xml:space="preserve">Cable multipolar RZ1-K (AS), sent la seva tensió assignada de 0,6/1 kV, reacció al foc classe Cca-s1b,d1,a1, amb conductor de coure classe 5 (-K) de 5G6 mm² de secció, amb aïllament de polietilè reticulat (R) i coberta de compost termoplàstic a força de poliolefina lliure de halògens amb baixa emissió de fums i gasos corrosius (Z1). Inclús accessoris i elements de subjecció.</t>
  </si>
  <si>
    <t xml:space="preserve">Cable multipolar RZ1-K (AS), sent la seva tensió assignada de 0,6/1 kV, reacció al foc classe Cca-s1b,d1,a1, amb conductor de coure classe 5 (-K) de 5G6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</si>
  <si>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Uts.</t>
  </si>
  <si>
    <t xml:space="preserve">Llargada</t>
  </si>
  <si>
    <t xml:space="preserve">Amplada</t>
  </si>
  <si>
    <t xml:space="preserve">Alçada</t>
  </si>
  <si>
    <t xml:space="preserve">Parcial</t>
  </si>
  <si>
    <t xml:space="preserve">Subtotal</t>
  </si>
  <si>
    <t xml:space="preserve">Derivació individual (Quadre individual 1)</t>
  </si>
  <si>
    <t xml:space="preserve">mt35cun010f2</t>
  </si>
  <si>
    <t xml:space="preserve">Material</t>
  </si>
  <si>
    <t xml:space="preserve">m</t>
  </si>
  <si>
    <t xml:space="preserve">Cable multipolar RZ1-K (AS), sent la seva tensió assignada de 0,6/1 kV, reacció al foc classe Cca-s1b,d1,a1 segons UNE-EN 50575, amb conductor de coure classe 5 (-K) de 5G6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</si>
  <si>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</si>
  <si>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</si>
  <si>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</si>
  <si>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</si>
  <si>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</si>
  <si>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</si>
  <si>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</si>
  <si>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</si>
  <si>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</si>
  <si>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</si>
  <si>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</si>
  <si>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IEH012m</t>
  </si>
  <si>
    <t xml:space="preserve">IEI070c</t>
  </si>
  <si>
    <t xml:space="preserve">Partida</t>
  </si>
  <si>
    <t xml:space="preserve">U</t>
  </si>
  <si>
    <t xml:space="preserve">Quadre individual format per caixa de material aïllant i els dispositius de comandament i protecció.</t>
  </si>
  <si>
    <t xml:space="preserve">Quadre individual format per caixa encastable de material aïllant amb porta opaca, per a allotjament del interruptor de control de potència (ICP) (no inclòs en aquest preu) en compartiment independent i precintable, 1 interruptor general automàtic (IGA) tetrapolar (4P) i altres dispositius generals i individuals de comandament i protecció. Inclús elements de fixació, reglets de connexió i quants accessoris siguin necessaris per a la seva correcta instal·lació. Totalment muntat, connexionat i provat.
Inclou: Replanteig. Col·locació de la caixa per al quadre. Connexionat. Muntatge dels components.
Criteri d'amidament de projecte: Nombre d'unitats previstes, segons documentació gràfica de Projecte.
Criteri de mesura d'obra: Es mesurarà el nombre d'unitats realment executades segons especificacions de Projecte.</t>
  </si>
  <si>
    <t xml:space="preserve">mt35cgm040g</t>
  </si>
  <si>
    <t xml:space="preserve">Material</t>
  </si>
  <si>
    <t xml:space="preserve">U</t>
  </si>
  <si>
    <t xml:space="preserve">Caixa encastable amb porta opaca, per allotjament del interruptor de control de potència (ICP) en compartiment independent i precintable i els interruptors de protecció de la instal·lació, 1 fila de 4 mòduls (ICP) + 1 fila de 18 mòduls. Fabricada en ABS autoextingible, amb grau de protecció IP40, doble aïllament (classe II), color blanc RAL 9010. Segons UNE-EN 60670-1.</t>
  </si>
  <si>
    <t xml:space="preserve">mt35cgm021aceaj</t>
  </si>
  <si>
    <t xml:space="preserve">Material</t>
  </si>
  <si>
    <t xml:space="preserve">U</t>
  </si>
  <si>
    <t xml:space="preserve">Interruptor general automàtic (IGA), de 4 mòduls, tetrapolar (4P), amb 10 kA de poder de tall, de 32 A d'intensitat nominal, corba C, inclús accessoris de muntatge. Segons UNE-EN 60898-1.</t>
  </si>
  <si>
    <t xml:space="preserve">mt35cgm029ba</t>
  </si>
  <si>
    <t xml:space="preserve">Material</t>
  </si>
  <si>
    <t xml:space="preserve">U</t>
  </si>
  <si>
    <t xml:space="preserve">Interruptor diferencial instantani superimmunitzat, 2P/25A/30mA, de 2 mòduls, inclús accessoris de muntatge. Segons UNE-EN 61008-1.</t>
  </si>
  <si>
    <t xml:space="preserve">mt35cgm031bb</t>
  </si>
  <si>
    <t xml:space="preserve">Material</t>
  </si>
  <si>
    <t xml:space="preserve">U</t>
  </si>
  <si>
    <t xml:space="preserve">Interruptor diferencial instantani superimmunitzat, 4P/40A/30mA, de 4 mòduls, inclús accessoris de muntatge. Segons UNE-EN 61008-1.</t>
  </si>
  <si>
    <t xml:space="preserve">mt35cgm021bceaj</t>
  </si>
  <si>
    <t xml:space="preserve">Material</t>
  </si>
  <si>
    <t xml:space="preserve">U</t>
  </si>
  <si>
    <t xml:space="preserve">Interruptor automàtic magnetotèrmic, de 4 mòduls, tetrapolar (4P), amb 10 kA de poder de tall, de 32 A d'intensitat nominal, corba C, inclús accessoris de muntatge. Segons UNE-EN 60898-1.</t>
  </si>
  <si>
    <t xml:space="preserve">mt35cgm021bcbab</t>
  </si>
  <si>
    <t xml:space="preserve">Material</t>
  </si>
  <si>
    <t xml:space="preserve">U</t>
  </si>
  <si>
    <t xml:space="preserve">Interruptor automàtic magnetotèrmic, de 2 mòduls, bipolar (2P), amb 10 kA de poder de tall, de 10 A d'intensitat nominal, corba C, inclús accessoris de muntatge. Segons UNE-EN 60898-1.</t>
  </si>
  <si>
    <t xml:space="preserve">mt35cgm060</t>
  </si>
  <si>
    <t xml:space="preserve">Material</t>
  </si>
  <si>
    <t xml:space="preserve">U</t>
  </si>
  <si>
    <t xml:space="preserve">Bobina de protecció contra sobretensions permanents fase-neutre de 230 Vca i tensió de disparament de 255 Vca.</t>
  </si>
  <si>
    <t xml:space="preserve">mt35www010</t>
  </si>
  <si>
    <t xml:space="preserve">Material</t>
  </si>
  <si>
    <t xml:space="preserve">U</t>
  </si>
  <si>
    <t xml:space="preserve">Material auxiliar per a instal·lacions elèctriques.</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</si>
  <si>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</si>
  <si>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</si>
  <si>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</si>
  <si>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</si>
  <si>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</si>
  <si>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</si>
  <si>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</si>
  <si>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</si>
  <si>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</si>
  <si>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</si>
  <si>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</si>
  <si>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IEI070c</t>
  </si>
  <si>
    <t xml:space="preserve">IEH012l</t>
  </si>
  <si>
    <t xml:space="preserve">Partida</t>
  </si>
  <si>
    <t xml:space="preserve">m</t>
  </si>
  <si>
    <t xml:space="preserve">Cable elèctric de 0,6/1 kV de tensió nominal.</t>
  </si>
  <si>
    <t xml:space="preserve">Cable multipolar RZ1-K (AS), sent la seva tensió assignada de 0,6/1 kV, reacció al foc classe Cca-s1b,d1,a1, amb conductor de coure classe 5 (-K) de 3G6 mm² de secció, amb aïllament de polietilè reticulat (R) i coberta de compost termoplàstic a força de poliolefina lliure de halògens amb baixa emissió de fums i gasos corrosius (Z1). Inclús accessoris i elements de subjecció.
Inclou: Estesa del cable. Connexionat. Comprovació del seu correcte funcionament.
Criteri d'amidament de projecte: Longitud mesurada segons documentació gràfica de Projecte.
Criteri de mesura d'obra: Es mesurarà la longitud realment executada segons especificacions de Projecte.</t>
  </si>
  <si>
    <t xml:space="preserve">mt35cun010B1</t>
  </si>
  <si>
    <t xml:space="preserve">Material</t>
  </si>
  <si>
    <t xml:space="preserve">m</t>
  </si>
  <si>
    <t xml:space="preserve">Cable multipolar RZ1-K (AS), sent la seva tensió assignada de 0,6/1 kV, reacció al foc classe Cca-s1b,d1,a1 segons UNE-EN 50575, amb conductor de coure classe 5 (-K) de 3G6 mm² de secció, amb aïllament de polietilè reticulat (R) i coberta de compost termoplàstic a força de poliolefina lliure de halògens amb baixa emissió de fums i gasos corrosius (Z1). Segons UNE 21123-4.</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</si>
  <si>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</si>
  <si>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</si>
  <si>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</si>
  <si>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</si>
  <si>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</si>
  <si>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</si>
  <si>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</si>
  <si>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</si>
  <si>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</si>
  <si>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</si>
  <si>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</si>
  <si>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IEH012l</t>
  </si>
  <si>
    <t xml:space="preserve">IAF070c</t>
  </si>
  <si>
    <t xml:space="preserve">Partida</t>
  </si>
  <si>
    <t xml:space="preserve">m</t>
  </si>
  <si>
    <t xml:space="preserve">Cable de parells de coure.</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</si>
  <si>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Inclús accessoris i elements de subjecció.
Inclou: Estesa de cables.
Criteri d'amidament de projecte: Longitud mesurada segons documentació gràfica de Projecte.
Criteri de mesura d'obra: Es mesurarà la longitud realment executada segons especificacions de Projecte.</t>
  </si>
  <si>
    <t xml:space="preserve">mt40cpt010c</t>
  </si>
  <si>
    <t xml:space="preserve">Material</t>
  </si>
  <si>
    <t xml:space="preserve">m</t>
  </si>
  <si>
    <t xml:space="preserve">Cable rígid U/UTP no propagador de la flama de 4 parells trenats de coure, categoria 6, reacció al foc classe Dca-s2,d2,a2 segons UNE-EN 50575, amb conductor unifilar de coure, aïllament de polietilè i beina exterior de poliolefina termoplàstica LSFH lliure de halògens, amb baixa emissió de fums i gasos corrosius, de 6,2 mm de diàmetre, segons EN 50288-6-1.</t>
  </si>
  <si>
    <t xml:space="preserve">mo001</t>
  </si>
  <si>
    <t xml:space="preserve">Mà d'obra</t>
  </si>
  <si>
    <t xml:space="preserve">h</t>
  </si>
  <si>
    <t xml:space="preserve">Oficial 1ª instal·lador de telecomunicacions.</t>
  </si>
  <si>
    <t xml:space="preserve">mo056</t>
  </si>
  <si>
    <t xml:space="preserve">Mà d'obra</t>
  </si>
  <si>
    <t xml:space="preserve">h</t>
  </si>
  <si>
    <t xml:space="preserve">Ajudant instal·lador de telecomunicacions.</t>
  </si>
  <si>
    <t xml:space="preserve">%</t>
  </si>
  <si>
    <t xml:space="preserve">%</t>
  </si>
  <si>
    <t xml:space="preserve">Costos directes complementaris</t>
  </si>
  <si>
    <t xml:space="preserve">IAF070c</t>
  </si>
  <si>
    <t xml:space="preserve">UIA010c</t>
  </si>
  <si>
    <t xml:space="preserve">Partida</t>
  </si>
  <si>
    <t xml:space="preserve">U</t>
  </si>
  <si>
    <t xml:space="preserve">Pericó de connexió elèctrica.</t>
  </si>
  <si>
    <t xml:space="preserve">Pericó de connexió elèctrica, prefabricat de formigó, sense fons, registrable, de 40x40x40 cm de mesures interiors, amb parets rebaixades per a l'entrada de tubs, capaç de suportar una càrrega de 400 kN, amb marc d'acer galvanitzat i tapa de formigó armat alleugerit, de 49,5x48,5 cm, per a pericó de connexió elèctrica, capaç de suportar una càrrega de 125 kN; prèvia excavació amb mitjans manuals i posterior reomplert de l'extradós amb material granular.
Inclou: Replanteig. Excavació amb mitjans manuals. Eliminació de les terres soltes del fons de l'excavació. Col·locació de l'arqueta prefabricada. Execució de forats per a connexionat de tubs. Connexionat dels tubs al pericó. Col·locació de la tapa i els accessoris. Reblert de l'extradós.
Criteri d'amidament de projecte: Nombre d'unitats previstes, segons documentació gràfica de Projecte.
Criteri de mesura d'obra: Es mesurarà el nombre d'unitats realment executades segons especificacions de Projecte.</t>
  </si>
  <si>
    <t xml:space="preserve">mt35arg100b</t>
  </si>
  <si>
    <t xml:space="preserve">Material</t>
  </si>
  <si>
    <t xml:space="preserve">U</t>
  </si>
  <si>
    <t xml:space="preserve">Pericó de connexió elèctrica, prefabricat de formigó, sense fons, registrable, de 40x40x40 cm de mesures interiors, amb parets rebaixades per a l'entrada de tubs, capaç de suportar una càrrega de 400 kN.</t>
  </si>
  <si>
    <t xml:space="preserve">mt35arg105b</t>
  </si>
  <si>
    <t xml:space="preserve">Material</t>
  </si>
  <si>
    <t xml:space="preserve">U</t>
  </si>
  <si>
    <t xml:space="preserve">Marc d'acer galvanitzat i tapa de formigó armat alleugerit, de 49,5x48,5 cm, per a pericó de connexió elèctrica, capaç de suportar una càrrega de 125 kN.</t>
  </si>
  <si>
    <t xml:space="preserve">mt01arr010a</t>
  </si>
  <si>
    <t xml:space="preserve">Material</t>
  </si>
  <si>
    <t xml:space="preserve">t</t>
  </si>
  <si>
    <t xml:space="preserve">Grava de pedrera, de 19 a 25 mm de diàmetre.</t>
  </si>
  <si>
    <t xml:space="preserve">mo020</t>
  </si>
  <si>
    <t xml:space="preserve">Mà d'obra</t>
  </si>
  <si>
    <t xml:space="preserve">h</t>
  </si>
  <si>
    <t xml:space="preserve">Oficial 1ª construcció.</t>
  </si>
  <si>
    <t xml:space="preserve">mo077</t>
  </si>
  <si>
    <t xml:space="preserve">Mà d'obra</t>
  </si>
  <si>
    <t xml:space="preserve">h</t>
  </si>
  <si>
    <t xml:space="preserve">Ajudant construcció.</t>
  </si>
  <si>
    <t xml:space="preserve">%</t>
  </si>
  <si>
    <t xml:space="preserve">%</t>
  </si>
  <si>
    <t xml:space="preserve">Costos directes complementaris</t>
  </si>
  <si>
    <t xml:space="preserve">UIA010c</t>
  </si>
  <si>
    <t xml:space="preserve">IE_AL</t>
  </si>
  <si>
    <t xml:space="preserve">ILU_EG</t>
  </si>
  <si>
    <t xml:space="preserve">Capítol</t>
  </si>
  <si>
    <t xml:space="preserve">Il·luminació</t>
  </si>
  <si>
    <t xml:space="preserve">IIX001b</t>
  </si>
  <si>
    <t xml:space="preserve">Partida</t>
  </si>
  <si>
    <t xml:space="preserve">U</t>
  </si>
  <si>
    <t xml:space="preserve">Instal·lació d'enllumenat exterior</t>
  </si>
  <si>
    <t xml:space="preserve">Instal·lació d'enllumenat exterior. Inclou: Replanteig. Muntatge, connexionat i comprovació del seu correcte funcionament. Criteri d'amidament de projecte: Nombre d'unitats previstes, segons documentació gràfica de Projecte. Criteri de mesura d'obra: Es mesurarà el nombre d'unitats realment executades segons especificacions de Projecte.</t>
  </si>
  <si>
    <t xml:space="preserve">mt34aln110</t>
  </si>
  <si>
    <t xml:space="preserve">Material</t>
  </si>
  <si>
    <t xml:space="preserve">U</t>
  </si>
  <si>
    <t xml:space="preserve">Aplic per a exterior. Model: 24220K3. Casa comercial: Bega. Longitud: 80 mm. Amplada: 170 mm. Altura: 80 mm. Potència: 11 W. Alimentació: 220/240 V i 50-60 Hz. Llum LED no reemplaçable. Temperatura de color: 4000 K. Índex de reproducció cromàtica: major de 80. Flux lluminós: 753 lúmens. Eficiència de la lluminària: 68.4545 lúmens/W. Grau de protecció: IP65. Grau de protecció contra impactes: IK10. Components inclosos: accessoris.</t>
  </si>
  <si>
    <t xml:space="preserve">mt34wwn001d</t>
  </si>
  <si>
    <t xml:space="preserve">Material</t>
  </si>
  <si>
    <t xml:space="preserve">U</t>
  </si>
  <si>
    <t xml:space="preserve">Material auxiliar per a lluminària. Instal·lació en superfície, a paret, a menys de 3 m d'altura.</t>
  </si>
  <si>
    <t xml:space="preserve">mo003</t>
  </si>
  <si>
    <t xml:space="preserve">Mà d'obra</t>
  </si>
  <si>
    <t xml:space="preserve">h</t>
  </si>
  <si>
    <t xml:space="preserve">Oficial 1ª electricista.</t>
  </si>
  <si>
    <t xml:space="preserve">mo102</t>
  </si>
  <si>
    <t xml:space="preserve">Mà d'obra</t>
  </si>
  <si>
    <t xml:space="preserve">h</t>
  </si>
  <si>
    <t xml:space="preserve">Ajudant electricista.</t>
  </si>
  <si>
    <t xml:space="preserve">%</t>
  </si>
  <si>
    <t xml:space="preserve">%</t>
  </si>
  <si>
    <t xml:space="preserve">Costos directes complementaris</t>
  </si>
  <si>
    <t xml:space="preserve">IIX001b</t>
  </si>
  <si>
    <t xml:space="preserve">ILU_EG</t>
  </si>
  <si>
    <t xml:space="preserve">I_AL</t>
  </si>
  <si>
    <t xml:space="preserve">P719-UDG_CARREGADORS_AMIDAMENTS_TOT</t>
  </si>
</sst>
</file>

<file path=xl/styles.xml><?xml version="1.0" encoding="utf-8"?>
<styleSheet xmlns="http://schemas.openxmlformats.org/spreadsheetml/2006/main">
  <numFmts count="2">
    <numFmt numFmtId="200" formatCode="#,##0.00"/>
    <numFmt numFmtId="201" formatCode="#,##0.000"/>
  </numFmts>
  <fonts count="7">
    <font>
      <sz val="12.00"/>
      <color rgb="FF000000"/>
      <name val="Verdana"/>
      <family val="2"/>
    </font>
    <font>
      <b/>
      <sz val="9.96"/>
      <color rgb="FF000000"/>
      <name val="Arial"/>
      <family val="2"/>
    </font>
    <font>
      <sz val="8.04"/>
      <color rgb="FF000000"/>
      <name val="Arial"/>
      <family val="2"/>
    </font>
    <font>
      <b/>
      <sz val="9.00"/>
      <color rgb="FF000000"/>
      <name val="Arial"/>
      <family val="2"/>
    </font>
    <font>
      <b/>
      <sz val="8.04"/>
      <color rgb="FF000000"/>
      <name val="Arial"/>
      <family val="2"/>
    </font>
    <font>
      <sz val="8.04"/>
      <color rgb="FF808080"/>
      <name val="Arial"/>
      <family val="2"/>
    </font>
    <font>
      <sz val="8.04"/>
      <color rgb="FF101010"/>
      <name val="Arial"/>
      <family val="2"/>
    </font>
  </fonts>
  <fills count="6">
    <fill>
      <patternFill patternType="none"/>
    </fill>
    <fill>
      <patternFill patternType="gray125"/>
    </fill>
    <fill>
      <patternFill patternType="solid">
        <fgColor rgb="FFDFFFBF"/>
      </patternFill>
    </fill>
    <fill>
      <patternFill patternType="solid">
        <fgColor rgb="FF269900"/>
      </patternFill>
    </fill>
    <fill>
      <patternFill patternType="solid">
        <fgColor rgb="FF3FB219"/>
      </patternFill>
    </fill>
    <fill>
      <patternFill patternType="solid">
        <fgColor rgb="FF58CB32"/>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808080"/>
      </bottom>
      <diagonal/>
    </border>
    <border>
      <left/>
      <right/>
      <top style="thin">
        <color rgb="FF808080"/>
      </top>
      <bottom/>
      <diagonal/>
    </border>
  </borders>
  <cellStyleXfs count="1">
    <xf numFmtId="0" fontId="0" fillId="0" borderId="0"/>
  </cellStyleXfs>
  <cellXfs count="77">
    <xf numFmtId="0" fontId="0" fillId="0" borderId="0" xfId="0" applyFont="1" applyAlignment="1">
      <alignment horizontal="left" vertical="center" wrapText="0"/>
    </xf>
    <xf numFmtId="0" fontId="1" fillId="0" borderId="0" xfId="0" applyFont="1" applyAlignment="1">
      <alignment horizontal="right" vertical="top" wrapText="1"/>
    </xf>
    <xf numFmtId="0" fontId="1" fillId="2" borderId="0" xfId="0" applyFont="1" applyAlignment="1">
      <alignment horizontal="right" vertical="top" wrapText="1"/>
    </xf>
    <xf numFmtId="0" fontId="1" fillId="0" borderId="0" xfId="0" applyFont="1" applyAlignment="1">
      <alignment horizontal="left" vertical="top" wrapText="1"/>
    </xf>
    <xf numFmtId="0" fontId="1" fillId="2" borderId="0" xfId="0" applyFont="1" applyAlignment="1">
      <alignment horizontal="left" vertical="top" wrapText="1"/>
    </xf>
    <xf numFmtId="0" fontId="0" fillId="2" borderId="0" xfId="0" applyFont="1" applyAlignment="1">
      <alignment horizontal="left" vertical="top" wrapText="1"/>
    </xf>
    <xf numFmtId="0" fontId="2" fillId="0" borderId="0" xfId="0" applyFont="1" applyAlignment="1">
      <alignment horizontal="right" vertical="top" wrapText="1"/>
    </xf>
    <xf numFmtId="0" fontId="2" fillId="2" borderId="0" xfId="0" applyFont="1" applyAlignment="1">
      <alignment horizontal="right" vertical="top" wrapText="1"/>
    </xf>
    <xf numFmtId="0" fontId="2" fillId="0" borderId="0" xfId="0" applyFont="1" applyAlignment="1">
      <alignment horizontal="left" vertical="top" wrapText="1"/>
    </xf>
    <xf numFmtId="0" fontId="2" fillId="2" borderId="0" xfId="0" applyFont="1" applyAlignment="1">
      <alignment horizontal="left" vertical="top" wrapText="1"/>
    </xf>
    <xf numFmtId="0" fontId="3" fillId="0" borderId="0" xfId="0" applyFont="1" applyAlignment="1">
      <alignment horizontal="left" vertical="top" wrapText="1"/>
    </xf>
    <xf numFmtId="0" fontId="3" fillId="2" borderId="1" xfId="0" applyFont="1" applyAlignment="1">
      <alignment horizontal="left" vertical="top" wrapText="1"/>
    </xf>
    <xf numFmtId="0" fontId="0" fillId="2" borderId="1" xfId="0" applyFont="1" applyAlignment="1">
      <alignment horizontal="left" vertical="top" wrapText="1"/>
    </xf>
    <xf numFmtId="0" fontId="3" fillId="0" borderId="0" xfId="0" applyFont="1" applyAlignment="1">
      <alignment horizontal="right" vertical="top" wrapText="1"/>
    </xf>
    <xf numFmtId="0" fontId="3" fillId="2" borderId="1" xfId="0" applyFont="1" applyAlignment="1">
      <alignment horizontal="right" vertical="top" wrapText="1"/>
    </xf>
    <xf numFmtId="0" fontId="4" fillId="0" borderId="0" xfId="0" applyFont="1" applyAlignment="1">
      <alignment horizontal="left" vertical="top" wrapText="1"/>
    </xf>
    <xf numFmtId="0" fontId="4" fillId="3" borderId="2" xfId="0" applyFont="1" applyAlignment="1">
      <alignment horizontal="left" vertical="top" wrapText="1"/>
    </xf>
    <xf numFmtId="0" fontId="0" fillId="3" borderId="2" xfId="0" applyFont="1" applyAlignment="1">
      <alignment horizontal="left" vertical="top" wrapText="1"/>
    </xf>
    <xf numFmtId="0" fontId="4" fillId="0" borderId="0" xfId="0" applyFont="1" applyAlignment="1">
      <alignment horizontal="justify" vertical="top" wrapText="1"/>
    </xf>
    <xf numFmtId="0" fontId="4" fillId="3" borderId="2" xfId="0" applyFont="1" applyAlignment="1">
      <alignment horizontal="justify" vertical="top" wrapText="1"/>
    </xf>
    <xf numFmtId="200" fontId="4" fillId="0" borderId="0" xfId="0" applyFont="1" applyAlignment="1">
      <alignment horizontal="right" vertical="top" wrapText="1"/>
    </xf>
    <xf numFmtId="200" fontId="4" fillId="3" borderId="2" xfId="0" applyFont="1" applyAlignment="1">
      <alignment horizontal="right" vertical="top" wrapText="1"/>
    </xf>
    <xf numFmtId="0" fontId="4" fillId="4" borderId="0" xfId="0" applyFont="1" applyAlignment="1">
      <alignment horizontal="left" vertical="top" wrapText="1"/>
    </xf>
    <xf numFmtId="0" fontId="0" fillId="4" borderId="0" xfId="0" applyFont="1" applyAlignment="1">
      <alignment horizontal="left" vertical="top" wrapText="1"/>
    </xf>
    <xf numFmtId="0" fontId="4" fillId="4" borderId="0" xfId="0" applyFont="1" applyAlignment="1">
      <alignment horizontal="justify" vertical="top" wrapText="1"/>
    </xf>
    <xf numFmtId="200" fontId="4" fillId="4" borderId="0" xfId="0" applyFont="1" applyAlignment="1">
      <alignment horizontal="right" vertical="top" wrapText="1"/>
    </xf>
    <xf numFmtId="0" fontId="4" fillId="5" borderId="0" xfId="0" applyFont="1" applyAlignment="1">
      <alignment horizontal="left" vertical="top" wrapText="1"/>
    </xf>
    <xf numFmtId="0" fontId="0" fillId="5" borderId="0" xfId="0" applyFont="1" applyAlignment="1">
      <alignment horizontal="left" vertical="top" wrapText="1"/>
    </xf>
    <xf numFmtId="0" fontId="4" fillId="5" borderId="0" xfId="0" applyFont="1" applyAlignment="1">
      <alignment horizontal="justify" vertical="top" wrapText="1"/>
    </xf>
    <xf numFmtId="200" fontId="4" fillId="5" borderId="0" xfId="0" applyFont="1" applyAlignment="1">
      <alignment horizontal="right" vertical="top" wrapText="1"/>
    </xf>
    <xf numFmtId="0" fontId="2" fillId="0" borderId="0" xfId="0" applyFont="1" applyAlignment="1">
      <alignment horizontal="justify" vertical="top" wrapText="1"/>
    </xf>
    <xf numFmtId="201" fontId="2" fillId="0" borderId="0" xfId="0" applyFont="1" applyAlignment="1">
      <alignment horizontal="right" vertical="top" wrapText="1"/>
    </xf>
    <xf numFmtId="200" fontId="2" fillId="0" borderId="0" xfId="0" applyFont="1" applyAlignment="1">
      <alignment horizontal="right" vertical="top" wrapText="1"/>
    </xf>
    <xf numFmtId="0" fontId="0" fillId="0" borderId="0" xfId="0" applyFont="1" applyAlignment="1">
      <alignment horizontal="center" vertical="center" wrapText="1"/>
    </xf>
    <xf numFmtId="0" fontId="0" fillId="0" borderId="1" xfId="0" applyFont="1" applyAlignment="1">
      <alignment horizontal="center" vertical="center" wrapText="1"/>
    </xf>
    <xf numFmtId="0" fontId="4" fillId="0" borderId="1" xfId="0" applyFont="1" applyAlignment="1">
      <alignment horizontal="left" vertical="top" wrapText="1"/>
    </xf>
    <xf numFmtId="201" fontId="4" fillId="0" borderId="0" xfId="0" applyFont="1" applyAlignment="1">
      <alignment horizontal="right" vertical="top" wrapText="1"/>
    </xf>
    <xf numFmtId="201" fontId="4" fillId="0" borderId="1" xfId="0" applyFont="1" applyAlignment="1">
      <alignment horizontal="right" vertical="top" wrapText="1"/>
    </xf>
    <xf numFmtId="200" fontId="4" fillId="0" borderId="1" xfId="0" applyFont="1" applyAlignment="1">
      <alignment horizontal="right" vertical="top" wrapText="1"/>
    </xf>
    <xf numFmtId="0" fontId="4" fillId="0" borderId="2" xfId="0" applyFont="1" applyAlignment="1">
      <alignment horizontal="left" vertical="top" wrapText="1"/>
    </xf>
    <xf numFmtId="0" fontId="2" fillId="0" borderId="2" xfId="0" applyFont="1" applyAlignment="1">
      <alignment horizontal="left" vertical="top" wrapText="1"/>
    </xf>
    <xf numFmtId="0" fontId="2" fillId="0" borderId="2" xfId="0" applyFont="1" applyAlignment="1">
      <alignment horizontal="justify" vertical="top" wrapText="1"/>
    </xf>
    <xf numFmtId="201" fontId="2" fillId="0" borderId="2" xfId="0" applyFont="1" applyAlignment="1">
      <alignment horizontal="right" vertical="top" wrapText="1"/>
    </xf>
    <xf numFmtId="200" fontId="2" fillId="0" borderId="2" xfId="0" applyFont="1" applyAlignment="1">
      <alignment horizontal="right" vertical="top" wrapText="1"/>
    </xf>
    <xf numFmtId="0" fontId="0" fillId="0" borderId="3" xfId="0" applyFont="1" applyAlignment="1">
      <alignment horizontal="center" vertical="center" wrapText="1"/>
    </xf>
    <xf numFmtId="0" fontId="4" fillId="5" borderId="3" xfId="0" applyFont="1" applyAlignment="1">
      <alignment horizontal="left" vertical="top" wrapText="1"/>
    </xf>
    <xf numFmtId="0" fontId="0" fillId="5" borderId="3" xfId="0" applyFont="1" applyAlignment="1">
      <alignment horizontal="left" vertical="top" wrapText="1"/>
    </xf>
    <xf numFmtId="200" fontId="4" fillId="5" borderId="3" xfId="0" applyFont="1" applyAlignment="1">
      <alignment horizontal="right" vertical="top" wrapText="1"/>
    </xf>
    <xf numFmtId="0" fontId="4" fillId="5" borderId="2" xfId="0" applyFont="1" applyAlignment="1">
      <alignment horizontal="left" vertical="top" wrapText="1"/>
    </xf>
    <xf numFmtId="0" fontId="0" fillId="5" borderId="2" xfId="0" applyFont="1" applyAlignment="1">
      <alignment horizontal="left" vertical="top" wrapText="1"/>
    </xf>
    <xf numFmtId="0" fontId="4" fillId="5" borderId="2" xfId="0" applyFont="1" applyAlignment="1">
      <alignment horizontal="justify" vertical="top" wrapText="1"/>
    </xf>
    <xf numFmtId="200" fontId="4" fillId="5" borderId="2" xfId="0" applyFont="1" applyAlignment="1">
      <alignment horizontal="right" vertical="top" wrapText="1"/>
    </xf>
    <xf numFmtId="0" fontId="5" fillId="0" borderId="4" xfId="0" applyFont="1" applyAlignment="1">
      <alignment horizontal="left" vertical="top" wrapText="1"/>
    </xf>
    <xf numFmtId="0" fontId="5" fillId="0" borderId="0" xfId="0" applyFont="1" applyAlignment="1">
      <alignment horizontal="right" vertical="top" wrapText="1"/>
    </xf>
    <xf numFmtId="0" fontId="5" fillId="0" borderId="4" xfId="0" applyFont="1" applyAlignment="1">
      <alignment horizontal="right" vertical="top" wrapText="1"/>
    </xf>
    <xf numFmtId="0" fontId="5" fillId="0" borderId="0" xfId="0" applyFont="1" applyAlignment="1">
      <alignment horizontal="left" vertical="top" wrapText="1"/>
    </xf>
    <xf numFmtId="0" fontId="2" fillId="0" borderId="5" xfId="0" applyFont="1" applyAlignment="1">
      <alignment horizontal="left" vertical="top" wrapText="1"/>
    </xf>
    <xf numFmtId="0" fontId="2" fillId="0" borderId="5" xfId="0" applyFont="1" applyAlignment="1">
      <alignment horizontal="right" vertical="top" wrapText="1"/>
    </xf>
    <xf numFmtId="201" fontId="2" fillId="0" borderId="5" xfId="0" applyFont="1" applyAlignment="1">
      <alignment horizontal="right" vertical="top" wrapText="1"/>
    </xf>
    <xf numFmtId="201" fontId="5" fillId="0" borderId="0" xfId="0" applyFont="1" applyAlignment="1">
      <alignment horizontal="right" vertical="top" wrapText="1"/>
    </xf>
    <xf numFmtId="201" fontId="5" fillId="0" borderId="5" xfId="0" applyFont="1" applyAlignment="1">
      <alignment horizontal="right" vertical="top" wrapText="1"/>
    </xf>
    <xf numFmtId="201" fontId="6" fillId="0" borderId="0" xfId="0" applyFont="1" applyAlignment="1">
      <alignment horizontal="right" vertical="top" wrapText="1"/>
    </xf>
    <xf numFmtId="201" fontId="6" fillId="0" borderId="5" xfId="0" applyFont="1" applyAlignment="1">
      <alignment horizontal="right" vertical="top" wrapText="1"/>
    </xf>
    <xf numFmtId="0" fontId="4" fillId="5" borderId="1" xfId="0" applyFont="1" applyAlignment="1">
      <alignment horizontal="left" vertical="top" wrapText="1"/>
    </xf>
    <xf numFmtId="0" fontId="0" fillId="5" borderId="1" xfId="0" applyFont="1" applyAlignment="1">
      <alignment horizontal="left" vertical="top" wrapText="1"/>
    </xf>
    <xf numFmtId="200" fontId="4" fillId="5" borderId="1" xfId="0" applyFont="1" applyAlignment="1">
      <alignment horizontal="right" vertical="top" wrapText="1"/>
    </xf>
    <xf numFmtId="0" fontId="4" fillId="4" borderId="3" xfId="0" applyFont="1" applyAlignment="1">
      <alignment horizontal="left" vertical="top" wrapText="1"/>
    </xf>
    <xf numFmtId="0" fontId="0" fillId="4" borderId="3" xfId="0" applyFont="1" applyAlignment="1">
      <alignment horizontal="left" vertical="top" wrapText="1"/>
    </xf>
    <xf numFmtId="200" fontId="4" fillId="4" borderId="3" xfId="0" applyFont="1" applyAlignment="1">
      <alignment horizontal="right" vertical="top" wrapText="1"/>
    </xf>
    <xf numFmtId="0" fontId="4" fillId="4" borderId="2" xfId="0" applyFont="1" applyAlignment="1">
      <alignment horizontal="left" vertical="top" wrapText="1"/>
    </xf>
    <xf numFmtId="0" fontId="0" fillId="4" borderId="2" xfId="0" applyFont="1" applyAlignment="1">
      <alignment horizontal="left" vertical="top" wrapText="1"/>
    </xf>
    <xf numFmtId="0" fontId="4" fillId="4" borderId="2" xfId="0" applyFont="1" applyAlignment="1">
      <alignment horizontal="justify" vertical="top" wrapText="1"/>
    </xf>
    <xf numFmtId="200" fontId="4" fillId="4" borderId="2" xfId="0" applyFont="1" applyAlignment="1">
      <alignment horizontal="right" vertical="top" wrapText="1"/>
    </xf>
    <xf numFmtId="0" fontId="0" fillId="0" borderId="5" xfId="0" applyFont="1" applyAlignment="1">
      <alignment horizontal="center" vertical="center" wrapText="1"/>
    </xf>
    <xf numFmtId="0" fontId="4" fillId="3" borderId="3" xfId="0" applyFont="1" applyAlignment="1">
      <alignment horizontal="left" vertical="top" wrapText="1"/>
    </xf>
    <xf numFmtId="0" fontId="0" fillId="3" borderId="3" xfId="0" applyFont="1" applyAlignment="1">
      <alignment horizontal="left" vertical="top" wrapText="1"/>
    </xf>
    <xf numFmtId="200" fontId="4" fillId="3" borderId="3"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7.43" customWidth="1"/>
    <col min="2" max="2" width="6.57" customWidth="1"/>
    <col min="3" max="3" width="3.14" customWidth="1"/>
    <col min="4" max="4" width="17.74" customWidth="1"/>
    <col min="5" max="5" width="10.33" customWidth="1"/>
    <col min="6" max="6" width="5.61" customWidth="1"/>
    <col min="7" max="7" width="5.59" customWidth="1"/>
    <col min="8" max="8" width="5.72" customWidth="1"/>
    <col min="9" max="9" width="4.92" customWidth="1"/>
    <col min="10" max="10" width="6.20" customWidth="1"/>
    <col min="11" max="11" width="8.16" customWidth="1"/>
    <col min="12" max="12" width="8.08" customWidth="1"/>
    <col min="13" max="13" width="8.16" customWidth="1"/>
  </cols>
  <sheetData>
    <row r="1" spans="1:13" ht="17.76" thickBot="1" customHeight="1">
      <c r="A1" s="2" t="s">
        <v>0</v>
      </c>
      <c r="B1" s="4" t="s">
        <v>1</v>
      </c>
      <c r="C1" s="4"/>
      <c r="D1" s="4"/>
      <c r="E1" s="4"/>
      <c r="F1" s="4"/>
      <c r="G1" s="4"/>
      <c r="H1" s="4"/>
      <c r="I1" s="4"/>
      <c r="J1" s="4"/>
      <c r="K1" s="4"/>
      <c r="L1" s="4"/>
      <c r="M1" s="4"/>
    </row>
    <row r="2" spans="1:13" ht="17.76" thickBot="1" customHeight="1">
      <c r="A2" s="4" t="s">
        <v>2</v>
      </c>
      <c r="B2" s="4"/>
      <c r="C2" s="4"/>
      <c r="D2" s="5"/>
      <c r="E2" s="5"/>
      <c r="F2" s="5"/>
      <c r="G2" s="5"/>
      <c r="H2" s="5"/>
      <c r="I2" s="5"/>
      <c r="J2" s="5"/>
      <c r="K2" s="5"/>
      <c r="L2" s="7" t="s">
        <v>3</v>
      </c>
      <c r="M2" s="9">
        <v>3</v>
      </c>
    </row>
    <row r="3" spans="1:13" ht="16.68" thickBot="1" customHeight="1">
      <c r="A3" s="11" t="s">
        <v>4</v>
      </c>
      <c r="B3" s="11" t="s">
        <v>5</v>
      </c>
      <c r="C3" s="11" t="s">
        <v>6</v>
      </c>
      <c r="D3" s="11" t="s">
        <v>7</v>
      </c>
      <c r="E3" s="12"/>
      <c r="F3" s="12"/>
      <c r="G3" s="12"/>
      <c r="H3" s="12"/>
      <c r="I3" s="12"/>
      <c r="J3" s="12"/>
      <c r="K3" s="14" t="s">
        <v>8</v>
      </c>
      <c r="L3" s="14" t="s">
        <v>9</v>
      </c>
      <c r="M3" s="14" t="s">
        <v>10</v>
      </c>
    </row>
    <row r="4" spans="1:13" ht="44.28" thickBot="1" customHeight="1">
      <c r="A4" s="16" t="s">
        <v>11</v>
      </c>
      <c r="B4" s="16" t="s">
        <v>12</v>
      </c>
      <c r="C4" s="17"/>
      <c r="D4" s="19" t="s">
        <v>13</v>
      </c>
      <c r="E4" s="19"/>
      <c r="F4" s="19"/>
      <c r="G4" s="19"/>
      <c r="H4" s="19"/>
      <c r="I4" s="19"/>
      <c r="J4" s="19"/>
      <c r="K4" s="17"/>
      <c r="L4" s="21">
        <f ca="1">L886</f>
        <v>0</v>
      </c>
      <c r="M4" s="21">
        <f ca="1">ROUND(L4,2)</f>
        <v>0</v>
      </c>
    </row>
    <row r="5" spans="1:13" ht="15.48" thickBot="1" customHeight="1">
      <c r="A5" s="22" t="s">
        <v>14</v>
      </c>
      <c r="B5" s="22" t="s">
        <v>15</v>
      </c>
      <c r="C5" s="23"/>
      <c r="D5" s="24" t="s">
        <v>16</v>
      </c>
      <c r="E5" s="24"/>
      <c r="F5" s="24"/>
      <c r="G5" s="24"/>
      <c r="H5" s="24"/>
      <c r="I5" s="24"/>
      <c r="J5" s="24"/>
      <c r="K5" s="23"/>
      <c r="L5" s="25">
        <f ca="1">L309</f>
        <v>0</v>
      </c>
      <c r="M5" s="25">
        <f ca="1">ROUND(L5,2)</f>
        <v>0</v>
      </c>
    </row>
    <row r="6" spans="1:13" ht="15.48" thickBot="1" customHeight="1">
      <c r="A6" s="26" t="s">
        <v>17</v>
      </c>
      <c r="B6" s="26" t="s">
        <v>18</v>
      </c>
      <c r="C6" s="27"/>
      <c r="D6" s="28" t="s">
        <v>19</v>
      </c>
      <c r="E6" s="28"/>
      <c r="F6" s="28"/>
      <c r="G6" s="28"/>
      <c r="H6" s="28"/>
      <c r="I6" s="28"/>
      <c r="J6" s="28"/>
      <c r="K6" s="27"/>
      <c r="L6" s="29">
        <f ca="1">L57</f>
        <v>0</v>
      </c>
      <c r="M6" s="29">
        <f ca="1">ROUND(L6,2)</f>
        <v>0</v>
      </c>
    </row>
    <row r="7" spans="1:13" ht="15.48" thickBot="1" customHeight="1">
      <c r="A7" s="15" t="s">
        <v>20</v>
      </c>
      <c r="B7" s="8" t="s">
        <v>21</v>
      </c>
      <c r="C7" s="8" t="s">
        <v>22</v>
      </c>
      <c r="D7" s="30" t="s">
        <v>23</v>
      </c>
      <c r="E7" s="30"/>
      <c r="F7" s="30"/>
      <c r="G7" s="30"/>
      <c r="H7" s="30"/>
      <c r="I7" s="30"/>
      <c r="J7" s="30"/>
      <c r="K7" s="31">
        <f ca="1">ROUND(172.80,2)</f>
        <v>0</v>
      </c>
      <c r="L7" s="32">
        <f ca="1">L13</f>
        <v>0</v>
      </c>
      <c r="M7" s="32">
        <f ca="1">ROUND(K7*L7,2)</f>
        <v>0</v>
      </c>
    </row>
    <row r="8" spans="1:13" ht="39.84" thickBot="1" customHeight="1">
      <c r="A8" s="33"/>
      <c r="B8" s="33"/>
      <c r="C8" s="33"/>
      <c r="D8" s="30" t="s">
        <v>24</v>
      </c>
      <c r="E8" s="30"/>
      <c r="F8" s="30"/>
      <c r="G8" s="30"/>
      <c r="H8" s="30"/>
      <c r="I8" s="30"/>
      <c r="J8" s="30"/>
      <c r="K8" s="30"/>
      <c r="L8" s="30"/>
      <c r="M8" s="30"/>
    </row>
    <row r="9" spans="1:13" ht="21.36" thickBot="1" customHeight="1">
      <c r="A9" s="8" t="s">
        <v>25</v>
      </c>
      <c r="B9" s="8" t="s">
        <v>26</v>
      </c>
      <c r="C9" s="8" t="s">
        <v>27</v>
      </c>
      <c r="D9" s="30" t="s">
        <v>28</v>
      </c>
      <c r="E9" s="30"/>
      <c r="F9" s="30"/>
      <c r="G9" s="30"/>
      <c r="H9" s="30"/>
      <c r="I9" s="30"/>
      <c r="J9" s="30"/>
      <c r="K9" s="31">
        <v>0.120</v>
      </c>
      <c r="L9" s="32">
        <f ca="1">ROUND(25.21,2)</f>
        <v>0</v>
      </c>
      <c r="M9" s="32">
        <f ca="1">ROUND(K9*L9,2)</f>
        <v>0</v>
      </c>
    </row>
    <row r="10" spans="1:13" ht="15.12" thickBot="1" customHeight="1">
      <c r="A10" s="8" t="s">
        <v>29</v>
      </c>
      <c r="B10" s="8" t="s">
        <v>30</v>
      </c>
      <c r="C10" s="8" t="s">
        <v>31</v>
      </c>
      <c r="D10" s="30" t="s">
        <v>32</v>
      </c>
      <c r="E10" s="30"/>
      <c r="F10" s="30"/>
      <c r="G10" s="30"/>
      <c r="H10" s="30"/>
      <c r="I10" s="30"/>
      <c r="J10" s="30"/>
      <c r="K10" s="31">
        <v>0.110</v>
      </c>
      <c r="L10" s="32">
        <f ca="1">ROUND(25.42,2)</f>
        <v>0</v>
      </c>
      <c r="M10" s="32">
        <f ca="1">ROUND(K10*L10,2)</f>
        <v>0</v>
      </c>
    </row>
    <row r="11" spans="1:13" ht="15.12" thickBot="1" customHeight="1">
      <c r="A11" s="8" t="s">
        <v>33</v>
      </c>
      <c r="B11" s="8" t="s">
        <v>34</v>
      </c>
      <c r="C11" s="8" t="s">
        <v>35</v>
      </c>
      <c r="D11" s="30" t="s">
        <v>36</v>
      </c>
      <c r="E11" s="30"/>
      <c r="F11" s="30"/>
      <c r="G11" s="30"/>
      <c r="H11" s="30"/>
      <c r="I11" s="30"/>
      <c r="J11" s="30"/>
      <c r="K11" s="31">
        <v>0.110</v>
      </c>
      <c r="L11" s="32">
        <f ca="1">ROUND(22.45,2)</f>
        <v>0</v>
      </c>
      <c r="M11" s="32">
        <f ca="1">ROUND(K11*L11,2)</f>
        <v>0</v>
      </c>
    </row>
    <row r="12" spans="1:13" ht="15.12" thickBot="1" customHeight="1">
      <c r="A12" s="8" t="s">
        <v>37</v>
      </c>
      <c r="B12" s="8"/>
      <c r="C12" s="8" t="s">
        <v>38</v>
      </c>
      <c r="D12" s="30" t="s">
        <v>39</v>
      </c>
      <c r="E12" s="30"/>
      <c r="F12" s="30"/>
      <c r="G12" s="30"/>
      <c r="H12" s="30"/>
      <c r="I12" s="30"/>
      <c r="J12" s="30"/>
      <c r="K12" s="31">
        <v>2.000</v>
      </c>
      <c r="L12" s="32">
        <f ca="1">ROUND(8.30,2)</f>
        <v>0</v>
      </c>
      <c r="M12" s="32">
        <f ca="1">ROUND((K12*L12)/100,2)</f>
        <v>0</v>
      </c>
    </row>
    <row r="13" spans="1:13" ht="15.48" thickBot="1" customHeight="1">
      <c r="A13" s="34"/>
      <c r="B13" s="34"/>
      <c r="C13" s="34"/>
      <c r="D13" s="35" t="s">
        <v>40</v>
      </c>
      <c r="E13" s="34"/>
      <c r="F13" s="34"/>
      <c r="G13" s="34"/>
      <c r="H13" s="34"/>
      <c r="I13" s="34"/>
      <c r="J13" s="34"/>
      <c r="K13" s="37">
        <v>172.800</v>
      </c>
      <c r="L13" s="38">
        <f ca="1">ROUND((M9+M10+M11+M12)*(1+M2/100),2)</f>
        <v>0</v>
      </c>
      <c r="M13" s="38">
        <f ca="1">ROUND(K13*L13,2)</f>
        <v>0</v>
      </c>
    </row>
    <row r="14" spans="1:13" ht="15.48" thickBot="1" customHeight="1">
      <c r="A14" s="39" t="s">
        <v>41</v>
      </c>
      <c r="B14" s="40" t="s">
        <v>42</v>
      </c>
      <c r="C14" s="40" t="s">
        <v>43</v>
      </c>
      <c r="D14" s="41" t="s">
        <v>44</v>
      </c>
      <c r="E14" s="41"/>
      <c r="F14" s="41"/>
      <c r="G14" s="41"/>
      <c r="H14" s="41"/>
      <c r="I14" s="41"/>
      <c r="J14" s="41"/>
      <c r="K14" s="42">
        <f ca="1">ROUND(18.00,2)</f>
        <v>0</v>
      </c>
      <c r="L14" s="43">
        <f ca="1">L20</f>
        <v>0</v>
      </c>
      <c r="M14" s="43">
        <f ca="1">ROUND(K14*L14,2)</f>
        <v>0</v>
      </c>
    </row>
    <row r="15" spans="1:13" ht="49.08" thickBot="1" customHeight="1">
      <c r="A15" s="33"/>
      <c r="B15" s="33"/>
      <c r="C15" s="33"/>
      <c r="D15" s="30" t="s">
        <v>45</v>
      </c>
      <c r="E15" s="30"/>
      <c r="F15" s="30"/>
      <c r="G15" s="30"/>
      <c r="H15" s="30"/>
      <c r="I15" s="30"/>
      <c r="J15" s="30"/>
      <c r="K15" s="30"/>
      <c r="L15" s="30"/>
      <c r="M15" s="30"/>
    </row>
    <row r="16" spans="1:13" ht="15.12" thickBot="1" customHeight="1">
      <c r="A16" s="8" t="s">
        <v>46</v>
      </c>
      <c r="B16" s="8" t="s">
        <v>47</v>
      </c>
      <c r="C16" s="8" t="s">
        <v>48</v>
      </c>
      <c r="D16" s="30" t="s">
        <v>49</v>
      </c>
      <c r="E16" s="30"/>
      <c r="F16" s="30"/>
      <c r="G16" s="30"/>
      <c r="H16" s="30"/>
      <c r="I16" s="30"/>
      <c r="J16" s="30"/>
      <c r="K16" s="31">
        <v>0.684</v>
      </c>
      <c r="L16" s="32">
        <f ca="1">ROUND(15.83,2)</f>
        <v>0</v>
      </c>
      <c r="M16" s="32">
        <f ca="1">ROUND(K16*L16,2)</f>
        <v>0</v>
      </c>
    </row>
    <row r="17" spans="1:13" ht="15.12" thickBot="1" customHeight="1">
      <c r="A17" s="8" t="s">
        <v>50</v>
      </c>
      <c r="B17" s="8" t="s">
        <v>51</v>
      </c>
      <c r="C17" s="8" t="s">
        <v>52</v>
      </c>
      <c r="D17" s="30" t="s">
        <v>53</v>
      </c>
      <c r="E17" s="30"/>
      <c r="F17" s="30"/>
      <c r="G17" s="30"/>
      <c r="H17" s="30"/>
      <c r="I17" s="30"/>
      <c r="J17" s="30"/>
      <c r="K17" s="31">
        <v>0.164</v>
      </c>
      <c r="L17" s="32">
        <f ca="1">ROUND(25.42,2)</f>
        <v>0</v>
      </c>
      <c r="M17" s="32">
        <f ca="1">ROUND(K17*L17,2)</f>
        <v>0</v>
      </c>
    </row>
    <row r="18" spans="1:13" ht="15.12" thickBot="1" customHeight="1">
      <c r="A18" s="8" t="s">
        <v>54</v>
      </c>
      <c r="B18" s="8" t="s">
        <v>55</v>
      </c>
      <c r="C18" s="8" t="s">
        <v>56</v>
      </c>
      <c r="D18" s="30" t="s">
        <v>57</v>
      </c>
      <c r="E18" s="30"/>
      <c r="F18" s="30"/>
      <c r="G18" s="30"/>
      <c r="H18" s="30"/>
      <c r="I18" s="30"/>
      <c r="J18" s="30"/>
      <c r="K18" s="31">
        <v>0.164</v>
      </c>
      <c r="L18" s="32">
        <f ca="1">ROUND(22.45,2)</f>
        <v>0</v>
      </c>
      <c r="M18" s="32">
        <f ca="1">ROUND(K18*L18,2)</f>
        <v>0</v>
      </c>
    </row>
    <row r="19" spans="1:13" ht="15.12" thickBot="1" customHeight="1">
      <c r="A19" s="8" t="s">
        <v>58</v>
      </c>
      <c r="B19" s="8"/>
      <c r="C19" s="8" t="s">
        <v>59</v>
      </c>
      <c r="D19" s="30" t="s">
        <v>60</v>
      </c>
      <c r="E19" s="30"/>
      <c r="F19" s="30"/>
      <c r="G19" s="30"/>
      <c r="H19" s="30"/>
      <c r="I19" s="30"/>
      <c r="J19" s="30"/>
      <c r="K19" s="31">
        <v>2.000</v>
      </c>
      <c r="L19" s="32">
        <f ca="1">ROUND(18.68,2)</f>
        <v>0</v>
      </c>
      <c r="M19" s="32">
        <f ca="1">ROUND((K19*L19)/100,2)</f>
        <v>0</v>
      </c>
    </row>
    <row r="20" spans="1:13" ht="15.48" thickBot="1" customHeight="1">
      <c r="A20" s="34"/>
      <c r="B20" s="34"/>
      <c r="C20" s="34"/>
      <c r="D20" s="35" t="s">
        <v>61</v>
      </c>
      <c r="E20" s="34"/>
      <c r="F20" s="34"/>
      <c r="G20" s="34"/>
      <c r="H20" s="34"/>
      <c r="I20" s="34"/>
      <c r="J20" s="34"/>
      <c r="K20" s="37">
        <v>18.000</v>
      </c>
      <c r="L20" s="38">
        <f ca="1">ROUND((M16+M17+M18+M19)*(1+M2/100),2)</f>
        <v>0</v>
      </c>
      <c r="M20" s="38">
        <f ca="1">ROUND(K20*L20,2)</f>
        <v>0</v>
      </c>
    </row>
    <row r="21" spans="1:13" ht="15.48" thickBot="1" customHeight="1">
      <c r="A21" s="39" t="s">
        <v>62</v>
      </c>
      <c r="B21" s="40" t="s">
        <v>63</v>
      </c>
      <c r="C21" s="40" t="s">
        <v>64</v>
      </c>
      <c r="D21" s="41" t="s">
        <v>65</v>
      </c>
      <c r="E21" s="41"/>
      <c r="F21" s="41"/>
      <c r="G21" s="41"/>
      <c r="H21" s="41"/>
      <c r="I21" s="41"/>
      <c r="J21" s="41"/>
      <c r="K21" s="42">
        <f ca="1">ROUND(166.40,2)</f>
        <v>0</v>
      </c>
      <c r="L21" s="43">
        <f ca="1">L28</f>
        <v>0</v>
      </c>
      <c r="M21" s="43">
        <f ca="1">ROUND(K21*L21,2)</f>
        <v>0</v>
      </c>
    </row>
    <row r="22" spans="1:13" ht="49.08" thickBot="1" customHeight="1">
      <c r="A22" s="33"/>
      <c r="B22" s="33"/>
      <c r="C22" s="33"/>
      <c r="D22" s="30" t="s">
        <v>66</v>
      </c>
      <c r="E22" s="30"/>
      <c r="F22" s="30"/>
      <c r="G22" s="30"/>
      <c r="H22" s="30"/>
      <c r="I22" s="30"/>
      <c r="J22" s="30"/>
      <c r="K22" s="30"/>
      <c r="L22" s="30"/>
      <c r="M22" s="30"/>
    </row>
    <row r="23" spans="1:13" ht="15.12" thickBot="1" customHeight="1">
      <c r="A23" s="8" t="s">
        <v>67</v>
      </c>
      <c r="B23" s="8" t="s">
        <v>68</v>
      </c>
      <c r="C23" s="8" t="s">
        <v>69</v>
      </c>
      <c r="D23" s="30" t="s">
        <v>70</v>
      </c>
      <c r="E23" s="30"/>
      <c r="F23" s="30"/>
      <c r="G23" s="30"/>
      <c r="H23" s="30"/>
      <c r="I23" s="30"/>
      <c r="J23" s="30"/>
      <c r="K23" s="31">
        <v>0.057</v>
      </c>
      <c r="L23" s="32">
        <f ca="1">ROUND(15.83,2)</f>
        <v>0</v>
      </c>
      <c r="M23" s="32">
        <f ca="1">ROUND(K23*L23,2)</f>
        <v>0</v>
      </c>
    </row>
    <row r="24" spans="1:13" ht="15.12" thickBot="1" customHeight="1">
      <c r="A24" s="8" t="s">
        <v>71</v>
      </c>
      <c r="B24" s="8" t="s">
        <v>72</v>
      </c>
      <c r="C24" s="8" t="s">
        <v>73</v>
      </c>
      <c r="D24" s="30" t="s">
        <v>74</v>
      </c>
      <c r="E24" s="30"/>
      <c r="F24" s="30"/>
      <c r="G24" s="30"/>
      <c r="H24" s="30"/>
      <c r="I24" s="30"/>
      <c r="J24" s="30"/>
      <c r="K24" s="31">
        <v>2.000</v>
      </c>
      <c r="L24" s="32">
        <f ca="1">ROUND(0.10,2)</f>
        <v>0</v>
      </c>
      <c r="M24" s="32">
        <f ca="1">ROUND(K24*L24,2)</f>
        <v>0</v>
      </c>
    </row>
    <row r="25" spans="1:13" ht="15.12" thickBot="1" customHeight="1">
      <c r="A25" s="8" t="s">
        <v>75</v>
      </c>
      <c r="B25" s="8" t="s">
        <v>76</v>
      </c>
      <c r="C25" s="8" t="s">
        <v>77</v>
      </c>
      <c r="D25" s="30" t="s">
        <v>78</v>
      </c>
      <c r="E25" s="30"/>
      <c r="F25" s="30"/>
      <c r="G25" s="30"/>
      <c r="H25" s="30"/>
      <c r="I25" s="30"/>
      <c r="J25" s="30"/>
      <c r="K25" s="31">
        <v>0.055</v>
      </c>
      <c r="L25" s="32">
        <f ca="1">ROUND(25.42,2)</f>
        <v>0</v>
      </c>
      <c r="M25" s="32">
        <f ca="1">ROUND(K25*L25,2)</f>
        <v>0</v>
      </c>
    </row>
    <row r="26" spans="1:13" ht="15.12" thickBot="1" customHeight="1">
      <c r="A26" s="8" t="s">
        <v>79</v>
      </c>
      <c r="B26" s="8" t="s">
        <v>80</v>
      </c>
      <c r="C26" s="8" t="s">
        <v>81</v>
      </c>
      <c r="D26" s="30" t="s">
        <v>82</v>
      </c>
      <c r="E26" s="30"/>
      <c r="F26" s="30"/>
      <c r="G26" s="30"/>
      <c r="H26" s="30"/>
      <c r="I26" s="30"/>
      <c r="J26" s="30"/>
      <c r="K26" s="31">
        <v>0.055</v>
      </c>
      <c r="L26" s="32">
        <f ca="1">ROUND(22.45,2)</f>
        <v>0</v>
      </c>
      <c r="M26" s="32">
        <f ca="1">ROUND(K26*L26,2)</f>
        <v>0</v>
      </c>
    </row>
    <row r="27" spans="1:13" ht="15.12" thickBot="1" customHeight="1">
      <c r="A27" s="8" t="s">
        <v>83</v>
      </c>
      <c r="B27" s="8"/>
      <c r="C27" s="8" t="s">
        <v>84</v>
      </c>
      <c r="D27" s="30" t="s">
        <v>85</v>
      </c>
      <c r="E27" s="30"/>
      <c r="F27" s="30"/>
      <c r="G27" s="30"/>
      <c r="H27" s="30"/>
      <c r="I27" s="30"/>
      <c r="J27" s="30"/>
      <c r="K27" s="31">
        <v>2.000</v>
      </c>
      <c r="L27" s="32">
        <f ca="1">ROUND(3.73,2)</f>
        <v>0</v>
      </c>
      <c r="M27" s="32">
        <f ca="1">ROUND((K27*L27)/100,2)</f>
        <v>0</v>
      </c>
    </row>
    <row r="28" spans="1:13" ht="15.48" thickBot="1" customHeight="1">
      <c r="A28" s="34"/>
      <c r="B28" s="34"/>
      <c r="C28" s="34"/>
      <c r="D28" s="35" t="s">
        <v>86</v>
      </c>
      <c r="E28" s="34"/>
      <c r="F28" s="34"/>
      <c r="G28" s="34"/>
      <c r="H28" s="34"/>
      <c r="I28" s="34"/>
      <c r="J28" s="34"/>
      <c r="K28" s="37">
        <v>166.400</v>
      </c>
      <c r="L28" s="38">
        <f ca="1">ROUND((M23+M24+M25+M26+M27)*(1+M2/100),2)</f>
        <v>0</v>
      </c>
      <c r="M28" s="38">
        <f ca="1">ROUND(K28*L28,2)</f>
        <v>0</v>
      </c>
    </row>
    <row r="29" spans="1:13" ht="15.48" thickBot="1" customHeight="1">
      <c r="A29" s="39" t="s">
        <v>87</v>
      </c>
      <c r="B29" s="40" t="s">
        <v>88</v>
      </c>
      <c r="C29" s="40" t="s">
        <v>89</v>
      </c>
      <c r="D29" s="41" t="s">
        <v>90</v>
      </c>
      <c r="E29" s="41"/>
      <c r="F29" s="41"/>
      <c r="G29" s="41"/>
      <c r="H29" s="41"/>
      <c r="I29" s="41"/>
      <c r="J29" s="41"/>
      <c r="K29" s="42">
        <f ca="1">ROUND(8.00,2)</f>
        <v>0</v>
      </c>
      <c r="L29" s="43">
        <f ca="1">L37</f>
        <v>0</v>
      </c>
      <c r="M29" s="43">
        <f ca="1">ROUND(K29*L29,2)</f>
        <v>0</v>
      </c>
    </row>
    <row r="30" spans="1:13" ht="49.08" thickBot="1" customHeight="1">
      <c r="A30" s="33"/>
      <c r="B30" s="33"/>
      <c r="C30" s="33"/>
      <c r="D30" s="30" t="s">
        <v>91</v>
      </c>
      <c r="E30" s="30"/>
      <c r="F30" s="30"/>
      <c r="G30" s="30"/>
      <c r="H30" s="30"/>
      <c r="I30" s="30"/>
      <c r="J30" s="30"/>
      <c r="K30" s="30"/>
      <c r="L30" s="30"/>
      <c r="M30" s="30"/>
    </row>
    <row r="31" spans="1:13" ht="15.12" thickBot="1" customHeight="1">
      <c r="A31" s="8" t="s">
        <v>92</v>
      </c>
      <c r="B31" s="8" t="s">
        <v>93</v>
      </c>
      <c r="C31" s="8" t="s">
        <v>94</v>
      </c>
      <c r="D31" s="30" t="s">
        <v>95</v>
      </c>
      <c r="E31" s="30"/>
      <c r="F31" s="30"/>
      <c r="G31" s="30"/>
      <c r="H31" s="30"/>
      <c r="I31" s="30"/>
      <c r="J31" s="30"/>
      <c r="K31" s="31">
        <v>1.000</v>
      </c>
      <c r="L31" s="32">
        <f ca="1">ROUND(195.32,2)</f>
        <v>0</v>
      </c>
      <c r="M31" s="32">
        <f ca="1">ROUND(K31*L31,2)</f>
        <v>0</v>
      </c>
    </row>
    <row r="32" spans="1:13" ht="21.36" thickBot="1" customHeight="1">
      <c r="A32" s="8" t="s">
        <v>96</v>
      </c>
      <c r="B32" s="8" t="s">
        <v>97</v>
      </c>
      <c r="C32" s="8" t="s">
        <v>98</v>
      </c>
      <c r="D32" s="30" t="s">
        <v>99</v>
      </c>
      <c r="E32" s="30"/>
      <c r="F32" s="30"/>
      <c r="G32" s="30"/>
      <c r="H32" s="30"/>
      <c r="I32" s="30"/>
      <c r="J32" s="30"/>
      <c r="K32" s="31">
        <v>1.000</v>
      </c>
      <c r="L32" s="32">
        <f ca="1">ROUND(5.88,2)</f>
        <v>0</v>
      </c>
      <c r="M32" s="32">
        <f ca="1">ROUND(K32*L32,2)</f>
        <v>0</v>
      </c>
    </row>
    <row r="33" spans="1:13" ht="24.36" thickBot="1" customHeight="1">
      <c r="A33" s="8" t="s">
        <v>100</v>
      </c>
      <c r="B33" s="8" t="s">
        <v>101</v>
      </c>
      <c r="C33" s="8" t="s">
        <v>102</v>
      </c>
      <c r="D33" s="30" t="s">
        <v>103</v>
      </c>
      <c r="E33" s="30"/>
      <c r="F33" s="30"/>
      <c r="G33" s="30"/>
      <c r="H33" s="30"/>
      <c r="I33" s="30"/>
      <c r="J33" s="30"/>
      <c r="K33" s="31">
        <v>0.100</v>
      </c>
      <c r="L33" s="32">
        <f ca="1">ROUND(81.80,2)</f>
        <v>0</v>
      </c>
      <c r="M33" s="32">
        <f ca="1">ROUND(K33*L33,2)</f>
        <v>0</v>
      </c>
    </row>
    <row r="34" spans="1:13" ht="15.12" thickBot="1" customHeight="1">
      <c r="A34" s="8" t="s">
        <v>104</v>
      </c>
      <c r="B34" s="8" t="s">
        <v>105</v>
      </c>
      <c r="C34" s="8" t="s">
        <v>106</v>
      </c>
      <c r="D34" s="30" t="s">
        <v>107</v>
      </c>
      <c r="E34" s="30"/>
      <c r="F34" s="30"/>
      <c r="G34" s="30"/>
      <c r="H34" s="30"/>
      <c r="I34" s="30"/>
      <c r="J34" s="30"/>
      <c r="K34" s="31">
        <v>0.439</v>
      </c>
      <c r="L34" s="32">
        <f ca="1">ROUND(25.42,2)</f>
        <v>0</v>
      </c>
      <c r="M34" s="32">
        <f ca="1">ROUND(K34*L34,2)</f>
        <v>0</v>
      </c>
    </row>
    <row r="35" spans="1:13" ht="15.12" thickBot="1" customHeight="1">
      <c r="A35" s="8" t="s">
        <v>108</v>
      </c>
      <c r="B35" s="8" t="s">
        <v>109</v>
      </c>
      <c r="C35" s="8" t="s">
        <v>110</v>
      </c>
      <c r="D35" s="30" t="s">
        <v>111</v>
      </c>
      <c r="E35" s="30"/>
      <c r="F35" s="30"/>
      <c r="G35" s="30"/>
      <c r="H35" s="30"/>
      <c r="I35" s="30"/>
      <c r="J35" s="30"/>
      <c r="K35" s="31">
        <v>0.439</v>
      </c>
      <c r="L35" s="32">
        <f ca="1">ROUND(22.45,2)</f>
        <v>0</v>
      </c>
      <c r="M35" s="32">
        <f ca="1">ROUND(K35*L35,2)</f>
        <v>0</v>
      </c>
    </row>
    <row r="36" spans="1:13" ht="15.12" thickBot="1" customHeight="1">
      <c r="A36" s="8" t="s">
        <v>112</v>
      </c>
      <c r="B36" s="8"/>
      <c r="C36" s="8" t="s">
        <v>113</v>
      </c>
      <c r="D36" s="30" t="s">
        <v>114</v>
      </c>
      <c r="E36" s="30"/>
      <c r="F36" s="30"/>
      <c r="G36" s="30"/>
      <c r="H36" s="30"/>
      <c r="I36" s="30"/>
      <c r="J36" s="30"/>
      <c r="K36" s="31">
        <v>2.000</v>
      </c>
      <c r="L36" s="32">
        <f ca="1">ROUND(230.40,2)</f>
        <v>0</v>
      </c>
      <c r="M36" s="32">
        <f ca="1">ROUND((K36*L36)/100,2)</f>
        <v>0</v>
      </c>
    </row>
    <row r="37" spans="1:13" ht="15.48" thickBot="1" customHeight="1">
      <c r="A37" s="34"/>
      <c r="B37" s="34"/>
      <c r="C37" s="34"/>
      <c r="D37" s="35" t="s">
        <v>115</v>
      </c>
      <c r="E37" s="34"/>
      <c r="F37" s="34"/>
      <c r="G37" s="34"/>
      <c r="H37" s="34"/>
      <c r="I37" s="34"/>
      <c r="J37" s="34"/>
      <c r="K37" s="37">
        <v>8.000</v>
      </c>
      <c r="L37" s="38">
        <f ca="1">ROUND((M31+M32+M33+M34+M35+M36)*(1+M2/100),2)</f>
        <v>0</v>
      </c>
      <c r="M37" s="38">
        <f ca="1">ROUND(K37*L37,2)</f>
        <v>0</v>
      </c>
    </row>
    <row r="38" spans="1:13" ht="15.48" thickBot="1" customHeight="1">
      <c r="A38" s="39" t="s">
        <v>116</v>
      </c>
      <c r="B38" s="40" t="s">
        <v>117</v>
      </c>
      <c r="C38" s="40" t="s">
        <v>118</v>
      </c>
      <c r="D38" s="41" t="s">
        <v>119</v>
      </c>
      <c r="E38" s="41"/>
      <c r="F38" s="41"/>
      <c r="G38" s="41"/>
      <c r="H38" s="41"/>
      <c r="I38" s="41"/>
      <c r="J38" s="41"/>
      <c r="K38" s="42">
        <f ca="1">ROUND(2.00,2)</f>
        <v>0</v>
      </c>
      <c r="L38" s="43">
        <f ca="1">L46</f>
        <v>0</v>
      </c>
      <c r="M38" s="43">
        <f ca="1">ROUND(K38*L38,2)</f>
        <v>0</v>
      </c>
    </row>
    <row r="39" spans="1:13" ht="30.60" thickBot="1" customHeight="1">
      <c r="A39" s="33"/>
      <c r="B39" s="33"/>
      <c r="C39" s="33"/>
      <c r="D39" s="30" t="s">
        <v>120</v>
      </c>
      <c r="E39" s="30"/>
      <c r="F39" s="30"/>
      <c r="G39" s="30"/>
      <c r="H39" s="30"/>
      <c r="I39" s="30"/>
      <c r="J39" s="30"/>
      <c r="K39" s="30"/>
      <c r="L39" s="30"/>
      <c r="M39" s="30"/>
    </row>
    <row r="40" spans="1:13" ht="21.36" thickBot="1" customHeight="1">
      <c r="A40" s="8" t="s">
        <v>121</v>
      </c>
      <c r="B40" s="8" t="s">
        <v>122</v>
      </c>
      <c r="C40" s="8" t="s">
        <v>123</v>
      </c>
      <c r="D40" s="30" t="s">
        <v>124</v>
      </c>
      <c r="E40" s="30"/>
      <c r="F40" s="30"/>
      <c r="G40" s="30"/>
      <c r="H40" s="30"/>
      <c r="I40" s="30"/>
      <c r="J40" s="30"/>
      <c r="K40" s="31">
        <v>1.000</v>
      </c>
      <c r="L40" s="32">
        <f ca="1">ROUND(410.00,2)</f>
        <v>0</v>
      </c>
      <c r="M40" s="32">
        <f ca="1">ROUND(K40*L40,2)</f>
        <v>0</v>
      </c>
    </row>
    <row r="41" spans="1:13" ht="21.36" thickBot="1" customHeight="1">
      <c r="A41" s="8" t="s">
        <v>125</v>
      </c>
      <c r="B41" s="8" t="s">
        <v>126</v>
      </c>
      <c r="C41" s="8" t="s">
        <v>127</v>
      </c>
      <c r="D41" s="30" t="s">
        <v>128</v>
      </c>
      <c r="E41" s="30"/>
      <c r="F41" s="30"/>
      <c r="G41" s="30"/>
      <c r="H41" s="30"/>
      <c r="I41" s="30"/>
      <c r="J41" s="30"/>
      <c r="K41" s="31">
        <v>1.000</v>
      </c>
      <c r="L41" s="32">
        <f ca="1">ROUND(5.88,2)</f>
        <v>0</v>
      </c>
      <c r="M41" s="32">
        <f ca="1">ROUND(K41*L41,2)</f>
        <v>0</v>
      </c>
    </row>
    <row r="42" spans="1:13" ht="24.36" thickBot="1" customHeight="1">
      <c r="A42" s="8" t="s">
        <v>129</v>
      </c>
      <c r="B42" s="8" t="s">
        <v>130</v>
      </c>
      <c r="C42" s="8" t="s">
        <v>131</v>
      </c>
      <c r="D42" s="30" t="s">
        <v>132</v>
      </c>
      <c r="E42" s="30"/>
      <c r="F42" s="30"/>
      <c r="G42" s="30"/>
      <c r="H42" s="30"/>
      <c r="I42" s="30"/>
      <c r="J42" s="30"/>
      <c r="K42" s="31">
        <v>0.100</v>
      </c>
      <c r="L42" s="32">
        <f ca="1">ROUND(81.80,2)</f>
        <v>0</v>
      </c>
      <c r="M42" s="32">
        <f ca="1">ROUND(K42*L42,2)</f>
        <v>0</v>
      </c>
    </row>
    <row r="43" spans="1:13" ht="15.12" thickBot="1" customHeight="1">
      <c r="A43" s="8" t="s">
        <v>133</v>
      </c>
      <c r="B43" s="8" t="s">
        <v>134</v>
      </c>
      <c r="C43" s="8" t="s">
        <v>135</v>
      </c>
      <c r="D43" s="30" t="s">
        <v>136</v>
      </c>
      <c r="E43" s="30"/>
      <c r="F43" s="30"/>
      <c r="G43" s="30"/>
      <c r="H43" s="30"/>
      <c r="I43" s="30"/>
      <c r="J43" s="30"/>
      <c r="K43" s="31">
        <v>0.439</v>
      </c>
      <c r="L43" s="32">
        <f ca="1">ROUND(25.42,2)</f>
        <v>0</v>
      </c>
      <c r="M43" s="32">
        <f ca="1">ROUND(K43*L43,2)</f>
        <v>0</v>
      </c>
    </row>
    <row r="44" spans="1:13" ht="15.12" thickBot="1" customHeight="1">
      <c r="A44" s="8" t="s">
        <v>137</v>
      </c>
      <c r="B44" s="8" t="s">
        <v>138</v>
      </c>
      <c r="C44" s="8" t="s">
        <v>139</v>
      </c>
      <c r="D44" s="30" t="s">
        <v>140</v>
      </c>
      <c r="E44" s="30"/>
      <c r="F44" s="30"/>
      <c r="G44" s="30"/>
      <c r="H44" s="30"/>
      <c r="I44" s="30"/>
      <c r="J44" s="30"/>
      <c r="K44" s="31">
        <v>0.439</v>
      </c>
      <c r="L44" s="32">
        <f ca="1">ROUND(22.45,2)</f>
        <v>0</v>
      </c>
      <c r="M44" s="32">
        <f ca="1">ROUND(K44*L44,2)</f>
        <v>0</v>
      </c>
    </row>
    <row r="45" spans="1:13" ht="15.12" thickBot="1" customHeight="1">
      <c r="A45" s="8" t="s">
        <v>141</v>
      </c>
      <c r="B45" s="8"/>
      <c r="C45" s="8" t="s">
        <v>142</v>
      </c>
      <c r="D45" s="30" t="s">
        <v>143</v>
      </c>
      <c r="E45" s="30"/>
      <c r="F45" s="30"/>
      <c r="G45" s="30"/>
      <c r="H45" s="30"/>
      <c r="I45" s="30"/>
      <c r="J45" s="30"/>
      <c r="K45" s="31">
        <v>2.000</v>
      </c>
      <c r="L45" s="32">
        <f ca="1">ROUND(445.08,2)</f>
        <v>0</v>
      </c>
      <c r="M45" s="32">
        <f ca="1">ROUND((K45*L45)/100,2)</f>
        <v>0</v>
      </c>
    </row>
    <row r="46" spans="1:13" ht="15.48" thickBot="1" customHeight="1">
      <c r="A46" s="34"/>
      <c r="B46" s="34"/>
      <c r="C46" s="34"/>
      <c r="D46" s="35" t="s">
        <v>144</v>
      </c>
      <c r="E46" s="34"/>
      <c r="F46" s="34"/>
      <c r="G46" s="34"/>
      <c r="H46" s="34"/>
      <c r="I46" s="34"/>
      <c r="J46" s="34"/>
      <c r="K46" s="37">
        <v>2.000</v>
      </c>
      <c r="L46" s="38">
        <f ca="1">ROUND((M40+M41+M42+M43+M44+M45)*(1+M2/100),2)</f>
        <v>0</v>
      </c>
      <c r="M46" s="38">
        <f ca="1">ROUND(K46*L46,2)</f>
        <v>0</v>
      </c>
    </row>
    <row r="47" spans="1:13" ht="15.48" thickBot="1" customHeight="1">
      <c r="A47" s="39" t="s">
        <v>145</v>
      </c>
      <c r="B47" s="40" t="s">
        <v>146</v>
      </c>
      <c r="C47" s="40" t="s">
        <v>147</v>
      </c>
      <c r="D47" s="41" t="s">
        <v>148</v>
      </c>
      <c r="E47" s="41"/>
      <c r="F47" s="41"/>
      <c r="G47" s="41"/>
      <c r="H47" s="41"/>
      <c r="I47" s="41"/>
      <c r="J47" s="41"/>
      <c r="K47" s="42">
        <f ca="1">ROUND(2.00,2)</f>
        <v>0</v>
      </c>
      <c r="L47" s="43">
        <f ca="1">L56</f>
        <v>0</v>
      </c>
      <c r="M47" s="43">
        <f ca="1">ROUND(K47*L47,2)</f>
        <v>0</v>
      </c>
    </row>
    <row r="48" spans="1:13" ht="67.56" thickBot="1" customHeight="1">
      <c r="A48" s="33"/>
      <c r="B48" s="33"/>
      <c r="C48" s="33"/>
      <c r="D48" s="30" t="s">
        <v>149</v>
      </c>
      <c r="E48" s="30"/>
      <c r="F48" s="30"/>
      <c r="G48" s="30"/>
      <c r="H48" s="30"/>
      <c r="I48" s="30"/>
      <c r="J48" s="30"/>
      <c r="K48" s="30"/>
      <c r="L48" s="30"/>
      <c r="M48" s="30"/>
    </row>
    <row r="49" spans="1:13" ht="21.36" thickBot="1" customHeight="1">
      <c r="A49" s="8" t="s">
        <v>150</v>
      </c>
      <c r="B49" s="8" t="s">
        <v>151</v>
      </c>
      <c r="C49" s="8" t="s">
        <v>152</v>
      </c>
      <c r="D49" s="30" t="s">
        <v>153</v>
      </c>
      <c r="E49" s="30"/>
      <c r="F49" s="30"/>
      <c r="G49" s="30"/>
      <c r="H49" s="30"/>
      <c r="I49" s="30"/>
      <c r="J49" s="30"/>
      <c r="K49" s="31">
        <v>1.000</v>
      </c>
      <c r="L49" s="32">
        <f ca="1">ROUND(32.25,2)</f>
        <v>0</v>
      </c>
      <c r="M49" s="32">
        <f ca="1">ROUND(K49*L49,2)</f>
        <v>0</v>
      </c>
    </row>
    <row r="50" spans="1:13" ht="21.36" thickBot="1" customHeight="1">
      <c r="A50" s="8" t="s">
        <v>154</v>
      </c>
      <c r="B50" s="8" t="s">
        <v>155</v>
      </c>
      <c r="C50" s="8" t="s">
        <v>156</v>
      </c>
      <c r="D50" s="30" t="s">
        <v>157</v>
      </c>
      <c r="E50" s="30"/>
      <c r="F50" s="30"/>
      <c r="G50" s="30"/>
      <c r="H50" s="30"/>
      <c r="I50" s="30"/>
      <c r="J50" s="30"/>
      <c r="K50" s="31">
        <v>1.000</v>
      </c>
      <c r="L50" s="32">
        <f ca="1">ROUND(63.18,2)</f>
        <v>0</v>
      </c>
      <c r="M50" s="32">
        <f ca="1">ROUND(K50*L50,2)</f>
        <v>0</v>
      </c>
    </row>
    <row r="51" spans="1:13" ht="15.12" thickBot="1" customHeight="1">
      <c r="A51" s="8" t="s">
        <v>158</v>
      </c>
      <c r="B51" s="8" t="s">
        <v>159</v>
      </c>
      <c r="C51" s="8" t="s">
        <v>160</v>
      </c>
      <c r="D51" s="30" t="s">
        <v>161</v>
      </c>
      <c r="E51" s="30"/>
      <c r="F51" s="30"/>
      <c r="G51" s="30"/>
      <c r="H51" s="30"/>
      <c r="I51" s="30"/>
      <c r="J51" s="30"/>
      <c r="K51" s="31">
        <v>0.842</v>
      </c>
      <c r="L51" s="32">
        <f ca="1">ROUND(11.50,2)</f>
        <v>0</v>
      </c>
      <c r="M51" s="32">
        <f ca="1">ROUND(K51*L51,2)</f>
        <v>0</v>
      </c>
    </row>
    <row r="52" spans="1:13" ht="15.12" thickBot="1" customHeight="1">
      <c r="A52" s="8" t="s">
        <v>162</v>
      </c>
      <c r="B52" s="8" t="s">
        <v>163</v>
      </c>
      <c r="C52" s="8" t="s">
        <v>164</v>
      </c>
      <c r="D52" s="30" t="s">
        <v>165</v>
      </c>
      <c r="E52" s="30"/>
      <c r="F52" s="30"/>
      <c r="G52" s="30"/>
      <c r="H52" s="30"/>
      <c r="I52" s="30"/>
      <c r="J52" s="30"/>
      <c r="K52" s="31">
        <v>0.084</v>
      </c>
      <c r="L52" s="32">
        <f ca="1">ROUND(40.90,2)</f>
        <v>0</v>
      </c>
      <c r="M52" s="32">
        <f ca="1">ROUND(K52*L52,2)</f>
        <v>0</v>
      </c>
    </row>
    <row r="53" spans="1:13" ht="15.12" thickBot="1" customHeight="1">
      <c r="A53" s="8" t="s">
        <v>166</v>
      </c>
      <c r="B53" s="8" t="s">
        <v>167</v>
      </c>
      <c r="C53" s="8" t="s">
        <v>168</v>
      </c>
      <c r="D53" s="30" t="s">
        <v>169</v>
      </c>
      <c r="E53" s="30"/>
      <c r="F53" s="30"/>
      <c r="G53" s="30"/>
      <c r="H53" s="30"/>
      <c r="I53" s="30"/>
      <c r="J53" s="30"/>
      <c r="K53" s="31">
        <v>0.541</v>
      </c>
      <c r="L53" s="32">
        <f ca="1">ROUND(26.38,2)</f>
        <v>0</v>
      </c>
      <c r="M53" s="32">
        <f ca="1">ROUND(K53*L53,2)</f>
        <v>0</v>
      </c>
    </row>
    <row r="54" spans="1:13" ht="15.12" thickBot="1" customHeight="1">
      <c r="A54" s="8" t="s">
        <v>170</v>
      </c>
      <c r="B54" s="8" t="s">
        <v>171</v>
      </c>
      <c r="C54" s="8" t="s">
        <v>172</v>
      </c>
      <c r="D54" s="30" t="s">
        <v>173</v>
      </c>
      <c r="E54" s="30"/>
      <c r="F54" s="30"/>
      <c r="G54" s="30"/>
      <c r="H54" s="30"/>
      <c r="I54" s="30"/>
      <c r="J54" s="30"/>
      <c r="K54" s="31">
        <v>0.609</v>
      </c>
      <c r="L54" s="32">
        <f ca="1">ROUND(23.30,2)</f>
        <v>0</v>
      </c>
      <c r="M54" s="32">
        <f ca="1">ROUND(K54*L54,2)</f>
        <v>0</v>
      </c>
    </row>
    <row r="55" spans="1:13" ht="15.12" thickBot="1" customHeight="1">
      <c r="A55" s="8" t="s">
        <v>174</v>
      </c>
      <c r="B55" s="8"/>
      <c r="C55" s="8" t="s">
        <v>175</v>
      </c>
      <c r="D55" s="30" t="s">
        <v>176</v>
      </c>
      <c r="E55" s="30"/>
      <c r="F55" s="30"/>
      <c r="G55" s="30"/>
      <c r="H55" s="30"/>
      <c r="I55" s="30"/>
      <c r="J55" s="30"/>
      <c r="K55" s="31">
        <v>2.000</v>
      </c>
      <c r="L55" s="32">
        <f ca="1">ROUND(137.01,2)</f>
        <v>0</v>
      </c>
      <c r="M55" s="32">
        <f ca="1">ROUND((K55*L55)/100,2)</f>
        <v>0</v>
      </c>
    </row>
    <row r="56" spans="1:13" ht="15.48" thickBot="1" customHeight="1">
      <c r="A56" s="34"/>
      <c r="B56" s="34"/>
      <c r="C56" s="34"/>
      <c r="D56" s="35" t="s">
        <v>177</v>
      </c>
      <c r="E56" s="34"/>
      <c r="F56" s="34"/>
      <c r="G56" s="34"/>
      <c r="H56" s="34"/>
      <c r="I56" s="34"/>
      <c r="J56" s="34"/>
      <c r="K56" s="37">
        <v>2.000</v>
      </c>
      <c r="L56" s="38">
        <f ca="1">ROUND((M49+M50+M51+M52+M53+M54+M55)*(1+M2/100),2)</f>
        <v>0</v>
      </c>
      <c r="M56" s="38">
        <f ca="1">ROUND(K56*L56,2)</f>
        <v>0</v>
      </c>
    </row>
    <row r="57" spans="1:13" ht="15.48" thickBot="1" customHeight="1">
      <c r="A57" s="44"/>
      <c r="B57" s="44"/>
      <c r="C57" s="44"/>
      <c r="D57" s="45" t="s">
        <v>178</v>
      </c>
      <c r="E57" s="46"/>
      <c r="F57" s="46"/>
      <c r="G57" s="46"/>
      <c r="H57" s="46"/>
      <c r="I57" s="46"/>
      <c r="J57" s="46"/>
      <c r="K57" s="46"/>
      <c r="L57" s="47">
        <f ca="1">M7+M14+M21+M29+M38+M47</f>
        <v>0</v>
      </c>
      <c r="M57" s="47">
        <f ca="1">ROUND(L57,2)</f>
        <v>0</v>
      </c>
    </row>
    <row r="58" spans="1:13" ht="15.48" thickBot="1" customHeight="1">
      <c r="A58" s="48" t="s">
        <v>179</v>
      </c>
      <c r="B58" s="48" t="s">
        <v>180</v>
      </c>
      <c r="C58" s="49"/>
      <c r="D58" s="50" t="s">
        <v>181</v>
      </c>
      <c r="E58" s="50"/>
      <c r="F58" s="50"/>
      <c r="G58" s="50"/>
      <c r="H58" s="50"/>
      <c r="I58" s="50"/>
      <c r="J58" s="50"/>
      <c r="K58" s="49"/>
      <c r="L58" s="51">
        <f ca="1">L239</f>
        <v>0</v>
      </c>
      <c r="M58" s="51">
        <f ca="1">ROUND(L58,2)</f>
        <v>0</v>
      </c>
    </row>
    <row r="59" spans="1:13" ht="25.08" thickBot="1" customHeight="1">
      <c r="A59" s="15" t="s">
        <v>182</v>
      </c>
      <c r="B59" s="8" t="s">
        <v>183</v>
      </c>
      <c r="C59" s="8" t="s">
        <v>184</v>
      </c>
      <c r="D59" s="30" t="s">
        <v>185</v>
      </c>
      <c r="E59" s="30"/>
      <c r="F59" s="30"/>
      <c r="G59" s="30"/>
      <c r="H59" s="30"/>
      <c r="I59" s="30"/>
      <c r="J59" s="30"/>
      <c r="K59" s="31">
        <f ca="1">ROUND(8.00,2)</f>
        <v>0</v>
      </c>
      <c r="L59" s="32">
        <f ca="1">L64</f>
        <v>0</v>
      </c>
      <c r="M59" s="32">
        <f ca="1">ROUND(K59*L59,2)</f>
        <v>0</v>
      </c>
    </row>
    <row r="60" spans="1:13" ht="39.84" thickBot="1" customHeight="1">
      <c r="A60" s="33"/>
      <c r="B60" s="33"/>
      <c r="C60" s="33"/>
      <c r="D60" s="30" t="s">
        <v>186</v>
      </c>
      <c r="E60" s="30"/>
      <c r="F60" s="30"/>
      <c r="G60" s="30"/>
      <c r="H60" s="30"/>
      <c r="I60" s="30"/>
      <c r="J60" s="30"/>
      <c r="K60" s="30"/>
      <c r="L60" s="30"/>
      <c r="M60" s="30"/>
    </row>
    <row r="61" spans="1:13" ht="49.08" thickBot="1" customHeight="1">
      <c r="A61" s="8" t="s">
        <v>187</v>
      </c>
      <c r="B61" s="8" t="s">
        <v>188</v>
      </c>
      <c r="C61" s="8" t="s">
        <v>189</v>
      </c>
      <c r="D61" s="30" t="s">
        <v>190</v>
      </c>
      <c r="E61" s="30"/>
      <c r="F61" s="30"/>
      <c r="G61" s="30"/>
      <c r="H61" s="30"/>
      <c r="I61" s="30"/>
      <c r="J61" s="30"/>
      <c r="K61" s="31">
        <v>1.000</v>
      </c>
      <c r="L61" s="32">
        <f ca="1">ROUND(3039.00,2)</f>
        <v>0</v>
      </c>
      <c r="M61" s="32">
        <f ca="1">ROUND(K61*L61,2)</f>
        <v>0</v>
      </c>
    </row>
    <row r="62" spans="1:13" ht="15.12" thickBot="1" customHeight="1">
      <c r="A62" s="8" t="s">
        <v>191</v>
      </c>
      <c r="B62" s="8" t="s">
        <v>192</v>
      </c>
      <c r="C62" s="8" t="s">
        <v>193</v>
      </c>
      <c r="D62" s="30" t="s">
        <v>194</v>
      </c>
      <c r="E62" s="30"/>
      <c r="F62" s="30"/>
      <c r="G62" s="30"/>
      <c r="H62" s="30"/>
      <c r="I62" s="30"/>
      <c r="J62" s="30"/>
      <c r="K62" s="31">
        <v>3.000</v>
      </c>
      <c r="L62" s="32">
        <f ca="1">ROUND(23.25,2)</f>
        <v>0</v>
      </c>
      <c r="M62" s="32">
        <f ca="1">ROUND(K62*L62,2)</f>
        <v>0</v>
      </c>
    </row>
    <row r="63" spans="1:13" ht="15.12" thickBot="1" customHeight="1">
      <c r="A63" s="8" t="s">
        <v>195</v>
      </c>
      <c r="B63" s="8" t="s">
        <v>196</v>
      </c>
      <c r="C63" s="8" t="s">
        <v>197</v>
      </c>
      <c r="D63" s="30" t="s">
        <v>198</v>
      </c>
      <c r="E63" s="30"/>
      <c r="F63" s="30"/>
      <c r="G63" s="30"/>
      <c r="H63" s="30"/>
      <c r="I63" s="30"/>
      <c r="J63" s="30"/>
      <c r="K63" s="31">
        <v>3.000</v>
      </c>
      <c r="L63" s="32">
        <f ca="1">ROUND(27.24,2)</f>
        <v>0</v>
      </c>
      <c r="M63" s="32">
        <f ca="1">ROUND(K63*L63,2)</f>
        <v>0</v>
      </c>
    </row>
    <row r="64" spans="1:13" ht="15.48" thickBot="1" customHeight="1">
      <c r="A64" s="34"/>
      <c r="B64" s="34"/>
      <c r="C64" s="34"/>
      <c r="D64" s="35" t="s">
        <v>199</v>
      </c>
      <c r="E64" s="34"/>
      <c r="F64" s="34"/>
      <c r="G64" s="34"/>
      <c r="H64" s="34"/>
      <c r="I64" s="34"/>
      <c r="J64" s="34"/>
      <c r="K64" s="37">
        <v>8.000</v>
      </c>
      <c r="L64" s="38">
        <f ca="1">ROUND((M61+M62+M63)*(1+M2/100),2)</f>
        <v>0</v>
      </c>
      <c r="M64" s="38">
        <f ca="1">ROUND(K64*L64,2)</f>
        <v>0</v>
      </c>
    </row>
    <row r="65" spans="1:13" ht="15.48" thickBot="1" customHeight="1">
      <c r="A65" s="39" t="s">
        <v>200</v>
      </c>
      <c r="B65" s="40" t="s">
        <v>201</v>
      </c>
      <c r="C65" s="40" t="s">
        <v>202</v>
      </c>
      <c r="D65" s="41" t="s">
        <v>203</v>
      </c>
      <c r="E65" s="41"/>
      <c r="F65" s="41"/>
      <c r="G65" s="41"/>
      <c r="H65" s="41"/>
      <c r="I65" s="41"/>
      <c r="J65" s="41"/>
      <c r="K65" s="42">
        <f ca="1">SUM(K68:K68)</f>
        <v>0</v>
      </c>
      <c r="L65" s="43">
        <f ca="1">L73</f>
        <v>0</v>
      </c>
      <c r="M65" s="43">
        <f ca="1">ROUND(K65*L65,2)</f>
        <v>0</v>
      </c>
    </row>
    <row r="66" spans="1:13" ht="58.32" thickBot="1" customHeight="1">
      <c r="A66" s="33"/>
      <c r="B66" s="33"/>
      <c r="C66" s="33"/>
      <c r="D66" s="30" t="s">
        <v>204</v>
      </c>
      <c r="E66" s="30"/>
      <c r="F66" s="30"/>
      <c r="G66" s="30"/>
      <c r="H66" s="30"/>
      <c r="I66" s="30"/>
      <c r="J66" s="30"/>
      <c r="K66" s="30"/>
      <c r="L66" s="30"/>
      <c r="M66" s="30"/>
    </row>
    <row r="67" spans="1:13" ht="15.12" thickBot="1" customHeight="1">
      <c r="A67" s="33"/>
      <c r="B67" s="33"/>
      <c r="C67" s="33"/>
      <c r="D67" s="33"/>
      <c r="E67" s="52"/>
      <c r="F67" s="54" t="s">
        <v>205</v>
      </c>
      <c r="G67" s="54" t="s">
        <v>206</v>
      </c>
      <c r="H67" s="54" t="s">
        <v>207</v>
      </c>
      <c r="I67" s="54" t="s">
        <v>208</v>
      </c>
      <c r="J67" s="54" t="s">
        <v>209</v>
      </c>
      <c r="K67" s="54" t="s">
        <v>210</v>
      </c>
      <c r="L67" s="33"/>
      <c r="M67" s="33"/>
    </row>
    <row r="68" spans="1:13" ht="30.60" thickBot="1" customHeight="1">
      <c r="A68" s="33"/>
      <c r="B68" s="33"/>
      <c r="C68" s="33"/>
      <c r="D68" s="55"/>
      <c r="E68" s="56" t="s">
        <v>211</v>
      </c>
      <c r="F68" s="57">
        <v>1</v>
      </c>
      <c r="G68" s="58">
        <v>1.590</v>
      </c>
      <c r="H68" s="58"/>
      <c r="I68" s="58"/>
      <c r="J68" s="60">
        <f ca="1">ROUND(F68*G68,3)</f>
        <v>0</v>
      </c>
      <c r="K68" s="62">
        <f ca="1">SUM(J68:J68)</f>
        <v>0</v>
      </c>
      <c r="L68" s="33"/>
      <c r="M68" s="33"/>
    </row>
    <row r="69" spans="1:13" ht="39.84" thickBot="1" customHeight="1">
      <c r="A69" s="8" t="s">
        <v>212</v>
      </c>
      <c r="B69" s="8" t="s">
        <v>213</v>
      </c>
      <c r="C69" s="8" t="s">
        <v>214</v>
      </c>
      <c r="D69" s="30" t="s">
        <v>215</v>
      </c>
      <c r="E69" s="30"/>
      <c r="F69" s="30"/>
      <c r="G69" s="30"/>
      <c r="H69" s="30"/>
      <c r="I69" s="30"/>
      <c r="J69" s="30"/>
      <c r="K69" s="31">
        <v>1.000</v>
      </c>
      <c r="L69" s="32">
        <f ca="1">ROUND(20.09,2)</f>
        <v>0</v>
      </c>
      <c r="M69" s="32">
        <f ca="1">ROUND(K69*L69,2)</f>
        <v>0</v>
      </c>
    </row>
    <row r="70" spans="1:13" ht="15.12" thickBot="1" customHeight="1">
      <c r="A70" s="8" t="s">
        <v>216</v>
      </c>
      <c r="B70" s="8" t="s">
        <v>217</v>
      </c>
      <c r="C70" s="8" t="s">
        <v>218</v>
      </c>
      <c r="D70" s="30" t="s">
        <v>219</v>
      </c>
      <c r="E70" s="30"/>
      <c r="F70" s="30"/>
      <c r="G70" s="30"/>
      <c r="H70" s="30"/>
      <c r="I70" s="30"/>
      <c r="J70" s="30"/>
      <c r="K70" s="31">
        <v>0.097</v>
      </c>
      <c r="L70" s="32">
        <f ca="1">ROUND(27.24,2)</f>
        <v>0</v>
      </c>
      <c r="M70" s="32">
        <f ca="1">ROUND(K70*L70,2)</f>
        <v>0</v>
      </c>
    </row>
    <row r="71" spans="1:13" ht="15.12" thickBot="1" customHeight="1">
      <c r="A71" s="8" t="s">
        <v>220</v>
      </c>
      <c r="B71" s="8" t="s">
        <v>221</v>
      </c>
      <c r="C71" s="8" t="s">
        <v>222</v>
      </c>
      <c r="D71" s="30" t="s">
        <v>223</v>
      </c>
      <c r="E71" s="30"/>
      <c r="F71" s="30"/>
      <c r="G71" s="30"/>
      <c r="H71" s="30"/>
      <c r="I71" s="30"/>
      <c r="J71" s="30"/>
      <c r="K71" s="31">
        <v>0.097</v>
      </c>
      <c r="L71" s="32">
        <f ca="1">ROUND(23.25,2)</f>
        <v>0</v>
      </c>
      <c r="M71" s="32">
        <f ca="1">ROUND(K71*L71,2)</f>
        <v>0</v>
      </c>
    </row>
    <row r="72" spans="1:13" ht="15.12" thickBot="1" customHeight="1">
      <c r="A72" s="8" t="s">
        <v>224</v>
      </c>
      <c r="B72" s="8"/>
      <c r="C72" s="8" t="s">
        <v>225</v>
      </c>
      <c r="D72" s="30" t="s">
        <v>226</v>
      </c>
      <c r="E72" s="30"/>
      <c r="F72" s="30"/>
      <c r="G72" s="30"/>
      <c r="H72" s="30"/>
      <c r="I72" s="30"/>
      <c r="J72" s="30"/>
      <c r="K72" s="31">
        <v>2.000</v>
      </c>
      <c r="L72" s="32">
        <f ca="1">ROUND(24.99,2)</f>
        <v>0</v>
      </c>
      <c r="M72" s="32">
        <f ca="1">ROUND((K72*L72)/100,2)</f>
        <v>0</v>
      </c>
    </row>
    <row r="73" spans="1:13" ht="15.48" thickBot="1" customHeight="1">
      <c r="A73" s="34"/>
      <c r="B73" s="34"/>
      <c r="C73" s="34"/>
      <c r="D73" s="35" t="s">
        <v>227</v>
      </c>
      <c r="E73" s="34"/>
      <c r="F73" s="34"/>
      <c r="G73" s="34"/>
      <c r="H73" s="34"/>
      <c r="I73" s="34"/>
      <c r="J73" s="34"/>
      <c r="K73" s="37">
        <v>1.590</v>
      </c>
      <c r="L73" s="38">
        <f ca="1">ROUND((M69+M70+M71+M72)*(1+M2/100),2)</f>
        <v>0</v>
      </c>
      <c r="M73" s="38">
        <f ca="1">ROUND(K73*L73,2)</f>
        <v>0</v>
      </c>
    </row>
    <row r="74" spans="1:13" ht="15.48" thickBot="1" customHeight="1">
      <c r="A74" s="39" t="s">
        <v>228</v>
      </c>
      <c r="B74" s="40" t="s">
        <v>229</v>
      </c>
      <c r="C74" s="40" t="s">
        <v>230</v>
      </c>
      <c r="D74" s="41" t="s">
        <v>231</v>
      </c>
      <c r="E74" s="41"/>
      <c r="F74" s="41"/>
      <c r="G74" s="41"/>
      <c r="H74" s="41"/>
      <c r="I74" s="41"/>
      <c r="J74" s="41"/>
      <c r="K74" s="42">
        <f ca="1">SUM(K77:K77)</f>
        <v>0</v>
      </c>
      <c r="L74" s="43">
        <f ca="1">L82</f>
        <v>0</v>
      </c>
      <c r="M74" s="43">
        <f ca="1">ROUND(K74*L74,2)</f>
        <v>0</v>
      </c>
    </row>
    <row r="75" spans="1:13" ht="58.32" thickBot="1" customHeight="1">
      <c r="A75" s="33"/>
      <c r="B75" s="33"/>
      <c r="C75" s="33"/>
      <c r="D75" s="30" t="s">
        <v>232</v>
      </c>
      <c r="E75" s="30"/>
      <c r="F75" s="30"/>
      <c r="G75" s="30"/>
      <c r="H75" s="30"/>
      <c r="I75" s="30"/>
      <c r="J75" s="30"/>
      <c r="K75" s="30"/>
      <c r="L75" s="30"/>
      <c r="M75" s="30"/>
    </row>
    <row r="76" spans="1:13" ht="15.12" thickBot="1" customHeight="1">
      <c r="A76" s="33"/>
      <c r="B76" s="33"/>
      <c r="C76" s="33"/>
      <c r="D76" s="33"/>
      <c r="E76" s="52"/>
      <c r="F76" s="54" t="s">
        <v>233</v>
      </c>
      <c r="G76" s="54" t="s">
        <v>234</v>
      </c>
      <c r="H76" s="54" t="s">
        <v>235</v>
      </c>
      <c r="I76" s="54" t="s">
        <v>236</v>
      </c>
      <c r="J76" s="54" t="s">
        <v>237</v>
      </c>
      <c r="K76" s="54" t="s">
        <v>238</v>
      </c>
      <c r="L76" s="33"/>
      <c r="M76" s="33"/>
    </row>
    <row r="77" spans="1:13" ht="21.36" thickBot="1" customHeight="1">
      <c r="A77" s="33"/>
      <c r="B77" s="33"/>
      <c r="C77" s="33"/>
      <c r="D77" s="55"/>
      <c r="E77" s="56" t="s">
        <v>239</v>
      </c>
      <c r="F77" s="57">
        <v>1</v>
      </c>
      <c r="G77" s="58">
        <v>161.870</v>
      </c>
      <c r="H77" s="58"/>
      <c r="I77" s="58"/>
      <c r="J77" s="60">
        <f ca="1">ROUND(F77*G77,3)</f>
        <v>0</v>
      </c>
      <c r="K77" s="62">
        <f ca="1">SUM(J77:J77)</f>
        <v>0</v>
      </c>
      <c r="L77" s="33"/>
      <c r="M77" s="33"/>
    </row>
    <row r="78" spans="1:13" ht="39.84" thickBot="1" customHeight="1">
      <c r="A78" s="8" t="s">
        <v>240</v>
      </c>
      <c r="B78" s="8" t="s">
        <v>241</v>
      </c>
      <c r="C78" s="8" t="s">
        <v>242</v>
      </c>
      <c r="D78" s="30" t="s">
        <v>243</v>
      </c>
      <c r="E78" s="30"/>
      <c r="F78" s="30"/>
      <c r="G78" s="30"/>
      <c r="H78" s="30"/>
      <c r="I78" s="30"/>
      <c r="J78" s="30"/>
      <c r="K78" s="31">
        <v>1.000</v>
      </c>
      <c r="L78" s="32">
        <f ca="1">ROUND(25.69,2)</f>
        <v>0</v>
      </c>
      <c r="M78" s="32">
        <f ca="1">ROUND(K78*L78,2)</f>
        <v>0</v>
      </c>
    </row>
    <row r="79" spans="1:13" ht="15.12" thickBot="1" customHeight="1">
      <c r="A79" s="8" t="s">
        <v>244</v>
      </c>
      <c r="B79" s="8" t="s">
        <v>245</v>
      </c>
      <c r="C79" s="8" t="s">
        <v>246</v>
      </c>
      <c r="D79" s="30" t="s">
        <v>247</v>
      </c>
      <c r="E79" s="30"/>
      <c r="F79" s="30"/>
      <c r="G79" s="30"/>
      <c r="H79" s="30"/>
      <c r="I79" s="30"/>
      <c r="J79" s="30"/>
      <c r="K79" s="31">
        <v>0.124</v>
      </c>
      <c r="L79" s="32">
        <f ca="1">ROUND(27.24,2)</f>
        <v>0</v>
      </c>
      <c r="M79" s="32">
        <f ca="1">ROUND(K79*L79,2)</f>
        <v>0</v>
      </c>
    </row>
    <row r="80" spans="1:13" ht="15.12" thickBot="1" customHeight="1">
      <c r="A80" s="8" t="s">
        <v>248</v>
      </c>
      <c r="B80" s="8" t="s">
        <v>249</v>
      </c>
      <c r="C80" s="8" t="s">
        <v>250</v>
      </c>
      <c r="D80" s="30" t="s">
        <v>251</v>
      </c>
      <c r="E80" s="30"/>
      <c r="F80" s="30"/>
      <c r="G80" s="30"/>
      <c r="H80" s="30"/>
      <c r="I80" s="30"/>
      <c r="J80" s="30"/>
      <c r="K80" s="31">
        <v>0.124</v>
      </c>
      <c r="L80" s="32">
        <f ca="1">ROUND(23.25,2)</f>
        <v>0</v>
      </c>
      <c r="M80" s="32">
        <f ca="1">ROUND(K80*L80,2)</f>
        <v>0</v>
      </c>
    </row>
    <row r="81" spans="1:13" ht="15.12" thickBot="1" customHeight="1">
      <c r="A81" s="8" t="s">
        <v>252</v>
      </c>
      <c r="B81" s="8"/>
      <c r="C81" s="8" t="s">
        <v>253</v>
      </c>
      <c r="D81" s="30" t="s">
        <v>254</v>
      </c>
      <c r="E81" s="30"/>
      <c r="F81" s="30"/>
      <c r="G81" s="30"/>
      <c r="H81" s="30"/>
      <c r="I81" s="30"/>
      <c r="J81" s="30"/>
      <c r="K81" s="31">
        <v>2.000</v>
      </c>
      <c r="L81" s="32">
        <f ca="1">ROUND(31.95,2)</f>
        <v>0</v>
      </c>
      <c r="M81" s="32">
        <f ca="1">ROUND((K81*L81)/100,2)</f>
        <v>0</v>
      </c>
    </row>
    <row r="82" spans="1:13" ht="15.48" thickBot="1" customHeight="1">
      <c r="A82" s="34"/>
      <c r="B82" s="34"/>
      <c r="C82" s="34"/>
      <c r="D82" s="35" t="s">
        <v>255</v>
      </c>
      <c r="E82" s="34"/>
      <c r="F82" s="34"/>
      <c r="G82" s="34"/>
      <c r="H82" s="34"/>
      <c r="I82" s="34"/>
      <c r="J82" s="34"/>
      <c r="K82" s="37">
        <v>161.870</v>
      </c>
      <c r="L82" s="38">
        <f ca="1">ROUND((M78+M79+M80+M81)*(1+M2/100),2)</f>
        <v>0</v>
      </c>
      <c r="M82" s="38">
        <f ca="1">ROUND(K82*L82,2)</f>
        <v>0</v>
      </c>
    </row>
    <row r="83" spans="1:13" ht="15.48" thickBot="1" customHeight="1">
      <c r="A83" s="39" t="s">
        <v>256</v>
      </c>
      <c r="B83" s="40" t="s">
        <v>257</v>
      </c>
      <c r="C83" s="40" t="s">
        <v>258</v>
      </c>
      <c r="D83" s="41" t="s">
        <v>259</v>
      </c>
      <c r="E83" s="41"/>
      <c r="F83" s="41"/>
      <c r="G83" s="41"/>
      <c r="H83" s="41"/>
      <c r="I83" s="41"/>
      <c r="J83" s="41"/>
      <c r="K83" s="42">
        <f ca="1">SUM(K86:K86)</f>
        <v>0</v>
      </c>
      <c r="L83" s="43">
        <f ca="1">L91</f>
        <v>0</v>
      </c>
      <c r="M83" s="43">
        <f ca="1">ROUND(K83*L83,2)</f>
        <v>0</v>
      </c>
    </row>
    <row r="84" spans="1:13" ht="58.32" thickBot="1" customHeight="1">
      <c r="A84" s="33"/>
      <c r="B84" s="33"/>
      <c r="C84" s="33"/>
      <c r="D84" s="30" t="s">
        <v>260</v>
      </c>
      <c r="E84" s="30"/>
      <c r="F84" s="30"/>
      <c r="G84" s="30"/>
      <c r="H84" s="30"/>
      <c r="I84" s="30"/>
      <c r="J84" s="30"/>
      <c r="K84" s="30"/>
      <c r="L84" s="30"/>
      <c r="M84" s="30"/>
    </row>
    <row r="85" spans="1:13" ht="15.12" thickBot="1" customHeight="1">
      <c r="A85" s="33"/>
      <c r="B85" s="33"/>
      <c r="C85" s="33"/>
      <c r="D85" s="33"/>
      <c r="E85" s="52"/>
      <c r="F85" s="54" t="s">
        <v>261</v>
      </c>
      <c r="G85" s="54" t="s">
        <v>262</v>
      </c>
      <c r="H85" s="54" t="s">
        <v>263</v>
      </c>
      <c r="I85" s="54" t="s">
        <v>264</v>
      </c>
      <c r="J85" s="54" t="s">
        <v>265</v>
      </c>
      <c r="K85" s="54" t="s">
        <v>266</v>
      </c>
      <c r="L85" s="33"/>
      <c r="M85" s="33"/>
    </row>
    <row r="86" spans="1:13" ht="30.60" thickBot="1" customHeight="1">
      <c r="A86" s="33"/>
      <c r="B86" s="33"/>
      <c r="C86" s="33"/>
      <c r="D86" s="55"/>
      <c r="E86" s="56" t="s">
        <v>267</v>
      </c>
      <c r="F86" s="57">
        <v>1</v>
      </c>
      <c r="G86" s="58">
        <v>6.360</v>
      </c>
      <c r="H86" s="58"/>
      <c r="I86" s="58"/>
      <c r="J86" s="60">
        <f ca="1">ROUND(F86*G86,3)</f>
        <v>0</v>
      </c>
      <c r="K86" s="62">
        <f ca="1">SUM(J86:J86)</f>
        <v>0</v>
      </c>
      <c r="L86" s="33"/>
      <c r="M86" s="33"/>
    </row>
    <row r="87" spans="1:13" ht="39.84" thickBot="1" customHeight="1">
      <c r="A87" s="8" t="s">
        <v>268</v>
      </c>
      <c r="B87" s="8" t="s">
        <v>269</v>
      </c>
      <c r="C87" s="8" t="s">
        <v>270</v>
      </c>
      <c r="D87" s="30" t="s">
        <v>271</v>
      </c>
      <c r="E87" s="30"/>
      <c r="F87" s="30"/>
      <c r="G87" s="30"/>
      <c r="H87" s="30"/>
      <c r="I87" s="30"/>
      <c r="J87" s="30"/>
      <c r="K87" s="31">
        <v>1.000</v>
      </c>
      <c r="L87" s="32">
        <f ca="1">ROUND(38.80,2)</f>
        <v>0</v>
      </c>
      <c r="M87" s="32">
        <f ca="1">ROUND(K87*L87,2)</f>
        <v>0</v>
      </c>
    </row>
    <row r="88" spans="1:13" ht="15.12" thickBot="1" customHeight="1">
      <c r="A88" s="8" t="s">
        <v>272</v>
      </c>
      <c r="B88" s="8" t="s">
        <v>273</v>
      </c>
      <c r="C88" s="8" t="s">
        <v>274</v>
      </c>
      <c r="D88" s="30" t="s">
        <v>275</v>
      </c>
      <c r="E88" s="30"/>
      <c r="F88" s="30"/>
      <c r="G88" s="30"/>
      <c r="H88" s="30"/>
      <c r="I88" s="30"/>
      <c r="J88" s="30"/>
      <c r="K88" s="31">
        <v>0.146</v>
      </c>
      <c r="L88" s="32">
        <f ca="1">ROUND(27.24,2)</f>
        <v>0</v>
      </c>
      <c r="M88" s="32">
        <f ca="1">ROUND(K88*L88,2)</f>
        <v>0</v>
      </c>
    </row>
    <row r="89" spans="1:13" ht="15.12" thickBot="1" customHeight="1">
      <c r="A89" s="8" t="s">
        <v>276</v>
      </c>
      <c r="B89" s="8" t="s">
        <v>277</v>
      </c>
      <c r="C89" s="8" t="s">
        <v>278</v>
      </c>
      <c r="D89" s="30" t="s">
        <v>279</v>
      </c>
      <c r="E89" s="30"/>
      <c r="F89" s="30"/>
      <c r="G89" s="30"/>
      <c r="H89" s="30"/>
      <c r="I89" s="30"/>
      <c r="J89" s="30"/>
      <c r="K89" s="31">
        <v>0.146</v>
      </c>
      <c r="L89" s="32">
        <f ca="1">ROUND(23.25,2)</f>
        <v>0</v>
      </c>
      <c r="M89" s="32">
        <f ca="1">ROUND(K89*L89,2)</f>
        <v>0</v>
      </c>
    </row>
    <row r="90" spans="1:13" ht="15.12" thickBot="1" customHeight="1">
      <c r="A90" s="8" t="s">
        <v>280</v>
      </c>
      <c r="B90" s="8"/>
      <c r="C90" s="8" t="s">
        <v>281</v>
      </c>
      <c r="D90" s="30" t="s">
        <v>282</v>
      </c>
      <c r="E90" s="30"/>
      <c r="F90" s="30"/>
      <c r="G90" s="30"/>
      <c r="H90" s="30"/>
      <c r="I90" s="30"/>
      <c r="J90" s="30"/>
      <c r="K90" s="31">
        <v>2.000</v>
      </c>
      <c r="L90" s="32">
        <f ca="1">ROUND(46.17,2)</f>
        <v>0</v>
      </c>
      <c r="M90" s="32">
        <f ca="1">ROUND((K90*L90)/100,2)</f>
        <v>0</v>
      </c>
    </row>
    <row r="91" spans="1:13" ht="15.48" thickBot="1" customHeight="1">
      <c r="A91" s="34"/>
      <c r="B91" s="34"/>
      <c r="C91" s="34"/>
      <c r="D91" s="35" t="s">
        <v>283</v>
      </c>
      <c r="E91" s="34"/>
      <c r="F91" s="34"/>
      <c r="G91" s="34"/>
      <c r="H91" s="34"/>
      <c r="I91" s="34"/>
      <c r="J91" s="34"/>
      <c r="K91" s="37">
        <v>6.360</v>
      </c>
      <c r="L91" s="38">
        <f ca="1">ROUND((M87+M88+M89+M90)*(1+M2/100),2)</f>
        <v>0</v>
      </c>
      <c r="M91" s="38">
        <f ca="1">ROUND(K91*L91,2)</f>
        <v>0</v>
      </c>
    </row>
    <row r="92" spans="1:13" ht="15.48" thickBot="1" customHeight="1">
      <c r="A92" s="39" t="s">
        <v>284</v>
      </c>
      <c r="B92" s="40" t="s">
        <v>285</v>
      </c>
      <c r="C92" s="40" t="s">
        <v>286</v>
      </c>
      <c r="D92" s="41" t="s">
        <v>287</v>
      </c>
      <c r="E92" s="41"/>
      <c r="F92" s="41"/>
      <c r="G92" s="41"/>
      <c r="H92" s="41"/>
      <c r="I92" s="41"/>
      <c r="J92" s="41"/>
      <c r="K92" s="42">
        <f ca="1">SUM(K95:K95)</f>
        <v>0</v>
      </c>
      <c r="L92" s="43">
        <f ca="1">L100</f>
        <v>0</v>
      </c>
      <c r="M92" s="43">
        <f ca="1">ROUND(K92*L92,2)</f>
        <v>0</v>
      </c>
    </row>
    <row r="93" spans="1:13" ht="58.32" thickBot="1" customHeight="1">
      <c r="A93" s="33"/>
      <c r="B93" s="33"/>
      <c r="C93" s="33"/>
      <c r="D93" s="30" t="s">
        <v>288</v>
      </c>
      <c r="E93" s="30"/>
      <c r="F93" s="30"/>
      <c r="G93" s="30"/>
      <c r="H93" s="30"/>
      <c r="I93" s="30"/>
      <c r="J93" s="30"/>
      <c r="K93" s="30"/>
      <c r="L93" s="30"/>
      <c r="M93" s="30"/>
    </row>
    <row r="94" spans="1:13" ht="15.12" thickBot="1" customHeight="1">
      <c r="A94" s="33"/>
      <c r="B94" s="33"/>
      <c r="C94" s="33"/>
      <c r="D94" s="33"/>
      <c r="E94" s="52"/>
      <c r="F94" s="54" t="s">
        <v>289</v>
      </c>
      <c r="G94" s="54" t="s">
        <v>290</v>
      </c>
      <c r="H94" s="54" t="s">
        <v>291</v>
      </c>
      <c r="I94" s="54" t="s">
        <v>292</v>
      </c>
      <c r="J94" s="54" t="s">
        <v>293</v>
      </c>
      <c r="K94" s="54" t="s">
        <v>294</v>
      </c>
      <c r="L94" s="33"/>
      <c r="M94" s="33"/>
    </row>
    <row r="95" spans="1:13" ht="21.36" thickBot="1" customHeight="1">
      <c r="A95" s="33"/>
      <c r="B95" s="33"/>
      <c r="C95" s="33"/>
      <c r="D95" s="55"/>
      <c r="E95" s="56" t="s">
        <v>295</v>
      </c>
      <c r="F95" s="57">
        <v>1</v>
      </c>
      <c r="G95" s="58">
        <v>647.480</v>
      </c>
      <c r="H95" s="58"/>
      <c r="I95" s="58"/>
      <c r="J95" s="60">
        <f ca="1">ROUND(F95*G95,3)</f>
        <v>0</v>
      </c>
      <c r="K95" s="62">
        <f ca="1">SUM(J95:J95)</f>
        <v>0</v>
      </c>
      <c r="L95" s="33"/>
      <c r="M95" s="33"/>
    </row>
    <row r="96" spans="1:13" ht="39.84" thickBot="1" customHeight="1">
      <c r="A96" s="8" t="s">
        <v>296</v>
      </c>
      <c r="B96" s="8" t="s">
        <v>297</v>
      </c>
      <c r="C96" s="8" t="s">
        <v>298</v>
      </c>
      <c r="D96" s="30" t="s">
        <v>299</v>
      </c>
      <c r="E96" s="30"/>
      <c r="F96" s="30"/>
      <c r="G96" s="30"/>
      <c r="H96" s="30"/>
      <c r="I96" s="30"/>
      <c r="J96" s="30"/>
      <c r="K96" s="31">
        <v>1.000</v>
      </c>
      <c r="L96" s="32">
        <f ca="1">ROUND(48.94,2)</f>
        <v>0</v>
      </c>
      <c r="M96" s="32">
        <f ca="1">ROUND(K96*L96,2)</f>
        <v>0</v>
      </c>
    </row>
    <row r="97" spans="1:13" ht="15.12" thickBot="1" customHeight="1">
      <c r="A97" s="8" t="s">
        <v>300</v>
      </c>
      <c r="B97" s="8" t="s">
        <v>301</v>
      </c>
      <c r="C97" s="8" t="s">
        <v>302</v>
      </c>
      <c r="D97" s="30" t="s">
        <v>303</v>
      </c>
      <c r="E97" s="30"/>
      <c r="F97" s="30"/>
      <c r="G97" s="30"/>
      <c r="H97" s="30"/>
      <c r="I97" s="30"/>
      <c r="J97" s="30"/>
      <c r="K97" s="31">
        <v>0.162</v>
      </c>
      <c r="L97" s="32">
        <f ca="1">ROUND(27.24,2)</f>
        <v>0</v>
      </c>
      <c r="M97" s="32">
        <f ca="1">ROUND(K97*L97,2)</f>
        <v>0</v>
      </c>
    </row>
    <row r="98" spans="1:13" ht="15.12" thickBot="1" customHeight="1">
      <c r="A98" s="8" t="s">
        <v>304</v>
      </c>
      <c r="B98" s="8" t="s">
        <v>305</v>
      </c>
      <c r="C98" s="8" t="s">
        <v>306</v>
      </c>
      <c r="D98" s="30" t="s">
        <v>307</v>
      </c>
      <c r="E98" s="30"/>
      <c r="F98" s="30"/>
      <c r="G98" s="30"/>
      <c r="H98" s="30"/>
      <c r="I98" s="30"/>
      <c r="J98" s="30"/>
      <c r="K98" s="31">
        <v>0.162</v>
      </c>
      <c r="L98" s="32">
        <f ca="1">ROUND(23.25,2)</f>
        <v>0</v>
      </c>
      <c r="M98" s="32">
        <f ca="1">ROUND(K98*L98,2)</f>
        <v>0</v>
      </c>
    </row>
    <row r="99" spans="1:13" ht="15.12" thickBot="1" customHeight="1">
      <c r="A99" s="8" t="s">
        <v>308</v>
      </c>
      <c r="B99" s="8"/>
      <c r="C99" s="8" t="s">
        <v>309</v>
      </c>
      <c r="D99" s="30" t="s">
        <v>310</v>
      </c>
      <c r="E99" s="30"/>
      <c r="F99" s="30"/>
      <c r="G99" s="30"/>
      <c r="H99" s="30"/>
      <c r="I99" s="30"/>
      <c r="J99" s="30"/>
      <c r="K99" s="31">
        <v>2.000</v>
      </c>
      <c r="L99" s="32">
        <f ca="1">ROUND(57.12,2)</f>
        <v>0</v>
      </c>
      <c r="M99" s="32">
        <f ca="1">ROUND((K99*L99)/100,2)</f>
        <v>0</v>
      </c>
    </row>
    <row r="100" spans="1:13" ht="15.48" thickBot="1" customHeight="1">
      <c r="A100" s="34"/>
      <c r="B100" s="34"/>
      <c r="C100" s="34"/>
      <c r="D100" s="35" t="s">
        <v>311</v>
      </c>
      <c r="E100" s="34"/>
      <c r="F100" s="34"/>
      <c r="G100" s="34"/>
      <c r="H100" s="34"/>
      <c r="I100" s="34"/>
      <c r="J100" s="34"/>
      <c r="K100" s="37">
        <v>647.480</v>
      </c>
      <c r="L100" s="38">
        <f ca="1">ROUND((M96+M97+M98+M99)*(1+M2/100),2)</f>
        <v>0</v>
      </c>
      <c r="M100" s="38">
        <f ca="1">ROUND(K100*L100,2)</f>
        <v>0</v>
      </c>
    </row>
    <row r="101" spans="1:13" ht="15.48" thickBot="1" customHeight="1">
      <c r="A101" s="39" t="s">
        <v>312</v>
      </c>
      <c r="B101" s="40" t="s">
        <v>313</v>
      </c>
      <c r="C101" s="40" t="s">
        <v>314</v>
      </c>
      <c r="D101" s="41" t="s">
        <v>315</v>
      </c>
      <c r="E101" s="41"/>
      <c r="F101" s="41"/>
      <c r="G101" s="41"/>
      <c r="H101" s="41"/>
      <c r="I101" s="41"/>
      <c r="J101" s="41"/>
      <c r="K101" s="42">
        <f ca="1">ROUND(218.00,2)</f>
        <v>0</v>
      </c>
      <c r="L101" s="43">
        <f ca="1">L107</f>
        <v>0</v>
      </c>
      <c r="M101" s="43">
        <f ca="1">ROUND(K101*L101,2)</f>
        <v>0</v>
      </c>
    </row>
    <row r="102" spans="1:13" ht="58.32" thickBot="1" customHeight="1">
      <c r="A102" s="33"/>
      <c r="B102" s="33"/>
      <c r="C102" s="33"/>
      <c r="D102" s="30" t="s">
        <v>316</v>
      </c>
      <c r="E102" s="30"/>
      <c r="F102" s="30"/>
      <c r="G102" s="30"/>
      <c r="H102" s="30"/>
      <c r="I102" s="30"/>
      <c r="J102" s="30"/>
      <c r="K102" s="30"/>
      <c r="L102" s="30"/>
      <c r="M102" s="30"/>
    </row>
    <row r="103" spans="1:13" ht="39.84" thickBot="1" customHeight="1">
      <c r="A103" s="8" t="s">
        <v>317</v>
      </c>
      <c r="B103" s="8" t="s">
        <v>318</v>
      </c>
      <c r="C103" s="8" t="s">
        <v>319</v>
      </c>
      <c r="D103" s="30" t="s">
        <v>320</v>
      </c>
      <c r="E103" s="30"/>
      <c r="F103" s="30"/>
      <c r="G103" s="30"/>
      <c r="H103" s="30"/>
      <c r="I103" s="30"/>
      <c r="J103" s="30"/>
      <c r="K103" s="31">
        <v>1.000</v>
      </c>
      <c r="L103" s="32">
        <f ca="1">ROUND(6.81,2)</f>
        <v>0</v>
      </c>
      <c r="M103" s="32">
        <f ca="1">ROUND(K103*L103,2)</f>
        <v>0</v>
      </c>
    </row>
    <row r="104" spans="1:13" ht="15.12" thickBot="1" customHeight="1">
      <c r="A104" s="8" t="s">
        <v>321</v>
      </c>
      <c r="B104" s="8" t="s">
        <v>322</v>
      </c>
      <c r="C104" s="8" t="s">
        <v>323</v>
      </c>
      <c r="D104" s="30" t="s">
        <v>324</v>
      </c>
      <c r="E104" s="30"/>
      <c r="F104" s="30"/>
      <c r="G104" s="30"/>
      <c r="H104" s="30"/>
      <c r="I104" s="30"/>
      <c r="J104" s="30"/>
      <c r="K104" s="31">
        <v>0.043</v>
      </c>
      <c r="L104" s="32">
        <f ca="1">ROUND(27.24,2)</f>
        <v>0</v>
      </c>
      <c r="M104" s="32">
        <f ca="1">ROUND(K104*L104,2)</f>
        <v>0</v>
      </c>
    </row>
    <row r="105" spans="1:13" ht="15.12" thickBot="1" customHeight="1">
      <c r="A105" s="8" t="s">
        <v>325</v>
      </c>
      <c r="B105" s="8" t="s">
        <v>326</v>
      </c>
      <c r="C105" s="8" t="s">
        <v>327</v>
      </c>
      <c r="D105" s="30" t="s">
        <v>328</v>
      </c>
      <c r="E105" s="30"/>
      <c r="F105" s="30"/>
      <c r="G105" s="30"/>
      <c r="H105" s="30"/>
      <c r="I105" s="30"/>
      <c r="J105" s="30"/>
      <c r="K105" s="31">
        <v>0.043</v>
      </c>
      <c r="L105" s="32">
        <f ca="1">ROUND(23.25,2)</f>
        <v>0</v>
      </c>
      <c r="M105" s="32">
        <f ca="1">ROUND(K105*L105,2)</f>
        <v>0</v>
      </c>
    </row>
    <row r="106" spans="1:13" ht="15.12" thickBot="1" customHeight="1">
      <c r="A106" s="8" t="s">
        <v>329</v>
      </c>
      <c r="B106" s="8"/>
      <c r="C106" s="8" t="s">
        <v>330</v>
      </c>
      <c r="D106" s="30" t="s">
        <v>331</v>
      </c>
      <c r="E106" s="30"/>
      <c r="F106" s="30"/>
      <c r="G106" s="30"/>
      <c r="H106" s="30"/>
      <c r="I106" s="30"/>
      <c r="J106" s="30"/>
      <c r="K106" s="31">
        <v>2.000</v>
      </c>
      <c r="L106" s="32">
        <f ca="1">ROUND(8.98,2)</f>
        <v>0</v>
      </c>
      <c r="M106" s="32">
        <f ca="1">ROUND((K106*L106)/100,2)</f>
        <v>0</v>
      </c>
    </row>
    <row r="107" spans="1:13" ht="15.48" thickBot="1" customHeight="1">
      <c r="A107" s="34"/>
      <c r="B107" s="34"/>
      <c r="C107" s="34"/>
      <c r="D107" s="35" t="s">
        <v>332</v>
      </c>
      <c r="E107" s="34"/>
      <c r="F107" s="34"/>
      <c r="G107" s="34"/>
      <c r="H107" s="34"/>
      <c r="I107" s="34"/>
      <c r="J107" s="34"/>
      <c r="K107" s="37">
        <v>218.000</v>
      </c>
      <c r="L107" s="38">
        <f ca="1">ROUND((M103+M104+M105+M106)*(1+M2/100),2)</f>
        <v>0</v>
      </c>
      <c r="M107" s="38">
        <f ca="1">ROUND(K107*L107,2)</f>
        <v>0</v>
      </c>
    </row>
    <row r="108" spans="1:13" ht="15.48" thickBot="1" customHeight="1">
      <c r="A108" s="39" t="s">
        <v>333</v>
      </c>
      <c r="B108" s="40" t="s">
        <v>334</v>
      </c>
      <c r="C108" s="40" t="s">
        <v>335</v>
      </c>
      <c r="D108" s="41" t="s">
        <v>336</v>
      </c>
      <c r="E108" s="41"/>
      <c r="F108" s="41"/>
      <c r="G108" s="41"/>
      <c r="H108" s="41"/>
      <c r="I108" s="41"/>
      <c r="J108" s="41"/>
      <c r="K108" s="42">
        <f ca="1">ROUND(67.60,2)</f>
        <v>0</v>
      </c>
      <c r="L108" s="43">
        <f ca="1">L114</f>
        <v>0</v>
      </c>
      <c r="M108" s="43">
        <f ca="1">ROUND(K108*L108,2)</f>
        <v>0</v>
      </c>
    </row>
    <row r="109" spans="1:13" ht="58.32" thickBot="1" customHeight="1">
      <c r="A109" s="33"/>
      <c r="B109" s="33"/>
      <c r="C109" s="33"/>
      <c r="D109" s="30" t="s">
        <v>337</v>
      </c>
      <c r="E109" s="30"/>
      <c r="F109" s="30"/>
      <c r="G109" s="30"/>
      <c r="H109" s="30"/>
      <c r="I109" s="30"/>
      <c r="J109" s="30"/>
      <c r="K109" s="30"/>
      <c r="L109" s="30"/>
      <c r="M109" s="30"/>
    </row>
    <row r="110" spans="1:13" ht="39.84" thickBot="1" customHeight="1">
      <c r="A110" s="8" t="s">
        <v>338</v>
      </c>
      <c r="B110" s="8" t="s">
        <v>339</v>
      </c>
      <c r="C110" s="8" t="s">
        <v>340</v>
      </c>
      <c r="D110" s="30" t="s">
        <v>341</v>
      </c>
      <c r="E110" s="30"/>
      <c r="F110" s="30"/>
      <c r="G110" s="30"/>
      <c r="H110" s="30"/>
      <c r="I110" s="30"/>
      <c r="J110" s="30"/>
      <c r="K110" s="31">
        <v>1.000</v>
      </c>
      <c r="L110" s="32">
        <f ca="1">ROUND(4.31,2)</f>
        <v>0</v>
      </c>
      <c r="M110" s="32">
        <f ca="1">ROUND(K110*L110,2)</f>
        <v>0</v>
      </c>
    </row>
    <row r="111" spans="1:13" ht="15.12" thickBot="1" customHeight="1">
      <c r="A111" s="8" t="s">
        <v>342</v>
      </c>
      <c r="B111" s="8" t="s">
        <v>343</v>
      </c>
      <c r="C111" s="8" t="s">
        <v>344</v>
      </c>
      <c r="D111" s="30" t="s">
        <v>345</v>
      </c>
      <c r="E111" s="30"/>
      <c r="F111" s="30"/>
      <c r="G111" s="30"/>
      <c r="H111" s="30"/>
      <c r="I111" s="30"/>
      <c r="J111" s="30"/>
      <c r="K111" s="31">
        <v>0.043</v>
      </c>
      <c r="L111" s="32">
        <f ca="1">ROUND(27.24,2)</f>
        <v>0</v>
      </c>
      <c r="M111" s="32">
        <f ca="1">ROUND(K111*L111,2)</f>
        <v>0</v>
      </c>
    </row>
    <row r="112" spans="1:13" ht="15.12" thickBot="1" customHeight="1">
      <c r="A112" s="8" t="s">
        <v>346</v>
      </c>
      <c r="B112" s="8" t="s">
        <v>347</v>
      </c>
      <c r="C112" s="8" t="s">
        <v>348</v>
      </c>
      <c r="D112" s="30" t="s">
        <v>349</v>
      </c>
      <c r="E112" s="30"/>
      <c r="F112" s="30"/>
      <c r="G112" s="30"/>
      <c r="H112" s="30"/>
      <c r="I112" s="30"/>
      <c r="J112" s="30"/>
      <c r="K112" s="31">
        <v>0.043</v>
      </c>
      <c r="L112" s="32">
        <f ca="1">ROUND(23.25,2)</f>
        <v>0</v>
      </c>
      <c r="M112" s="32">
        <f ca="1">ROUND(K112*L112,2)</f>
        <v>0</v>
      </c>
    </row>
    <row r="113" spans="1:13" ht="15.12" thickBot="1" customHeight="1">
      <c r="A113" s="8" t="s">
        <v>350</v>
      </c>
      <c r="B113" s="8"/>
      <c r="C113" s="8" t="s">
        <v>351</v>
      </c>
      <c r="D113" s="30" t="s">
        <v>352</v>
      </c>
      <c r="E113" s="30"/>
      <c r="F113" s="30"/>
      <c r="G113" s="30"/>
      <c r="H113" s="30"/>
      <c r="I113" s="30"/>
      <c r="J113" s="30"/>
      <c r="K113" s="31">
        <v>2.000</v>
      </c>
      <c r="L113" s="32">
        <f ca="1">ROUND(6.48,2)</f>
        <v>0</v>
      </c>
      <c r="M113" s="32">
        <f ca="1">ROUND((K113*L113)/100,2)</f>
        <v>0</v>
      </c>
    </row>
    <row r="114" spans="1:13" ht="15.48" thickBot="1" customHeight="1">
      <c r="A114" s="34"/>
      <c r="B114" s="34"/>
      <c r="C114" s="34"/>
      <c r="D114" s="35" t="s">
        <v>353</v>
      </c>
      <c r="E114" s="34"/>
      <c r="F114" s="34"/>
      <c r="G114" s="34"/>
      <c r="H114" s="34"/>
      <c r="I114" s="34"/>
      <c r="J114" s="34"/>
      <c r="K114" s="37">
        <v>67.600</v>
      </c>
      <c r="L114" s="38">
        <f ca="1">ROUND((M110+M111+M112+M113)*(1+M2/100),2)</f>
        <v>0</v>
      </c>
      <c r="M114" s="38">
        <f ca="1">ROUND(K114*L114,2)</f>
        <v>0</v>
      </c>
    </row>
    <row r="115" spans="1:13" ht="15.48" thickBot="1" customHeight="1">
      <c r="A115" s="39" t="s">
        <v>354</v>
      </c>
      <c r="B115" s="40" t="s">
        <v>355</v>
      </c>
      <c r="C115" s="40" t="s">
        <v>356</v>
      </c>
      <c r="D115" s="41" t="s">
        <v>357</v>
      </c>
      <c r="E115" s="41"/>
      <c r="F115" s="41"/>
      <c r="G115" s="41"/>
      <c r="H115" s="41"/>
      <c r="I115" s="41"/>
      <c r="J115" s="41"/>
      <c r="K115" s="42">
        <f ca="1">SUM(K118:K118)</f>
        <v>0</v>
      </c>
      <c r="L115" s="43">
        <f ca="1">L137</f>
        <v>0</v>
      </c>
      <c r="M115" s="43">
        <f ca="1">ROUND(K115*L115,2)</f>
        <v>0</v>
      </c>
    </row>
    <row r="116" spans="1:13" ht="58.32" thickBot="1" customHeight="1">
      <c r="A116" s="33"/>
      <c r="B116" s="33"/>
      <c r="C116" s="33"/>
      <c r="D116" s="30" t="s">
        <v>358</v>
      </c>
      <c r="E116" s="30"/>
      <c r="F116" s="30"/>
      <c r="G116" s="30"/>
      <c r="H116" s="30"/>
      <c r="I116" s="30"/>
      <c r="J116" s="30"/>
      <c r="K116" s="30"/>
      <c r="L116" s="30"/>
      <c r="M116" s="30"/>
    </row>
    <row r="117" spans="1:13" ht="15.12" thickBot="1" customHeight="1">
      <c r="A117" s="33"/>
      <c r="B117" s="33"/>
      <c r="C117" s="33"/>
      <c r="D117" s="33"/>
      <c r="E117" s="52"/>
      <c r="F117" s="54" t="s">
        <v>359</v>
      </c>
      <c r="G117" s="54" t="s">
        <v>360</v>
      </c>
      <c r="H117" s="54" t="s">
        <v>361</v>
      </c>
      <c r="I117" s="54" t="s">
        <v>362</v>
      </c>
      <c r="J117" s="54" t="s">
        <v>363</v>
      </c>
      <c r="K117" s="54" t="s">
        <v>364</v>
      </c>
      <c r="L117" s="33"/>
      <c r="M117" s="33"/>
    </row>
    <row r="118" spans="1:13" ht="21.36" thickBot="1" customHeight="1">
      <c r="A118" s="33"/>
      <c r="B118" s="33"/>
      <c r="C118" s="33"/>
      <c r="D118" s="55"/>
      <c r="E118" s="56" t="s">
        <v>365</v>
      </c>
      <c r="F118" s="57">
        <v>1</v>
      </c>
      <c r="G118" s="58"/>
      <c r="H118" s="58"/>
      <c r="I118" s="58"/>
      <c r="J118" s="60">
        <f ca="1">ROUND(F118,3)</f>
        <v>0</v>
      </c>
      <c r="K118" s="62">
        <f ca="1">SUM(J118:J118)</f>
        <v>0</v>
      </c>
      <c r="L118" s="33"/>
      <c r="M118" s="33"/>
    </row>
    <row r="119" spans="1:13" ht="30.60" thickBot="1" customHeight="1">
      <c r="A119" s="8" t="s">
        <v>366</v>
      </c>
      <c r="B119" s="8" t="s">
        <v>367</v>
      </c>
      <c r="C119" s="8" t="s">
        <v>368</v>
      </c>
      <c r="D119" s="30" t="s">
        <v>369</v>
      </c>
      <c r="E119" s="30"/>
      <c r="F119" s="30"/>
      <c r="G119" s="30"/>
      <c r="H119" s="30"/>
      <c r="I119" s="30"/>
      <c r="J119" s="30"/>
      <c r="K119" s="31">
        <v>2.000</v>
      </c>
      <c r="L119" s="32">
        <f ca="1">ROUND(48.53,2)</f>
        <v>0</v>
      </c>
      <c r="M119" s="32">
        <f ca="1">ROUND(K119*L119,2)</f>
        <v>0</v>
      </c>
    </row>
    <row r="120" spans="1:13" ht="30.60" thickBot="1" customHeight="1">
      <c r="A120" s="8" t="s">
        <v>370</v>
      </c>
      <c r="B120" s="8" t="s">
        <v>371</v>
      </c>
      <c r="C120" s="8" t="s">
        <v>372</v>
      </c>
      <c r="D120" s="30" t="s">
        <v>373</v>
      </c>
      <c r="E120" s="30"/>
      <c r="F120" s="30"/>
      <c r="G120" s="30"/>
      <c r="H120" s="30"/>
      <c r="I120" s="30"/>
      <c r="J120" s="30"/>
      <c r="K120" s="31">
        <v>1.000</v>
      </c>
      <c r="L120" s="32">
        <f ca="1">ROUND(19.57,2)</f>
        <v>0</v>
      </c>
      <c r="M120" s="32">
        <f ca="1">ROUND(K120*L120,2)</f>
        <v>0</v>
      </c>
    </row>
    <row r="121" spans="1:13" ht="15.12" thickBot="1" customHeight="1">
      <c r="A121" s="8" t="s">
        <v>374</v>
      </c>
      <c r="B121" s="8" t="s">
        <v>375</v>
      </c>
      <c r="C121" s="8" t="s">
        <v>376</v>
      </c>
      <c r="D121" s="30" t="s">
        <v>377</v>
      </c>
      <c r="E121" s="30"/>
      <c r="F121" s="30"/>
      <c r="G121" s="30"/>
      <c r="H121" s="30"/>
      <c r="I121" s="30"/>
      <c r="J121" s="30"/>
      <c r="K121" s="31">
        <v>2.000</v>
      </c>
      <c r="L121" s="32">
        <f ca="1">ROUND(19.80,2)</f>
        <v>0</v>
      </c>
      <c r="M121" s="32">
        <f ca="1">ROUND(K121*L121,2)</f>
        <v>0</v>
      </c>
    </row>
    <row r="122" spans="1:13" ht="24.36" thickBot="1" customHeight="1">
      <c r="A122" s="8" t="s">
        <v>378</v>
      </c>
      <c r="B122" s="8" t="s">
        <v>379</v>
      </c>
      <c r="C122" s="8" t="s">
        <v>380</v>
      </c>
      <c r="D122" s="30" t="s">
        <v>381</v>
      </c>
      <c r="E122" s="30"/>
      <c r="F122" s="30"/>
      <c r="G122" s="30"/>
      <c r="H122" s="30"/>
      <c r="I122" s="30"/>
      <c r="J122" s="30"/>
      <c r="K122" s="31">
        <v>2.000</v>
      </c>
      <c r="L122" s="32">
        <f ca="1">ROUND(90.99,2)</f>
        <v>0</v>
      </c>
      <c r="M122" s="32">
        <f ca="1">ROUND(K122*L122,2)</f>
        <v>0</v>
      </c>
    </row>
    <row r="123" spans="1:13" ht="24.36" thickBot="1" customHeight="1">
      <c r="A123" s="8" t="s">
        <v>382</v>
      </c>
      <c r="B123" s="8" t="s">
        <v>383</v>
      </c>
      <c r="C123" s="8" t="s">
        <v>384</v>
      </c>
      <c r="D123" s="30" t="s">
        <v>385</v>
      </c>
      <c r="E123" s="30"/>
      <c r="F123" s="30"/>
      <c r="G123" s="30"/>
      <c r="H123" s="30"/>
      <c r="I123" s="30"/>
      <c r="J123" s="30"/>
      <c r="K123" s="31">
        <v>8.000</v>
      </c>
      <c r="L123" s="32">
        <f ca="1">ROUND(172.64,2)</f>
        <v>0</v>
      </c>
      <c r="M123" s="32">
        <f ca="1">ROUND(K123*L123,2)</f>
        <v>0</v>
      </c>
    </row>
    <row r="124" spans="1:13" ht="24.36" thickBot="1" customHeight="1">
      <c r="A124" s="8" t="s">
        <v>386</v>
      </c>
      <c r="B124" s="8" t="s">
        <v>387</v>
      </c>
      <c r="C124" s="8" t="s">
        <v>388</v>
      </c>
      <c r="D124" s="30" t="s">
        <v>389</v>
      </c>
      <c r="E124" s="30"/>
      <c r="F124" s="30"/>
      <c r="G124" s="30"/>
      <c r="H124" s="30"/>
      <c r="I124" s="30"/>
      <c r="J124" s="30"/>
      <c r="K124" s="31">
        <v>8.000</v>
      </c>
      <c r="L124" s="32">
        <f ca="1">ROUND(90.88,2)</f>
        <v>0</v>
      </c>
      <c r="M124" s="32">
        <f ca="1">ROUND(K124*L124,2)</f>
        <v>0</v>
      </c>
    </row>
    <row r="125" spans="1:13" ht="24.36" thickBot="1" customHeight="1">
      <c r="A125" s="8" t="s">
        <v>390</v>
      </c>
      <c r="B125" s="8" t="s">
        <v>391</v>
      </c>
      <c r="C125" s="8" t="s">
        <v>392</v>
      </c>
      <c r="D125" s="30" t="s">
        <v>393</v>
      </c>
      <c r="E125" s="30"/>
      <c r="F125" s="30"/>
      <c r="G125" s="30"/>
      <c r="H125" s="30"/>
      <c r="I125" s="30"/>
      <c r="J125" s="30"/>
      <c r="K125" s="31">
        <v>1.000</v>
      </c>
      <c r="L125" s="32">
        <f ca="1">ROUND(2988.72,2)</f>
        <v>0</v>
      </c>
      <c r="M125" s="32">
        <f ca="1">ROUND(K125*L125,2)</f>
        <v>0</v>
      </c>
    </row>
    <row r="126" spans="1:13" ht="21.36" thickBot="1" customHeight="1">
      <c r="A126" s="8" t="s">
        <v>394</v>
      </c>
      <c r="B126" s="8" t="s">
        <v>395</v>
      </c>
      <c r="C126" s="8" t="s">
        <v>396</v>
      </c>
      <c r="D126" s="30" t="s">
        <v>397</v>
      </c>
      <c r="E126" s="30"/>
      <c r="F126" s="30"/>
      <c r="G126" s="30"/>
      <c r="H126" s="30"/>
      <c r="I126" s="30"/>
      <c r="J126" s="30"/>
      <c r="K126" s="31">
        <v>1.000</v>
      </c>
      <c r="L126" s="32">
        <f ca="1">ROUND(111.92,2)</f>
        <v>0</v>
      </c>
      <c r="M126" s="32">
        <f ca="1">ROUND(K126*L126,2)</f>
        <v>0</v>
      </c>
    </row>
    <row r="127" spans="1:13" ht="21.36" thickBot="1" customHeight="1">
      <c r="A127" s="8" t="s">
        <v>398</v>
      </c>
      <c r="B127" s="8" t="s">
        <v>399</v>
      </c>
      <c r="C127" s="8" t="s">
        <v>400</v>
      </c>
      <c r="D127" s="30" t="s">
        <v>401</v>
      </c>
      <c r="E127" s="30"/>
      <c r="F127" s="30"/>
      <c r="G127" s="30"/>
      <c r="H127" s="30"/>
      <c r="I127" s="30"/>
      <c r="J127" s="30"/>
      <c r="K127" s="31">
        <v>1.000</v>
      </c>
      <c r="L127" s="32">
        <f ca="1">ROUND(30.66,2)</f>
        <v>0</v>
      </c>
      <c r="M127" s="32">
        <f ca="1">ROUND(K127*L127,2)</f>
        <v>0</v>
      </c>
    </row>
    <row r="128" spans="1:13" ht="15.12" thickBot="1" customHeight="1">
      <c r="A128" s="8" t="s">
        <v>402</v>
      </c>
      <c r="B128" s="8" t="s">
        <v>403</v>
      </c>
      <c r="C128" s="8" t="s">
        <v>404</v>
      </c>
      <c r="D128" s="30" t="s">
        <v>405</v>
      </c>
      <c r="E128" s="30"/>
      <c r="F128" s="30"/>
      <c r="G128" s="30"/>
      <c r="H128" s="30"/>
      <c r="I128" s="30"/>
      <c r="J128" s="30"/>
      <c r="K128" s="31">
        <v>1.000</v>
      </c>
      <c r="L128" s="32">
        <f ca="1">ROUND(111.92,2)</f>
        <v>0</v>
      </c>
      <c r="M128" s="32">
        <f ca="1">ROUND(K128*L128,2)</f>
        <v>0</v>
      </c>
    </row>
    <row r="129" spans="1:13" ht="15.12" thickBot="1" customHeight="1">
      <c r="A129" s="8" t="s">
        <v>406</v>
      </c>
      <c r="B129" s="8" t="s">
        <v>407</v>
      </c>
      <c r="C129" s="8" t="s">
        <v>408</v>
      </c>
      <c r="D129" s="30" t="s">
        <v>409</v>
      </c>
      <c r="E129" s="30"/>
      <c r="F129" s="30"/>
      <c r="G129" s="30"/>
      <c r="H129" s="30"/>
      <c r="I129" s="30"/>
      <c r="J129" s="30"/>
      <c r="K129" s="31">
        <v>1.000</v>
      </c>
      <c r="L129" s="32">
        <f ca="1">ROUND(22.18,2)</f>
        <v>0</v>
      </c>
      <c r="M129" s="32">
        <f ca="1">ROUND(K129*L129,2)</f>
        <v>0</v>
      </c>
    </row>
    <row r="130" spans="1:13" ht="15.12" thickBot="1" customHeight="1">
      <c r="A130" s="8" t="s">
        <v>410</v>
      </c>
      <c r="B130" s="8" t="s">
        <v>411</v>
      </c>
      <c r="C130" s="8" t="s">
        <v>412</v>
      </c>
      <c r="D130" s="30" t="s">
        <v>413</v>
      </c>
      <c r="E130" s="30"/>
      <c r="F130" s="30"/>
      <c r="G130" s="30"/>
      <c r="H130" s="30"/>
      <c r="I130" s="30"/>
      <c r="J130" s="30"/>
      <c r="K130" s="31">
        <v>1.000</v>
      </c>
      <c r="L130" s="32">
        <f ca="1">ROUND(7.95,2)</f>
        <v>0</v>
      </c>
      <c r="M130" s="32">
        <f ca="1">ROUND(K130*L130,2)</f>
        <v>0</v>
      </c>
    </row>
    <row r="131" spans="1:13" ht="15.12" thickBot="1" customHeight="1">
      <c r="A131" s="8" t="s">
        <v>414</v>
      </c>
      <c r="B131" s="8" t="s">
        <v>415</v>
      </c>
      <c r="C131" s="8" t="s">
        <v>416</v>
      </c>
      <c r="D131" s="30" t="s">
        <v>417</v>
      </c>
      <c r="E131" s="30"/>
      <c r="F131" s="30"/>
      <c r="G131" s="30"/>
      <c r="H131" s="30"/>
      <c r="I131" s="30"/>
      <c r="J131" s="30"/>
      <c r="K131" s="31">
        <v>1.000</v>
      </c>
      <c r="L131" s="32">
        <f ca="1">ROUND(10.10,2)</f>
        <v>0</v>
      </c>
      <c r="M131" s="32">
        <f ca="1">ROUND(K131*L131,2)</f>
        <v>0</v>
      </c>
    </row>
    <row r="132" spans="1:13" ht="24.36" thickBot="1" customHeight="1">
      <c r="A132" s="8" t="s">
        <v>418</v>
      </c>
      <c r="B132" s="8" t="s">
        <v>419</v>
      </c>
      <c r="C132" s="8" t="s">
        <v>420</v>
      </c>
      <c r="D132" s="30" t="s">
        <v>421</v>
      </c>
      <c r="E132" s="30"/>
      <c r="F132" s="30"/>
      <c r="G132" s="30"/>
      <c r="H132" s="30"/>
      <c r="I132" s="30"/>
      <c r="J132" s="30"/>
      <c r="K132" s="31">
        <v>2.000</v>
      </c>
      <c r="L132" s="32">
        <f ca="1">ROUND(14.06,2)</f>
        <v>0</v>
      </c>
      <c r="M132" s="32">
        <f ca="1">ROUND(K132*L132,2)</f>
        <v>0</v>
      </c>
    </row>
    <row r="133" spans="1:13" ht="15.12" thickBot="1" customHeight="1">
      <c r="A133" s="8" t="s">
        <v>422</v>
      </c>
      <c r="B133" s="8" t="s">
        <v>423</v>
      </c>
      <c r="C133" s="8" t="s">
        <v>424</v>
      </c>
      <c r="D133" s="30" t="s">
        <v>425</v>
      </c>
      <c r="E133" s="30"/>
      <c r="F133" s="30"/>
      <c r="G133" s="30"/>
      <c r="H133" s="30"/>
      <c r="I133" s="30"/>
      <c r="J133" s="30"/>
      <c r="K133" s="31">
        <v>5.000</v>
      </c>
      <c r="L133" s="32">
        <f ca="1">ROUND(1.48,2)</f>
        <v>0</v>
      </c>
      <c r="M133" s="32">
        <f ca="1">ROUND(K133*L133,2)</f>
        <v>0</v>
      </c>
    </row>
    <row r="134" spans="1:13" ht="15.12" thickBot="1" customHeight="1">
      <c r="A134" s="8" t="s">
        <v>426</v>
      </c>
      <c r="B134" s="8" t="s">
        <v>427</v>
      </c>
      <c r="C134" s="8" t="s">
        <v>428</v>
      </c>
      <c r="D134" s="30" t="s">
        <v>429</v>
      </c>
      <c r="E134" s="30"/>
      <c r="F134" s="30"/>
      <c r="G134" s="30"/>
      <c r="H134" s="30"/>
      <c r="I134" s="30"/>
      <c r="J134" s="30"/>
      <c r="K134" s="31">
        <v>7.343</v>
      </c>
      <c r="L134" s="32">
        <f ca="1">ROUND(27.24,2)</f>
        <v>0</v>
      </c>
      <c r="M134" s="32">
        <f ca="1">ROUND(K134*L134,2)</f>
        <v>0</v>
      </c>
    </row>
    <row r="135" spans="1:13" ht="15.12" thickBot="1" customHeight="1">
      <c r="A135" s="8" t="s">
        <v>430</v>
      </c>
      <c r="B135" s="8" t="s">
        <v>431</v>
      </c>
      <c r="C135" s="8" t="s">
        <v>432</v>
      </c>
      <c r="D135" s="30" t="s">
        <v>433</v>
      </c>
      <c r="E135" s="30"/>
      <c r="F135" s="30"/>
      <c r="G135" s="30"/>
      <c r="H135" s="30"/>
      <c r="I135" s="30"/>
      <c r="J135" s="30"/>
      <c r="K135" s="31">
        <v>5.436</v>
      </c>
      <c r="L135" s="32">
        <f ca="1">ROUND(23.25,2)</f>
        <v>0</v>
      </c>
      <c r="M135" s="32">
        <f ca="1">ROUND(K135*L135,2)</f>
        <v>0</v>
      </c>
    </row>
    <row r="136" spans="1:13" ht="15.12" thickBot="1" customHeight="1">
      <c r="A136" s="8" t="s">
        <v>434</v>
      </c>
      <c r="B136" s="8"/>
      <c r="C136" s="8" t="s">
        <v>435</v>
      </c>
      <c r="D136" s="30" t="s">
        <v>436</v>
      </c>
      <c r="E136" s="30"/>
      <c r="F136" s="30"/>
      <c r="G136" s="30"/>
      <c r="H136" s="30"/>
      <c r="I136" s="30"/>
      <c r="J136" s="30"/>
      <c r="K136" s="31">
        <v>2.000</v>
      </c>
      <c r="L136" s="32">
        <f ca="1">ROUND(6091.75,2)</f>
        <v>0</v>
      </c>
      <c r="M136" s="32">
        <f ca="1">ROUND((K136*L136)/100,2)</f>
        <v>0</v>
      </c>
    </row>
    <row r="137" spans="1:13" ht="15.48" thickBot="1" customHeight="1">
      <c r="A137" s="34"/>
      <c r="B137" s="34"/>
      <c r="C137" s="34"/>
      <c r="D137" s="35" t="s">
        <v>437</v>
      </c>
      <c r="E137" s="34"/>
      <c r="F137" s="34"/>
      <c r="G137" s="34"/>
      <c r="H137" s="34"/>
      <c r="I137" s="34"/>
      <c r="J137" s="34"/>
      <c r="K137" s="37">
        <v>1.000</v>
      </c>
      <c r="L137" s="38">
        <f ca="1">ROUND((M119+M120+M121+M122+M123+M124+M125+M126+M127+M128+M129+M130+M131+M132+M133+M134+M135+M136)*(1+M2/100),2)</f>
        <v>0</v>
      </c>
      <c r="M137" s="38">
        <f ca="1">ROUND(K137*L137,2)</f>
        <v>0</v>
      </c>
    </row>
    <row r="138" spans="1:13" ht="15.48" thickBot="1" customHeight="1">
      <c r="A138" s="39" t="s">
        <v>438</v>
      </c>
      <c r="B138" s="40" t="s">
        <v>439</v>
      </c>
      <c r="C138" s="40" t="s">
        <v>440</v>
      </c>
      <c r="D138" s="41" t="s">
        <v>441</v>
      </c>
      <c r="E138" s="41"/>
      <c r="F138" s="41"/>
      <c r="G138" s="41"/>
      <c r="H138" s="41"/>
      <c r="I138" s="41"/>
      <c r="J138" s="41"/>
      <c r="K138" s="42">
        <f ca="1">SUM(K141:K141)</f>
        <v>0</v>
      </c>
      <c r="L138" s="43">
        <f ca="1">L155</f>
        <v>0</v>
      </c>
      <c r="M138" s="43">
        <f ca="1">ROUND(K138*L138,2)</f>
        <v>0</v>
      </c>
    </row>
    <row r="139" spans="1:13" ht="67.56" thickBot="1" customHeight="1">
      <c r="A139" s="33"/>
      <c r="B139" s="33"/>
      <c r="C139" s="33"/>
      <c r="D139" s="30" t="s">
        <v>442</v>
      </c>
      <c r="E139" s="30"/>
      <c r="F139" s="30"/>
      <c r="G139" s="30"/>
      <c r="H139" s="30"/>
      <c r="I139" s="30"/>
      <c r="J139" s="30"/>
      <c r="K139" s="30"/>
      <c r="L139" s="30"/>
      <c r="M139" s="30"/>
    </row>
    <row r="140" spans="1:13" ht="15.12" thickBot="1" customHeight="1">
      <c r="A140" s="33"/>
      <c r="B140" s="33"/>
      <c r="C140" s="33"/>
      <c r="D140" s="33"/>
      <c r="E140" s="52"/>
      <c r="F140" s="54" t="s">
        <v>443</v>
      </c>
      <c r="G140" s="54" t="s">
        <v>444</v>
      </c>
      <c r="H140" s="54" t="s">
        <v>445</v>
      </c>
      <c r="I140" s="54" t="s">
        <v>446</v>
      </c>
      <c r="J140" s="54" t="s">
        <v>447</v>
      </c>
      <c r="K140" s="54" t="s">
        <v>448</v>
      </c>
      <c r="L140" s="33"/>
      <c r="M140" s="33"/>
    </row>
    <row r="141" spans="1:13" ht="15.12" thickBot="1" customHeight="1">
      <c r="A141" s="33"/>
      <c r="B141" s="33"/>
      <c r="C141" s="33"/>
      <c r="D141" s="55"/>
      <c r="E141" s="56" t="s">
        <v>449</v>
      </c>
      <c r="F141" s="57">
        <v>1</v>
      </c>
      <c r="G141" s="58"/>
      <c r="H141" s="58"/>
      <c r="I141" s="58"/>
      <c r="J141" s="60">
        <f ca="1">ROUND(F141,3)</f>
        <v>0</v>
      </c>
      <c r="K141" s="62">
        <f ca="1">SUM(J141:J141)</f>
        <v>0</v>
      </c>
      <c r="L141" s="33"/>
      <c r="M141" s="33"/>
    </row>
    <row r="142" spans="1:13" ht="39.84" thickBot="1" customHeight="1">
      <c r="A142" s="8" t="s">
        <v>450</v>
      </c>
      <c r="B142" s="8" t="s">
        <v>451</v>
      </c>
      <c r="C142" s="8" t="s">
        <v>452</v>
      </c>
      <c r="D142" s="30" t="s">
        <v>453</v>
      </c>
      <c r="E142" s="30"/>
      <c r="F142" s="30"/>
      <c r="G142" s="30"/>
      <c r="H142" s="30"/>
      <c r="I142" s="30"/>
      <c r="J142" s="30"/>
      <c r="K142" s="31">
        <v>1.000</v>
      </c>
      <c r="L142" s="32">
        <f ca="1">ROUND(27.98,2)</f>
        <v>0</v>
      </c>
      <c r="M142" s="32">
        <f ca="1">ROUND(K142*L142,2)</f>
        <v>0</v>
      </c>
    </row>
    <row r="143" spans="1:13" ht="24.36" thickBot="1" customHeight="1">
      <c r="A143" s="8" t="s">
        <v>454</v>
      </c>
      <c r="B143" s="8" t="s">
        <v>455</v>
      </c>
      <c r="C143" s="8" t="s">
        <v>456</v>
      </c>
      <c r="D143" s="30" t="s">
        <v>457</v>
      </c>
      <c r="E143" s="30"/>
      <c r="F143" s="30"/>
      <c r="G143" s="30"/>
      <c r="H143" s="30"/>
      <c r="I143" s="30"/>
      <c r="J143" s="30"/>
      <c r="K143" s="31">
        <v>1.000</v>
      </c>
      <c r="L143" s="32">
        <f ca="1">ROUND(2642.22,2)</f>
        <v>0</v>
      </c>
      <c r="M143" s="32">
        <f ca="1">ROUND(K143*L143,2)</f>
        <v>0</v>
      </c>
    </row>
    <row r="144" spans="1:13" ht="21.36" thickBot="1" customHeight="1">
      <c r="A144" s="8" t="s">
        <v>458</v>
      </c>
      <c r="B144" s="8" t="s">
        <v>459</v>
      </c>
      <c r="C144" s="8" t="s">
        <v>460</v>
      </c>
      <c r="D144" s="30" t="s">
        <v>461</v>
      </c>
      <c r="E144" s="30"/>
      <c r="F144" s="30"/>
      <c r="G144" s="30"/>
      <c r="H144" s="30"/>
      <c r="I144" s="30"/>
      <c r="J144" s="30"/>
      <c r="K144" s="31">
        <v>2.000</v>
      </c>
      <c r="L144" s="32">
        <f ca="1">ROUND(111.92,2)</f>
        <v>0</v>
      </c>
      <c r="M144" s="32">
        <f ca="1">ROUND(K144*L144,2)</f>
        <v>0</v>
      </c>
    </row>
    <row r="145" spans="1:13" ht="21.36" thickBot="1" customHeight="1">
      <c r="A145" s="8" t="s">
        <v>462</v>
      </c>
      <c r="B145" s="8" t="s">
        <v>463</v>
      </c>
      <c r="C145" s="8" t="s">
        <v>464</v>
      </c>
      <c r="D145" s="30" t="s">
        <v>465</v>
      </c>
      <c r="E145" s="30"/>
      <c r="F145" s="30"/>
      <c r="G145" s="30"/>
      <c r="H145" s="30"/>
      <c r="I145" s="30"/>
      <c r="J145" s="30"/>
      <c r="K145" s="31">
        <v>2.000</v>
      </c>
      <c r="L145" s="32">
        <f ca="1">ROUND(30.66,2)</f>
        <v>0</v>
      </c>
      <c r="M145" s="32">
        <f ca="1">ROUND(K145*L145,2)</f>
        <v>0</v>
      </c>
    </row>
    <row r="146" spans="1:13" ht="15.12" thickBot="1" customHeight="1">
      <c r="A146" s="8" t="s">
        <v>466</v>
      </c>
      <c r="B146" s="8" t="s">
        <v>467</v>
      </c>
      <c r="C146" s="8" t="s">
        <v>468</v>
      </c>
      <c r="D146" s="30" t="s">
        <v>469</v>
      </c>
      <c r="E146" s="30"/>
      <c r="F146" s="30"/>
      <c r="G146" s="30"/>
      <c r="H146" s="30"/>
      <c r="I146" s="30"/>
      <c r="J146" s="30"/>
      <c r="K146" s="31">
        <v>2.000</v>
      </c>
      <c r="L146" s="32">
        <f ca="1">ROUND(111.92,2)</f>
        <v>0</v>
      </c>
      <c r="M146" s="32">
        <f ca="1">ROUND(K146*L146,2)</f>
        <v>0</v>
      </c>
    </row>
    <row r="147" spans="1:13" ht="15.12" thickBot="1" customHeight="1">
      <c r="A147" s="8" t="s">
        <v>470</v>
      </c>
      <c r="B147" s="8" t="s">
        <v>471</v>
      </c>
      <c r="C147" s="8" t="s">
        <v>472</v>
      </c>
      <c r="D147" s="30" t="s">
        <v>473</v>
      </c>
      <c r="E147" s="30"/>
      <c r="F147" s="30"/>
      <c r="G147" s="30"/>
      <c r="H147" s="30"/>
      <c r="I147" s="30"/>
      <c r="J147" s="30"/>
      <c r="K147" s="31">
        <v>2.000</v>
      </c>
      <c r="L147" s="32">
        <f ca="1">ROUND(22.18,2)</f>
        <v>0</v>
      </c>
      <c r="M147" s="32">
        <f ca="1">ROUND(K147*L147,2)</f>
        <v>0</v>
      </c>
    </row>
    <row r="148" spans="1:13" ht="15.12" thickBot="1" customHeight="1">
      <c r="A148" s="8" t="s">
        <v>474</v>
      </c>
      <c r="B148" s="8" t="s">
        <v>475</v>
      </c>
      <c r="C148" s="8" t="s">
        <v>476</v>
      </c>
      <c r="D148" s="30" t="s">
        <v>477</v>
      </c>
      <c r="E148" s="30"/>
      <c r="F148" s="30"/>
      <c r="G148" s="30"/>
      <c r="H148" s="30"/>
      <c r="I148" s="30"/>
      <c r="J148" s="30"/>
      <c r="K148" s="31">
        <v>2.000</v>
      </c>
      <c r="L148" s="32">
        <f ca="1">ROUND(10.10,2)</f>
        <v>0</v>
      </c>
      <c r="M148" s="32">
        <f ca="1">ROUND(K148*L148,2)</f>
        <v>0</v>
      </c>
    </row>
    <row r="149" spans="1:13" ht="15.12" thickBot="1" customHeight="1">
      <c r="A149" s="8" t="s">
        <v>478</v>
      </c>
      <c r="B149" s="8" t="s">
        <v>479</v>
      </c>
      <c r="C149" s="8" t="s">
        <v>480</v>
      </c>
      <c r="D149" s="30" t="s">
        <v>481</v>
      </c>
      <c r="E149" s="30"/>
      <c r="F149" s="30"/>
      <c r="G149" s="30"/>
      <c r="H149" s="30"/>
      <c r="I149" s="30"/>
      <c r="J149" s="30"/>
      <c r="K149" s="31">
        <v>2.000</v>
      </c>
      <c r="L149" s="32">
        <f ca="1">ROUND(7.95,2)</f>
        <v>0</v>
      </c>
      <c r="M149" s="32">
        <f ca="1">ROUND(K149*L149,2)</f>
        <v>0</v>
      </c>
    </row>
    <row r="150" spans="1:13" ht="15.12" thickBot="1" customHeight="1">
      <c r="A150" s="8" t="s">
        <v>482</v>
      </c>
      <c r="B150" s="8" t="s">
        <v>483</v>
      </c>
      <c r="C150" s="8" t="s">
        <v>484</v>
      </c>
      <c r="D150" s="30" t="s">
        <v>485</v>
      </c>
      <c r="E150" s="30"/>
      <c r="F150" s="30"/>
      <c r="G150" s="30"/>
      <c r="H150" s="30"/>
      <c r="I150" s="30"/>
      <c r="J150" s="30"/>
      <c r="K150" s="31">
        <v>1.000</v>
      </c>
      <c r="L150" s="32">
        <f ca="1">ROUND(87.10,2)</f>
        <v>0</v>
      </c>
      <c r="M150" s="32">
        <f ca="1">ROUND(K150*L150,2)</f>
        <v>0</v>
      </c>
    </row>
    <row r="151" spans="1:13" ht="15.12" thickBot="1" customHeight="1">
      <c r="A151" s="8" t="s">
        <v>486</v>
      </c>
      <c r="B151" s="8" t="s">
        <v>487</v>
      </c>
      <c r="C151" s="8" t="s">
        <v>488</v>
      </c>
      <c r="D151" s="30" t="s">
        <v>489</v>
      </c>
      <c r="E151" s="30"/>
      <c r="F151" s="30"/>
      <c r="G151" s="30"/>
      <c r="H151" s="30"/>
      <c r="I151" s="30"/>
      <c r="J151" s="30"/>
      <c r="K151" s="31">
        <v>1.000</v>
      </c>
      <c r="L151" s="32">
        <f ca="1">ROUND(1.48,2)</f>
        <v>0</v>
      </c>
      <c r="M151" s="32">
        <f ca="1">ROUND(K151*L151,2)</f>
        <v>0</v>
      </c>
    </row>
    <row r="152" spans="1:13" ht="15.12" thickBot="1" customHeight="1">
      <c r="A152" s="8" t="s">
        <v>490</v>
      </c>
      <c r="B152" s="8" t="s">
        <v>491</v>
      </c>
      <c r="C152" s="8" t="s">
        <v>492</v>
      </c>
      <c r="D152" s="30" t="s">
        <v>493</v>
      </c>
      <c r="E152" s="30"/>
      <c r="F152" s="30"/>
      <c r="G152" s="30"/>
      <c r="H152" s="30"/>
      <c r="I152" s="30"/>
      <c r="J152" s="30"/>
      <c r="K152" s="31">
        <v>0.541</v>
      </c>
      <c r="L152" s="32">
        <f ca="1">ROUND(27.24,2)</f>
        <v>0</v>
      </c>
      <c r="M152" s="32">
        <f ca="1">ROUND(K152*L152,2)</f>
        <v>0</v>
      </c>
    </row>
    <row r="153" spans="1:13" ht="15.12" thickBot="1" customHeight="1">
      <c r="A153" s="8" t="s">
        <v>494</v>
      </c>
      <c r="B153" s="8" t="s">
        <v>495</v>
      </c>
      <c r="C153" s="8" t="s">
        <v>496</v>
      </c>
      <c r="D153" s="30" t="s">
        <v>497</v>
      </c>
      <c r="E153" s="30"/>
      <c r="F153" s="30"/>
      <c r="G153" s="30"/>
      <c r="H153" s="30"/>
      <c r="I153" s="30"/>
      <c r="J153" s="30"/>
      <c r="K153" s="31">
        <v>0.519</v>
      </c>
      <c r="L153" s="32">
        <f ca="1">ROUND(23.25,2)</f>
        <v>0</v>
      </c>
      <c r="M153" s="32">
        <f ca="1">ROUND(K153*L153,2)</f>
        <v>0</v>
      </c>
    </row>
    <row r="154" spans="1:13" ht="15.12" thickBot="1" customHeight="1">
      <c r="A154" s="8" t="s">
        <v>498</v>
      </c>
      <c r="B154" s="8"/>
      <c r="C154" s="8" t="s">
        <v>499</v>
      </c>
      <c r="D154" s="30" t="s">
        <v>500</v>
      </c>
      <c r="E154" s="30"/>
      <c r="F154" s="30"/>
      <c r="G154" s="30"/>
      <c r="H154" s="30"/>
      <c r="I154" s="30"/>
      <c r="J154" s="30"/>
      <c r="K154" s="31">
        <v>2.000</v>
      </c>
      <c r="L154" s="32">
        <f ca="1">ROUND(3375.05,2)</f>
        <v>0</v>
      </c>
      <c r="M154" s="32">
        <f ca="1">ROUND((K154*L154)/100,2)</f>
        <v>0</v>
      </c>
    </row>
    <row r="155" spans="1:13" ht="15.48" thickBot="1" customHeight="1">
      <c r="A155" s="34"/>
      <c r="B155" s="34"/>
      <c r="C155" s="34"/>
      <c r="D155" s="35" t="s">
        <v>501</v>
      </c>
      <c r="E155" s="34"/>
      <c r="F155" s="34"/>
      <c r="G155" s="34"/>
      <c r="H155" s="34"/>
      <c r="I155" s="34"/>
      <c r="J155" s="34"/>
      <c r="K155" s="37">
        <v>1.000</v>
      </c>
      <c r="L155" s="38">
        <f ca="1">ROUND((M142+M143+M144+M145+M146+M147+M148+M149+M150+M151+M152+M153+M154)*(1+M2/100),2)</f>
        <v>0</v>
      </c>
      <c r="M155" s="38">
        <f ca="1">ROUND(K155*L155,2)</f>
        <v>0</v>
      </c>
    </row>
    <row r="156" spans="1:13" ht="15.48" thickBot="1" customHeight="1">
      <c r="A156" s="39" t="s">
        <v>502</v>
      </c>
      <c r="B156" s="40" t="s">
        <v>503</v>
      </c>
      <c r="C156" s="40" t="s">
        <v>504</v>
      </c>
      <c r="D156" s="41" t="s">
        <v>505</v>
      </c>
      <c r="E156" s="41"/>
      <c r="F156" s="41"/>
      <c r="G156" s="41"/>
      <c r="H156" s="41"/>
      <c r="I156" s="41"/>
      <c r="J156" s="41"/>
      <c r="K156" s="42">
        <f ca="1">SUM(K159:K159)</f>
        <v>0</v>
      </c>
      <c r="L156" s="43">
        <f ca="1">L171</f>
        <v>0</v>
      </c>
      <c r="M156" s="43">
        <f ca="1">ROUND(K156*L156,2)</f>
        <v>0</v>
      </c>
    </row>
    <row r="157" spans="1:13" ht="86.04" thickBot="1" customHeight="1">
      <c r="A157" s="33"/>
      <c r="B157" s="33"/>
      <c r="C157" s="33"/>
      <c r="D157" s="30" t="s">
        <v>506</v>
      </c>
      <c r="E157" s="30"/>
      <c r="F157" s="30"/>
      <c r="G157" s="30"/>
      <c r="H157" s="30"/>
      <c r="I157" s="30"/>
      <c r="J157" s="30"/>
      <c r="K157" s="30"/>
      <c r="L157" s="30"/>
      <c r="M157" s="30"/>
    </row>
    <row r="158" spans="1:13" ht="15.12" thickBot="1" customHeight="1">
      <c r="A158" s="33"/>
      <c r="B158" s="33"/>
      <c r="C158" s="33"/>
      <c r="D158" s="33"/>
      <c r="E158" s="52"/>
      <c r="F158" s="54" t="s">
        <v>507</v>
      </c>
      <c r="G158" s="54" t="s">
        <v>508</v>
      </c>
      <c r="H158" s="54" t="s">
        <v>509</v>
      </c>
      <c r="I158" s="54" t="s">
        <v>510</v>
      </c>
      <c r="J158" s="54" t="s">
        <v>511</v>
      </c>
      <c r="K158" s="54" t="s">
        <v>512</v>
      </c>
      <c r="L158" s="33"/>
      <c r="M158" s="33"/>
    </row>
    <row r="159" spans="1:13" ht="21.36" thickBot="1" customHeight="1">
      <c r="A159" s="33"/>
      <c r="B159" s="33"/>
      <c r="C159" s="33"/>
      <c r="D159" s="55"/>
      <c r="E159" s="56" t="s">
        <v>513</v>
      </c>
      <c r="F159" s="57">
        <v>1</v>
      </c>
      <c r="G159" s="58">
        <v>90.190</v>
      </c>
      <c r="H159" s="58"/>
      <c r="I159" s="58"/>
      <c r="J159" s="60">
        <f ca="1">ROUND(F159*G159,3)</f>
        <v>0</v>
      </c>
      <c r="K159" s="62">
        <f ca="1">SUM(J159:J159)</f>
        <v>0</v>
      </c>
      <c r="L159" s="33"/>
      <c r="M159" s="33"/>
    </row>
    <row r="160" spans="1:13" ht="15.12" thickBot="1" customHeight="1">
      <c r="A160" s="8" t="s">
        <v>514</v>
      </c>
      <c r="B160" s="8" t="s">
        <v>515</v>
      </c>
      <c r="C160" s="8" t="s">
        <v>516</v>
      </c>
      <c r="D160" s="30" t="s">
        <v>517</v>
      </c>
      <c r="E160" s="30"/>
      <c r="F160" s="30"/>
      <c r="G160" s="30"/>
      <c r="H160" s="30"/>
      <c r="I160" s="30"/>
      <c r="J160" s="30"/>
      <c r="K160" s="31">
        <v>0.074</v>
      </c>
      <c r="L160" s="32">
        <f ca="1">ROUND(14.30,2)</f>
        <v>0</v>
      </c>
      <c r="M160" s="32">
        <f ca="1">ROUND(K160*L160,2)</f>
        <v>0</v>
      </c>
    </row>
    <row r="161" spans="1:13" ht="39.84" thickBot="1" customHeight="1">
      <c r="A161" s="8" t="s">
        <v>518</v>
      </c>
      <c r="B161" s="8" t="s">
        <v>519</v>
      </c>
      <c r="C161" s="8" t="s">
        <v>520</v>
      </c>
      <c r="D161" s="30" t="s">
        <v>521</v>
      </c>
      <c r="E161" s="30"/>
      <c r="F161" s="30"/>
      <c r="G161" s="30"/>
      <c r="H161" s="30"/>
      <c r="I161" s="30"/>
      <c r="J161" s="30"/>
      <c r="K161" s="31">
        <v>1.000</v>
      </c>
      <c r="L161" s="32">
        <f ca="1">ROUND(19.52,2)</f>
        <v>0</v>
      </c>
      <c r="M161" s="32">
        <f ca="1">ROUND(K161*L161,2)</f>
        <v>0</v>
      </c>
    </row>
    <row r="162" spans="1:13" ht="21.36" thickBot="1" customHeight="1">
      <c r="A162" s="8" t="s">
        <v>522</v>
      </c>
      <c r="B162" s="8" t="s">
        <v>523</v>
      </c>
      <c r="C162" s="8" t="s">
        <v>524</v>
      </c>
      <c r="D162" s="30" t="s">
        <v>525</v>
      </c>
      <c r="E162" s="30"/>
      <c r="F162" s="30"/>
      <c r="G162" s="30"/>
      <c r="H162" s="30"/>
      <c r="I162" s="30"/>
      <c r="J162" s="30"/>
      <c r="K162" s="31">
        <v>1.000</v>
      </c>
      <c r="L162" s="32">
        <f ca="1">ROUND(0.25,2)</f>
        <v>0</v>
      </c>
      <c r="M162" s="32">
        <f ca="1">ROUND(K162*L162,2)</f>
        <v>0</v>
      </c>
    </row>
    <row r="163" spans="1:13" ht="15.12" thickBot="1" customHeight="1">
      <c r="A163" s="8" t="s">
        <v>526</v>
      </c>
      <c r="B163" s="8" t="s">
        <v>527</v>
      </c>
      <c r="C163" s="8" t="s">
        <v>528</v>
      </c>
      <c r="D163" s="30" t="s">
        <v>529</v>
      </c>
      <c r="E163" s="30"/>
      <c r="F163" s="30"/>
      <c r="G163" s="30"/>
      <c r="H163" s="30"/>
      <c r="I163" s="30"/>
      <c r="J163" s="30"/>
      <c r="K163" s="31">
        <v>0.008</v>
      </c>
      <c r="L163" s="32">
        <f ca="1">ROUND(10.38,2)</f>
        <v>0</v>
      </c>
      <c r="M163" s="32">
        <f ca="1">ROUND(K163*L163,2)</f>
        <v>0</v>
      </c>
    </row>
    <row r="164" spans="1:13" ht="15.12" thickBot="1" customHeight="1">
      <c r="A164" s="8" t="s">
        <v>530</v>
      </c>
      <c r="B164" s="8" t="s">
        <v>531</v>
      </c>
      <c r="C164" s="8" t="s">
        <v>532</v>
      </c>
      <c r="D164" s="30" t="s">
        <v>533</v>
      </c>
      <c r="E164" s="30"/>
      <c r="F164" s="30"/>
      <c r="G164" s="30"/>
      <c r="H164" s="30"/>
      <c r="I164" s="30"/>
      <c r="J164" s="30"/>
      <c r="K164" s="31">
        <v>0.057</v>
      </c>
      <c r="L164" s="32">
        <f ca="1">ROUND(3.92,2)</f>
        <v>0</v>
      </c>
      <c r="M164" s="32">
        <f ca="1">ROUND(K164*L164,2)</f>
        <v>0</v>
      </c>
    </row>
    <row r="165" spans="1:13" ht="15.12" thickBot="1" customHeight="1">
      <c r="A165" s="8" t="s">
        <v>534</v>
      </c>
      <c r="B165" s="8" t="s">
        <v>535</v>
      </c>
      <c r="C165" s="8" t="s">
        <v>536</v>
      </c>
      <c r="D165" s="30" t="s">
        <v>537</v>
      </c>
      <c r="E165" s="30"/>
      <c r="F165" s="30"/>
      <c r="G165" s="30"/>
      <c r="H165" s="30"/>
      <c r="I165" s="30"/>
      <c r="J165" s="30"/>
      <c r="K165" s="31">
        <v>0.001</v>
      </c>
      <c r="L165" s="32">
        <f ca="1">ROUND(118.90,2)</f>
        <v>0</v>
      </c>
      <c r="M165" s="32">
        <f ca="1">ROUND(K165*L165,2)</f>
        <v>0</v>
      </c>
    </row>
    <row r="166" spans="1:13" ht="15.12" thickBot="1" customHeight="1">
      <c r="A166" s="8" t="s">
        <v>538</v>
      </c>
      <c r="B166" s="8" t="s">
        <v>539</v>
      </c>
      <c r="C166" s="8" t="s">
        <v>540</v>
      </c>
      <c r="D166" s="30" t="s">
        <v>541</v>
      </c>
      <c r="E166" s="30"/>
      <c r="F166" s="30"/>
      <c r="G166" s="30"/>
      <c r="H166" s="30"/>
      <c r="I166" s="30"/>
      <c r="J166" s="30"/>
      <c r="K166" s="31">
        <v>0.063</v>
      </c>
      <c r="L166" s="32">
        <f ca="1">ROUND(26.38,2)</f>
        <v>0</v>
      </c>
      <c r="M166" s="32">
        <f ca="1">ROUND(K166*L166,2)</f>
        <v>0</v>
      </c>
    </row>
    <row r="167" spans="1:13" ht="15.12" thickBot="1" customHeight="1">
      <c r="A167" s="8" t="s">
        <v>542</v>
      </c>
      <c r="B167" s="8" t="s">
        <v>543</v>
      </c>
      <c r="C167" s="8" t="s">
        <v>544</v>
      </c>
      <c r="D167" s="30" t="s">
        <v>545</v>
      </c>
      <c r="E167" s="30"/>
      <c r="F167" s="30"/>
      <c r="G167" s="30"/>
      <c r="H167" s="30"/>
      <c r="I167" s="30"/>
      <c r="J167" s="30"/>
      <c r="K167" s="31">
        <v>0.063</v>
      </c>
      <c r="L167" s="32">
        <f ca="1">ROUND(20.97,2)</f>
        <v>0</v>
      </c>
      <c r="M167" s="32">
        <f ca="1">ROUND(K167*L167,2)</f>
        <v>0</v>
      </c>
    </row>
    <row r="168" spans="1:13" ht="15.12" thickBot="1" customHeight="1">
      <c r="A168" s="8" t="s">
        <v>546</v>
      </c>
      <c r="B168" s="8" t="s">
        <v>547</v>
      </c>
      <c r="C168" s="8" t="s">
        <v>548</v>
      </c>
      <c r="D168" s="30" t="s">
        <v>549</v>
      </c>
      <c r="E168" s="30"/>
      <c r="F168" s="30"/>
      <c r="G168" s="30"/>
      <c r="H168" s="30"/>
      <c r="I168" s="30"/>
      <c r="J168" s="30"/>
      <c r="K168" s="31">
        <v>0.045</v>
      </c>
      <c r="L168" s="32">
        <f ca="1">ROUND(27.24,2)</f>
        <v>0</v>
      </c>
      <c r="M168" s="32">
        <f ca="1">ROUND(K168*L168,2)</f>
        <v>0</v>
      </c>
    </row>
    <row r="169" spans="1:13" ht="15.12" thickBot="1" customHeight="1">
      <c r="A169" s="8" t="s">
        <v>550</v>
      </c>
      <c r="B169" s="8" t="s">
        <v>551</v>
      </c>
      <c r="C169" s="8" t="s">
        <v>552</v>
      </c>
      <c r="D169" s="30" t="s">
        <v>553</v>
      </c>
      <c r="E169" s="30"/>
      <c r="F169" s="30"/>
      <c r="G169" s="30"/>
      <c r="H169" s="30"/>
      <c r="I169" s="30"/>
      <c r="J169" s="30"/>
      <c r="K169" s="31">
        <v>0.022</v>
      </c>
      <c r="L169" s="32">
        <f ca="1">ROUND(23.25,2)</f>
        <v>0</v>
      </c>
      <c r="M169" s="32">
        <f ca="1">ROUND(K169*L169,2)</f>
        <v>0</v>
      </c>
    </row>
    <row r="170" spans="1:13" ht="15.12" thickBot="1" customHeight="1">
      <c r="A170" s="8" t="s">
        <v>554</v>
      </c>
      <c r="B170" s="8"/>
      <c r="C170" s="8" t="s">
        <v>555</v>
      </c>
      <c r="D170" s="30" t="s">
        <v>556</v>
      </c>
      <c r="E170" s="30"/>
      <c r="F170" s="30"/>
      <c r="G170" s="30"/>
      <c r="H170" s="30"/>
      <c r="I170" s="30"/>
      <c r="J170" s="30"/>
      <c r="K170" s="31">
        <v>2.000</v>
      </c>
      <c r="L170" s="32">
        <f ca="1">ROUND(25.97,2)</f>
        <v>0</v>
      </c>
      <c r="M170" s="32">
        <f ca="1">ROUND((K170*L170)/100,2)</f>
        <v>0</v>
      </c>
    </row>
    <row r="171" spans="1:13" ht="15.48" thickBot="1" customHeight="1">
      <c r="A171" s="34"/>
      <c r="B171" s="34"/>
      <c r="C171" s="34"/>
      <c r="D171" s="35" t="s">
        <v>557</v>
      </c>
      <c r="E171" s="34"/>
      <c r="F171" s="34"/>
      <c r="G171" s="34"/>
      <c r="H171" s="34"/>
      <c r="I171" s="34"/>
      <c r="J171" s="34"/>
      <c r="K171" s="37">
        <v>90.190</v>
      </c>
      <c r="L171" s="38">
        <f ca="1">ROUND((M160+M161+M162+M163+M164+M165+M166+M167+M168+M169+M170)*(1+M2/100),2)</f>
        <v>0</v>
      </c>
      <c r="M171" s="38">
        <f ca="1">ROUND(K171*L171,2)</f>
        <v>0</v>
      </c>
    </row>
    <row r="172" spans="1:13" ht="15.48" thickBot="1" customHeight="1">
      <c r="A172" s="39" t="s">
        <v>558</v>
      </c>
      <c r="B172" s="40" t="s">
        <v>559</v>
      </c>
      <c r="C172" s="40" t="s">
        <v>560</v>
      </c>
      <c r="D172" s="41" t="s">
        <v>561</v>
      </c>
      <c r="E172" s="41"/>
      <c r="F172" s="41"/>
      <c r="G172" s="41"/>
      <c r="H172" s="41"/>
      <c r="I172" s="41"/>
      <c r="J172" s="41"/>
      <c r="K172" s="42">
        <f ca="1">ROUND(90.19,2)</f>
        <v>0</v>
      </c>
      <c r="L172" s="43">
        <f ca="1">L185</f>
        <v>0</v>
      </c>
      <c r="M172" s="43">
        <f ca="1">ROUND(K172*L172,2)</f>
        <v>0</v>
      </c>
    </row>
    <row r="173" spans="1:13" ht="86.04" thickBot="1" customHeight="1">
      <c r="A173" s="33"/>
      <c r="B173" s="33"/>
      <c r="C173" s="33"/>
      <c r="D173" s="30" t="s">
        <v>562</v>
      </c>
      <c r="E173" s="30"/>
      <c r="F173" s="30"/>
      <c r="G173" s="30"/>
      <c r="H173" s="30"/>
      <c r="I173" s="30"/>
      <c r="J173" s="30"/>
      <c r="K173" s="30"/>
      <c r="L173" s="30"/>
      <c r="M173" s="30"/>
    </row>
    <row r="174" spans="1:13" ht="15.12" thickBot="1" customHeight="1">
      <c r="A174" s="8" t="s">
        <v>563</v>
      </c>
      <c r="B174" s="8" t="s">
        <v>564</v>
      </c>
      <c r="C174" s="8" t="s">
        <v>565</v>
      </c>
      <c r="D174" s="30" t="s">
        <v>566</v>
      </c>
      <c r="E174" s="30"/>
      <c r="F174" s="30"/>
      <c r="G174" s="30"/>
      <c r="H174" s="30"/>
      <c r="I174" s="30"/>
      <c r="J174" s="30"/>
      <c r="K174" s="31">
        <v>0.074</v>
      </c>
      <c r="L174" s="32">
        <f ca="1">ROUND(14.30,2)</f>
        <v>0</v>
      </c>
      <c r="M174" s="32">
        <f ca="1">ROUND(K174*L174,2)</f>
        <v>0</v>
      </c>
    </row>
    <row r="175" spans="1:13" ht="39.84" thickBot="1" customHeight="1">
      <c r="A175" s="8" t="s">
        <v>567</v>
      </c>
      <c r="B175" s="8" t="s">
        <v>568</v>
      </c>
      <c r="C175" s="8" t="s">
        <v>569</v>
      </c>
      <c r="D175" s="30" t="s">
        <v>570</v>
      </c>
      <c r="E175" s="30"/>
      <c r="F175" s="30"/>
      <c r="G175" s="30"/>
      <c r="H175" s="30"/>
      <c r="I175" s="30"/>
      <c r="J175" s="30"/>
      <c r="K175" s="31">
        <v>1.000</v>
      </c>
      <c r="L175" s="32">
        <f ca="1">ROUND(19.52,2)</f>
        <v>0</v>
      </c>
      <c r="M175" s="32">
        <f ca="1">ROUND(K175*L175,2)</f>
        <v>0</v>
      </c>
    </row>
    <row r="176" spans="1:13" ht="21.36" thickBot="1" customHeight="1">
      <c r="A176" s="8" t="s">
        <v>571</v>
      </c>
      <c r="B176" s="8" t="s">
        <v>572</v>
      </c>
      <c r="C176" s="8" t="s">
        <v>573</v>
      </c>
      <c r="D176" s="30" t="s">
        <v>574</v>
      </c>
      <c r="E176" s="30"/>
      <c r="F176" s="30"/>
      <c r="G176" s="30"/>
      <c r="H176" s="30"/>
      <c r="I176" s="30"/>
      <c r="J176" s="30"/>
      <c r="K176" s="31">
        <v>1.000</v>
      </c>
      <c r="L176" s="32">
        <f ca="1">ROUND(0.25,2)</f>
        <v>0</v>
      </c>
      <c r="M176" s="32">
        <f ca="1">ROUND(K176*L176,2)</f>
        <v>0</v>
      </c>
    </row>
    <row r="177" spans="1:13" ht="15.12" thickBot="1" customHeight="1">
      <c r="A177" s="8" t="s">
        <v>575</v>
      </c>
      <c r="B177" s="8" t="s">
        <v>576</v>
      </c>
      <c r="C177" s="8" t="s">
        <v>577</v>
      </c>
      <c r="D177" s="30" t="s">
        <v>578</v>
      </c>
      <c r="E177" s="30"/>
      <c r="F177" s="30"/>
      <c r="G177" s="30"/>
      <c r="H177" s="30"/>
      <c r="I177" s="30"/>
      <c r="J177" s="30"/>
      <c r="K177" s="31">
        <v>0.008</v>
      </c>
      <c r="L177" s="32">
        <f ca="1">ROUND(10.38,2)</f>
        <v>0</v>
      </c>
      <c r="M177" s="32">
        <f ca="1">ROUND(K177*L177,2)</f>
        <v>0</v>
      </c>
    </row>
    <row r="178" spans="1:13" ht="15.12" thickBot="1" customHeight="1">
      <c r="A178" s="8" t="s">
        <v>579</v>
      </c>
      <c r="B178" s="8" t="s">
        <v>580</v>
      </c>
      <c r="C178" s="8" t="s">
        <v>581</v>
      </c>
      <c r="D178" s="30" t="s">
        <v>582</v>
      </c>
      <c r="E178" s="30"/>
      <c r="F178" s="30"/>
      <c r="G178" s="30"/>
      <c r="H178" s="30"/>
      <c r="I178" s="30"/>
      <c r="J178" s="30"/>
      <c r="K178" s="31">
        <v>0.057</v>
      </c>
      <c r="L178" s="32">
        <f ca="1">ROUND(3.92,2)</f>
        <v>0</v>
      </c>
      <c r="M178" s="32">
        <f ca="1">ROUND(K178*L178,2)</f>
        <v>0</v>
      </c>
    </row>
    <row r="179" spans="1:13" ht="15.12" thickBot="1" customHeight="1">
      <c r="A179" s="8" t="s">
        <v>583</v>
      </c>
      <c r="B179" s="8" t="s">
        <v>584</v>
      </c>
      <c r="C179" s="8" t="s">
        <v>585</v>
      </c>
      <c r="D179" s="30" t="s">
        <v>586</v>
      </c>
      <c r="E179" s="30"/>
      <c r="F179" s="30"/>
      <c r="G179" s="30"/>
      <c r="H179" s="30"/>
      <c r="I179" s="30"/>
      <c r="J179" s="30"/>
      <c r="K179" s="31">
        <v>0.001</v>
      </c>
      <c r="L179" s="32">
        <f ca="1">ROUND(118.90,2)</f>
        <v>0</v>
      </c>
      <c r="M179" s="32">
        <f ca="1">ROUND(K179*L179,2)</f>
        <v>0</v>
      </c>
    </row>
    <row r="180" spans="1:13" ht="15.12" thickBot="1" customHeight="1">
      <c r="A180" s="8" t="s">
        <v>587</v>
      </c>
      <c r="B180" s="8" t="s">
        <v>588</v>
      </c>
      <c r="C180" s="8" t="s">
        <v>589</v>
      </c>
      <c r="D180" s="30" t="s">
        <v>590</v>
      </c>
      <c r="E180" s="30"/>
      <c r="F180" s="30"/>
      <c r="G180" s="30"/>
      <c r="H180" s="30"/>
      <c r="I180" s="30"/>
      <c r="J180" s="30"/>
      <c r="K180" s="31">
        <v>0.063</v>
      </c>
      <c r="L180" s="32">
        <f ca="1">ROUND(26.38,2)</f>
        <v>0</v>
      </c>
      <c r="M180" s="32">
        <f ca="1">ROUND(K180*L180,2)</f>
        <v>0</v>
      </c>
    </row>
    <row r="181" spans="1:13" ht="15.12" thickBot="1" customHeight="1">
      <c r="A181" s="8" t="s">
        <v>591</v>
      </c>
      <c r="B181" s="8" t="s">
        <v>592</v>
      </c>
      <c r="C181" s="8" t="s">
        <v>593</v>
      </c>
      <c r="D181" s="30" t="s">
        <v>594</v>
      </c>
      <c r="E181" s="30"/>
      <c r="F181" s="30"/>
      <c r="G181" s="30"/>
      <c r="H181" s="30"/>
      <c r="I181" s="30"/>
      <c r="J181" s="30"/>
      <c r="K181" s="31">
        <v>0.063</v>
      </c>
      <c r="L181" s="32">
        <f ca="1">ROUND(20.97,2)</f>
        <v>0</v>
      </c>
      <c r="M181" s="32">
        <f ca="1">ROUND(K181*L181,2)</f>
        <v>0</v>
      </c>
    </row>
    <row r="182" spans="1:13" ht="15.12" thickBot="1" customHeight="1">
      <c r="A182" s="8" t="s">
        <v>595</v>
      </c>
      <c r="B182" s="8" t="s">
        <v>596</v>
      </c>
      <c r="C182" s="8" t="s">
        <v>597</v>
      </c>
      <c r="D182" s="30" t="s">
        <v>598</v>
      </c>
      <c r="E182" s="30"/>
      <c r="F182" s="30"/>
      <c r="G182" s="30"/>
      <c r="H182" s="30"/>
      <c r="I182" s="30"/>
      <c r="J182" s="30"/>
      <c r="K182" s="31">
        <v>0.045</v>
      </c>
      <c r="L182" s="32">
        <f ca="1">ROUND(27.24,2)</f>
        <v>0</v>
      </c>
      <c r="M182" s="32">
        <f ca="1">ROUND(K182*L182,2)</f>
        <v>0</v>
      </c>
    </row>
    <row r="183" spans="1:13" ht="15.12" thickBot="1" customHeight="1">
      <c r="A183" s="8" t="s">
        <v>599</v>
      </c>
      <c r="B183" s="8" t="s">
        <v>600</v>
      </c>
      <c r="C183" s="8" t="s">
        <v>601</v>
      </c>
      <c r="D183" s="30" t="s">
        <v>602</v>
      </c>
      <c r="E183" s="30"/>
      <c r="F183" s="30"/>
      <c r="G183" s="30"/>
      <c r="H183" s="30"/>
      <c r="I183" s="30"/>
      <c r="J183" s="30"/>
      <c r="K183" s="31">
        <v>0.022</v>
      </c>
      <c r="L183" s="32">
        <f ca="1">ROUND(23.25,2)</f>
        <v>0</v>
      </c>
      <c r="M183" s="32">
        <f ca="1">ROUND(K183*L183,2)</f>
        <v>0</v>
      </c>
    </row>
    <row r="184" spans="1:13" ht="15.12" thickBot="1" customHeight="1">
      <c r="A184" s="8" t="s">
        <v>603</v>
      </c>
      <c r="B184" s="8"/>
      <c r="C184" s="8" t="s">
        <v>604</v>
      </c>
      <c r="D184" s="30" t="s">
        <v>605</v>
      </c>
      <c r="E184" s="30"/>
      <c r="F184" s="30"/>
      <c r="G184" s="30"/>
      <c r="H184" s="30"/>
      <c r="I184" s="30"/>
      <c r="J184" s="30"/>
      <c r="K184" s="31">
        <v>2.000</v>
      </c>
      <c r="L184" s="32">
        <f ca="1">ROUND(25.97,2)</f>
        <v>0</v>
      </c>
      <c r="M184" s="32">
        <f ca="1">ROUND((K184*L184)/100,2)</f>
        <v>0</v>
      </c>
    </row>
    <row r="185" spans="1:13" ht="15.48" thickBot="1" customHeight="1">
      <c r="A185" s="34"/>
      <c r="B185" s="34"/>
      <c r="C185" s="34"/>
      <c r="D185" s="35" t="s">
        <v>606</v>
      </c>
      <c r="E185" s="34"/>
      <c r="F185" s="34"/>
      <c r="G185" s="34"/>
      <c r="H185" s="34"/>
      <c r="I185" s="34"/>
      <c r="J185" s="34"/>
      <c r="K185" s="37">
        <v>90.190</v>
      </c>
      <c r="L185" s="38">
        <f ca="1">ROUND((M174+M175+M176+M177+M178+M179+M180+M181+M182+M183+M184)*(1+M2/100),2)</f>
        <v>0</v>
      </c>
      <c r="M185" s="38">
        <f ca="1">ROUND(K185*L185,2)</f>
        <v>0</v>
      </c>
    </row>
    <row r="186" spans="1:13" ht="15.48" thickBot="1" customHeight="1">
      <c r="A186" s="39" t="s">
        <v>607</v>
      </c>
      <c r="B186" s="40" t="s">
        <v>608</v>
      </c>
      <c r="C186" s="40" t="s">
        <v>609</v>
      </c>
      <c r="D186" s="41" t="s">
        <v>610</v>
      </c>
      <c r="E186" s="41"/>
      <c r="F186" s="41"/>
      <c r="G186" s="41"/>
      <c r="H186" s="41"/>
      <c r="I186" s="41"/>
      <c r="J186" s="41"/>
      <c r="K186" s="42">
        <f ca="1">ROUND(39.54,2)</f>
        <v>0</v>
      </c>
      <c r="L186" s="43">
        <f ca="1">L199</f>
        <v>0</v>
      </c>
      <c r="M186" s="43">
        <f ca="1">ROUND(K186*L186,2)</f>
        <v>0</v>
      </c>
    </row>
    <row r="187" spans="1:13" ht="86.04" thickBot="1" customHeight="1">
      <c r="A187" s="33"/>
      <c r="B187" s="33"/>
      <c r="C187" s="33"/>
      <c r="D187" s="30" t="s">
        <v>611</v>
      </c>
      <c r="E187" s="30"/>
      <c r="F187" s="30"/>
      <c r="G187" s="30"/>
      <c r="H187" s="30"/>
      <c r="I187" s="30"/>
      <c r="J187" s="30"/>
      <c r="K187" s="30"/>
      <c r="L187" s="30"/>
      <c r="M187" s="30"/>
    </row>
    <row r="188" spans="1:13" ht="15.12" thickBot="1" customHeight="1">
      <c r="A188" s="8" t="s">
        <v>612</v>
      </c>
      <c r="B188" s="8" t="s">
        <v>613</v>
      </c>
      <c r="C188" s="8" t="s">
        <v>614</v>
      </c>
      <c r="D188" s="30" t="s">
        <v>615</v>
      </c>
      <c r="E188" s="30"/>
      <c r="F188" s="30"/>
      <c r="G188" s="30"/>
      <c r="H188" s="30"/>
      <c r="I188" s="30"/>
      <c r="J188" s="30"/>
      <c r="K188" s="31">
        <v>0.068</v>
      </c>
      <c r="L188" s="32">
        <f ca="1">ROUND(14.30,2)</f>
        <v>0</v>
      </c>
      <c r="M188" s="32">
        <f ca="1">ROUND(K188*L188,2)</f>
        <v>0</v>
      </c>
    </row>
    <row r="189" spans="1:13" ht="39.84" thickBot="1" customHeight="1">
      <c r="A189" s="8" t="s">
        <v>616</v>
      </c>
      <c r="B189" s="8" t="s">
        <v>617</v>
      </c>
      <c r="C189" s="8" t="s">
        <v>618</v>
      </c>
      <c r="D189" s="30" t="s">
        <v>619</v>
      </c>
      <c r="E189" s="30"/>
      <c r="F189" s="30"/>
      <c r="G189" s="30"/>
      <c r="H189" s="30"/>
      <c r="I189" s="30"/>
      <c r="J189" s="30"/>
      <c r="K189" s="31">
        <v>1.000</v>
      </c>
      <c r="L189" s="32">
        <f ca="1">ROUND(7.20,2)</f>
        <v>0</v>
      </c>
      <c r="M189" s="32">
        <f ca="1">ROUND(K189*L189,2)</f>
        <v>0</v>
      </c>
    </row>
    <row r="190" spans="1:13" ht="21.36" thickBot="1" customHeight="1">
      <c r="A190" s="8" t="s">
        <v>620</v>
      </c>
      <c r="B190" s="8" t="s">
        <v>621</v>
      </c>
      <c r="C190" s="8" t="s">
        <v>622</v>
      </c>
      <c r="D190" s="30" t="s">
        <v>623</v>
      </c>
      <c r="E190" s="30"/>
      <c r="F190" s="30"/>
      <c r="G190" s="30"/>
      <c r="H190" s="30"/>
      <c r="I190" s="30"/>
      <c r="J190" s="30"/>
      <c r="K190" s="31">
        <v>1.000</v>
      </c>
      <c r="L190" s="32">
        <f ca="1">ROUND(0.25,2)</f>
        <v>0</v>
      </c>
      <c r="M190" s="32">
        <f ca="1">ROUND(K190*L190,2)</f>
        <v>0</v>
      </c>
    </row>
    <row r="191" spans="1:13" ht="15.12" thickBot="1" customHeight="1">
      <c r="A191" s="8" t="s">
        <v>624</v>
      </c>
      <c r="B191" s="8" t="s">
        <v>625</v>
      </c>
      <c r="C191" s="8" t="s">
        <v>626</v>
      </c>
      <c r="D191" s="30" t="s">
        <v>627</v>
      </c>
      <c r="E191" s="30"/>
      <c r="F191" s="30"/>
      <c r="G191" s="30"/>
      <c r="H191" s="30"/>
      <c r="I191" s="30"/>
      <c r="J191" s="30"/>
      <c r="K191" s="31">
        <v>0.007</v>
      </c>
      <c r="L191" s="32">
        <f ca="1">ROUND(10.38,2)</f>
        <v>0</v>
      </c>
      <c r="M191" s="32">
        <f ca="1">ROUND(K191*L191,2)</f>
        <v>0</v>
      </c>
    </row>
    <row r="192" spans="1:13" ht="15.12" thickBot="1" customHeight="1">
      <c r="A192" s="8" t="s">
        <v>628</v>
      </c>
      <c r="B192" s="8" t="s">
        <v>629</v>
      </c>
      <c r="C192" s="8" t="s">
        <v>630</v>
      </c>
      <c r="D192" s="30" t="s">
        <v>631</v>
      </c>
      <c r="E192" s="30"/>
      <c r="F192" s="30"/>
      <c r="G192" s="30"/>
      <c r="H192" s="30"/>
      <c r="I192" s="30"/>
      <c r="J192" s="30"/>
      <c r="K192" s="31">
        <v>0.053</v>
      </c>
      <c r="L192" s="32">
        <f ca="1">ROUND(3.92,2)</f>
        <v>0</v>
      </c>
      <c r="M192" s="32">
        <f ca="1">ROUND(K192*L192,2)</f>
        <v>0</v>
      </c>
    </row>
    <row r="193" spans="1:13" ht="15.12" thickBot="1" customHeight="1">
      <c r="A193" s="8" t="s">
        <v>632</v>
      </c>
      <c r="B193" s="8" t="s">
        <v>633</v>
      </c>
      <c r="C193" s="8" t="s">
        <v>634</v>
      </c>
      <c r="D193" s="30" t="s">
        <v>635</v>
      </c>
      <c r="E193" s="30"/>
      <c r="F193" s="30"/>
      <c r="G193" s="30"/>
      <c r="H193" s="30"/>
      <c r="I193" s="30"/>
      <c r="J193" s="30"/>
      <c r="K193" s="31">
        <v>0.001</v>
      </c>
      <c r="L193" s="32">
        <f ca="1">ROUND(118.90,2)</f>
        <v>0</v>
      </c>
      <c r="M193" s="32">
        <f ca="1">ROUND(K193*L193,2)</f>
        <v>0</v>
      </c>
    </row>
    <row r="194" spans="1:13" ht="15.12" thickBot="1" customHeight="1">
      <c r="A194" s="8" t="s">
        <v>636</v>
      </c>
      <c r="B194" s="8" t="s">
        <v>637</v>
      </c>
      <c r="C194" s="8" t="s">
        <v>638</v>
      </c>
      <c r="D194" s="30" t="s">
        <v>639</v>
      </c>
      <c r="E194" s="30"/>
      <c r="F194" s="30"/>
      <c r="G194" s="30"/>
      <c r="H194" s="30"/>
      <c r="I194" s="30"/>
      <c r="J194" s="30"/>
      <c r="K194" s="31">
        <v>0.058</v>
      </c>
      <c r="L194" s="32">
        <f ca="1">ROUND(26.38,2)</f>
        <v>0</v>
      </c>
      <c r="M194" s="32">
        <f ca="1">ROUND(K194*L194,2)</f>
        <v>0</v>
      </c>
    </row>
    <row r="195" spans="1:13" ht="15.12" thickBot="1" customHeight="1">
      <c r="A195" s="8" t="s">
        <v>640</v>
      </c>
      <c r="B195" s="8" t="s">
        <v>641</v>
      </c>
      <c r="C195" s="8" t="s">
        <v>642</v>
      </c>
      <c r="D195" s="30" t="s">
        <v>643</v>
      </c>
      <c r="E195" s="30"/>
      <c r="F195" s="30"/>
      <c r="G195" s="30"/>
      <c r="H195" s="30"/>
      <c r="I195" s="30"/>
      <c r="J195" s="30"/>
      <c r="K195" s="31">
        <v>0.058</v>
      </c>
      <c r="L195" s="32">
        <f ca="1">ROUND(20.97,2)</f>
        <v>0</v>
      </c>
      <c r="M195" s="32">
        <f ca="1">ROUND(K195*L195,2)</f>
        <v>0</v>
      </c>
    </row>
    <row r="196" spans="1:13" ht="15.12" thickBot="1" customHeight="1">
      <c r="A196" s="8" t="s">
        <v>644</v>
      </c>
      <c r="B196" s="8" t="s">
        <v>645</v>
      </c>
      <c r="C196" s="8" t="s">
        <v>646</v>
      </c>
      <c r="D196" s="30" t="s">
        <v>647</v>
      </c>
      <c r="E196" s="30"/>
      <c r="F196" s="30"/>
      <c r="G196" s="30"/>
      <c r="H196" s="30"/>
      <c r="I196" s="30"/>
      <c r="J196" s="30"/>
      <c r="K196" s="31">
        <v>0.036</v>
      </c>
      <c r="L196" s="32">
        <f ca="1">ROUND(27.24,2)</f>
        <v>0</v>
      </c>
      <c r="M196" s="32">
        <f ca="1">ROUND(K196*L196,2)</f>
        <v>0</v>
      </c>
    </row>
    <row r="197" spans="1:13" ht="15.12" thickBot="1" customHeight="1">
      <c r="A197" s="8" t="s">
        <v>648</v>
      </c>
      <c r="B197" s="8" t="s">
        <v>649</v>
      </c>
      <c r="C197" s="8" t="s">
        <v>650</v>
      </c>
      <c r="D197" s="30" t="s">
        <v>651</v>
      </c>
      <c r="E197" s="30"/>
      <c r="F197" s="30"/>
      <c r="G197" s="30"/>
      <c r="H197" s="30"/>
      <c r="I197" s="30"/>
      <c r="J197" s="30"/>
      <c r="K197" s="31">
        <v>0.022</v>
      </c>
      <c r="L197" s="32">
        <f ca="1">ROUND(23.25,2)</f>
        <v>0</v>
      </c>
      <c r="M197" s="32">
        <f ca="1">ROUND(K197*L197,2)</f>
        <v>0</v>
      </c>
    </row>
    <row r="198" spans="1:13" ht="15.12" thickBot="1" customHeight="1">
      <c r="A198" s="8" t="s">
        <v>652</v>
      </c>
      <c r="B198" s="8"/>
      <c r="C198" s="8" t="s">
        <v>653</v>
      </c>
      <c r="D198" s="30" t="s">
        <v>654</v>
      </c>
      <c r="E198" s="30"/>
      <c r="F198" s="30"/>
      <c r="G198" s="30"/>
      <c r="H198" s="30"/>
      <c r="I198" s="30"/>
      <c r="J198" s="30"/>
      <c r="K198" s="31">
        <v>2.000</v>
      </c>
      <c r="L198" s="32">
        <f ca="1">ROUND(13.06,2)</f>
        <v>0</v>
      </c>
      <c r="M198" s="32">
        <f ca="1">ROUND((K198*L198)/100,2)</f>
        <v>0</v>
      </c>
    </row>
    <row r="199" spans="1:13" ht="15.48" thickBot="1" customHeight="1">
      <c r="A199" s="34"/>
      <c r="B199" s="34"/>
      <c r="C199" s="34"/>
      <c r="D199" s="35" t="s">
        <v>655</v>
      </c>
      <c r="E199" s="34"/>
      <c r="F199" s="34"/>
      <c r="G199" s="34"/>
      <c r="H199" s="34"/>
      <c r="I199" s="34"/>
      <c r="J199" s="34"/>
      <c r="K199" s="37">
        <v>39.540</v>
      </c>
      <c r="L199" s="38">
        <f ca="1">ROUND((M188+M189+M190+M191+M192+M193+M194+M195+M196+M197+M198)*(1+M2/100),2)</f>
        <v>0</v>
      </c>
      <c r="M199" s="38">
        <f ca="1">ROUND(K199*L199,2)</f>
        <v>0</v>
      </c>
    </row>
    <row r="200" spans="1:13" ht="15.48" thickBot="1" customHeight="1">
      <c r="A200" s="39" t="s">
        <v>656</v>
      </c>
      <c r="B200" s="40" t="s">
        <v>657</v>
      </c>
      <c r="C200" s="40" t="s">
        <v>658</v>
      </c>
      <c r="D200" s="41" t="s">
        <v>659</v>
      </c>
      <c r="E200" s="41"/>
      <c r="F200" s="41"/>
      <c r="G200" s="41"/>
      <c r="H200" s="41"/>
      <c r="I200" s="41"/>
      <c r="J200" s="41"/>
      <c r="K200" s="42">
        <f ca="1">ROUND(11.34,2)</f>
        <v>0</v>
      </c>
      <c r="L200" s="43">
        <f ca="1">L213</f>
        <v>0</v>
      </c>
      <c r="M200" s="43">
        <f ca="1">ROUND(K200*L200,2)</f>
        <v>0</v>
      </c>
    </row>
    <row r="201" spans="1:13" ht="86.04" thickBot="1" customHeight="1">
      <c r="A201" s="33"/>
      <c r="B201" s="33"/>
      <c r="C201" s="33"/>
      <c r="D201" s="30" t="s">
        <v>660</v>
      </c>
      <c r="E201" s="30"/>
      <c r="F201" s="30"/>
      <c r="G201" s="30"/>
      <c r="H201" s="30"/>
      <c r="I201" s="30"/>
      <c r="J201" s="30"/>
      <c r="K201" s="30"/>
      <c r="L201" s="30"/>
      <c r="M201" s="30"/>
    </row>
    <row r="202" spans="1:13" ht="15.12" thickBot="1" customHeight="1">
      <c r="A202" s="8" t="s">
        <v>661</v>
      </c>
      <c r="B202" s="8" t="s">
        <v>662</v>
      </c>
      <c r="C202" s="8" t="s">
        <v>663</v>
      </c>
      <c r="D202" s="30" t="s">
        <v>664</v>
      </c>
      <c r="E202" s="30"/>
      <c r="F202" s="30"/>
      <c r="G202" s="30"/>
      <c r="H202" s="30"/>
      <c r="I202" s="30"/>
      <c r="J202" s="30"/>
      <c r="K202" s="31">
        <v>0.066</v>
      </c>
      <c r="L202" s="32">
        <f ca="1">ROUND(14.30,2)</f>
        <v>0</v>
      </c>
      <c r="M202" s="32">
        <f ca="1">ROUND(K202*L202,2)</f>
        <v>0</v>
      </c>
    </row>
    <row r="203" spans="1:13" ht="39.84" thickBot="1" customHeight="1">
      <c r="A203" s="8" t="s">
        <v>665</v>
      </c>
      <c r="B203" s="8" t="s">
        <v>666</v>
      </c>
      <c r="C203" s="8" t="s">
        <v>667</v>
      </c>
      <c r="D203" s="30" t="s">
        <v>668</v>
      </c>
      <c r="E203" s="30"/>
      <c r="F203" s="30"/>
      <c r="G203" s="30"/>
      <c r="H203" s="30"/>
      <c r="I203" s="30"/>
      <c r="J203" s="30"/>
      <c r="K203" s="31">
        <v>1.000</v>
      </c>
      <c r="L203" s="32">
        <f ca="1">ROUND(5.59,2)</f>
        <v>0</v>
      </c>
      <c r="M203" s="32">
        <f ca="1">ROUND(K203*L203,2)</f>
        <v>0</v>
      </c>
    </row>
    <row r="204" spans="1:13" ht="21.36" thickBot="1" customHeight="1">
      <c r="A204" s="8" t="s">
        <v>669</v>
      </c>
      <c r="B204" s="8" t="s">
        <v>670</v>
      </c>
      <c r="C204" s="8" t="s">
        <v>671</v>
      </c>
      <c r="D204" s="30" t="s">
        <v>672</v>
      </c>
      <c r="E204" s="30"/>
      <c r="F204" s="30"/>
      <c r="G204" s="30"/>
      <c r="H204" s="30"/>
      <c r="I204" s="30"/>
      <c r="J204" s="30"/>
      <c r="K204" s="31">
        <v>1.000</v>
      </c>
      <c r="L204" s="32">
        <f ca="1">ROUND(0.25,2)</f>
        <v>0</v>
      </c>
      <c r="M204" s="32">
        <f ca="1">ROUND(K204*L204,2)</f>
        <v>0</v>
      </c>
    </row>
    <row r="205" spans="1:13" ht="15.12" thickBot="1" customHeight="1">
      <c r="A205" s="8" t="s">
        <v>673</v>
      </c>
      <c r="B205" s="8" t="s">
        <v>674</v>
      </c>
      <c r="C205" s="8" t="s">
        <v>675</v>
      </c>
      <c r="D205" s="30" t="s">
        <v>676</v>
      </c>
      <c r="E205" s="30"/>
      <c r="F205" s="30"/>
      <c r="G205" s="30"/>
      <c r="H205" s="30"/>
      <c r="I205" s="30"/>
      <c r="J205" s="30"/>
      <c r="K205" s="31">
        <v>0.007</v>
      </c>
      <c r="L205" s="32">
        <f ca="1">ROUND(10.38,2)</f>
        <v>0</v>
      </c>
      <c r="M205" s="32">
        <f ca="1">ROUND(K205*L205,2)</f>
        <v>0</v>
      </c>
    </row>
    <row r="206" spans="1:13" ht="15.12" thickBot="1" customHeight="1">
      <c r="A206" s="8" t="s">
        <v>677</v>
      </c>
      <c r="B206" s="8" t="s">
        <v>678</v>
      </c>
      <c r="C206" s="8" t="s">
        <v>679</v>
      </c>
      <c r="D206" s="30" t="s">
        <v>680</v>
      </c>
      <c r="E206" s="30"/>
      <c r="F206" s="30"/>
      <c r="G206" s="30"/>
      <c r="H206" s="30"/>
      <c r="I206" s="30"/>
      <c r="J206" s="30"/>
      <c r="K206" s="31">
        <v>0.051</v>
      </c>
      <c r="L206" s="32">
        <f ca="1">ROUND(3.92,2)</f>
        <v>0</v>
      </c>
      <c r="M206" s="32">
        <f ca="1">ROUND(K206*L206,2)</f>
        <v>0</v>
      </c>
    </row>
    <row r="207" spans="1:13" ht="15.12" thickBot="1" customHeight="1">
      <c r="A207" s="8" t="s">
        <v>681</v>
      </c>
      <c r="B207" s="8" t="s">
        <v>682</v>
      </c>
      <c r="C207" s="8" t="s">
        <v>683</v>
      </c>
      <c r="D207" s="30" t="s">
        <v>684</v>
      </c>
      <c r="E207" s="30"/>
      <c r="F207" s="30"/>
      <c r="G207" s="30"/>
      <c r="H207" s="30"/>
      <c r="I207" s="30"/>
      <c r="J207" s="30"/>
      <c r="K207" s="31">
        <v>0.001</v>
      </c>
      <c r="L207" s="32">
        <f ca="1">ROUND(118.90,2)</f>
        <v>0</v>
      </c>
      <c r="M207" s="32">
        <f ca="1">ROUND(K207*L207,2)</f>
        <v>0</v>
      </c>
    </row>
    <row r="208" spans="1:13" ht="15.12" thickBot="1" customHeight="1">
      <c r="A208" s="8" t="s">
        <v>685</v>
      </c>
      <c r="B208" s="8" t="s">
        <v>686</v>
      </c>
      <c r="C208" s="8" t="s">
        <v>687</v>
      </c>
      <c r="D208" s="30" t="s">
        <v>688</v>
      </c>
      <c r="E208" s="30"/>
      <c r="F208" s="30"/>
      <c r="G208" s="30"/>
      <c r="H208" s="30"/>
      <c r="I208" s="30"/>
      <c r="J208" s="30"/>
      <c r="K208" s="31">
        <v>0.055</v>
      </c>
      <c r="L208" s="32">
        <f ca="1">ROUND(26.38,2)</f>
        <v>0</v>
      </c>
      <c r="M208" s="32">
        <f ca="1">ROUND(K208*L208,2)</f>
        <v>0</v>
      </c>
    </row>
    <row r="209" spans="1:13" ht="15.12" thickBot="1" customHeight="1">
      <c r="A209" s="8" t="s">
        <v>689</v>
      </c>
      <c r="B209" s="8" t="s">
        <v>690</v>
      </c>
      <c r="C209" s="8" t="s">
        <v>691</v>
      </c>
      <c r="D209" s="30" t="s">
        <v>692</v>
      </c>
      <c r="E209" s="30"/>
      <c r="F209" s="30"/>
      <c r="G209" s="30"/>
      <c r="H209" s="30"/>
      <c r="I209" s="30"/>
      <c r="J209" s="30"/>
      <c r="K209" s="31">
        <v>0.055</v>
      </c>
      <c r="L209" s="32">
        <f ca="1">ROUND(20.97,2)</f>
        <v>0</v>
      </c>
      <c r="M209" s="32">
        <f ca="1">ROUND(K209*L209,2)</f>
        <v>0</v>
      </c>
    </row>
    <row r="210" spans="1:13" ht="15.12" thickBot="1" customHeight="1">
      <c r="A210" s="8" t="s">
        <v>693</v>
      </c>
      <c r="B210" s="8" t="s">
        <v>694</v>
      </c>
      <c r="C210" s="8" t="s">
        <v>695</v>
      </c>
      <c r="D210" s="30" t="s">
        <v>696</v>
      </c>
      <c r="E210" s="30"/>
      <c r="F210" s="30"/>
      <c r="G210" s="30"/>
      <c r="H210" s="30"/>
      <c r="I210" s="30"/>
      <c r="J210" s="30"/>
      <c r="K210" s="31">
        <v>0.036</v>
      </c>
      <c r="L210" s="32">
        <f ca="1">ROUND(27.24,2)</f>
        <v>0</v>
      </c>
      <c r="M210" s="32">
        <f ca="1">ROUND(K210*L210,2)</f>
        <v>0</v>
      </c>
    </row>
    <row r="211" spans="1:13" ht="15.12" thickBot="1" customHeight="1">
      <c r="A211" s="8" t="s">
        <v>697</v>
      </c>
      <c r="B211" s="8" t="s">
        <v>698</v>
      </c>
      <c r="C211" s="8" t="s">
        <v>699</v>
      </c>
      <c r="D211" s="30" t="s">
        <v>700</v>
      </c>
      <c r="E211" s="30"/>
      <c r="F211" s="30"/>
      <c r="G211" s="30"/>
      <c r="H211" s="30"/>
      <c r="I211" s="30"/>
      <c r="J211" s="30"/>
      <c r="K211" s="31">
        <v>0.022</v>
      </c>
      <c r="L211" s="32">
        <f ca="1">ROUND(23.25,2)</f>
        <v>0</v>
      </c>
      <c r="M211" s="32">
        <f ca="1">ROUND(K211*L211,2)</f>
        <v>0</v>
      </c>
    </row>
    <row r="212" spans="1:13" ht="15.12" thickBot="1" customHeight="1">
      <c r="A212" s="8" t="s">
        <v>701</v>
      </c>
      <c r="B212" s="8"/>
      <c r="C212" s="8" t="s">
        <v>702</v>
      </c>
      <c r="D212" s="30" t="s">
        <v>703</v>
      </c>
      <c r="E212" s="30"/>
      <c r="F212" s="30"/>
      <c r="G212" s="30"/>
      <c r="H212" s="30"/>
      <c r="I212" s="30"/>
      <c r="J212" s="30"/>
      <c r="K212" s="31">
        <v>2.000</v>
      </c>
      <c r="L212" s="32">
        <f ca="1">ROUND(11.26,2)</f>
        <v>0</v>
      </c>
      <c r="M212" s="32">
        <f ca="1">ROUND((K212*L212)/100,2)</f>
        <v>0</v>
      </c>
    </row>
    <row r="213" spans="1:13" ht="15.48" thickBot="1" customHeight="1">
      <c r="A213" s="34"/>
      <c r="B213" s="34"/>
      <c r="C213" s="34"/>
      <c r="D213" s="35" t="s">
        <v>704</v>
      </c>
      <c r="E213" s="34"/>
      <c r="F213" s="34"/>
      <c r="G213" s="34"/>
      <c r="H213" s="34"/>
      <c r="I213" s="34"/>
      <c r="J213" s="34"/>
      <c r="K213" s="37">
        <v>11.340</v>
      </c>
      <c r="L213" s="38">
        <f ca="1">ROUND((M202+M203+M204+M205+M206+M207+M208+M209+M210+M211+M212)*(1+M2/100),2)</f>
        <v>0</v>
      </c>
      <c r="M213" s="38">
        <f ca="1">ROUND(K213*L213,2)</f>
        <v>0</v>
      </c>
    </row>
    <row r="214" spans="1:13" ht="15.48" thickBot="1" customHeight="1">
      <c r="A214" s="39" t="s">
        <v>705</v>
      </c>
      <c r="B214" s="40" t="s">
        <v>706</v>
      </c>
      <c r="C214" s="40" t="s">
        <v>707</v>
      </c>
      <c r="D214" s="41" t="s">
        <v>708</v>
      </c>
      <c r="E214" s="41"/>
      <c r="F214" s="41"/>
      <c r="G214" s="41"/>
      <c r="H214" s="41"/>
      <c r="I214" s="41"/>
      <c r="J214" s="41"/>
      <c r="K214" s="42">
        <f ca="1">ROUND(28.48,2)</f>
        <v>0</v>
      </c>
      <c r="L214" s="43">
        <f ca="1">L227</f>
        <v>0</v>
      </c>
      <c r="M214" s="43">
        <f ca="1">ROUND(K214*L214,2)</f>
        <v>0</v>
      </c>
    </row>
    <row r="215" spans="1:13" ht="86.04" thickBot="1" customHeight="1">
      <c r="A215" s="33"/>
      <c r="B215" s="33"/>
      <c r="C215" s="33"/>
      <c r="D215" s="30" t="s">
        <v>709</v>
      </c>
      <c r="E215" s="30"/>
      <c r="F215" s="30"/>
      <c r="G215" s="30"/>
      <c r="H215" s="30"/>
      <c r="I215" s="30"/>
      <c r="J215" s="30"/>
      <c r="K215" s="30"/>
      <c r="L215" s="30"/>
      <c r="M215" s="30"/>
    </row>
    <row r="216" spans="1:13" ht="15.12" thickBot="1" customHeight="1">
      <c r="A216" s="8" t="s">
        <v>710</v>
      </c>
      <c r="B216" s="8" t="s">
        <v>711</v>
      </c>
      <c r="C216" s="8" t="s">
        <v>712</v>
      </c>
      <c r="D216" s="30" t="s">
        <v>713</v>
      </c>
      <c r="E216" s="30"/>
      <c r="F216" s="30"/>
      <c r="G216" s="30"/>
      <c r="H216" s="30"/>
      <c r="I216" s="30"/>
      <c r="J216" s="30"/>
      <c r="K216" s="31">
        <v>0.061</v>
      </c>
      <c r="L216" s="32">
        <f ca="1">ROUND(14.30,2)</f>
        <v>0</v>
      </c>
      <c r="M216" s="32">
        <f ca="1">ROUND(K216*L216,2)</f>
        <v>0</v>
      </c>
    </row>
    <row r="217" spans="1:13" ht="39.84" thickBot="1" customHeight="1">
      <c r="A217" s="8" t="s">
        <v>714</v>
      </c>
      <c r="B217" s="8" t="s">
        <v>715</v>
      </c>
      <c r="C217" s="8" t="s">
        <v>716</v>
      </c>
      <c r="D217" s="30" t="s">
        <v>717</v>
      </c>
      <c r="E217" s="30"/>
      <c r="F217" s="30"/>
      <c r="G217" s="30"/>
      <c r="H217" s="30"/>
      <c r="I217" s="30"/>
      <c r="J217" s="30"/>
      <c r="K217" s="31">
        <v>1.000</v>
      </c>
      <c r="L217" s="32">
        <f ca="1">ROUND(3.79,2)</f>
        <v>0</v>
      </c>
      <c r="M217" s="32">
        <f ca="1">ROUND(K217*L217,2)</f>
        <v>0</v>
      </c>
    </row>
    <row r="218" spans="1:13" ht="21.36" thickBot="1" customHeight="1">
      <c r="A218" s="8" t="s">
        <v>718</v>
      </c>
      <c r="B218" s="8" t="s">
        <v>719</v>
      </c>
      <c r="C218" s="8" t="s">
        <v>720</v>
      </c>
      <c r="D218" s="30" t="s">
        <v>721</v>
      </c>
      <c r="E218" s="30"/>
      <c r="F218" s="30"/>
      <c r="G218" s="30"/>
      <c r="H218" s="30"/>
      <c r="I218" s="30"/>
      <c r="J218" s="30"/>
      <c r="K218" s="31">
        <v>1.000</v>
      </c>
      <c r="L218" s="32">
        <f ca="1">ROUND(0.25,2)</f>
        <v>0</v>
      </c>
      <c r="M218" s="32">
        <f ca="1">ROUND(K218*L218,2)</f>
        <v>0</v>
      </c>
    </row>
    <row r="219" spans="1:13" ht="15.12" thickBot="1" customHeight="1">
      <c r="A219" s="8" t="s">
        <v>722</v>
      </c>
      <c r="B219" s="8" t="s">
        <v>723</v>
      </c>
      <c r="C219" s="8" t="s">
        <v>724</v>
      </c>
      <c r="D219" s="30" t="s">
        <v>725</v>
      </c>
      <c r="E219" s="30"/>
      <c r="F219" s="30"/>
      <c r="G219" s="30"/>
      <c r="H219" s="30"/>
      <c r="I219" s="30"/>
      <c r="J219" s="30"/>
      <c r="K219" s="31">
        <v>0.006</v>
      </c>
      <c r="L219" s="32">
        <f ca="1">ROUND(10.38,2)</f>
        <v>0</v>
      </c>
      <c r="M219" s="32">
        <f ca="1">ROUND(K219*L219,2)</f>
        <v>0</v>
      </c>
    </row>
    <row r="220" spans="1:13" ht="15.12" thickBot="1" customHeight="1">
      <c r="A220" s="8" t="s">
        <v>726</v>
      </c>
      <c r="B220" s="8" t="s">
        <v>727</v>
      </c>
      <c r="C220" s="8" t="s">
        <v>728</v>
      </c>
      <c r="D220" s="30" t="s">
        <v>729</v>
      </c>
      <c r="E220" s="30"/>
      <c r="F220" s="30"/>
      <c r="G220" s="30"/>
      <c r="H220" s="30"/>
      <c r="I220" s="30"/>
      <c r="J220" s="30"/>
      <c r="K220" s="31">
        <v>0.047</v>
      </c>
      <c r="L220" s="32">
        <f ca="1">ROUND(3.92,2)</f>
        <v>0</v>
      </c>
      <c r="M220" s="32">
        <f ca="1">ROUND(K220*L220,2)</f>
        <v>0</v>
      </c>
    </row>
    <row r="221" spans="1:13" ht="15.12" thickBot="1" customHeight="1">
      <c r="A221" s="8" t="s">
        <v>730</v>
      </c>
      <c r="B221" s="8" t="s">
        <v>731</v>
      </c>
      <c r="C221" s="8" t="s">
        <v>732</v>
      </c>
      <c r="D221" s="30" t="s">
        <v>733</v>
      </c>
      <c r="E221" s="30"/>
      <c r="F221" s="30"/>
      <c r="G221" s="30"/>
      <c r="H221" s="30"/>
      <c r="I221" s="30"/>
      <c r="J221" s="30"/>
      <c r="K221" s="31">
        <v>0.001</v>
      </c>
      <c r="L221" s="32">
        <f ca="1">ROUND(118.90,2)</f>
        <v>0</v>
      </c>
      <c r="M221" s="32">
        <f ca="1">ROUND(K221*L221,2)</f>
        <v>0</v>
      </c>
    </row>
    <row r="222" spans="1:13" ht="15.12" thickBot="1" customHeight="1">
      <c r="A222" s="8" t="s">
        <v>734</v>
      </c>
      <c r="B222" s="8" t="s">
        <v>735</v>
      </c>
      <c r="C222" s="8" t="s">
        <v>736</v>
      </c>
      <c r="D222" s="30" t="s">
        <v>737</v>
      </c>
      <c r="E222" s="30"/>
      <c r="F222" s="30"/>
      <c r="G222" s="30"/>
      <c r="H222" s="30"/>
      <c r="I222" s="30"/>
      <c r="J222" s="30"/>
      <c r="K222" s="31">
        <v>0.050</v>
      </c>
      <c r="L222" s="32">
        <f ca="1">ROUND(26.38,2)</f>
        <v>0</v>
      </c>
      <c r="M222" s="32">
        <f ca="1">ROUND(K222*L222,2)</f>
        <v>0</v>
      </c>
    </row>
    <row r="223" spans="1:13" ht="15.12" thickBot="1" customHeight="1">
      <c r="A223" s="8" t="s">
        <v>738</v>
      </c>
      <c r="B223" s="8" t="s">
        <v>739</v>
      </c>
      <c r="C223" s="8" t="s">
        <v>740</v>
      </c>
      <c r="D223" s="30" t="s">
        <v>741</v>
      </c>
      <c r="E223" s="30"/>
      <c r="F223" s="30"/>
      <c r="G223" s="30"/>
      <c r="H223" s="30"/>
      <c r="I223" s="30"/>
      <c r="J223" s="30"/>
      <c r="K223" s="31">
        <v>0.050</v>
      </c>
      <c r="L223" s="32">
        <f ca="1">ROUND(20.97,2)</f>
        <v>0</v>
      </c>
      <c r="M223" s="32">
        <f ca="1">ROUND(K223*L223,2)</f>
        <v>0</v>
      </c>
    </row>
    <row r="224" spans="1:13" ht="15.12" thickBot="1" customHeight="1">
      <c r="A224" s="8" t="s">
        <v>742</v>
      </c>
      <c r="B224" s="8" t="s">
        <v>743</v>
      </c>
      <c r="C224" s="8" t="s">
        <v>744</v>
      </c>
      <c r="D224" s="30" t="s">
        <v>745</v>
      </c>
      <c r="E224" s="30"/>
      <c r="F224" s="30"/>
      <c r="G224" s="30"/>
      <c r="H224" s="30"/>
      <c r="I224" s="30"/>
      <c r="J224" s="30"/>
      <c r="K224" s="31">
        <v>0.027</v>
      </c>
      <c r="L224" s="32">
        <f ca="1">ROUND(27.24,2)</f>
        <v>0</v>
      </c>
      <c r="M224" s="32">
        <f ca="1">ROUND(K224*L224,2)</f>
        <v>0</v>
      </c>
    </row>
    <row r="225" spans="1:13" ht="15.12" thickBot="1" customHeight="1">
      <c r="A225" s="8" t="s">
        <v>746</v>
      </c>
      <c r="B225" s="8" t="s">
        <v>747</v>
      </c>
      <c r="C225" s="8" t="s">
        <v>748</v>
      </c>
      <c r="D225" s="30" t="s">
        <v>749</v>
      </c>
      <c r="E225" s="30"/>
      <c r="F225" s="30"/>
      <c r="G225" s="30"/>
      <c r="H225" s="30"/>
      <c r="I225" s="30"/>
      <c r="J225" s="30"/>
      <c r="K225" s="31">
        <v>0.022</v>
      </c>
      <c r="L225" s="32">
        <f ca="1">ROUND(23.25,2)</f>
        <v>0</v>
      </c>
      <c r="M225" s="32">
        <f ca="1">ROUND(K225*L225,2)</f>
        <v>0</v>
      </c>
    </row>
    <row r="226" spans="1:13" ht="15.12" thickBot="1" customHeight="1">
      <c r="A226" s="8" t="s">
        <v>750</v>
      </c>
      <c r="B226" s="8"/>
      <c r="C226" s="8" t="s">
        <v>751</v>
      </c>
      <c r="D226" s="30" t="s">
        <v>752</v>
      </c>
      <c r="E226" s="30"/>
      <c r="F226" s="30"/>
      <c r="G226" s="30"/>
      <c r="H226" s="30"/>
      <c r="I226" s="30"/>
      <c r="J226" s="30"/>
      <c r="K226" s="31">
        <v>2.000</v>
      </c>
      <c r="L226" s="32">
        <f ca="1">ROUND(8.89,2)</f>
        <v>0</v>
      </c>
      <c r="M226" s="32">
        <f ca="1">ROUND((K226*L226)/100,2)</f>
        <v>0</v>
      </c>
    </row>
    <row r="227" spans="1:13" ht="15.48" thickBot="1" customHeight="1">
      <c r="A227" s="34"/>
      <c r="B227" s="34"/>
      <c r="C227" s="34"/>
      <c r="D227" s="35" t="s">
        <v>753</v>
      </c>
      <c r="E227" s="34"/>
      <c r="F227" s="34"/>
      <c r="G227" s="34"/>
      <c r="H227" s="34"/>
      <c r="I227" s="34"/>
      <c r="J227" s="34"/>
      <c r="K227" s="37">
        <v>28.480</v>
      </c>
      <c r="L227" s="38">
        <f ca="1">ROUND((M216+M217+M218+M219+M220+M221+M222+M223+M224+M225+M226)*(1+M2/100),2)</f>
        <v>0</v>
      </c>
      <c r="M227" s="38">
        <f ca="1">ROUND(K227*L227,2)</f>
        <v>0</v>
      </c>
    </row>
    <row r="228" spans="1:13" ht="15.48" thickBot="1" customHeight="1">
      <c r="A228" s="39" t="s">
        <v>754</v>
      </c>
      <c r="B228" s="40" t="s">
        <v>755</v>
      </c>
      <c r="C228" s="40" t="s">
        <v>756</v>
      </c>
      <c r="D228" s="41" t="s">
        <v>757</v>
      </c>
      <c r="E228" s="41"/>
      <c r="F228" s="41"/>
      <c r="G228" s="41"/>
      <c r="H228" s="41"/>
      <c r="I228" s="41"/>
      <c r="J228" s="41"/>
      <c r="K228" s="42">
        <f ca="1">ROUND(3.00,2)</f>
        <v>0</v>
      </c>
      <c r="L228" s="43">
        <f ca="1">L236</f>
        <v>0</v>
      </c>
      <c r="M228" s="43">
        <f ca="1">ROUND(K228*L228,2)</f>
        <v>0</v>
      </c>
    </row>
    <row r="229" spans="1:13" ht="67.56" thickBot="1" customHeight="1">
      <c r="A229" s="33"/>
      <c r="B229" s="33"/>
      <c r="C229" s="33"/>
      <c r="D229" s="30" t="s">
        <v>758</v>
      </c>
      <c r="E229" s="30"/>
      <c r="F229" s="30"/>
      <c r="G229" s="30"/>
      <c r="H229" s="30"/>
      <c r="I229" s="30"/>
      <c r="J229" s="30"/>
      <c r="K229" s="30"/>
      <c r="L229" s="30"/>
      <c r="M229" s="30"/>
    </row>
    <row r="230" spans="1:13" ht="21.36" thickBot="1" customHeight="1">
      <c r="A230" s="8" t="s">
        <v>759</v>
      </c>
      <c r="B230" s="8" t="s">
        <v>760</v>
      </c>
      <c r="C230" s="8" t="s">
        <v>761</v>
      </c>
      <c r="D230" s="30" t="s">
        <v>762</v>
      </c>
      <c r="E230" s="30"/>
      <c r="F230" s="30"/>
      <c r="G230" s="30"/>
      <c r="H230" s="30"/>
      <c r="I230" s="30"/>
      <c r="J230" s="30"/>
      <c r="K230" s="31">
        <v>1.000</v>
      </c>
      <c r="L230" s="32">
        <f ca="1">ROUND(32.25,2)</f>
        <v>0</v>
      </c>
      <c r="M230" s="32">
        <f ca="1">ROUND(K230*L230,2)</f>
        <v>0</v>
      </c>
    </row>
    <row r="231" spans="1:13" ht="21.36" thickBot="1" customHeight="1">
      <c r="A231" s="8" t="s">
        <v>763</v>
      </c>
      <c r="B231" s="8" t="s">
        <v>764</v>
      </c>
      <c r="C231" s="8" t="s">
        <v>765</v>
      </c>
      <c r="D231" s="30" t="s">
        <v>766</v>
      </c>
      <c r="E231" s="30"/>
      <c r="F231" s="30"/>
      <c r="G231" s="30"/>
      <c r="H231" s="30"/>
      <c r="I231" s="30"/>
      <c r="J231" s="30"/>
      <c r="K231" s="31">
        <v>1.000</v>
      </c>
      <c r="L231" s="32">
        <f ca="1">ROUND(63.18,2)</f>
        <v>0</v>
      </c>
      <c r="M231" s="32">
        <f ca="1">ROUND(K231*L231,2)</f>
        <v>0</v>
      </c>
    </row>
    <row r="232" spans="1:13" ht="15.12" thickBot="1" customHeight="1">
      <c r="A232" s="8" t="s">
        <v>767</v>
      </c>
      <c r="B232" s="8" t="s">
        <v>768</v>
      </c>
      <c r="C232" s="8" t="s">
        <v>769</v>
      </c>
      <c r="D232" s="30" t="s">
        <v>770</v>
      </c>
      <c r="E232" s="30"/>
      <c r="F232" s="30"/>
      <c r="G232" s="30"/>
      <c r="H232" s="30"/>
      <c r="I232" s="30"/>
      <c r="J232" s="30"/>
      <c r="K232" s="31">
        <v>0.842</v>
      </c>
      <c r="L232" s="32">
        <f ca="1">ROUND(11.50,2)</f>
        <v>0</v>
      </c>
      <c r="M232" s="32">
        <f ca="1">ROUND(K232*L232,2)</f>
        <v>0</v>
      </c>
    </row>
    <row r="233" spans="1:13" ht="15.12" thickBot="1" customHeight="1">
      <c r="A233" s="8" t="s">
        <v>771</v>
      </c>
      <c r="B233" s="8" t="s">
        <v>772</v>
      </c>
      <c r="C233" s="8" t="s">
        <v>773</v>
      </c>
      <c r="D233" s="30" t="s">
        <v>774</v>
      </c>
      <c r="E233" s="30"/>
      <c r="F233" s="30"/>
      <c r="G233" s="30"/>
      <c r="H233" s="30"/>
      <c r="I233" s="30"/>
      <c r="J233" s="30"/>
      <c r="K233" s="31">
        <v>0.541</v>
      </c>
      <c r="L233" s="32">
        <f ca="1">ROUND(26.38,2)</f>
        <v>0</v>
      </c>
      <c r="M233" s="32">
        <f ca="1">ROUND(K233*L233,2)</f>
        <v>0</v>
      </c>
    </row>
    <row r="234" spans="1:13" ht="15.12" thickBot="1" customHeight="1">
      <c r="A234" s="8" t="s">
        <v>775</v>
      </c>
      <c r="B234" s="8" t="s">
        <v>776</v>
      </c>
      <c r="C234" s="8" t="s">
        <v>777</v>
      </c>
      <c r="D234" s="30" t="s">
        <v>778</v>
      </c>
      <c r="E234" s="30"/>
      <c r="F234" s="30"/>
      <c r="G234" s="30"/>
      <c r="H234" s="30"/>
      <c r="I234" s="30"/>
      <c r="J234" s="30"/>
      <c r="K234" s="31">
        <v>1.796</v>
      </c>
      <c r="L234" s="32">
        <f ca="1">ROUND(23.30,2)</f>
        <v>0</v>
      </c>
      <c r="M234" s="32">
        <f ca="1">ROUND(K234*L234,2)</f>
        <v>0</v>
      </c>
    </row>
    <row r="235" spans="1:13" ht="15.12" thickBot="1" customHeight="1">
      <c r="A235" s="8" t="s">
        <v>779</v>
      </c>
      <c r="B235" s="8"/>
      <c r="C235" s="8" t="s">
        <v>780</v>
      </c>
      <c r="D235" s="30" t="s">
        <v>781</v>
      </c>
      <c r="E235" s="30"/>
      <c r="F235" s="30"/>
      <c r="G235" s="30"/>
      <c r="H235" s="30"/>
      <c r="I235" s="30"/>
      <c r="J235" s="30"/>
      <c r="K235" s="31">
        <v>2.000</v>
      </c>
      <c r="L235" s="32">
        <f ca="1">ROUND(161.23,2)</f>
        <v>0</v>
      </c>
      <c r="M235" s="32">
        <f ca="1">ROUND((K235*L235)/100,2)</f>
        <v>0</v>
      </c>
    </row>
    <row r="236" spans="1:13" ht="15.48" thickBot="1" customHeight="1">
      <c r="A236" s="34"/>
      <c r="B236" s="34"/>
      <c r="C236" s="34"/>
      <c r="D236" s="35" t="s">
        <v>782</v>
      </c>
      <c r="E236" s="34"/>
      <c r="F236" s="34"/>
      <c r="G236" s="34"/>
      <c r="H236" s="34"/>
      <c r="I236" s="34"/>
      <c r="J236" s="34"/>
      <c r="K236" s="37">
        <v>3.000</v>
      </c>
      <c r="L236" s="38">
        <f ca="1">ROUND((M230+M231+M232+M233+M234+M235)*(1+M2/100),2)</f>
        <v>0</v>
      </c>
      <c r="M236" s="38">
        <f ca="1">ROUND(K236*L236,2)</f>
        <v>0</v>
      </c>
    </row>
    <row r="237" spans="1:13" ht="21.36" thickBot="1" customHeight="1">
      <c r="A237" s="39" t="s">
        <v>783</v>
      </c>
      <c r="B237" s="40" t="s">
        <v>784</v>
      </c>
      <c r="C237" s="40" t="s">
        <v>785</v>
      </c>
      <c r="D237" s="41" t="s">
        <v>786</v>
      </c>
      <c r="E237" s="41"/>
      <c r="F237" s="41"/>
      <c r="G237" s="41"/>
      <c r="H237" s="41"/>
      <c r="I237" s="41"/>
      <c r="J237" s="41"/>
      <c r="K237" s="42">
        <f ca="1">ROUND(1.00,2)</f>
        <v>0</v>
      </c>
      <c r="L237" s="43">
        <f ca="1">ROUND(1351.00*(1+M2/100),2)</f>
        <v>0</v>
      </c>
      <c r="M237" s="43">
        <f ca="1">ROUND(K237*L237,2)</f>
        <v>0</v>
      </c>
    </row>
    <row r="238" spans="1:13" ht="326.28" thickBot="1" customHeight="1">
      <c r="A238" s="33"/>
      <c r="B238" s="33"/>
      <c r="C238" s="33"/>
      <c r="D238" s="30" t="s">
        <v>787</v>
      </c>
      <c r="E238" s="30"/>
      <c r="F238" s="30"/>
      <c r="G238" s="30"/>
      <c r="H238" s="30"/>
      <c r="I238" s="30"/>
      <c r="J238" s="30"/>
      <c r="K238" s="30"/>
      <c r="L238" s="30"/>
      <c r="M238" s="30"/>
    </row>
    <row r="239" spans="1:13" ht="15.48" thickBot="1" customHeight="1">
      <c r="A239" s="34"/>
      <c r="B239" s="34"/>
      <c r="C239" s="34"/>
      <c r="D239" s="63" t="s">
        <v>788</v>
      </c>
      <c r="E239" s="64"/>
      <c r="F239" s="64"/>
      <c r="G239" s="64"/>
      <c r="H239" s="64"/>
      <c r="I239" s="64"/>
      <c r="J239" s="64"/>
      <c r="K239" s="64"/>
      <c r="L239" s="65">
        <f ca="1">M59+M65+M74+M83+M92+M101+M108+M115+M138+M156+M172+M186+M200+M214+M228+M237</f>
        <v>0</v>
      </c>
      <c r="M239" s="65">
        <f ca="1">ROUND(L239,2)</f>
        <v>0</v>
      </c>
    </row>
    <row r="240" spans="1:13" ht="15.48" thickBot="1" customHeight="1">
      <c r="A240" s="48" t="s">
        <v>789</v>
      </c>
      <c r="B240" s="48" t="s">
        <v>790</v>
      </c>
      <c r="C240" s="49"/>
      <c r="D240" s="50" t="s">
        <v>791</v>
      </c>
      <c r="E240" s="50"/>
      <c r="F240" s="50"/>
      <c r="G240" s="50"/>
      <c r="H240" s="50"/>
      <c r="I240" s="50"/>
      <c r="J240" s="50"/>
      <c r="K240" s="49"/>
      <c r="L240" s="51">
        <f ca="1">L243</f>
        <v>0</v>
      </c>
      <c r="M240" s="51">
        <f ca="1">ROUND(L240,2)</f>
        <v>0</v>
      </c>
    </row>
    <row r="241" spans="1:13" ht="21.36" thickBot="1" customHeight="1">
      <c r="A241" s="15" t="s">
        <v>792</v>
      </c>
      <c r="B241" s="8" t="s">
        <v>793</v>
      </c>
      <c r="C241" s="8" t="s">
        <v>794</v>
      </c>
      <c r="D241" s="30" t="s">
        <v>795</v>
      </c>
      <c r="E241" s="30"/>
      <c r="F241" s="30"/>
      <c r="G241" s="30"/>
      <c r="H241" s="30"/>
      <c r="I241" s="30"/>
      <c r="J241" s="30"/>
      <c r="K241" s="31">
        <f ca="1">ROUND(1.00,2)</f>
        <v>0</v>
      </c>
      <c r="L241" s="32">
        <f ca="1">ROUND(7378.64*(1+M2/100),2)</f>
        <v>0</v>
      </c>
      <c r="M241" s="32">
        <f ca="1">ROUND(K241*L241,2)</f>
        <v>0</v>
      </c>
    </row>
    <row r="242" spans="1:13" ht="49.08" thickBot="1" customHeight="1">
      <c r="A242" s="33"/>
      <c r="B242" s="33"/>
      <c r="C242" s="33"/>
      <c r="D242" s="30" t="s">
        <v>796</v>
      </c>
      <c r="E242" s="30"/>
      <c r="F242" s="30"/>
      <c r="G242" s="30"/>
      <c r="H242" s="30"/>
      <c r="I242" s="30"/>
      <c r="J242" s="30"/>
      <c r="K242" s="30"/>
      <c r="L242" s="30"/>
      <c r="M242" s="30"/>
    </row>
    <row r="243" spans="1:13" ht="15.48" thickBot="1" customHeight="1">
      <c r="A243" s="34"/>
      <c r="B243" s="34"/>
      <c r="C243" s="34"/>
      <c r="D243" s="63" t="s">
        <v>797</v>
      </c>
      <c r="E243" s="64"/>
      <c r="F243" s="64"/>
      <c r="G243" s="64"/>
      <c r="H243" s="64"/>
      <c r="I243" s="64"/>
      <c r="J243" s="64"/>
      <c r="K243" s="64"/>
      <c r="L243" s="65">
        <f ca="1">M241</f>
        <v>0</v>
      </c>
      <c r="M243" s="65">
        <f ca="1">ROUND(L243,2)</f>
        <v>0</v>
      </c>
    </row>
    <row r="244" spans="1:13" ht="15.48" thickBot="1" customHeight="1">
      <c r="A244" s="48" t="s">
        <v>798</v>
      </c>
      <c r="B244" s="48" t="s">
        <v>799</v>
      </c>
      <c r="C244" s="49"/>
      <c r="D244" s="50" t="s">
        <v>800</v>
      </c>
      <c r="E244" s="50"/>
      <c r="F244" s="50"/>
      <c r="G244" s="50"/>
      <c r="H244" s="50"/>
      <c r="I244" s="50"/>
      <c r="J244" s="50"/>
      <c r="K244" s="49"/>
      <c r="L244" s="51">
        <f ca="1">L308</f>
        <v>0</v>
      </c>
      <c r="M244" s="51">
        <f ca="1">ROUND(L244,2)</f>
        <v>0</v>
      </c>
    </row>
    <row r="245" spans="1:13" ht="15.48" thickBot="1" customHeight="1">
      <c r="A245" s="15" t="s">
        <v>801</v>
      </c>
      <c r="B245" s="8" t="s">
        <v>802</v>
      </c>
      <c r="C245" s="8" t="s">
        <v>803</v>
      </c>
      <c r="D245" s="30" t="s">
        <v>804</v>
      </c>
      <c r="E245" s="30"/>
      <c r="F245" s="30"/>
      <c r="G245" s="30"/>
      <c r="H245" s="30"/>
      <c r="I245" s="30"/>
      <c r="J245" s="30"/>
      <c r="K245" s="31">
        <f ca="1">ROUND(176.00,2)</f>
        <v>0</v>
      </c>
      <c r="L245" s="32">
        <f ca="1">L251</f>
        <v>0</v>
      </c>
      <c r="M245" s="32">
        <f ca="1">ROUND(K245*L245,2)</f>
        <v>0</v>
      </c>
    </row>
    <row r="246" spans="1:13" ht="58.32" thickBot="1" customHeight="1">
      <c r="A246" s="33"/>
      <c r="B246" s="33"/>
      <c r="C246" s="33"/>
      <c r="D246" s="30" t="s">
        <v>805</v>
      </c>
      <c r="E246" s="30"/>
      <c r="F246" s="30"/>
      <c r="G246" s="30"/>
      <c r="H246" s="30"/>
      <c r="I246" s="30"/>
      <c r="J246" s="30"/>
      <c r="K246" s="30"/>
      <c r="L246" s="30"/>
      <c r="M246" s="30"/>
    </row>
    <row r="247" spans="1:13" ht="39.84" thickBot="1" customHeight="1">
      <c r="A247" s="8" t="s">
        <v>806</v>
      </c>
      <c r="B247" s="8" t="s">
        <v>807</v>
      </c>
      <c r="C247" s="8" t="s">
        <v>808</v>
      </c>
      <c r="D247" s="30" t="s">
        <v>809</v>
      </c>
      <c r="E247" s="30"/>
      <c r="F247" s="30"/>
      <c r="G247" s="30"/>
      <c r="H247" s="30"/>
      <c r="I247" s="30"/>
      <c r="J247" s="30"/>
      <c r="K247" s="31">
        <v>1.000</v>
      </c>
      <c r="L247" s="32">
        <f ca="1">ROUND(1.94,2)</f>
        <v>0</v>
      </c>
      <c r="M247" s="32">
        <f ca="1">ROUND(K247*L247,2)</f>
        <v>0</v>
      </c>
    </row>
    <row r="248" spans="1:13" ht="15.12" thickBot="1" customHeight="1">
      <c r="A248" s="8" t="s">
        <v>810</v>
      </c>
      <c r="B248" s="8" t="s">
        <v>811</v>
      </c>
      <c r="C248" s="8" t="s">
        <v>812</v>
      </c>
      <c r="D248" s="30" t="s">
        <v>813</v>
      </c>
      <c r="E248" s="30"/>
      <c r="F248" s="30"/>
      <c r="G248" s="30"/>
      <c r="H248" s="30"/>
      <c r="I248" s="30"/>
      <c r="J248" s="30"/>
      <c r="K248" s="31">
        <v>0.054</v>
      </c>
      <c r="L248" s="32">
        <f ca="1">ROUND(27.24,2)</f>
        <v>0</v>
      </c>
      <c r="M248" s="32">
        <f ca="1">ROUND(K248*L248,2)</f>
        <v>0</v>
      </c>
    </row>
    <row r="249" spans="1:13" ht="15.12" thickBot="1" customHeight="1">
      <c r="A249" s="8" t="s">
        <v>814</v>
      </c>
      <c r="B249" s="8" t="s">
        <v>815</v>
      </c>
      <c r="C249" s="8" t="s">
        <v>816</v>
      </c>
      <c r="D249" s="30" t="s">
        <v>817</v>
      </c>
      <c r="E249" s="30"/>
      <c r="F249" s="30"/>
      <c r="G249" s="30"/>
      <c r="H249" s="30"/>
      <c r="I249" s="30"/>
      <c r="J249" s="30"/>
      <c r="K249" s="31">
        <v>0.054</v>
      </c>
      <c r="L249" s="32">
        <f ca="1">ROUND(23.25,2)</f>
        <v>0</v>
      </c>
      <c r="M249" s="32">
        <f ca="1">ROUND(K249*L249,2)</f>
        <v>0</v>
      </c>
    </row>
    <row r="250" spans="1:13" ht="15.12" thickBot="1" customHeight="1">
      <c r="A250" s="8" t="s">
        <v>818</v>
      </c>
      <c r="B250" s="8"/>
      <c r="C250" s="8" t="s">
        <v>819</v>
      </c>
      <c r="D250" s="30" t="s">
        <v>820</v>
      </c>
      <c r="E250" s="30"/>
      <c r="F250" s="30"/>
      <c r="G250" s="30"/>
      <c r="H250" s="30"/>
      <c r="I250" s="30"/>
      <c r="J250" s="30"/>
      <c r="K250" s="31">
        <v>2.000</v>
      </c>
      <c r="L250" s="32">
        <f ca="1">ROUND(4.67,2)</f>
        <v>0</v>
      </c>
      <c r="M250" s="32">
        <f ca="1">ROUND((K250*L250)/100,2)</f>
        <v>0</v>
      </c>
    </row>
    <row r="251" spans="1:13" ht="15.48" thickBot="1" customHeight="1">
      <c r="A251" s="34"/>
      <c r="B251" s="34"/>
      <c r="C251" s="34"/>
      <c r="D251" s="35" t="s">
        <v>821</v>
      </c>
      <c r="E251" s="34"/>
      <c r="F251" s="34"/>
      <c r="G251" s="34"/>
      <c r="H251" s="34"/>
      <c r="I251" s="34"/>
      <c r="J251" s="34"/>
      <c r="K251" s="37">
        <v>176.000</v>
      </c>
      <c r="L251" s="38">
        <f ca="1">ROUND((M247+M248+M249+M250)*(1+M2/100),2)</f>
        <v>0</v>
      </c>
      <c r="M251" s="38">
        <f ca="1">ROUND(K251*L251,2)</f>
        <v>0</v>
      </c>
    </row>
    <row r="252" spans="1:13" ht="15.48" thickBot="1" customHeight="1">
      <c r="A252" s="39" t="s">
        <v>822</v>
      </c>
      <c r="B252" s="40" t="s">
        <v>823</v>
      </c>
      <c r="C252" s="40" t="s">
        <v>824</v>
      </c>
      <c r="D252" s="41" t="s">
        <v>825</v>
      </c>
      <c r="E252" s="41"/>
      <c r="F252" s="41"/>
      <c r="G252" s="41"/>
      <c r="H252" s="41"/>
      <c r="I252" s="41"/>
      <c r="J252" s="41"/>
      <c r="K252" s="42">
        <f ca="1">ROUND(100.00,2)</f>
        <v>0</v>
      </c>
      <c r="L252" s="43">
        <f ca="1">L258</f>
        <v>0</v>
      </c>
      <c r="M252" s="43">
        <f ca="1">ROUND(K252*L252,2)</f>
        <v>0</v>
      </c>
    </row>
    <row r="253" spans="1:13" ht="58.32" thickBot="1" customHeight="1">
      <c r="A253" s="33"/>
      <c r="B253" s="33"/>
      <c r="C253" s="33"/>
      <c r="D253" s="30" t="s">
        <v>826</v>
      </c>
      <c r="E253" s="30"/>
      <c r="F253" s="30"/>
      <c r="G253" s="30"/>
      <c r="H253" s="30"/>
      <c r="I253" s="30"/>
      <c r="J253" s="30"/>
      <c r="K253" s="30"/>
      <c r="L253" s="30"/>
      <c r="M253" s="30"/>
    </row>
    <row r="254" spans="1:13" ht="39.84" thickBot="1" customHeight="1">
      <c r="A254" s="8" t="s">
        <v>827</v>
      </c>
      <c r="B254" s="8" t="s">
        <v>828</v>
      </c>
      <c r="C254" s="8" t="s">
        <v>829</v>
      </c>
      <c r="D254" s="30" t="s">
        <v>830</v>
      </c>
      <c r="E254" s="30"/>
      <c r="F254" s="30"/>
      <c r="G254" s="30"/>
      <c r="H254" s="30"/>
      <c r="I254" s="30"/>
      <c r="J254" s="30"/>
      <c r="K254" s="31">
        <v>1.000</v>
      </c>
      <c r="L254" s="32">
        <f ca="1">ROUND(1.43,2)</f>
        <v>0</v>
      </c>
      <c r="M254" s="32">
        <f ca="1">ROUND(K254*L254,2)</f>
        <v>0</v>
      </c>
    </row>
    <row r="255" spans="1:13" ht="15.12" thickBot="1" customHeight="1">
      <c r="A255" s="8" t="s">
        <v>831</v>
      </c>
      <c r="B255" s="8" t="s">
        <v>832</v>
      </c>
      <c r="C255" s="8" t="s">
        <v>833</v>
      </c>
      <c r="D255" s="30" t="s">
        <v>834</v>
      </c>
      <c r="E255" s="30"/>
      <c r="F255" s="30"/>
      <c r="G255" s="30"/>
      <c r="H255" s="30"/>
      <c r="I255" s="30"/>
      <c r="J255" s="30"/>
      <c r="K255" s="31">
        <v>0.016</v>
      </c>
      <c r="L255" s="32">
        <f ca="1">ROUND(27.24,2)</f>
        <v>0</v>
      </c>
      <c r="M255" s="32">
        <f ca="1">ROUND(K255*L255,2)</f>
        <v>0</v>
      </c>
    </row>
    <row r="256" spans="1:13" ht="15.12" thickBot="1" customHeight="1">
      <c r="A256" s="8" t="s">
        <v>835</v>
      </c>
      <c r="B256" s="8" t="s">
        <v>836</v>
      </c>
      <c r="C256" s="8" t="s">
        <v>837</v>
      </c>
      <c r="D256" s="30" t="s">
        <v>838</v>
      </c>
      <c r="E256" s="30"/>
      <c r="F256" s="30"/>
      <c r="G256" s="30"/>
      <c r="H256" s="30"/>
      <c r="I256" s="30"/>
      <c r="J256" s="30"/>
      <c r="K256" s="31">
        <v>0.016</v>
      </c>
      <c r="L256" s="32">
        <f ca="1">ROUND(23.25,2)</f>
        <v>0</v>
      </c>
      <c r="M256" s="32">
        <f ca="1">ROUND(K256*L256,2)</f>
        <v>0</v>
      </c>
    </row>
    <row r="257" spans="1:13" ht="15.12" thickBot="1" customHeight="1">
      <c r="A257" s="8" t="s">
        <v>839</v>
      </c>
      <c r="B257" s="8"/>
      <c r="C257" s="8" t="s">
        <v>840</v>
      </c>
      <c r="D257" s="30" t="s">
        <v>841</v>
      </c>
      <c r="E257" s="30"/>
      <c r="F257" s="30"/>
      <c r="G257" s="30"/>
      <c r="H257" s="30"/>
      <c r="I257" s="30"/>
      <c r="J257" s="30"/>
      <c r="K257" s="31">
        <v>2.000</v>
      </c>
      <c r="L257" s="32">
        <f ca="1">ROUND(2.24,2)</f>
        <v>0</v>
      </c>
      <c r="M257" s="32">
        <f ca="1">ROUND((K257*L257)/100,2)</f>
        <v>0</v>
      </c>
    </row>
    <row r="258" spans="1:13" ht="15.48" thickBot="1" customHeight="1">
      <c r="A258" s="34"/>
      <c r="B258" s="34"/>
      <c r="C258" s="34"/>
      <c r="D258" s="35" t="s">
        <v>842</v>
      </c>
      <c r="E258" s="34"/>
      <c r="F258" s="34"/>
      <c r="G258" s="34"/>
      <c r="H258" s="34"/>
      <c r="I258" s="34"/>
      <c r="J258" s="34"/>
      <c r="K258" s="37">
        <v>100.000</v>
      </c>
      <c r="L258" s="38">
        <f ca="1">ROUND((M254+M255+M256+M257)*(1+M2/100),2)</f>
        <v>0</v>
      </c>
      <c r="M258" s="38">
        <f ca="1">ROUND(K258*L258,2)</f>
        <v>0</v>
      </c>
    </row>
    <row r="259" spans="1:13" ht="15.48" thickBot="1" customHeight="1">
      <c r="A259" s="39" t="s">
        <v>843</v>
      </c>
      <c r="B259" s="40" t="s">
        <v>844</v>
      </c>
      <c r="C259" s="40" t="s">
        <v>845</v>
      </c>
      <c r="D259" s="41" t="s">
        <v>846</v>
      </c>
      <c r="E259" s="41"/>
      <c r="F259" s="41"/>
      <c r="G259" s="41"/>
      <c r="H259" s="41"/>
      <c r="I259" s="41"/>
      <c r="J259" s="41"/>
      <c r="K259" s="42">
        <f ca="1">ROUND(200.00,2)</f>
        <v>0</v>
      </c>
      <c r="L259" s="43">
        <f ca="1">L265</f>
        <v>0</v>
      </c>
      <c r="M259" s="43">
        <f ca="1">ROUND(K259*L259,2)</f>
        <v>0</v>
      </c>
    </row>
    <row r="260" spans="1:13" ht="86.04" thickBot="1" customHeight="1">
      <c r="A260" s="33"/>
      <c r="B260" s="33"/>
      <c r="C260" s="33"/>
      <c r="D260" s="30" t="s">
        <v>847</v>
      </c>
      <c r="E260" s="30"/>
      <c r="F260" s="30"/>
      <c r="G260" s="30"/>
      <c r="H260" s="30"/>
      <c r="I260" s="30"/>
      <c r="J260" s="30"/>
      <c r="K260" s="30"/>
      <c r="L260" s="30"/>
      <c r="M260" s="30"/>
    </row>
    <row r="261" spans="1:13" ht="21.36" thickBot="1" customHeight="1">
      <c r="A261" s="8" t="s">
        <v>848</v>
      </c>
      <c r="B261" s="8" t="s">
        <v>849</v>
      </c>
      <c r="C261" s="8" t="s">
        <v>850</v>
      </c>
      <c r="D261" s="30" t="s">
        <v>851</v>
      </c>
      <c r="E261" s="30"/>
      <c r="F261" s="30"/>
      <c r="G261" s="30"/>
      <c r="H261" s="30"/>
      <c r="I261" s="30"/>
      <c r="J261" s="30"/>
      <c r="K261" s="31">
        <v>1.000</v>
      </c>
      <c r="L261" s="32">
        <f ca="1">ROUND(5.50,2)</f>
        <v>0</v>
      </c>
      <c r="M261" s="32">
        <f ca="1">ROUND(K261*L261,2)</f>
        <v>0</v>
      </c>
    </row>
    <row r="262" spans="1:13" ht="15.12" thickBot="1" customHeight="1">
      <c r="A262" s="8" t="s">
        <v>852</v>
      </c>
      <c r="B262" s="8" t="s">
        <v>853</v>
      </c>
      <c r="C262" s="8" t="s">
        <v>854</v>
      </c>
      <c r="D262" s="30" t="s">
        <v>855</v>
      </c>
      <c r="E262" s="30"/>
      <c r="F262" s="30"/>
      <c r="G262" s="30"/>
      <c r="H262" s="30"/>
      <c r="I262" s="30"/>
      <c r="J262" s="30"/>
      <c r="K262" s="31">
        <v>0.016</v>
      </c>
      <c r="L262" s="32">
        <f ca="1">ROUND(27.24,2)</f>
        <v>0</v>
      </c>
      <c r="M262" s="32">
        <f ca="1">ROUND(K262*L262,2)</f>
        <v>0</v>
      </c>
    </row>
    <row r="263" spans="1:13" ht="15.12" thickBot="1" customHeight="1">
      <c r="A263" s="8" t="s">
        <v>856</v>
      </c>
      <c r="B263" s="8" t="s">
        <v>857</v>
      </c>
      <c r="C263" s="8" t="s">
        <v>858</v>
      </c>
      <c r="D263" s="30" t="s">
        <v>859</v>
      </c>
      <c r="E263" s="30"/>
      <c r="F263" s="30"/>
      <c r="G263" s="30"/>
      <c r="H263" s="30"/>
      <c r="I263" s="30"/>
      <c r="J263" s="30"/>
      <c r="K263" s="31">
        <v>0.016</v>
      </c>
      <c r="L263" s="32">
        <f ca="1">ROUND(23.25,2)</f>
        <v>0</v>
      </c>
      <c r="M263" s="32">
        <f ca="1">ROUND(K263*L263,2)</f>
        <v>0</v>
      </c>
    </row>
    <row r="264" spans="1:13" ht="15.12" thickBot="1" customHeight="1">
      <c r="A264" s="8" t="s">
        <v>860</v>
      </c>
      <c r="B264" s="8"/>
      <c r="C264" s="8" t="s">
        <v>861</v>
      </c>
      <c r="D264" s="30" t="s">
        <v>862</v>
      </c>
      <c r="E264" s="30"/>
      <c r="F264" s="30"/>
      <c r="G264" s="30"/>
      <c r="H264" s="30"/>
      <c r="I264" s="30"/>
      <c r="J264" s="30"/>
      <c r="K264" s="31">
        <v>2.000</v>
      </c>
      <c r="L264" s="32">
        <f ca="1">ROUND(6.31,2)</f>
        <v>0</v>
      </c>
      <c r="M264" s="32">
        <f ca="1">ROUND((K264*L264)/100,2)</f>
        <v>0</v>
      </c>
    </row>
    <row r="265" spans="1:13" ht="15.48" thickBot="1" customHeight="1">
      <c r="A265" s="34"/>
      <c r="B265" s="34"/>
      <c r="C265" s="34"/>
      <c r="D265" s="35" t="s">
        <v>863</v>
      </c>
      <c r="E265" s="34"/>
      <c r="F265" s="34"/>
      <c r="G265" s="34"/>
      <c r="H265" s="34"/>
      <c r="I265" s="34"/>
      <c r="J265" s="34"/>
      <c r="K265" s="37">
        <v>200.000</v>
      </c>
      <c r="L265" s="38">
        <f ca="1">ROUND((M261+M262+M263+M264)*(1+M2/100),2)</f>
        <v>0</v>
      </c>
      <c r="M265" s="38">
        <f ca="1">ROUND(K265*L265,2)</f>
        <v>0</v>
      </c>
    </row>
    <row r="266" spans="1:13" ht="15.48" thickBot="1" customHeight="1">
      <c r="A266" s="39" t="s">
        <v>864</v>
      </c>
      <c r="B266" s="40" t="s">
        <v>865</v>
      </c>
      <c r="C266" s="40" t="s">
        <v>866</v>
      </c>
      <c r="D266" s="41" t="s">
        <v>867</v>
      </c>
      <c r="E266" s="41"/>
      <c r="F266" s="41"/>
      <c r="G266" s="41"/>
      <c r="H266" s="41"/>
      <c r="I266" s="41"/>
      <c r="J266" s="41"/>
      <c r="K266" s="42">
        <f ca="1">ROUND(174.00,2)</f>
        <v>0</v>
      </c>
      <c r="L266" s="43">
        <f ca="1">L279</f>
        <v>0</v>
      </c>
      <c r="M266" s="43">
        <f ca="1">ROUND(K266*L266,2)</f>
        <v>0</v>
      </c>
    </row>
    <row r="267" spans="1:13" ht="86.04" thickBot="1" customHeight="1">
      <c r="A267" s="33"/>
      <c r="B267" s="33"/>
      <c r="C267" s="33"/>
      <c r="D267" s="30" t="s">
        <v>868</v>
      </c>
      <c r="E267" s="30"/>
      <c r="F267" s="30"/>
      <c r="G267" s="30"/>
      <c r="H267" s="30"/>
      <c r="I267" s="30"/>
      <c r="J267" s="30"/>
      <c r="K267" s="30"/>
      <c r="L267" s="30"/>
      <c r="M267" s="30"/>
    </row>
    <row r="268" spans="1:13" ht="15.12" thickBot="1" customHeight="1">
      <c r="A268" s="8" t="s">
        <v>869</v>
      </c>
      <c r="B268" s="8" t="s">
        <v>870</v>
      </c>
      <c r="C268" s="8" t="s">
        <v>871</v>
      </c>
      <c r="D268" s="30" t="s">
        <v>872</v>
      </c>
      <c r="E268" s="30"/>
      <c r="F268" s="30"/>
      <c r="G268" s="30"/>
      <c r="H268" s="30"/>
      <c r="I268" s="30"/>
      <c r="J268" s="30"/>
      <c r="K268" s="31">
        <v>0.061</v>
      </c>
      <c r="L268" s="32">
        <f ca="1">ROUND(14.30,2)</f>
        <v>0</v>
      </c>
      <c r="M268" s="32">
        <f ca="1">ROUND(K268*L268,2)</f>
        <v>0</v>
      </c>
    </row>
    <row r="269" spans="1:13" ht="39.84" thickBot="1" customHeight="1">
      <c r="A269" s="8" t="s">
        <v>873</v>
      </c>
      <c r="B269" s="8" t="s">
        <v>874</v>
      </c>
      <c r="C269" s="8" t="s">
        <v>875</v>
      </c>
      <c r="D269" s="30" t="s">
        <v>876</v>
      </c>
      <c r="E269" s="30"/>
      <c r="F269" s="30"/>
      <c r="G269" s="30"/>
      <c r="H269" s="30"/>
      <c r="I269" s="30"/>
      <c r="J269" s="30"/>
      <c r="K269" s="31">
        <v>1.000</v>
      </c>
      <c r="L269" s="32">
        <f ca="1">ROUND(3.79,2)</f>
        <v>0</v>
      </c>
      <c r="M269" s="32">
        <f ca="1">ROUND(K269*L269,2)</f>
        <v>0</v>
      </c>
    </row>
    <row r="270" spans="1:13" ht="21.36" thickBot="1" customHeight="1">
      <c r="A270" s="8" t="s">
        <v>877</v>
      </c>
      <c r="B270" s="8" t="s">
        <v>878</v>
      </c>
      <c r="C270" s="8" t="s">
        <v>879</v>
      </c>
      <c r="D270" s="30" t="s">
        <v>880</v>
      </c>
      <c r="E270" s="30"/>
      <c r="F270" s="30"/>
      <c r="G270" s="30"/>
      <c r="H270" s="30"/>
      <c r="I270" s="30"/>
      <c r="J270" s="30"/>
      <c r="K270" s="31">
        <v>1.000</v>
      </c>
      <c r="L270" s="32">
        <f ca="1">ROUND(0.25,2)</f>
        <v>0</v>
      </c>
      <c r="M270" s="32">
        <f ca="1">ROUND(K270*L270,2)</f>
        <v>0</v>
      </c>
    </row>
    <row r="271" spans="1:13" ht="15.12" thickBot="1" customHeight="1">
      <c r="A271" s="8" t="s">
        <v>881</v>
      </c>
      <c r="B271" s="8" t="s">
        <v>882</v>
      </c>
      <c r="C271" s="8" t="s">
        <v>883</v>
      </c>
      <c r="D271" s="30" t="s">
        <v>884</v>
      </c>
      <c r="E271" s="30"/>
      <c r="F271" s="30"/>
      <c r="G271" s="30"/>
      <c r="H271" s="30"/>
      <c r="I271" s="30"/>
      <c r="J271" s="30"/>
      <c r="K271" s="31">
        <v>0.006</v>
      </c>
      <c r="L271" s="32">
        <f ca="1">ROUND(10.38,2)</f>
        <v>0</v>
      </c>
      <c r="M271" s="32">
        <f ca="1">ROUND(K271*L271,2)</f>
        <v>0</v>
      </c>
    </row>
    <row r="272" spans="1:13" ht="15.12" thickBot="1" customHeight="1">
      <c r="A272" s="8" t="s">
        <v>885</v>
      </c>
      <c r="B272" s="8" t="s">
        <v>886</v>
      </c>
      <c r="C272" s="8" t="s">
        <v>887</v>
      </c>
      <c r="D272" s="30" t="s">
        <v>888</v>
      </c>
      <c r="E272" s="30"/>
      <c r="F272" s="30"/>
      <c r="G272" s="30"/>
      <c r="H272" s="30"/>
      <c r="I272" s="30"/>
      <c r="J272" s="30"/>
      <c r="K272" s="31">
        <v>0.047</v>
      </c>
      <c r="L272" s="32">
        <f ca="1">ROUND(3.92,2)</f>
        <v>0</v>
      </c>
      <c r="M272" s="32">
        <f ca="1">ROUND(K272*L272,2)</f>
        <v>0</v>
      </c>
    </row>
    <row r="273" spans="1:13" ht="15.12" thickBot="1" customHeight="1">
      <c r="A273" s="8" t="s">
        <v>889</v>
      </c>
      <c r="B273" s="8" t="s">
        <v>890</v>
      </c>
      <c r="C273" s="8" t="s">
        <v>891</v>
      </c>
      <c r="D273" s="30" t="s">
        <v>892</v>
      </c>
      <c r="E273" s="30"/>
      <c r="F273" s="30"/>
      <c r="G273" s="30"/>
      <c r="H273" s="30"/>
      <c r="I273" s="30"/>
      <c r="J273" s="30"/>
      <c r="K273" s="31">
        <v>0.001</v>
      </c>
      <c r="L273" s="32">
        <f ca="1">ROUND(118.90,2)</f>
        <v>0</v>
      </c>
      <c r="M273" s="32">
        <f ca="1">ROUND(K273*L273,2)</f>
        <v>0</v>
      </c>
    </row>
    <row r="274" spans="1:13" ht="15.12" thickBot="1" customHeight="1">
      <c r="A274" s="8" t="s">
        <v>893</v>
      </c>
      <c r="B274" s="8" t="s">
        <v>894</v>
      </c>
      <c r="C274" s="8" t="s">
        <v>895</v>
      </c>
      <c r="D274" s="30" t="s">
        <v>896</v>
      </c>
      <c r="E274" s="30"/>
      <c r="F274" s="30"/>
      <c r="G274" s="30"/>
      <c r="H274" s="30"/>
      <c r="I274" s="30"/>
      <c r="J274" s="30"/>
      <c r="K274" s="31">
        <v>0.050</v>
      </c>
      <c r="L274" s="32">
        <f ca="1">ROUND(26.38,2)</f>
        <v>0</v>
      </c>
      <c r="M274" s="32">
        <f ca="1">ROUND(K274*L274,2)</f>
        <v>0</v>
      </c>
    </row>
    <row r="275" spans="1:13" ht="15.12" thickBot="1" customHeight="1">
      <c r="A275" s="8" t="s">
        <v>897</v>
      </c>
      <c r="B275" s="8" t="s">
        <v>898</v>
      </c>
      <c r="C275" s="8" t="s">
        <v>899</v>
      </c>
      <c r="D275" s="30" t="s">
        <v>900</v>
      </c>
      <c r="E275" s="30"/>
      <c r="F275" s="30"/>
      <c r="G275" s="30"/>
      <c r="H275" s="30"/>
      <c r="I275" s="30"/>
      <c r="J275" s="30"/>
      <c r="K275" s="31">
        <v>0.050</v>
      </c>
      <c r="L275" s="32">
        <f ca="1">ROUND(20.97,2)</f>
        <v>0</v>
      </c>
      <c r="M275" s="32">
        <f ca="1">ROUND(K275*L275,2)</f>
        <v>0</v>
      </c>
    </row>
    <row r="276" spans="1:13" ht="15.12" thickBot="1" customHeight="1">
      <c r="A276" s="8" t="s">
        <v>901</v>
      </c>
      <c r="B276" s="8" t="s">
        <v>902</v>
      </c>
      <c r="C276" s="8" t="s">
        <v>903</v>
      </c>
      <c r="D276" s="30" t="s">
        <v>904</v>
      </c>
      <c r="E276" s="30"/>
      <c r="F276" s="30"/>
      <c r="G276" s="30"/>
      <c r="H276" s="30"/>
      <c r="I276" s="30"/>
      <c r="J276" s="30"/>
      <c r="K276" s="31">
        <v>0.027</v>
      </c>
      <c r="L276" s="32">
        <f ca="1">ROUND(27.24,2)</f>
        <v>0</v>
      </c>
      <c r="M276" s="32">
        <f ca="1">ROUND(K276*L276,2)</f>
        <v>0</v>
      </c>
    </row>
    <row r="277" spans="1:13" ht="15.12" thickBot="1" customHeight="1">
      <c r="A277" s="8" t="s">
        <v>905</v>
      </c>
      <c r="B277" s="8" t="s">
        <v>906</v>
      </c>
      <c r="C277" s="8" t="s">
        <v>907</v>
      </c>
      <c r="D277" s="30" t="s">
        <v>908</v>
      </c>
      <c r="E277" s="30"/>
      <c r="F277" s="30"/>
      <c r="G277" s="30"/>
      <c r="H277" s="30"/>
      <c r="I277" s="30"/>
      <c r="J277" s="30"/>
      <c r="K277" s="31">
        <v>0.022</v>
      </c>
      <c r="L277" s="32">
        <f ca="1">ROUND(23.25,2)</f>
        <v>0</v>
      </c>
      <c r="M277" s="32">
        <f ca="1">ROUND(K277*L277,2)</f>
        <v>0</v>
      </c>
    </row>
    <row r="278" spans="1:13" ht="15.12" thickBot="1" customHeight="1">
      <c r="A278" s="8" t="s">
        <v>909</v>
      </c>
      <c r="B278" s="8"/>
      <c r="C278" s="8" t="s">
        <v>910</v>
      </c>
      <c r="D278" s="30" t="s">
        <v>911</v>
      </c>
      <c r="E278" s="30"/>
      <c r="F278" s="30"/>
      <c r="G278" s="30"/>
      <c r="H278" s="30"/>
      <c r="I278" s="30"/>
      <c r="J278" s="30"/>
      <c r="K278" s="31">
        <v>2.000</v>
      </c>
      <c r="L278" s="32">
        <f ca="1">ROUND(8.89,2)</f>
        <v>0</v>
      </c>
      <c r="M278" s="32">
        <f ca="1">ROUND((K278*L278)/100,2)</f>
        <v>0</v>
      </c>
    </row>
    <row r="279" spans="1:13" ht="15.48" thickBot="1" customHeight="1">
      <c r="A279" s="34"/>
      <c r="B279" s="34"/>
      <c r="C279" s="34"/>
      <c r="D279" s="35" t="s">
        <v>912</v>
      </c>
      <c r="E279" s="34"/>
      <c r="F279" s="34"/>
      <c r="G279" s="34"/>
      <c r="H279" s="34"/>
      <c r="I279" s="34"/>
      <c r="J279" s="34"/>
      <c r="K279" s="37">
        <v>174.000</v>
      </c>
      <c r="L279" s="38">
        <f ca="1">ROUND((M268+M269+M270+M271+M272+M273+M274+M275+M276+M277+M278)*(1+M2/100),2)</f>
        <v>0</v>
      </c>
      <c r="M279" s="38">
        <f ca="1">ROUND(K279*L279,2)</f>
        <v>0</v>
      </c>
    </row>
    <row r="280" spans="1:13" ht="15.48" thickBot="1" customHeight="1">
      <c r="A280" s="39" t="s">
        <v>913</v>
      </c>
      <c r="B280" s="40" t="s">
        <v>914</v>
      </c>
      <c r="C280" s="40" t="s">
        <v>915</v>
      </c>
      <c r="D280" s="41" t="s">
        <v>916</v>
      </c>
      <c r="E280" s="41"/>
      <c r="F280" s="41"/>
      <c r="G280" s="41"/>
      <c r="H280" s="41"/>
      <c r="I280" s="41"/>
      <c r="J280" s="41"/>
      <c r="K280" s="42">
        <f ca="1">ROUND(85.00,2)</f>
        <v>0</v>
      </c>
      <c r="L280" s="43">
        <f ca="1">L293</f>
        <v>0</v>
      </c>
      <c r="M280" s="43">
        <f ca="1">ROUND(K280*L280,2)</f>
        <v>0</v>
      </c>
    </row>
    <row r="281" spans="1:13" ht="86.04" thickBot="1" customHeight="1">
      <c r="A281" s="33"/>
      <c r="B281" s="33"/>
      <c r="C281" s="33"/>
      <c r="D281" s="30" t="s">
        <v>917</v>
      </c>
      <c r="E281" s="30"/>
      <c r="F281" s="30"/>
      <c r="G281" s="30"/>
      <c r="H281" s="30"/>
      <c r="I281" s="30"/>
      <c r="J281" s="30"/>
      <c r="K281" s="30"/>
      <c r="L281" s="30"/>
      <c r="M281" s="30"/>
    </row>
    <row r="282" spans="1:13" ht="15.12" thickBot="1" customHeight="1">
      <c r="A282" s="8" t="s">
        <v>918</v>
      </c>
      <c r="B282" s="8" t="s">
        <v>919</v>
      </c>
      <c r="C282" s="8" t="s">
        <v>920</v>
      </c>
      <c r="D282" s="30" t="s">
        <v>921</v>
      </c>
      <c r="E282" s="30"/>
      <c r="F282" s="30"/>
      <c r="G282" s="30"/>
      <c r="H282" s="30"/>
      <c r="I282" s="30"/>
      <c r="J282" s="30"/>
      <c r="K282" s="31">
        <v>0.061</v>
      </c>
      <c r="L282" s="32">
        <f ca="1">ROUND(14.30,2)</f>
        <v>0</v>
      </c>
      <c r="M282" s="32">
        <f ca="1">ROUND(K282*L282,2)</f>
        <v>0</v>
      </c>
    </row>
    <row r="283" spans="1:13" ht="39.84" thickBot="1" customHeight="1">
      <c r="A283" s="8" t="s">
        <v>922</v>
      </c>
      <c r="B283" s="8" t="s">
        <v>923</v>
      </c>
      <c r="C283" s="8" t="s">
        <v>924</v>
      </c>
      <c r="D283" s="30" t="s">
        <v>925</v>
      </c>
      <c r="E283" s="30"/>
      <c r="F283" s="30"/>
      <c r="G283" s="30"/>
      <c r="H283" s="30"/>
      <c r="I283" s="30"/>
      <c r="J283" s="30"/>
      <c r="K283" s="31">
        <v>1.000</v>
      </c>
      <c r="L283" s="32">
        <f ca="1">ROUND(3.79,2)</f>
        <v>0</v>
      </c>
      <c r="M283" s="32">
        <f ca="1">ROUND(K283*L283,2)</f>
        <v>0</v>
      </c>
    </row>
    <row r="284" spans="1:13" ht="21.36" thickBot="1" customHeight="1">
      <c r="A284" s="8" t="s">
        <v>926</v>
      </c>
      <c r="B284" s="8" t="s">
        <v>927</v>
      </c>
      <c r="C284" s="8" t="s">
        <v>928</v>
      </c>
      <c r="D284" s="30" t="s">
        <v>929</v>
      </c>
      <c r="E284" s="30"/>
      <c r="F284" s="30"/>
      <c r="G284" s="30"/>
      <c r="H284" s="30"/>
      <c r="I284" s="30"/>
      <c r="J284" s="30"/>
      <c r="K284" s="31">
        <v>1.000</v>
      </c>
      <c r="L284" s="32">
        <f ca="1">ROUND(0.25,2)</f>
        <v>0</v>
      </c>
      <c r="M284" s="32">
        <f ca="1">ROUND(K284*L284,2)</f>
        <v>0</v>
      </c>
    </row>
    <row r="285" spans="1:13" ht="15.12" thickBot="1" customHeight="1">
      <c r="A285" s="8" t="s">
        <v>930</v>
      </c>
      <c r="B285" s="8" t="s">
        <v>931</v>
      </c>
      <c r="C285" s="8" t="s">
        <v>932</v>
      </c>
      <c r="D285" s="30" t="s">
        <v>933</v>
      </c>
      <c r="E285" s="30"/>
      <c r="F285" s="30"/>
      <c r="G285" s="30"/>
      <c r="H285" s="30"/>
      <c r="I285" s="30"/>
      <c r="J285" s="30"/>
      <c r="K285" s="31">
        <v>0.006</v>
      </c>
      <c r="L285" s="32">
        <f ca="1">ROUND(10.38,2)</f>
        <v>0</v>
      </c>
      <c r="M285" s="32">
        <f ca="1">ROUND(K285*L285,2)</f>
        <v>0</v>
      </c>
    </row>
    <row r="286" spans="1:13" ht="15.12" thickBot="1" customHeight="1">
      <c r="A286" s="8" t="s">
        <v>934</v>
      </c>
      <c r="B286" s="8" t="s">
        <v>935</v>
      </c>
      <c r="C286" s="8" t="s">
        <v>936</v>
      </c>
      <c r="D286" s="30" t="s">
        <v>937</v>
      </c>
      <c r="E286" s="30"/>
      <c r="F286" s="30"/>
      <c r="G286" s="30"/>
      <c r="H286" s="30"/>
      <c r="I286" s="30"/>
      <c r="J286" s="30"/>
      <c r="K286" s="31">
        <v>0.047</v>
      </c>
      <c r="L286" s="32">
        <f ca="1">ROUND(3.92,2)</f>
        <v>0</v>
      </c>
      <c r="M286" s="32">
        <f ca="1">ROUND(K286*L286,2)</f>
        <v>0</v>
      </c>
    </row>
    <row r="287" spans="1:13" ht="15.12" thickBot="1" customHeight="1">
      <c r="A287" s="8" t="s">
        <v>938</v>
      </c>
      <c r="B287" s="8" t="s">
        <v>939</v>
      </c>
      <c r="C287" s="8" t="s">
        <v>940</v>
      </c>
      <c r="D287" s="30" t="s">
        <v>941</v>
      </c>
      <c r="E287" s="30"/>
      <c r="F287" s="30"/>
      <c r="G287" s="30"/>
      <c r="H287" s="30"/>
      <c r="I287" s="30"/>
      <c r="J287" s="30"/>
      <c r="K287" s="31">
        <v>0.001</v>
      </c>
      <c r="L287" s="32">
        <f ca="1">ROUND(118.90,2)</f>
        <v>0</v>
      </c>
      <c r="M287" s="32">
        <f ca="1">ROUND(K287*L287,2)</f>
        <v>0</v>
      </c>
    </row>
    <row r="288" spans="1:13" ht="15.12" thickBot="1" customHeight="1">
      <c r="A288" s="8" t="s">
        <v>942</v>
      </c>
      <c r="B288" s="8" t="s">
        <v>943</v>
      </c>
      <c r="C288" s="8" t="s">
        <v>944</v>
      </c>
      <c r="D288" s="30" t="s">
        <v>945</v>
      </c>
      <c r="E288" s="30"/>
      <c r="F288" s="30"/>
      <c r="G288" s="30"/>
      <c r="H288" s="30"/>
      <c r="I288" s="30"/>
      <c r="J288" s="30"/>
      <c r="K288" s="31">
        <v>0.050</v>
      </c>
      <c r="L288" s="32">
        <f ca="1">ROUND(26.38,2)</f>
        <v>0</v>
      </c>
      <c r="M288" s="32">
        <f ca="1">ROUND(K288*L288,2)</f>
        <v>0</v>
      </c>
    </row>
    <row r="289" spans="1:13" ht="15.12" thickBot="1" customHeight="1">
      <c r="A289" s="8" t="s">
        <v>946</v>
      </c>
      <c r="B289" s="8" t="s">
        <v>947</v>
      </c>
      <c r="C289" s="8" t="s">
        <v>948</v>
      </c>
      <c r="D289" s="30" t="s">
        <v>949</v>
      </c>
      <c r="E289" s="30"/>
      <c r="F289" s="30"/>
      <c r="G289" s="30"/>
      <c r="H289" s="30"/>
      <c r="I289" s="30"/>
      <c r="J289" s="30"/>
      <c r="K289" s="31">
        <v>0.050</v>
      </c>
      <c r="L289" s="32">
        <f ca="1">ROUND(20.97,2)</f>
        <v>0</v>
      </c>
      <c r="M289" s="32">
        <f ca="1">ROUND(K289*L289,2)</f>
        <v>0</v>
      </c>
    </row>
    <row r="290" spans="1:13" ht="15.12" thickBot="1" customHeight="1">
      <c r="A290" s="8" t="s">
        <v>950</v>
      </c>
      <c r="B290" s="8" t="s">
        <v>951</v>
      </c>
      <c r="C290" s="8" t="s">
        <v>952</v>
      </c>
      <c r="D290" s="30" t="s">
        <v>953</v>
      </c>
      <c r="E290" s="30"/>
      <c r="F290" s="30"/>
      <c r="G290" s="30"/>
      <c r="H290" s="30"/>
      <c r="I290" s="30"/>
      <c r="J290" s="30"/>
      <c r="K290" s="31">
        <v>0.027</v>
      </c>
      <c r="L290" s="32">
        <f ca="1">ROUND(27.24,2)</f>
        <v>0</v>
      </c>
      <c r="M290" s="32">
        <f ca="1">ROUND(K290*L290,2)</f>
        <v>0</v>
      </c>
    </row>
    <row r="291" spans="1:13" ht="15.12" thickBot="1" customHeight="1">
      <c r="A291" s="8" t="s">
        <v>954</v>
      </c>
      <c r="B291" s="8" t="s">
        <v>955</v>
      </c>
      <c r="C291" s="8" t="s">
        <v>956</v>
      </c>
      <c r="D291" s="30" t="s">
        <v>957</v>
      </c>
      <c r="E291" s="30"/>
      <c r="F291" s="30"/>
      <c r="G291" s="30"/>
      <c r="H291" s="30"/>
      <c r="I291" s="30"/>
      <c r="J291" s="30"/>
      <c r="K291" s="31">
        <v>0.022</v>
      </c>
      <c r="L291" s="32">
        <f ca="1">ROUND(23.25,2)</f>
        <v>0</v>
      </c>
      <c r="M291" s="32">
        <f ca="1">ROUND(K291*L291,2)</f>
        <v>0</v>
      </c>
    </row>
    <row r="292" spans="1:13" ht="15.12" thickBot="1" customHeight="1">
      <c r="A292" s="8" t="s">
        <v>958</v>
      </c>
      <c r="B292" s="8"/>
      <c r="C292" s="8" t="s">
        <v>959</v>
      </c>
      <c r="D292" s="30" t="s">
        <v>960</v>
      </c>
      <c r="E292" s="30"/>
      <c r="F292" s="30"/>
      <c r="G292" s="30"/>
      <c r="H292" s="30"/>
      <c r="I292" s="30"/>
      <c r="J292" s="30"/>
      <c r="K292" s="31">
        <v>2.000</v>
      </c>
      <c r="L292" s="32">
        <f ca="1">ROUND(8.89,2)</f>
        <v>0</v>
      </c>
      <c r="M292" s="32">
        <f ca="1">ROUND((K292*L292)/100,2)</f>
        <v>0</v>
      </c>
    </row>
    <row r="293" spans="1:13" ht="15.48" thickBot="1" customHeight="1">
      <c r="A293" s="34"/>
      <c r="B293" s="34"/>
      <c r="C293" s="34"/>
      <c r="D293" s="35" t="s">
        <v>961</v>
      </c>
      <c r="E293" s="34"/>
      <c r="F293" s="34"/>
      <c r="G293" s="34"/>
      <c r="H293" s="34"/>
      <c r="I293" s="34"/>
      <c r="J293" s="34"/>
      <c r="K293" s="37">
        <v>85.000</v>
      </c>
      <c r="L293" s="38">
        <f ca="1">ROUND((M282+M283+M284+M285+M286+M287+M288+M289+M290+M291+M292)*(1+M2/100),2)</f>
        <v>0</v>
      </c>
      <c r="M293" s="38">
        <f ca="1">ROUND(K293*L293,2)</f>
        <v>0</v>
      </c>
    </row>
    <row r="294" spans="1:13" ht="15.48" thickBot="1" customHeight="1">
      <c r="A294" s="39" t="s">
        <v>962</v>
      </c>
      <c r="B294" s="40" t="s">
        <v>963</v>
      </c>
      <c r="C294" s="40" t="s">
        <v>964</v>
      </c>
      <c r="D294" s="41" t="s">
        <v>965</v>
      </c>
      <c r="E294" s="41"/>
      <c r="F294" s="41"/>
      <c r="G294" s="41"/>
      <c r="H294" s="41"/>
      <c r="I294" s="41"/>
      <c r="J294" s="41"/>
      <c r="K294" s="42">
        <f ca="1">ROUND(1.00,2)</f>
        <v>0</v>
      </c>
      <c r="L294" s="43">
        <f ca="1">L301</f>
        <v>0</v>
      </c>
      <c r="M294" s="43">
        <f ca="1">ROUND(K294*L294,2)</f>
        <v>0</v>
      </c>
    </row>
    <row r="295" spans="1:13" ht="58.32" thickBot="1" customHeight="1">
      <c r="A295" s="33"/>
      <c r="B295" s="33"/>
      <c r="C295" s="33"/>
      <c r="D295" s="30" t="s">
        <v>966</v>
      </c>
      <c r="E295" s="30"/>
      <c r="F295" s="30"/>
      <c r="G295" s="30"/>
      <c r="H295" s="30"/>
      <c r="I295" s="30"/>
      <c r="J295" s="30"/>
      <c r="K295" s="30"/>
      <c r="L295" s="30"/>
      <c r="M295" s="30"/>
    </row>
    <row r="296" spans="1:13" ht="21.36" thickBot="1" customHeight="1">
      <c r="A296" s="8" t="s">
        <v>967</v>
      </c>
      <c r="B296" s="8" t="s">
        <v>968</v>
      </c>
      <c r="C296" s="8" t="s">
        <v>969</v>
      </c>
      <c r="D296" s="30" t="s">
        <v>970</v>
      </c>
      <c r="E296" s="30"/>
      <c r="F296" s="30"/>
      <c r="G296" s="30"/>
      <c r="H296" s="30"/>
      <c r="I296" s="30"/>
      <c r="J296" s="30"/>
      <c r="K296" s="31">
        <v>1.000</v>
      </c>
      <c r="L296" s="32">
        <f ca="1">ROUND(98.00,2)</f>
        <v>0</v>
      </c>
      <c r="M296" s="32">
        <f ca="1">ROUND(K296*L296,2)</f>
        <v>0</v>
      </c>
    </row>
    <row r="297" spans="1:13" ht="39.84" thickBot="1" customHeight="1">
      <c r="A297" s="8" t="s">
        <v>971</v>
      </c>
      <c r="B297" s="8" t="s">
        <v>972</v>
      </c>
      <c r="C297" s="8" t="s">
        <v>973</v>
      </c>
      <c r="D297" s="30" t="s">
        <v>974</v>
      </c>
      <c r="E297" s="30"/>
      <c r="F297" s="30"/>
      <c r="G297" s="30"/>
      <c r="H297" s="30"/>
      <c r="I297" s="30"/>
      <c r="J297" s="30"/>
      <c r="K297" s="31">
        <v>1.000</v>
      </c>
      <c r="L297" s="32">
        <f ca="1">ROUND(6.23,2)</f>
        <v>0</v>
      </c>
      <c r="M297" s="32">
        <f ca="1">ROUND(K297*L297,2)</f>
        <v>0</v>
      </c>
    </row>
    <row r="298" spans="1:13" ht="15.12" thickBot="1" customHeight="1">
      <c r="A298" s="8" t="s">
        <v>975</v>
      </c>
      <c r="B298" s="8" t="s">
        <v>976</v>
      </c>
      <c r="C298" s="8" t="s">
        <v>977</v>
      </c>
      <c r="D298" s="30" t="s">
        <v>978</v>
      </c>
      <c r="E298" s="30"/>
      <c r="F298" s="30"/>
      <c r="G298" s="30"/>
      <c r="H298" s="30"/>
      <c r="I298" s="30"/>
      <c r="J298" s="30"/>
      <c r="K298" s="31">
        <v>0.216</v>
      </c>
      <c r="L298" s="32">
        <f ca="1">ROUND(27.24,2)</f>
        <v>0</v>
      </c>
      <c r="M298" s="32">
        <f ca="1">ROUND(K298*L298,2)</f>
        <v>0</v>
      </c>
    </row>
    <row r="299" spans="1:13" ht="15.12" thickBot="1" customHeight="1">
      <c r="A299" s="8" t="s">
        <v>979</v>
      </c>
      <c r="B299" s="8" t="s">
        <v>980</v>
      </c>
      <c r="C299" s="8" t="s">
        <v>981</v>
      </c>
      <c r="D299" s="30" t="s">
        <v>982</v>
      </c>
      <c r="E299" s="30"/>
      <c r="F299" s="30"/>
      <c r="G299" s="30"/>
      <c r="H299" s="30"/>
      <c r="I299" s="30"/>
      <c r="J299" s="30"/>
      <c r="K299" s="31">
        <v>0.216</v>
      </c>
      <c r="L299" s="32">
        <f ca="1">ROUND(23.25,2)</f>
        <v>0</v>
      </c>
      <c r="M299" s="32">
        <f ca="1">ROUND(K299*L299,2)</f>
        <v>0</v>
      </c>
    </row>
    <row r="300" spans="1:13" ht="15.12" thickBot="1" customHeight="1">
      <c r="A300" s="8" t="s">
        <v>983</v>
      </c>
      <c r="B300" s="8"/>
      <c r="C300" s="8" t="s">
        <v>984</v>
      </c>
      <c r="D300" s="30" t="s">
        <v>985</v>
      </c>
      <c r="E300" s="30"/>
      <c r="F300" s="30"/>
      <c r="G300" s="30"/>
      <c r="H300" s="30"/>
      <c r="I300" s="30"/>
      <c r="J300" s="30"/>
      <c r="K300" s="31">
        <v>2.000</v>
      </c>
      <c r="L300" s="32">
        <f ca="1">ROUND(115.13,2)</f>
        <v>0</v>
      </c>
      <c r="M300" s="32">
        <f ca="1">ROUND((K300*L300)/100,2)</f>
        <v>0</v>
      </c>
    </row>
    <row r="301" spans="1:13" ht="15.48" thickBot="1" customHeight="1">
      <c r="A301" s="34"/>
      <c r="B301" s="34"/>
      <c r="C301" s="34"/>
      <c r="D301" s="35" t="s">
        <v>986</v>
      </c>
      <c r="E301" s="34"/>
      <c r="F301" s="34"/>
      <c r="G301" s="34"/>
      <c r="H301" s="34"/>
      <c r="I301" s="34"/>
      <c r="J301" s="34"/>
      <c r="K301" s="37">
        <v>1.000</v>
      </c>
      <c r="L301" s="38">
        <f ca="1">ROUND((M296+M297+M298+M299+M300)*(1+M2/100),2)</f>
        <v>0</v>
      </c>
      <c r="M301" s="38">
        <f ca="1">ROUND(K301*L301,2)</f>
        <v>0</v>
      </c>
    </row>
    <row r="302" spans="1:13" ht="21.36" thickBot="1" customHeight="1">
      <c r="A302" s="39" t="s">
        <v>987</v>
      </c>
      <c r="B302" s="40" t="s">
        <v>988</v>
      </c>
      <c r="C302" s="40" t="s">
        <v>989</v>
      </c>
      <c r="D302" s="41" t="s">
        <v>990</v>
      </c>
      <c r="E302" s="41"/>
      <c r="F302" s="41"/>
      <c r="G302" s="41"/>
      <c r="H302" s="41"/>
      <c r="I302" s="41"/>
      <c r="J302" s="41"/>
      <c r="K302" s="42">
        <f ca="1">ROUND(2.00,2)</f>
        <v>0</v>
      </c>
      <c r="L302" s="43">
        <f ca="1">L307</f>
        <v>0</v>
      </c>
      <c r="M302" s="43">
        <f ca="1">ROUND(K302*L302,2)</f>
        <v>0</v>
      </c>
    </row>
    <row r="303" spans="1:13" ht="30.60" thickBot="1" customHeight="1">
      <c r="A303" s="33"/>
      <c r="B303" s="33"/>
      <c r="C303" s="33"/>
      <c r="D303" s="30" t="s">
        <v>991</v>
      </c>
      <c r="E303" s="30"/>
      <c r="F303" s="30"/>
      <c r="G303" s="30"/>
      <c r="H303" s="30"/>
      <c r="I303" s="30"/>
      <c r="J303" s="30"/>
      <c r="K303" s="30"/>
      <c r="L303" s="30"/>
      <c r="M303" s="30"/>
    </row>
    <row r="304" spans="1:13" ht="15.12" thickBot="1" customHeight="1">
      <c r="A304" s="8" t="s">
        <v>992</v>
      </c>
      <c r="B304" s="8" t="s">
        <v>993</v>
      </c>
      <c r="C304" s="8" t="s">
        <v>994</v>
      </c>
      <c r="D304" s="30" t="s">
        <v>995</v>
      </c>
      <c r="E304" s="30"/>
      <c r="F304" s="30"/>
      <c r="G304" s="30"/>
      <c r="H304" s="30"/>
      <c r="I304" s="30"/>
      <c r="J304" s="30"/>
      <c r="K304" s="31">
        <v>2.000</v>
      </c>
      <c r="L304" s="32">
        <f ca="1">ROUND(27.24,2)</f>
        <v>0</v>
      </c>
      <c r="M304" s="32">
        <f ca="1">ROUND(K304*L304,2)</f>
        <v>0</v>
      </c>
    </row>
    <row r="305" spans="1:13" ht="15.12" thickBot="1" customHeight="1">
      <c r="A305" s="8" t="s">
        <v>996</v>
      </c>
      <c r="B305" s="8" t="s">
        <v>997</v>
      </c>
      <c r="C305" s="8" t="s">
        <v>998</v>
      </c>
      <c r="D305" s="30" t="s">
        <v>999</v>
      </c>
      <c r="E305" s="30"/>
      <c r="F305" s="30"/>
      <c r="G305" s="30"/>
      <c r="H305" s="30"/>
      <c r="I305" s="30"/>
      <c r="J305" s="30"/>
      <c r="K305" s="31">
        <v>2.000</v>
      </c>
      <c r="L305" s="32">
        <f ca="1">ROUND(27.24,2)</f>
        <v>0</v>
      </c>
      <c r="M305" s="32">
        <f ca="1">ROUND(K305*L305,2)</f>
        <v>0</v>
      </c>
    </row>
    <row r="306" spans="1:13" ht="21.36" thickBot="1" customHeight="1">
      <c r="A306" s="8" t="s">
        <v>1000</v>
      </c>
      <c r="B306" s="8" t="s">
        <v>1001</v>
      </c>
      <c r="C306" s="8" t="s">
        <v>1002</v>
      </c>
      <c r="D306" s="30" t="s">
        <v>1003</v>
      </c>
      <c r="E306" s="30"/>
      <c r="F306" s="30"/>
      <c r="G306" s="30"/>
      <c r="H306" s="30"/>
      <c r="I306" s="30"/>
      <c r="J306" s="30"/>
      <c r="K306" s="31">
        <v>1.000</v>
      </c>
      <c r="L306" s="32">
        <f ca="1">ROUND(95.00,2)</f>
        <v>0</v>
      </c>
      <c r="M306" s="32">
        <f ca="1">ROUND(K306*L306,2)</f>
        <v>0</v>
      </c>
    </row>
    <row r="307" spans="1:13" ht="15.48" thickBot="1" customHeight="1">
      <c r="A307" s="34"/>
      <c r="B307" s="34"/>
      <c r="C307" s="34"/>
      <c r="D307" s="35" t="s">
        <v>1004</v>
      </c>
      <c r="E307" s="34"/>
      <c r="F307" s="34"/>
      <c r="G307" s="34"/>
      <c r="H307" s="34"/>
      <c r="I307" s="34"/>
      <c r="J307" s="34"/>
      <c r="K307" s="37">
        <v>2.000</v>
      </c>
      <c r="L307" s="38">
        <f ca="1">ROUND((M304+M305+M306)*(1+M2/100),2)</f>
        <v>0</v>
      </c>
      <c r="M307" s="38">
        <f ca="1">ROUND(K307*L307,2)</f>
        <v>0</v>
      </c>
    </row>
    <row r="308" spans="1:13" ht="15.48" thickBot="1" customHeight="1">
      <c r="A308" s="44"/>
      <c r="B308" s="44"/>
      <c r="C308" s="44"/>
      <c r="D308" s="45" t="s">
        <v>1005</v>
      </c>
      <c r="E308" s="46"/>
      <c r="F308" s="46"/>
      <c r="G308" s="46"/>
      <c r="H308" s="46"/>
      <c r="I308" s="46"/>
      <c r="J308" s="46"/>
      <c r="K308" s="46"/>
      <c r="L308" s="47">
        <f ca="1">M245+M252+M259+M266+M280+M294+M302</f>
        <v>0</v>
      </c>
      <c r="M308" s="47">
        <f ca="1">ROUND(L308,2)</f>
        <v>0</v>
      </c>
    </row>
    <row r="309" spans="1:13" ht="15.48" thickBot="1" customHeight="1">
      <c r="A309" s="44"/>
      <c r="B309" s="44"/>
      <c r="C309" s="44"/>
      <c r="D309" s="66" t="s">
        <v>1006</v>
      </c>
      <c r="E309" s="67"/>
      <c r="F309" s="67"/>
      <c r="G309" s="67"/>
      <c r="H309" s="67"/>
      <c r="I309" s="67"/>
      <c r="J309" s="67"/>
      <c r="K309" s="67"/>
      <c r="L309" s="68">
        <f ca="1">M57+M239+M243+M308</f>
        <v>0</v>
      </c>
      <c r="M309" s="68">
        <f ca="1">ROUND(L309,2)</f>
        <v>0</v>
      </c>
    </row>
    <row r="310" spans="1:13" ht="15.48" thickBot="1" customHeight="1">
      <c r="A310" s="69" t="s">
        <v>1007</v>
      </c>
      <c r="B310" s="69" t="s">
        <v>1008</v>
      </c>
      <c r="C310" s="70"/>
      <c r="D310" s="71" t="s">
        <v>1009</v>
      </c>
      <c r="E310" s="71"/>
      <c r="F310" s="71"/>
      <c r="G310" s="71"/>
      <c r="H310" s="71"/>
      <c r="I310" s="71"/>
      <c r="J310" s="71"/>
      <c r="K310" s="70"/>
      <c r="L310" s="72">
        <f ca="1">L611</f>
        <v>0</v>
      </c>
      <c r="M310" s="72">
        <f ca="1">ROUND(L310,2)</f>
        <v>0</v>
      </c>
    </row>
    <row r="311" spans="1:13" ht="15.48" thickBot="1" customHeight="1">
      <c r="A311" s="26" t="s">
        <v>1010</v>
      </c>
      <c r="B311" s="26" t="s">
        <v>1011</v>
      </c>
      <c r="C311" s="27"/>
      <c r="D311" s="28" t="s">
        <v>1012</v>
      </c>
      <c r="E311" s="28"/>
      <c r="F311" s="28"/>
      <c r="G311" s="28"/>
      <c r="H311" s="28"/>
      <c r="I311" s="28"/>
      <c r="J311" s="28"/>
      <c r="K311" s="27"/>
      <c r="L311" s="29">
        <f ca="1">L362</f>
        <v>0</v>
      </c>
      <c r="M311" s="29">
        <f ca="1">ROUND(L311,2)</f>
        <v>0</v>
      </c>
    </row>
    <row r="312" spans="1:13" ht="15.48" thickBot="1" customHeight="1">
      <c r="A312" s="15" t="s">
        <v>1013</v>
      </c>
      <c r="B312" s="8" t="s">
        <v>1014</v>
      </c>
      <c r="C312" s="8" t="s">
        <v>1015</v>
      </c>
      <c r="D312" s="30" t="s">
        <v>1016</v>
      </c>
      <c r="E312" s="30"/>
      <c r="F312" s="30"/>
      <c r="G312" s="30"/>
      <c r="H312" s="30"/>
      <c r="I312" s="30"/>
      <c r="J312" s="30"/>
      <c r="K312" s="31">
        <f ca="1">ROUND(148.00,2)</f>
        <v>0</v>
      </c>
      <c r="L312" s="32">
        <f ca="1">L318</f>
        <v>0</v>
      </c>
      <c r="M312" s="32">
        <f ca="1">ROUND(K312*L312,2)</f>
        <v>0</v>
      </c>
    </row>
    <row r="313" spans="1:13" ht="39.84" thickBot="1" customHeight="1">
      <c r="A313" s="33"/>
      <c r="B313" s="33"/>
      <c r="C313" s="33"/>
      <c r="D313" s="30" t="s">
        <v>1017</v>
      </c>
      <c r="E313" s="30"/>
      <c r="F313" s="30"/>
      <c r="G313" s="30"/>
      <c r="H313" s="30"/>
      <c r="I313" s="30"/>
      <c r="J313" s="30"/>
      <c r="K313" s="30"/>
      <c r="L313" s="30"/>
      <c r="M313" s="30"/>
    </row>
    <row r="314" spans="1:13" ht="21.36" thickBot="1" customHeight="1">
      <c r="A314" s="8" t="s">
        <v>1018</v>
      </c>
      <c r="B314" s="8" t="s">
        <v>1019</v>
      </c>
      <c r="C314" s="8" t="s">
        <v>1020</v>
      </c>
      <c r="D314" s="30" t="s">
        <v>1021</v>
      </c>
      <c r="E314" s="30"/>
      <c r="F314" s="30"/>
      <c r="G314" s="30"/>
      <c r="H314" s="30"/>
      <c r="I314" s="30"/>
      <c r="J314" s="30"/>
      <c r="K314" s="31">
        <v>0.120</v>
      </c>
      <c r="L314" s="32">
        <f ca="1">ROUND(25.21,2)</f>
        <v>0</v>
      </c>
      <c r="M314" s="32">
        <f ca="1">ROUND(K314*L314,2)</f>
        <v>0</v>
      </c>
    </row>
    <row r="315" spans="1:13" ht="15.12" thickBot="1" customHeight="1">
      <c r="A315" s="8" t="s">
        <v>1022</v>
      </c>
      <c r="B315" s="8" t="s">
        <v>1023</v>
      </c>
      <c r="C315" s="8" t="s">
        <v>1024</v>
      </c>
      <c r="D315" s="30" t="s">
        <v>1025</v>
      </c>
      <c r="E315" s="30"/>
      <c r="F315" s="30"/>
      <c r="G315" s="30"/>
      <c r="H315" s="30"/>
      <c r="I315" s="30"/>
      <c r="J315" s="30"/>
      <c r="K315" s="31">
        <v>0.110</v>
      </c>
      <c r="L315" s="32">
        <f ca="1">ROUND(25.42,2)</f>
        <v>0</v>
      </c>
      <c r="M315" s="32">
        <f ca="1">ROUND(K315*L315,2)</f>
        <v>0</v>
      </c>
    </row>
    <row r="316" spans="1:13" ht="15.12" thickBot="1" customHeight="1">
      <c r="A316" s="8" t="s">
        <v>1026</v>
      </c>
      <c r="B316" s="8" t="s">
        <v>1027</v>
      </c>
      <c r="C316" s="8" t="s">
        <v>1028</v>
      </c>
      <c r="D316" s="30" t="s">
        <v>1029</v>
      </c>
      <c r="E316" s="30"/>
      <c r="F316" s="30"/>
      <c r="G316" s="30"/>
      <c r="H316" s="30"/>
      <c r="I316" s="30"/>
      <c r="J316" s="30"/>
      <c r="K316" s="31">
        <v>0.110</v>
      </c>
      <c r="L316" s="32">
        <f ca="1">ROUND(22.45,2)</f>
        <v>0</v>
      </c>
      <c r="M316" s="32">
        <f ca="1">ROUND(K316*L316,2)</f>
        <v>0</v>
      </c>
    </row>
    <row r="317" spans="1:13" ht="15.12" thickBot="1" customHeight="1">
      <c r="A317" s="8" t="s">
        <v>1030</v>
      </c>
      <c r="B317" s="8"/>
      <c r="C317" s="8" t="s">
        <v>1031</v>
      </c>
      <c r="D317" s="30" t="s">
        <v>1032</v>
      </c>
      <c r="E317" s="30"/>
      <c r="F317" s="30"/>
      <c r="G317" s="30"/>
      <c r="H317" s="30"/>
      <c r="I317" s="30"/>
      <c r="J317" s="30"/>
      <c r="K317" s="31">
        <v>2.000</v>
      </c>
      <c r="L317" s="32">
        <f ca="1">ROUND(8.30,2)</f>
        <v>0</v>
      </c>
      <c r="M317" s="32">
        <f ca="1">ROUND((K317*L317)/100,2)</f>
        <v>0</v>
      </c>
    </row>
    <row r="318" spans="1:13" ht="15.48" thickBot="1" customHeight="1">
      <c r="A318" s="34"/>
      <c r="B318" s="34"/>
      <c r="C318" s="34"/>
      <c r="D318" s="35" t="s">
        <v>1033</v>
      </c>
      <c r="E318" s="34"/>
      <c r="F318" s="34"/>
      <c r="G318" s="34"/>
      <c r="H318" s="34"/>
      <c r="I318" s="34"/>
      <c r="J318" s="34"/>
      <c r="K318" s="37">
        <v>148.000</v>
      </c>
      <c r="L318" s="38">
        <f ca="1">ROUND((M314+M315+M316+M317)*(1+M2/100),2)</f>
        <v>0</v>
      </c>
      <c r="M318" s="38">
        <f ca="1">ROUND(K318*L318,2)</f>
        <v>0</v>
      </c>
    </row>
    <row r="319" spans="1:13" ht="15.48" thickBot="1" customHeight="1">
      <c r="A319" s="39" t="s">
        <v>1034</v>
      </c>
      <c r="B319" s="40" t="s">
        <v>1035</v>
      </c>
      <c r="C319" s="40" t="s">
        <v>1036</v>
      </c>
      <c r="D319" s="41" t="s">
        <v>1037</v>
      </c>
      <c r="E319" s="41"/>
      <c r="F319" s="41"/>
      <c r="G319" s="41"/>
      <c r="H319" s="41"/>
      <c r="I319" s="41"/>
      <c r="J319" s="41"/>
      <c r="K319" s="42">
        <f ca="1">ROUND(16.00,2)</f>
        <v>0</v>
      </c>
      <c r="L319" s="43">
        <f ca="1">L325</f>
        <v>0</v>
      </c>
      <c r="M319" s="43">
        <f ca="1">ROUND(K319*L319,2)</f>
        <v>0</v>
      </c>
    </row>
    <row r="320" spans="1:13" ht="49.08" thickBot="1" customHeight="1">
      <c r="A320" s="33"/>
      <c r="B320" s="33"/>
      <c r="C320" s="33"/>
      <c r="D320" s="30" t="s">
        <v>1038</v>
      </c>
      <c r="E320" s="30"/>
      <c r="F320" s="30"/>
      <c r="G320" s="30"/>
      <c r="H320" s="30"/>
      <c r="I320" s="30"/>
      <c r="J320" s="30"/>
      <c r="K320" s="30"/>
      <c r="L320" s="30"/>
      <c r="M320" s="30"/>
    </row>
    <row r="321" spans="1:13" ht="15.12" thickBot="1" customHeight="1">
      <c r="A321" s="8" t="s">
        <v>1039</v>
      </c>
      <c r="B321" s="8" t="s">
        <v>1040</v>
      </c>
      <c r="C321" s="8" t="s">
        <v>1041</v>
      </c>
      <c r="D321" s="30" t="s">
        <v>1042</v>
      </c>
      <c r="E321" s="30"/>
      <c r="F321" s="30"/>
      <c r="G321" s="30"/>
      <c r="H321" s="30"/>
      <c r="I321" s="30"/>
      <c r="J321" s="30"/>
      <c r="K321" s="31">
        <v>0.684</v>
      </c>
      <c r="L321" s="32">
        <f ca="1">ROUND(15.83,2)</f>
        <v>0</v>
      </c>
      <c r="M321" s="32">
        <f ca="1">ROUND(K321*L321,2)</f>
        <v>0</v>
      </c>
    </row>
    <row r="322" spans="1:13" ht="15.12" thickBot="1" customHeight="1">
      <c r="A322" s="8" t="s">
        <v>1043</v>
      </c>
      <c r="B322" s="8" t="s">
        <v>1044</v>
      </c>
      <c r="C322" s="8" t="s">
        <v>1045</v>
      </c>
      <c r="D322" s="30" t="s">
        <v>1046</v>
      </c>
      <c r="E322" s="30"/>
      <c r="F322" s="30"/>
      <c r="G322" s="30"/>
      <c r="H322" s="30"/>
      <c r="I322" s="30"/>
      <c r="J322" s="30"/>
      <c r="K322" s="31">
        <v>0.164</v>
      </c>
      <c r="L322" s="32">
        <f ca="1">ROUND(25.42,2)</f>
        <v>0</v>
      </c>
      <c r="M322" s="32">
        <f ca="1">ROUND(K322*L322,2)</f>
        <v>0</v>
      </c>
    </row>
    <row r="323" spans="1:13" ht="15.12" thickBot="1" customHeight="1">
      <c r="A323" s="8" t="s">
        <v>1047</v>
      </c>
      <c r="B323" s="8" t="s">
        <v>1048</v>
      </c>
      <c r="C323" s="8" t="s">
        <v>1049</v>
      </c>
      <c r="D323" s="30" t="s">
        <v>1050</v>
      </c>
      <c r="E323" s="30"/>
      <c r="F323" s="30"/>
      <c r="G323" s="30"/>
      <c r="H323" s="30"/>
      <c r="I323" s="30"/>
      <c r="J323" s="30"/>
      <c r="K323" s="31">
        <v>0.164</v>
      </c>
      <c r="L323" s="32">
        <f ca="1">ROUND(22.45,2)</f>
        <v>0</v>
      </c>
      <c r="M323" s="32">
        <f ca="1">ROUND(K323*L323,2)</f>
        <v>0</v>
      </c>
    </row>
    <row r="324" spans="1:13" ht="15.12" thickBot="1" customHeight="1">
      <c r="A324" s="8" t="s">
        <v>1051</v>
      </c>
      <c r="B324" s="8"/>
      <c r="C324" s="8" t="s">
        <v>1052</v>
      </c>
      <c r="D324" s="30" t="s">
        <v>1053</v>
      </c>
      <c r="E324" s="30"/>
      <c r="F324" s="30"/>
      <c r="G324" s="30"/>
      <c r="H324" s="30"/>
      <c r="I324" s="30"/>
      <c r="J324" s="30"/>
      <c r="K324" s="31">
        <v>2.000</v>
      </c>
      <c r="L324" s="32">
        <f ca="1">ROUND(18.68,2)</f>
        <v>0</v>
      </c>
      <c r="M324" s="32">
        <f ca="1">ROUND((K324*L324)/100,2)</f>
        <v>0</v>
      </c>
    </row>
    <row r="325" spans="1:13" ht="15.48" thickBot="1" customHeight="1">
      <c r="A325" s="34"/>
      <c r="B325" s="34"/>
      <c r="C325" s="34"/>
      <c r="D325" s="35" t="s">
        <v>1054</v>
      </c>
      <c r="E325" s="34"/>
      <c r="F325" s="34"/>
      <c r="G325" s="34"/>
      <c r="H325" s="34"/>
      <c r="I325" s="34"/>
      <c r="J325" s="34"/>
      <c r="K325" s="37">
        <v>16.000</v>
      </c>
      <c r="L325" s="38">
        <f ca="1">ROUND((M321+M322+M323+M324)*(1+M2/100),2)</f>
        <v>0</v>
      </c>
      <c r="M325" s="38">
        <f ca="1">ROUND(K325*L325,2)</f>
        <v>0</v>
      </c>
    </row>
    <row r="326" spans="1:13" ht="15.48" thickBot="1" customHeight="1">
      <c r="A326" s="39" t="s">
        <v>1055</v>
      </c>
      <c r="B326" s="40" t="s">
        <v>1056</v>
      </c>
      <c r="C326" s="40" t="s">
        <v>1057</v>
      </c>
      <c r="D326" s="41" t="s">
        <v>1058</v>
      </c>
      <c r="E326" s="41"/>
      <c r="F326" s="41"/>
      <c r="G326" s="41"/>
      <c r="H326" s="41"/>
      <c r="I326" s="41"/>
      <c r="J326" s="41"/>
      <c r="K326" s="42">
        <f ca="1">ROUND(150.00,2)</f>
        <v>0</v>
      </c>
      <c r="L326" s="43">
        <f ca="1">L333</f>
        <v>0</v>
      </c>
      <c r="M326" s="43">
        <f ca="1">ROUND(K326*L326,2)</f>
        <v>0</v>
      </c>
    </row>
    <row r="327" spans="1:13" ht="49.08" thickBot="1" customHeight="1">
      <c r="A327" s="33"/>
      <c r="B327" s="33"/>
      <c r="C327" s="33"/>
      <c r="D327" s="30" t="s">
        <v>1059</v>
      </c>
      <c r="E327" s="30"/>
      <c r="F327" s="30"/>
      <c r="G327" s="30"/>
      <c r="H327" s="30"/>
      <c r="I327" s="30"/>
      <c r="J327" s="30"/>
      <c r="K327" s="30"/>
      <c r="L327" s="30"/>
      <c r="M327" s="30"/>
    </row>
    <row r="328" spans="1:13" ht="15.12" thickBot="1" customHeight="1">
      <c r="A328" s="8" t="s">
        <v>1060</v>
      </c>
      <c r="B328" s="8" t="s">
        <v>1061</v>
      </c>
      <c r="C328" s="8" t="s">
        <v>1062</v>
      </c>
      <c r="D328" s="30" t="s">
        <v>1063</v>
      </c>
      <c r="E328" s="30"/>
      <c r="F328" s="30"/>
      <c r="G328" s="30"/>
      <c r="H328" s="30"/>
      <c r="I328" s="30"/>
      <c r="J328" s="30"/>
      <c r="K328" s="31">
        <v>0.057</v>
      </c>
      <c r="L328" s="32">
        <f ca="1">ROUND(15.83,2)</f>
        <v>0</v>
      </c>
      <c r="M328" s="32">
        <f ca="1">ROUND(K328*L328,2)</f>
        <v>0</v>
      </c>
    </row>
    <row r="329" spans="1:13" ht="15.12" thickBot="1" customHeight="1">
      <c r="A329" s="8" t="s">
        <v>1064</v>
      </c>
      <c r="B329" s="8" t="s">
        <v>1065</v>
      </c>
      <c r="C329" s="8" t="s">
        <v>1066</v>
      </c>
      <c r="D329" s="30" t="s">
        <v>1067</v>
      </c>
      <c r="E329" s="30"/>
      <c r="F329" s="30"/>
      <c r="G329" s="30"/>
      <c r="H329" s="30"/>
      <c r="I329" s="30"/>
      <c r="J329" s="30"/>
      <c r="K329" s="31">
        <v>2.000</v>
      </c>
      <c r="L329" s="32">
        <f ca="1">ROUND(0.10,2)</f>
        <v>0</v>
      </c>
      <c r="M329" s="32">
        <f ca="1">ROUND(K329*L329,2)</f>
        <v>0</v>
      </c>
    </row>
    <row r="330" spans="1:13" ht="15.12" thickBot="1" customHeight="1">
      <c r="A330" s="8" t="s">
        <v>1068</v>
      </c>
      <c r="B330" s="8" t="s">
        <v>1069</v>
      </c>
      <c r="C330" s="8" t="s">
        <v>1070</v>
      </c>
      <c r="D330" s="30" t="s">
        <v>1071</v>
      </c>
      <c r="E330" s="30"/>
      <c r="F330" s="30"/>
      <c r="G330" s="30"/>
      <c r="H330" s="30"/>
      <c r="I330" s="30"/>
      <c r="J330" s="30"/>
      <c r="K330" s="31">
        <v>0.055</v>
      </c>
      <c r="L330" s="32">
        <f ca="1">ROUND(25.42,2)</f>
        <v>0</v>
      </c>
      <c r="M330" s="32">
        <f ca="1">ROUND(K330*L330,2)</f>
        <v>0</v>
      </c>
    </row>
    <row r="331" spans="1:13" ht="15.12" thickBot="1" customHeight="1">
      <c r="A331" s="8" t="s">
        <v>1072</v>
      </c>
      <c r="B331" s="8" t="s">
        <v>1073</v>
      </c>
      <c r="C331" s="8" t="s">
        <v>1074</v>
      </c>
      <c r="D331" s="30" t="s">
        <v>1075</v>
      </c>
      <c r="E331" s="30"/>
      <c r="F331" s="30"/>
      <c r="G331" s="30"/>
      <c r="H331" s="30"/>
      <c r="I331" s="30"/>
      <c r="J331" s="30"/>
      <c r="K331" s="31">
        <v>0.055</v>
      </c>
      <c r="L331" s="32">
        <f ca="1">ROUND(22.45,2)</f>
        <v>0</v>
      </c>
      <c r="M331" s="32">
        <f ca="1">ROUND(K331*L331,2)</f>
        <v>0</v>
      </c>
    </row>
    <row r="332" spans="1:13" ht="15.12" thickBot="1" customHeight="1">
      <c r="A332" s="8" t="s">
        <v>1076</v>
      </c>
      <c r="B332" s="8"/>
      <c r="C332" s="8" t="s">
        <v>1077</v>
      </c>
      <c r="D332" s="30" t="s">
        <v>1078</v>
      </c>
      <c r="E332" s="30"/>
      <c r="F332" s="30"/>
      <c r="G332" s="30"/>
      <c r="H332" s="30"/>
      <c r="I332" s="30"/>
      <c r="J332" s="30"/>
      <c r="K332" s="31">
        <v>2.000</v>
      </c>
      <c r="L332" s="32">
        <f ca="1">ROUND(3.73,2)</f>
        <v>0</v>
      </c>
      <c r="M332" s="32">
        <f ca="1">ROUND((K332*L332)/100,2)</f>
        <v>0</v>
      </c>
    </row>
    <row r="333" spans="1:13" ht="15.48" thickBot="1" customHeight="1">
      <c r="A333" s="34"/>
      <c r="B333" s="34"/>
      <c r="C333" s="34"/>
      <c r="D333" s="35" t="s">
        <v>1079</v>
      </c>
      <c r="E333" s="34"/>
      <c r="F333" s="34"/>
      <c r="G333" s="34"/>
      <c r="H333" s="34"/>
      <c r="I333" s="34"/>
      <c r="J333" s="34"/>
      <c r="K333" s="37">
        <v>150.000</v>
      </c>
      <c r="L333" s="38">
        <f ca="1">ROUND((M328+M329+M330+M331+M332)*(1+M2/100),2)</f>
        <v>0</v>
      </c>
      <c r="M333" s="38">
        <f ca="1">ROUND(K333*L333,2)</f>
        <v>0</v>
      </c>
    </row>
    <row r="334" spans="1:13" ht="15.48" thickBot="1" customHeight="1">
      <c r="A334" s="39" t="s">
        <v>1080</v>
      </c>
      <c r="B334" s="40" t="s">
        <v>1081</v>
      </c>
      <c r="C334" s="40" t="s">
        <v>1082</v>
      </c>
      <c r="D334" s="41" t="s">
        <v>1083</v>
      </c>
      <c r="E334" s="41"/>
      <c r="F334" s="41"/>
      <c r="G334" s="41"/>
      <c r="H334" s="41"/>
      <c r="I334" s="41"/>
      <c r="J334" s="41"/>
      <c r="K334" s="42">
        <f ca="1">ROUND(7.00,2)</f>
        <v>0</v>
      </c>
      <c r="L334" s="43">
        <f ca="1">L342</f>
        <v>0</v>
      </c>
      <c r="M334" s="43">
        <f ca="1">ROUND(K334*L334,2)</f>
        <v>0</v>
      </c>
    </row>
    <row r="335" spans="1:13" ht="49.08" thickBot="1" customHeight="1">
      <c r="A335" s="33"/>
      <c r="B335" s="33"/>
      <c r="C335" s="33"/>
      <c r="D335" s="30" t="s">
        <v>1084</v>
      </c>
      <c r="E335" s="30"/>
      <c r="F335" s="30"/>
      <c r="G335" s="30"/>
      <c r="H335" s="30"/>
      <c r="I335" s="30"/>
      <c r="J335" s="30"/>
      <c r="K335" s="30"/>
      <c r="L335" s="30"/>
      <c r="M335" s="30"/>
    </row>
    <row r="336" spans="1:13" ht="15.12" thickBot="1" customHeight="1">
      <c r="A336" s="8" t="s">
        <v>1085</v>
      </c>
      <c r="B336" s="8" t="s">
        <v>1086</v>
      </c>
      <c r="C336" s="8" t="s">
        <v>1087</v>
      </c>
      <c r="D336" s="30" t="s">
        <v>1088</v>
      </c>
      <c r="E336" s="30"/>
      <c r="F336" s="30"/>
      <c r="G336" s="30"/>
      <c r="H336" s="30"/>
      <c r="I336" s="30"/>
      <c r="J336" s="30"/>
      <c r="K336" s="31">
        <v>1.000</v>
      </c>
      <c r="L336" s="32">
        <f ca="1">ROUND(195.32,2)</f>
        <v>0</v>
      </c>
      <c r="M336" s="32">
        <f ca="1">ROUND(K336*L336,2)</f>
        <v>0</v>
      </c>
    </row>
    <row r="337" spans="1:13" ht="21.36" thickBot="1" customHeight="1">
      <c r="A337" s="8" t="s">
        <v>1089</v>
      </c>
      <c r="B337" s="8" t="s">
        <v>1090</v>
      </c>
      <c r="C337" s="8" t="s">
        <v>1091</v>
      </c>
      <c r="D337" s="30" t="s">
        <v>1092</v>
      </c>
      <c r="E337" s="30"/>
      <c r="F337" s="30"/>
      <c r="G337" s="30"/>
      <c r="H337" s="30"/>
      <c r="I337" s="30"/>
      <c r="J337" s="30"/>
      <c r="K337" s="31">
        <v>1.000</v>
      </c>
      <c r="L337" s="32">
        <f ca="1">ROUND(5.88,2)</f>
        <v>0</v>
      </c>
      <c r="M337" s="32">
        <f ca="1">ROUND(K337*L337,2)</f>
        <v>0</v>
      </c>
    </row>
    <row r="338" spans="1:13" ht="24.36" thickBot="1" customHeight="1">
      <c r="A338" s="8" t="s">
        <v>1093</v>
      </c>
      <c r="B338" s="8" t="s">
        <v>1094</v>
      </c>
      <c r="C338" s="8" t="s">
        <v>1095</v>
      </c>
      <c r="D338" s="30" t="s">
        <v>1096</v>
      </c>
      <c r="E338" s="30"/>
      <c r="F338" s="30"/>
      <c r="G338" s="30"/>
      <c r="H338" s="30"/>
      <c r="I338" s="30"/>
      <c r="J338" s="30"/>
      <c r="K338" s="31">
        <v>0.100</v>
      </c>
      <c r="L338" s="32">
        <f ca="1">ROUND(81.80,2)</f>
        <v>0</v>
      </c>
      <c r="M338" s="32">
        <f ca="1">ROUND(K338*L338,2)</f>
        <v>0</v>
      </c>
    </row>
    <row r="339" spans="1:13" ht="15.12" thickBot="1" customHeight="1">
      <c r="A339" s="8" t="s">
        <v>1097</v>
      </c>
      <c r="B339" s="8" t="s">
        <v>1098</v>
      </c>
      <c r="C339" s="8" t="s">
        <v>1099</v>
      </c>
      <c r="D339" s="30" t="s">
        <v>1100</v>
      </c>
      <c r="E339" s="30"/>
      <c r="F339" s="30"/>
      <c r="G339" s="30"/>
      <c r="H339" s="30"/>
      <c r="I339" s="30"/>
      <c r="J339" s="30"/>
      <c r="K339" s="31">
        <v>0.439</v>
      </c>
      <c r="L339" s="32">
        <f ca="1">ROUND(25.42,2)</f>
        <v>0</v>
      </c>
      <c r="M339" s="32">
        <f ca="1">ROUND(K339*L339,2)</f>
        <v>0</v>
      </c>
    </row>
    <row r="340" spans="1:13" ht="15.12" thickBot="1" customHeight="1">
      <c r="A340" s="8" t="s">
        <v>1101</v>
      </c>
      <c r="B340" s="8" t="s">
        <v>1102</v>
      </c>
      <c r="C340" s="8" t="s">
        <v>1103</v>
      </c>
      <c r="D340" s="30" t="s">
        <v>1104</v>
      </c>
      <c r="E340" s="30"/>
      <c r="F340" s="30"/>
      <c r="G340" s="30"/>
      <c r="H340" s="30"/>
      <c r="I340" s="30"/>
      <c r="J340" s="30"/>
      <c r="K340" s="31">
        <v>0.439</v>
      </c>
      <c r="L340" s="32">
        <f ca="1">ROUND(22.45,2)</f>
        <v>0</v>
      </c>
      <c r="M340" s="32">
        <f ca="1">ROUND(K340*L340,2)</f>
        <v>0</v>
      </c>
    </row>
    <row r="341" spans="1:13" ht="15.12" thickBot="1" customHeight="1">
      <c r="A341" s="8" t="s">
        <v>1105</v>
      </c>
      <c r="B341" s="8"/>
      <c r="C341" s="8" t="s">
        <v>1106</v>
      </c>
      <c r="D341" s="30" t="s">
        <v>1107</v>
      </c>
      <c r="E341" s="30"/>
      <c r="F341" s="30"/>
      <c r="G341" s="30"/>
      <c r="H341" s="30"/>
      <c r="I341" s="30"/>
      <c r="J341" s="30"/>
      <c r="K341" s="31">
        <v>2.000</v>
      </c>
      <c r="L341" s="32">
        <f ca="1">ROUND(230.40,2)</f>
        <v>0</v>
      </c>
      <c r="M341" s="32">
        <f ca="1">ROUND((K341*L341)/100,2)</f>
        <v>0</v>
      </c>
    </row>
    <row r="342" spans="1:13" ht="15.48" thickBot="1" customHeight="1">
      <c r="A342" s="34"/>
      <c r="B342" s="34"/>
      <c r="C342" s="34"/>
      <c r="D342" s="35" t="s">
        <v>1108</v>
      </c>
      <c r="E342" s="34"/>
      <c r="F342" s="34"/>
      <c r="G342" s="34"/>
      <c r="H342" s="34"/>
      <c r="I342" s="34"/>
      <c r="J342" s="34"/>
      <c r="K342" s="37">
        <v>7.000</v>
      </c>
      <c r="L342" s="38">
        <f ca="1">ROUND((M336+M337+M338+M339+M340+M341)*(1+M2/100),2)</f>
        <v>0</v>
      </c>
      <c r="M342" s="38">
        <f ca="1">ROUND(K342*L342,2)</f>
        <v>0</v>
      </c>
    </row>
    <row r="343" spans="1:13" ht="15.48" thickBot="1" customHeight="1">
      <c r="A343" s="39" t="s">
        <v>1109</v>
      </c>
      <c r="B343" s="40" t="s">
        <v>1110</v>
      </c>
      <c r="C343" s="40" t="s">
        <v>1111</v>
      </c>
      <c r="D343" s="41" t="s">
        <v>1112</v>
      </c>
      <c r="E343" s="41"/>
      <c r="F343" s="41"/>
      <c r="G343" s="41"/>
      <c r="H343" s="41"/>
      <c r="I343" s="41"/>
      <c r="J343" s="41"/>
      <c r="K343" s="42">
        <f ca="1">ROUND(2.00,2)</f>
        <v>0</v>
      </c>
      <c r="L343" s="43">
        <f ca="1">L351</f>
        <v>0</v>
      </c>
      <c r="M343" s="43">
        <f ca="1">ROUND(K343*L343,2)</f>
        <v>0</v>
      </c>
    </row>
    <row r="344" spans="1:13" ht="30.60" thickBot="1" customHeight="1">
      <c r="A344" s="33"/>
      <c r="B344" s="33"/>
      <c r="C344" s="33"/>
      <c r="D344" s="30" t="s">
        <v>1113</v>
      </c>
      <c r="E344" s="30"/>
      <c r="F344" s="30"/>
      <c r="G344" s="30"/>
      <c r="H344" s="30"/>
      <c r="I344" s="30"/>
      <c r="J344" s="30"/>
      <c r="K344" s="30"/>
      <c r="L344" s="30"/>
      <c r="M344" s="30"/>
    </row>
    <row r="345" spans="1:13" ht="21.36" thickBot="1" customHeight="1">
      <c r="A345" s="8" t="s">
        <v>1114</v>
      </c>
      <c r="B345" s="8" t="s">
        <v>1115</v>
      </c>
      <c r="C345" s="8" t="s">
        <v>1116</v>
      </c>
      <c r="D345" s="30" t="s">
        <v>1117</v>
      </c>
      <c r="E345" s="30"/>
      <c r="F345" s="30"/>
      <c r="G345" s="30"/>
      <c r="H345" s="30"/>
      <c r="I345" s="30"/>
      <c r="J345" s="30"/>
      <c r="K345" s="31">
        <v>1.000</v>
      </c>
      <c r="L345" s="32">
        <f ca="1">ROUND(410.00,2)</f>
        <v>0</v>
      </c>
      <c r="M345" s="32">
        <f ca="1">ROUND(K345*L345,2)</f>
        <v>0</v>
      </c>
    </row>
    <row r="346" spans="1:13" ht="21.36" thickBot="1" customHeight="1">
      <c r="A346" s="8" t="s">
        <v>1118</v>
      </c>
      <c r="B346" s="8" t="s">
        <v>1119</v>
      </c>
      <c r="C346" s="8" t="s">
        <v>1120</v>
      </c>
      <c r="D346" s="30" t="s">
        <v>1121</v>
      </c>
      <c r="E346" s="30"/>
      <c r="F346" s="30"/>
      <c r="G346" s="30"/>
      <c r="H346" s="30"/>
      <c r="I346" s="30"/>
      <c r="J346" s="30"/>
      <c r="K346" s="31">
        <v>1.000</v>
      </c>
      <c r="L346" s="32">
        <f ca="1">ROUND(5.88,2)</f>
        <v>0</v>
      </c>
      <c r="M346" s="32">
        <f ca="1">ROUND(K346*L346,2)</f>
        <v>0</v>
      </c>
    </row>
    <row r="347" spans="1:13" ht="24.36" thickBot="1" customHeight="1">
      <c r="A347" s="8" t="s">
        <v>1122</v>
      </c>
      <c r="B347" s="8" t="s">
        <v>1123</v>
      </c>
      <c r="C347" s="8" t="s">
        <v>1124</v>
      </c>
      <c r="D347" s="30" t="s">
        <v>1125</v>
      </c>
      <c r="E347" s="30"/>
      <c r="F347" s="30"/>
      <c r="G347" s="30"/>
      <c r="H347" s="30"/>
      <c r="I347" s="30"/>
      <c r="J347" s="30"/>
      <c r="K347" s="31">
        <v>0.100</v>
      </c>
      <c r="L347" s="32">
        <f ca="1">ROUND(81.80,2)</f>
        <v>0</v>
      </c>
      <c r="M347" s="32">
        <f ca="1">ROUND(K347*L347,2)</f>
        <v>0</v>
      </c>
    </row>
    <row r="348" spans="1:13" ht="15.12" thickBot="1" customHeight="1">
      <c r="A348" s="8" t="s">
        <v>1126</v>
      </c>
      <c r="B348" s="8" t="s">
        <v>1127</v>
      </c>
      <c r="C348" s="8" t="s">
        <v>1128</v>
      </c>
      <c r="D348" s="30" t="s">
        <v>1129</v>
      </c>
      <c r="E348" s="30"/>
      <c r="F348" s="30"/>
      <c r="G348" s="30"/>
      <c r="H348" s="30"/>
      <c r="I348" s="30"/>
      <c r="J348" s="30"/>
      <c r="K348" s="31">
        <v>0.439</v>
      </c>
      <c r="L348" s="32">
        <f ca="1">ROUND(25.42,2)</f>
        <v>0</v>
      </c>
      <c r="M348" s="32">
        <f ca="1">ROUND(K348*L348,2)</f>
        <v>0</v>
      </c>
    </row>
    <row r="349" spans="1:13" ht="15.12" thickBot="1" customHeight="1">
      <c r="A349" s="8" t="s">
        <v>1130</v>
      </c>
      <c r="B349" s="8" t="s">
        <v>1131</v>
      </c>
      <c r="C349" s="8" t="s">
        <v>1132</v>
      </c>
      <c r="D349" s="30" t="s">
        <v>1133</v>
      </c>
      <c r="E349" s="30"/>
      <c r="F349" s="30"/>
      <c r="G349" s="30"/>
      <c r="H349" s="30"/>
      <c r="I349" s="30"/>
      <c r="J349" s="30"/>
      <c r="K349" s="31">
        <v>0.439</v>
      </c>
      <c r="L349" s="32">
        <f ca="1">ROUND(22.45,2)</f>
        <v>0</v>
      </c>
      <c r="M349" s="32">
        <f ca="1">ROUND(K349*L349,2)</f>
        <v>0</v>
      </c>
    </row>
    <row r="350" spans="1:13" ht="15.12" thickBot="1" customHeight="1">
      <c r="A350" s="8" t="s">
        <v>1134</v>
      </c>
      <c r="B350" s="8"/>
      <c r="C350" s="8" t="s">
        <v>1135</v>
      </c>
      <c r="D350" s="30" t="s">
        <v>1136</v>
      </c>
      <c r="E350" s="30"/>
      <c r="F350" s="30"/>
      <c r="G350" s="30"/>
      <c r="H350" s="30"/>
      <c r="I350" s="30"/>
      <c r="J350" s="30"/>
      <c r="K350" s="31">
        <v>2.000</v>
      </c>
      <c r="L350" s="32">
        <f ca="1">ROUND(445.08,2)</f>
        <v>0</v>
      </c>
      <c r="M350" s="32">
        <f ca="1">ROUND((K350*L350)/100,2)</f>
        <v>0</v>
      </c>
    </row>
    <row r="351" spans="1:13" ht="15.48" thickBot="1" customHeight="1">
      <c r="A351" s="34"/>
      <c r="B351" s="34"/>
      <c r="C351" s="34"/>
      <c r="D351" s="35" t="s">
        <v>1137</v>
      </c>
      <c r="E351" s="34"/>
      <c r="F351" s="34"/>
      <c r="G351" s="34"/>
      <c r="H351" s="34"/>
      <c r="I351" s="34"/>
      <c r="J351" s="34"/>
      <c r="K351" s="37">
        <v>2.000</v>
      </c>
      <c r="L351" s="38">
        <f ca="1">ROUND((M345+M346+M347+M348+M349+M350)*(1+M2/100),2)</f>
        <v>0</v>
      </c>
      <c r="M351" s="38">
        <f ca="1">ROUND(K351*L351,2)</f>
        <v>0</v>
      </c>
    </row>
    <row r="352" spans="1:13" ht="15.48" thickBot="1" customHeight="1">
      <c r="A352" s="39" t="s">
        <v>1138</v>
      </c>
      <c r="B352" s="40" t="s">
        <v>1139</v>
      </c>
      <c r="C352" s="40" t="s">
        <v>1140</v>
      </c>
      <c r="D352" s="41" t="s">
        <v>1141</v>
      </c>
      <c r="E352" s="41"/>
      <c r="F352" s="41"/>
      <c r="G352" s="41"/>
      <c r="H352" s="41"/>
      <c r="I352" s="41"/>
      <c r="J352" s="41"/>
      <c r="K352" s="42">
        <f ca="1">ROUND(1.00,2)</f>
        <v>0</v>
      </c>
      <c r="L352" s="43">
        <f ca="1">L361</f>
        <v>0</v>
      </c>
      <c r="M352" s="43">
        <f ca="1">ROUND(K352*L352,2)</f>
        <v>0</v>
      </c>
    </row>
    <row r="353" spans="1:13" ht="67.56" thickBot="1" customHeight="1">
      <c r="A353" s="33"/>
      <c r="B353" s="33"/>
      <c r="C353" s="33"/>
      <c r="D353" s="30" t="s">
        <v>1142</v>
      </c>
      <c r="E353" s="30"/>
      <c r="F353" s="30"/>
      <c r="G353" s="30"/>
      <c r="H353" s="30"/>
      <c r="I353" s="30"/>
      <c r="J353" s="30"/>
      <c r="K353" s="30"/>
      <c r="L353" s="30"/>
      <c r="M353" s="30"/>
    </row>
    <row r="354" spans="1:13" ht="21.36" thickBot="1" customHeight="1">
      <c r="A354" s="8" t="s">
        <v>1143</v>
      </c>
      <c r="B354" s="8" t="s">
        <v>1144</v>
      </c>
      <c r="C354" s="8" t="s">
        <v>1145</v>
      </c>
      <c r="D354" s="30" t="s">
        <v>1146</v>
      </c>
      <c r="E354" s="30"/>
      <c r="F354" s="30"/>
      <c r="G354" s="30"/>
      <c r="H354" s="30"/>
      <c r="I354" s="30"/>
      <c r="J354" s="30"/>
      <c r="K354" s="31">
        <v>1.000</v>
      </c>
      <c r="L354" s="32">
        <f ca="1">ROUND(32.25,2)</f>
        <v>0</v>
      </c>
      <c r="M354" s="32">
        <f ca="1">ROUND(K354*L354,2)</f>
        <v>0</v>
      </c>
    </row>
    <row r="355" spans="1:13" ht="21.36" thickBot="1" customHeight="1">
      <c r="A355" s="8" t="s">
        <v>1147</v>
      </c>
      <c r="B355" s="8" t="s">
        <v>1148</v>
      </c>
      <c r="C355" s="8" t="s">
        <v>1149</v>
      </c>
      <c r="D355" s="30" t="s">
        <v>1150</v>
      </c>
      <c r="E355" s="30"/>
      <c r="F355" s="30"/>
      <c r="G355" s="30"/>
      <c r="H355" s="30"/>
      <c r="I355" s="30"/>
      <c r="J355" s="30"/>
      <c r="K355" s="31">
        <v>1.000</v>
      </c>
      <c r="L355" s="32">
        <f ca="1">ROUND(63.18,2)</f>
        <v>0</v>
      </c>
      <c r="M355" s="32">
        <f ca="1">ROUND(K355*L355,2)</f>
        <v>0</v>
      </c>
    </row>
    <row r="356" spans="1:13" ht="15.12" thickBot="1" customHeight="1">
      <c r="A356" s="8" t="s">
        <v>1151</v>
      </c>
      <c r="B356" s="8" t="s">
        <v>1152</v>
      </c>
      <c r="C356" s="8" t="s">
        <v>1153</v>
      </c>
      <c r="D356" s="30" t="s">
        <v>1154</v>
      </c>
      <c r="E356" s="30"/>
      <c r="F356" s="30"/>
      <c r="G356" s="30"/>
      <c r="H356" s="30"/>
      <c r="I356" s="30"/>
      <c r="J356" s="30"/>
      <c r="K356" s="31">
        <v>0.842</v>
      </c>
      <c r="L356" s="32">
        <f ca="1">ROUND(11.50,2)</f>
        <v>0</v>
      </c>
      <c r="M356" s="32">
        <f ca="1">ROUND(K356*L356,2)</f>
        <v>0</v>
      </c>
    </row>
    <row r="357" spans="1:13" ht="15.12" thickBot="1" customHeight="1">
      <c r="A357" s="8" t="s">
        <v>1155</v>
      </c>
      <c r="B357" s="8" t="s">
        <v>1156</v>
      </c>
      <c r="C357" s="8" t="s">
        <v>1157</v>
      </c>
      <c r="D357" s="30" t="s">
        <v>1158</v>
      </c>
      <c r="E357" s="30"/>
      <c r="F357" s="30"/>
      <c r="G357" s="30"/>
      <c r="H357" s="30"/>
      <c r="I357" s="30"/>
      <c r="J357" s="30"/>
      <c r="K357" s="31">
        <v>0.084</v>
      </c>
      <c r="L357" s="32">
        <f ca="1">ROUND(40.90,2)</f>
        <v>0</v>
      </c>
      <c r="M357" s="32">
        <f ca="1">ROUND(K357*L357,2)</f>
        <v>0</v>
      </c>
    </row>
    <row r="358" spans="1:13" ht="15.12" thickBot="1" customHeight="1">
      <c r="A358" s="8" t="s">
        <v>1159</v>
      </c>
      <c r="B358" s="8" t="s">
        <v>1160</v>
      </c>
      <c r="C358" s="8" t="s">
        <v>1161</v>
      </c>
      <c r="D358" s="30" t="s">
        <v>1162</v>
      </c>
      <c r="E358" s="30"/>
      <c r="F358" s="30"/>
      <c r="G358" s="30"/>
      <c r="H358" s="30"/>
      <c r="I358" s="30"/>
      <c r="J358" s="30"/>
      <c r="K358" s="31">
        <v>0.541</v>
      </c>
      <c r="L358" s="32">
        <f ca="1">ROUND(26.38,2)</f>
        <v>0</v>
      </c>
      <c r="M358" s="32">
        <f ca="1">ROUND(K358*L358,2)</f>
        <v>0</v>
      </c>
    </row>
    <row r="359" spans="1:13" ht="15.12" thickBot="1" customHeight="1">
      <c r="A359" s="8" t="s">
        <v>1163</v>
      </c>
      <c r="B359" s="8" t="s">
        <v>1164</v>
      </c>
      <c r="C359" s="8" t="s">
        <v>1165</v>
      </c>
      <c r="D359" s="30" t="s">
        <v>1166</v>
      </c>
      <c r="E359" s="30"/>
      <c r="F359" s="30"/>
      <c r="G359" s="30"/>
      <c r="H359" s="30"/>
      <c r="I359" s="30"/>
      <c r="J359" s="30"/>
      <c r="K359" s="31">
        <v>0.609</v>
      </c>
      <c r="L359" s="32">
        <f ca="1">ROUND(23.30,2)</f>
        <v>0</v>
      </c>
      <c r="M359" s="32">
        <f ca="1">ROUND(K359*L359,2)</f>
        <v>0</v>
      </c>
    </row>
    <row r="360" spans="1:13" ht="15.12" thickBot="1" customHeight="1">
      <c r="A360" s="8" t="s">
        <v>1167</v>
      </c>
      <c r="B360" s="8"/>
      <c r="C360" s="8" t="s">
        <v>1168</v>
      </c>
      <c r="D360" s="30" t="s">
        <v>1169</v>
      </c>
      <c r="E360" s="30"/>
      <c r="F360" s="30"/>
      <c r="G360" s="30"/>
      <c r="H360" s="30"/>
      <c r="I360" s="30"/>
      <c r="J360" s="30"/>
      <c r="K360" s="31">
        <v>2.000</v>
      </c>
      <c r="L360" s="32">
        <f ca="1">ROUND(137.01,2)</f>
        <v>0</v>
      </c>
      <c r="M360" s="32">
        <f ca="1">ROUND((K360*L360)/100,2)</f>
        <v>0</v>
      </c>
    </row>
    <row r="361" spans="1:13" ht="15.48" thickBot="1" customHeight="1">
      <c r="A361" s="34"/>
      <c r="B361" s="34"/>
      <c r="C361" s="34"/>
      <c r="D361" s="35" t="s">
        <v>1170</v>
      </c>
      <c r="E361" s="34"/>
      <c r="F361" s="34"/>
      <c r="G361" s="34"/>
      <c r="H361" s="34"/>
      <c r="I361" s="34"/>
      <c r="J361" s="34"/>
      <c r="K361" s="37">
        <v>1.000</v>
      </c>
      <c r="L361" s="38">
        <f ca="1">ROUND((M354+M355+M356+M357+M358+M359+M360)*(1+M2/100),2)</f>
        <v>0</v>
      </c>
      <c r="M361" s="38">
        <f ca="1">ROUND(K361*L361,2)</f>
        <v>0</v>
      </c>
    </row>
    <row r="362" spans="1:13" ht="15.48" thickBot="1" customHeight="1">
      <c r="A362" s="44"/>
      <c r="B362" s="44"/>
      <c r="C362" s="44"/>
      <c r="D362" s="45" t="s">
        <v>1171</v>
      </c>
      <c r="E362" s="46"/>
      <c r="F362" s="46"/>
      <c r="G362" s="46"/>
      <c r="H362" s="46"/>
      <c r="I362" s="46"/>
      <c r="J362" s="46"/>
      <c r="K362" s="46"/>
      <c r="L362" s="47">
        <f ca="1">M312+M319+M326+M334+M343+M352</f>
        <v>0</v>
      </c>
      <c r="M362" s="47">
        <f ca="1">ROUND(L362,2)</f>
        <v>0</v>
      </c>
    </row>
    <row r="363" spans="1:13" ht="15.48" thickBot="1" customHeight="1">
      <c r="A363" s="48" t="s">
        <v>1172</v>
      </c>
      <c r="B363" s="48" t="s">
        <v>1173</v>
      </c>
      <c r="C363" s="49"/>
      <c r="D363" s="50" t="s">
        <v>1174</v>
      </c>
      <c r="E363" s="50"/>
      <c r="F363" s="50"/>
      <c r="G363" s="50"/>
      <c r="H363" s="50"/>
      <c r="I363" s="50"/>
      <c r="J363" s="50"/>
      <c r="K363" s="49"/>
      <c r="L363" s="51">
        <f ca="1">L538</f>
        <v>0</v>
      </c>
      <c r="M363" s="51">
        <f ca="1">ROUND(L363,2)</f>
        <v>0</v>
      </c>
    </row>
    <row r="364" spans="1:13" ht="25.08" thickBot="1" customHeight="1">
      <c r="A364" s="15" t="s">
        <v>1175</v>
      </c>
      <c r="B364" s="8" t="s">
        <v>1176</v>
      </c>
      <c r="C364" s="8" t="s">
        <v>1177</v>
      </c>
      <c r="D364" s="30" t="s">
        <v>1178</v>
      </c>
      <c r="E364" s="30"/>
      <c r="F364" s="30"/>
      <c r="G364" s="30"/>
      <c r="H364" s="30"/>
      <c r="I364" s="30"/>
      <c r="J364" s="30"/>
      <c r="K364" s="31">
        <f ca="1">ROUND(7.00,2)</f>
        <v>0</v>
      </c>
      <c r="L364" s="32">
        <f ca="1">L369</f>
        <v>0</v>
      </c>
      <c r="M364" s="32">
        <f ca="1">ROUND(K364*L364,2)</f>
        <v>0</v>
      </c>
    </row>
    <row r="365" spans="1:13" ht="39.84" thickBot="1" customHeight="1">
      <c r="A365" s="33"/>
      <c r="B365" s="33"/>
      <c r="C365" s="33"/>
      <c r="D365" s="30" t="s">
        <v>1179</v>
      </c>
      <c r="E365" s="30"/>
      <c r="F365" s="30"/>
      <c r="G365" s="30"/>
      <c r="H365" s="30"/>
      <c r="I365" s="30"/>
      <c r="J365" s="30"/>
      <c r="K365" s="30"/>
      <c r="L365" s="30"/>
      <c r="M365" s="30"/>
    </row>
    <row r="366" spans="1:13" ht="49.08" thickBot="1" customHeight="1">
      <c r="A366" s="8" t="s">
        <v>1180</v>
      </c>
      <c r="B366" s="8" t="s">
        <v>1181</v>
      </c>
      <c r="C366" s="8" t="s">
        <v>1182</v>
      </c>
      <c r="D366" s="30" t="s">
        <v>1183</v>
      </c>
      <c r="E366" s="30"/>
      <c r="F366" s="30"/>
      <c r="G366" s="30"/>
      <c r="H366" s="30"/>
      <c r="I366" s="30"/>
      <c r="J366" s="30"/>
      <c r="K366" s="31">
        <v>1.000</v>
      </c>
      <c r="L366" s="32">
        <f ca="1">ROUND(3039.00,2)</f>
        <v>0</v>
      </c>
      <c r="M366" s="32">
        <f ca="1">ROUND(K366*L366,2)</f>
        <v>0</v>
      </c>
    </row>
    <row r="367" spans="1:13" ht="15.12" thickBot="1" customHeight="1">
      <c r="A367" s="8" t="s">
        <v>1184</v>
      </c>
      <c r="B367" s="8" t="s">
        <v>1185</v>
      </c>
      <c r="C367" s="8" t="s">
        <v>1186</v>
      </c>
      <c r="D367" s="30" t="s">
        <v>1187</v>
      </c>
      <c r="E367" s="30"/>
      <c r="F367" s="30"/>
      <c r="G367" s="30"/>
      <c r="H367" s="30"/>
      <c r="I367" s="30"/>
      <c r="J367" s="30"/>
      <c r="K367" s="31">
        <v>3.000</v>
      </c>
      <c r="L367" s="32">
        <f ca="1">ROUND(23.25,2)</f>
        <v>0</v>
      </c>
      <c r="M367" s="32">
        <f ca="1">ROUND(K367*L367,2)</f>
        <v>0</v>
      </c>
    </row>
    <row r="368" spans="1:13" ht="15.12" thickBot="1" customHeight="1">
      <c r="A368" s="8" t="s">
        <v>1188</v>
      </c>
      <c r="B368" s="8" t="s">
        <v>1189</v>
      </c>
      <c r="C368" s="8" t="s">
        <v>1190</v>
      </c>
      <c r="D368" s="30" t="s">
        <v>1191</v>
      </c>
      <c r="E368" s="30"/>
      <c r="F368" s="30"/>
      <c r="G368" s="30"/>
      <c r="H368" s="30"/>
      <c r="I368" s="30"/>
      <c r="J368" s="30"/>
      <c r="K368" s="31">
        <v>3.000</v>
      </c>
      <c r="L368" s="32">
        <f ca="1">ROUND(27.24,2)</f>
        <v>0</v>
      </c>
      <c r="M368" s="32">
        <f ca="1">ROUND(K368*L368,2)</f>
        <v>0</v>
      </c>
    </row>
    <row r="369" spans="1:13" ht="15.48" thickBot="1" customHeight="1">
      <c r="A369" s="34"/>
      <c r="B369" s="34"/>
      <c r="C369" s="34"/>
      <c r="D369" s="35" t="s">
        <v>1192</v>
      </c>
      <c r="E369" s="34"/>
      <c r="F369" s="34"/>
      <c r="G369" s="34"/>
      <c r="H369" s="34"/>
      <c r="I369" s="34"/>
      <c r="J369" s="34"/>
      <c r="K369" s="37">
        <v>7.000</v>
      </c>
      <c r="L369" s="38">
        <f ca="1">ROUND((M366+M367+M368)*(1+M2/100),2)</f>
        <v>0</v>
      </c>
      <c r="M369" s="38">
        <f ca="1">ROUND(K369*L369,2)</f>
        <v>0</v>
      </c>
    </row>
    <row r="370" spans="1:13" ht="15.48" thickBot="1" customHeight="1">
      <c r="A370" s="39" t="s">
        <v>1193</v>
      </c>
      <c r="B370" s="40" t="s">
        <v>1194</v>
      </c>
      <c r="C370" s="40" t="s">
        <v>1195</v>
      </c>
      <c r="D370" s="41" t="s">
        <v>1196</v>
      </c>
      <c r="E370" s="41"/>
      <c r="F370" s="41"/>
      <c r="G370" s="41"/>
      <c r="H370" s="41"/>
      <c r="I370" s="41"/>
      <c r="J370" s="41"/>
      <c r="K370" s="42">
        <f ca="1">SUM(K373:K373)</f>
        <v>0</v>
      </c>
      <c r="L370" s="43">
        <f ca="1">L392</f>
        <v>0</v>
      </c>
      <c r="M370" s="43">
        <f ca="1">ROUND(K370*L370,2)</f>
        <v>0</v>
      </c>
    </row>
    <row r="371" spans="1:13" ht="58.32" thickBot="1" customHeight="1">
      <c r="A371" s="33"/>
      <c r="B371" s="33"/>
      <c r="C371" s="33"/>
      <c r="D371" s="30" t="s">
        <v>1197</v>
      </c>
      <c r="E371" s="30"/>
      <c r="F371" s="30"/>
      <c r="G371" s="30"/>
      <c r="H371" s="30"/>
      <c r="I371" s="30"/>
      <c r="J371" s="30"/>
      <c r="K371" s="30"/>
      <c r="L371" s="30"/>
      <c r="M371" s="30"/>
    </row>
    <row r="372" spans="1:13" ht="15.12" thickBot="1" customHeight="1">
      <c r="A372" s="33"/>
      <c r="B372" s="33"/>
      <c r="C372" s="33"/>
      <c r="D372" s="33"/>
      <c r="E372" s="52"/>
      <c r="F372" s="54" t="s">
        <v>1198</v>
      </c>
      <c r="G372" s="54" t="s">
        <v>1199</v>
      </c>
      <c r="H372" s="54" t="s">
        <v>1200</v>
      </c>
      <c r="I372" s="54" t="s">
        <v>1201</v>
      </c>
      <c r="J372" s="54" t="s">
        <v>1202</v>
      </c>
      <c r="K372" s="54" t="s">
        <v>1203</v>
      </c>
      <c r="L372" s="33"/>
      <c r="M372" s="33"/>
    </row>
    <row r="373" spans="1:13" ht="21.36" thickBot="1" customHeight="1">
      <c r="A373" s="33"/>
      <c r="B373" s="33"/>
      <c r="C373" s="33"/>
      <c r="D373" s="55"/>
      <c r="E373" s="56" t="s">
        <v>1204</v>
      </c>
      <c r="F373" s="57">
        <v>1</v>
      </c>
      <c r="G373" s="58"/>
      <c r="H373" s="58"/>
      <c r="I373" s="58"/>
      <c r="J373" s="60">
        <f ca="1">ROUND(F373,3)</f>
        <v>0</v>
      </c>
      <c r="K373" s="62">
        <f ca="1">SUM(J373:J373)</f>
        <v>0</v>
      </c>
      <c r="L373" s="33"/>
      <c r="M373" s="33"/>
    </row>
    <row r="374" spans="1:13" ht="30.60" thickBot="1" customHeight="1">
      <c r="A374" s="8" t="s">
        <v>1205</v>
      </c>
      <c r="B374" s="8" t="s">
        <v>1206</v>
      </c>
      <c r="C374" s="8" t="s">
        <v>1207</v>
      </c>
      <c r="D374" s="30" t="s">
        <v>1208</v>
      </c>
      <c r="E374" s="30"/>
      <c r="F374" s="30"/>
      <c r="G374" s="30"/>
      <c r="H374" s="30"/>
      <c r="I374" s="30"/>
      <c r="J374" s="30"/>
      <c r="K374" s="31">
        <v>2.000</v>
      </c>
      <c r="L374" s="32">
        <f ca="1">ROUND(48.53,2)</f>
        <v>0</v>
      </c>
      <c r="M374" s="32">
        <f ca="1">ROUND(K374*L374,2)</f>
        <v>0</v>
      </c>
    </row>
    <row r="375" spans="1:13" ht="30.60" thickBot="1" customHeight="1">
      <c r="A375" s="8" t="s">
        <v>1209</v>
      </c>
      <c r="B375" s="8" t="s">
        <v>1210</v>
      </c>
      <c r="C375" s="8" t="s">
        <v>1211</v>
      </c>
      <c r="D375" s="30" t="s">
        <v>1212</v>
      </c>
      <c r="E375" s="30"/>
      <c r="F375" s="30"/>
      <c r="G375" s="30"/>
      <c r="H375" s="30"/>
      <c r="I375" s="30"/>
      <c r="J375" s="30"/>
      <c r="K375" s="31">
        <v>1.000</v>
      </c>
      <c r="L375" s="32">
        <f ca="1">ROUND(19.57,2)</f>
        <v>0</v>
      </c>
      <c r="M375" s="32">
        <f ca="1">ROUND(K375*L375,2)</f>
        <v>0</v>
      </c>
    </row>
    <row r="376" spans="1:13" ht="15.12" thickBot="1" customHeight="1">
      <c r="A376" s="8" t="s">
        <v>1213</v>
      </c>
      <c r="B376" s="8" t="s">
        <v>1214</v>
      </c>
      <c r="C376" s="8" t="s">
        <v>1215</v>
      </c>
      <c r="D376" s="30" t="s">
        <v>1216</v>
      </c>
      <c r="E376" s="30"/>
      <c r="F376" s="30"/>
      <c r="G376" s="30"/>
      <c r="H376" s="30"/>
      <c r="I376" s="30"/>
      <c r="J376" s="30"/>
      <c r="K376" s="31">
        <v>2.000</v>
      </c>
      <c r="L376" s="32">
        <f ca="1">ROUND(19.80,2)</f>
        <v>0</v>
      </c>
      <c r="M376" s="32">
        <f ca="1">ROUND(K376*L376,2)</f>
        <v>0</v>
      </c>
    </row>
    <row r="377" spans="1:13" ht="24.36" thickBot="1" customHeight="1">
      <c r="A377" s="8" t="s">
        <v>1217</v>
      </c>
      <c r="B377" s="8" t="s">
        <v>1218</v>
      </c>
      <c r="C377" s="8" t="s">
        <v>1219</v>
      </c>
      <c r="D377" s="30" t="s">
        <v>1220</v>
      </c>
      <c r="E377" s="30"/>
      <c r="F377" s="30"/>
      <c r="G377" s="30"/>
      <c r="H377" s="30"/>
      <c r="I377" s="30"/>
      <c r="J377" s="30"/>
      <c r="K377" s="31">
        <v>2.000</v>
      </c>
      <c r="L377" s="32">
        <f ca="1">ROUND(90.99,2)</f>
        <v>0</v>
      </c>
      <c r="M377" s="32">
        <f ca="1">ROUND(K377*L377,2)</f>
        <v>0</v>
      </c>
    </row>
    <row r="378" spans="1:13" ht="24.36" thickBot="1" customHeight="1">
      <c r="A378" s="8" t="s">
        <v>1221</v>
      </c>
      <c r="B378" s="8" t="s">
        <v>1222</v>
      </c>
      <c r="C378" s="8" t="s">
        <v>1223</v>
      </c>
      <c r="D378" s="30" t="s">
        <v>1224</v>
      </c>
      <c r="E378" s="30"/>
      <c r="F378" s="30"/>
      <c r="G378" s="30"/>
      <c r="H378" s="30"/>
      <c r="I378" s="30"/>
      <c r="J378" s="30"/>
      <c r="K378" s="31">
        <v>8.000</v>
      </c>
      <c r="L378" s="32">
        <f ca="1">ROUND(172.64,2)</f>
        <v>0</v>
      </c>
      <c r="M378" s="32">
        <f ca="1">ROUND(K378*L378,2)</f>
        <v>0</v>
      </c>
    </row>
    <row r="379" spans="1:13" ht="24.36" thickBot="1" customHeight="1">
      <c r="A379" s="8" t="s">
        <v>1225</v>
      </c>
      <c r="B379" s="8" t="s">
        <v>1226</v>
      </c>
      <c r="C379" s="8" t="s">
        <v>1227</v>
      </c>
      <c r="D379" s="30" t="s">
        <v>1228</v>
      </c>
      <c r="E379" s="30"/>
      <c r="F379" s="30"/>
      <c r="G379" s="30"/>
      <c r="H379" s="30"/>
      <c r="I379" s="30"/>
      <c r="J379" s="30"/>
      <c r="K379" s="31">
        <v>8.000</v>
      </c>
      <c r="L379" s="32">
        <f ca="1">ROUND(90.88,2)</f>
        <v>0</v>
      </c>
      <c r="M379" s="32">
        <f ca="1">ROUND(K379*L379,2)</f>
        <v>0</v>
      </c>
    </row>
    <row r="380" spans="1:13" ht="24.36" thickBot="1" customHeight="1">
      <c r="A380" s="8" t="s">
        <v>1229</v>
      </c>
      <c r="B380" s="8" t="s">
        <v>1230</v>
      </c>
      <c r="C380" s="8" t="s">
        <v>1231</v>
      </c>
      <c r="D380" s="30" t="s">
        <v>1232</v>
      </c>
      <c r="E380" s="30"/>
      <c r="F380" s="30"/>
      <c r="G380" s="30"/>
      <c r="H380" s="30"/>
      <c r="I380" s="30"/>
      <c r="J380" s="30"/>
      <c r="K380" s="31">
        <v>1.000</v>
      </c>
      <c r="L380" s="32">
        <f ca="1">ROUND(2988.72,2)</f>
        <v>0</v>
      </c>
      <c r="M380" s="32">
        <f ca="1">ROUND(K380*L380,2)</f>
        <v>0</v>
      </c>
    </row>
    <row r="381" spans="1:13" ht="21.36" thickBot="1" customHeight="1">
      <c r="A381" s="8" t="s">
        <v>1233</v>
      </c>
      <c r="B381" s="8" t="s">
        <v>1234</v>
      </c>
      <c r="C381" s="8" t="s">
        <v>1235</v>
      </c>
      <c r="D381" s="30" t="s">
        <v>1236</v>
      </c>
      <c r="E381" s="30"/>
      <c r="F381" s="30"/>
      <c r="G381" s="30"/>
      <c r="H381" s="30"/>
      <c r="I381" s="30"/>
      <c r="J381" s="30"/>
      <c r="K381" s="31">
        <v>1.000</v>
      </c>
      <c r="L381" s="32">
        <f ca="1">ROUND(111.92,2)</f>
        <v>0</v>
      </c>
      <c r="M381" s="32">
        <f ca="1">ROUND(K381*L381,2)</f>
        <v>0</v>
      </c>
    </row>
    <row r="382" spans="1:13" ht="21.36" thickBot="1" customHeight="1">
      <c r="A382" s="8" t="s">
        <v>1237</v>
      </c>
      <c r="B382" s="8" t="s">
        <v>1238</v>
      </c>
      <c r="C382" s="8" t="s">
        <v>1239</v>
      </c>
      <c r="D382" s="30" t="s">
        <v>1240</v>
      </c>
      <c r="E382" s="30"/>
      <c r="F382" s="30"/>
      <c r="G382" s="30"/>
      <c r="H382" s="30"/>
      <c r="I382" s="30"/>
      <c r="J382" s="30"/>
      <c r="K382" s="31">
        <v>1.000</v>
      </c>
      <c r="L382" s="32">
        <f ca="1">ROUND(30.66,2)</f>
        <v>0</v>
      </c>
      <c r="M382" s="32">
        <f ca="1">ROUND(K382*L382,2)</f>
        <v>0</v>
      </c>
    </row>
    <row r="383" spans="1:13" ht="15.12" thickBot="1" customHeight="1">
      <c r="A383" s="8" t="s">
        <v>1241</v>
      </c>
      <c r="B383" s="8" t="s">
        <v>1242</v>
      </c>
      <c r="C383" s="8" t="s">
        <v>1243</v>
      </c>
      <c r="D383" s="30" t="s">
        <v>1244</v>
      </c>
      <c r="E383" s="30"/>
      <c r="F383" s="30"/>
      <c r="G383" s="30"/>
      <c r="H383" s="30"/>
      <c r="I383" s="30"/>
      <c r="J383" s="30"/>
      <c r="K383" s="31">
        <v>1.000</v>
      </c>
      <c r="L383" s="32">
        <f ca="1">ROUND(111.92,2)</f>
        <v>0</v>
      </c>
      <c r="M383" s="32">
        <f ca="1">ROUND(K383*L383,2)</f>
        <v>0</v>
      </c>
    </row>
    <row r="384" spans="1:13" ht="15.12" thickBot="1" customHeight="1">
      <c r="A384" s="8" t="s">
        <v>1245</v>
      </c>
      <c r="B384" s="8" t="s">
        <v>1246</v>
      </c>
      <c r="C384" s="8" t="s">
        <v>1247</v>
      </c>
      <c r="D384" s="30" t="s">
        <v>1248</v>
      </c>
      <c r="E384" s="30"/>
      <c r="F384" s="30"/>
      <c r="G384" s="30"/>
      <c r="H384" s="30"/>
      <c r="I384" s="30"/>
      <c r="J384" s="30"/>
      <c r="K384" s="31">
        <v>1.000</v>
      </c>
      <c r="L384" s="32">
        <f ca="1">ROUND(22.18,2)</f>
        <v>0</v>
      </c>
      <c r="M384" s="32">
        <f ca="1">ROUND(K384*L384,2)</f>
        <v>0</v>
      </c>
    </row>
    <row r="385" spans="1:13" ht="15.12" thickBot="1" customHeight="1">
      <c r="A385" s="8" t="s">
        <v>1249</v>
      </c>
      <c r="B385" s="8" t="s">
        <v>1250</v>
      </c>
      <c r="C385" s="8" t="s">
        <v>1251</v>
      </c>
      <c r="D385" s="30" t="s">
        <v>1252</v>
      </c>
      <c r="E385" s="30"/>
      <c r="F385" s="30"/>
      <c r="G385" s="30"/>
      <c r="H385" s="30"/>
      <c r="I385" s="30"/>
      <c r="J385" s="30"/>
      <c r="K385" s="31">
        <v>1.000</v>
      </c>
      <c r="L385" s="32">
        <f ca="1">ROUND(7.95,2)</f>
        <v>0</v>
      </c>
      <c r="M385" s="32">
        <f ca="1">ROUND(K385*L385,2)</f>
        <v>0</v>
      </c>
    </row>
    <row r="386" spans="1:13" ht="15.12" thickBot="1" customHeight="1">
      <c r="A386" s="8" t="s">
        <v>1253</v>
      </c>
      <c r="B386" s="8" t="s">
        <v>1254</v>
      </c>
      <c r="C386" s="8" t="s">
        <v>1255</v>
      </c>
      <c r="D386" s="30" t="s">
        <v>1256</v>
      </c>
      <c r="E386" s="30"/>
      <c r="F386" s="30"/>
      <c r="G386" s="30"/>
      <c r="H386" s="30"/>
      <c r="I386" s="30"/>
      <c r="J386" s="30"/>
      <c r="K386" s="31">
        <v>1.000</v>
      </c>
      <c r="L386" s="32">
        <f ca="1">ROUND(10.10,2)</f>
        <v>0</v>
      </c>
      <c r="M386" s="32">
        <f ca="1">ROUND(K386*L386,2)</f>
        <v>0</v>
      </c>
    </row>
    <row r="387" spans="1:13" ht="24.36" thickBot="1" customHeight="1">
      <c r="A387" s="8" t="s">
        <v>1257</v>
      </c>
      <c r="B387" s="8" t="s">
        <v>1258</v>
      </c>
      <c r="C387" s="8" t="s">
        <v>1259</v>
      </c>
      <c r="D387" s="30" t="s">
        <v>1260</v>
      </c>
      <c r="E387" s="30"/>
      <c r="F387" s="30"/>
      <c r="G387" s="30"/>
      <c r="H387" s="30"/>
      <c r="I387" s="30"/>
      <c r="J387" s="30"/>
      <c r="K387" s="31">
        <v>2.000</v>
      </c>
      <c r="L387" s="32">
        <f ca="1">ROUND(14.06,2)</f>
        <v>0</v>
      </c>
      <c r="M387" s="32">
        <f ca="1">ROUND(K387*L387,2)</f>
        <v>0</v>
      </c>
    </row>
    <row r="388" spans="1:13" ht="15.12" thickBot="1" customHeight="1">
      <c r="A388" s="8" t="s">
        <v>1261</v>
      </c>
      <c r="B388" s="8" t="s">
        <v>1262</v>
      </c>
      <c r="C388" s="8" t="s">
        <v>1263</v>
      </c>
      <c r="D388" s="30" t="s">
        <v>1264</v>
      </c>
      <c r="E388" s="30"/>
      <c r="F388" s="30"/>
      <c r="G388" s="30"/>
      <c r="H388" s="30"/>
      <c r="I388" s="30"/>
      <c r="J388" s="30"/>
      <c r="K388" s="31">
        <v>5.000</v>
      </c>
      <c r="L388" s="32">
        <f ca="1">ROUND(1.48,2)</f>
        <v>0</v>
      </c>
      <c r="M388" s="32">
        <f ca="1">ROUND(K388*L388,2)</f>
        <v>0</v>
      </c>
    </row>
    <row r="389" spans="1:13" ht="15.12" thickBot="1" customHeight="1">
      <c r="A389" s="8" t="s">
        <v>1265</v>
      </c>
      <c r="B389" s="8" t="s">
        <v>1266</v>
      </c>
      <c r="C389" s="8" t="s">
        <v>1267</v>
      </c>
      <c r="D389" s="30" t="s">
        <v>1268</v>
      </c>
      <c r="E389" s="30"/>
      <c r="F389" s="30"/>
      <c r="G389" s="30"/>
      <c r="H389" s="30"/>
      <c r="I389" s="30"/>
      <c r="J389" s="30"/>
      <c r="K389" s="31">
        <v>7.343</v>
      </c>
      <c r="L389" s="32">
        <f ca="1">ROUND(27.24,2)</f>
        <v>0</v>
      </c>
      <c r="M389" s="32">
        <f ca="1">ROUND(K389*L389,2)</f>
        <v>0</v>
      </c>
    </row>
    <row r="390" spans="1:13" ht="15.12" thickBot="1" customHeight="1">
      <c r="A390" s="8" t="s">
        <v>1269</v>
      </c>
      <c r="B390" s="8" t="s">
        <v>1270</v>
      </c>
      <c r="C390" s="8" t="s">
        <v>1271</v>
      </c>
      <c r="D390" s="30" t="s">
        <v>1272</v>
      </c>
      <c r="E390" s="30"/>
      <c r="F390" s="30"/>
      <c r="G390" s="30"/>
      <c r="H390" s="30"/>
      <c r="I390" s="30"/>
      <c r="J390" s="30"/>
      <c r="K390" s="31">
        <v>5.436</v>
      </c>
      <c r="L390" s="32">
        <f ca="1">ROUND(23.25,2)</f>
        <v>0</v>
      </c>
      <c r="M390" s="32">
        <f ca="1">ROUND(K390*L390,2)</f>
        <v>0</v>
      </c>
    </row>
    <row r="391" spans="1:13" ht="15.12" thickBot="1" customHeight="1">
      <c r="A391" s="8" t="s">
        <v>1273</v>
      </c>
      <c r="B391" s="8"/>
      <c r="C391" s="8" t="s">
        <v>1274</v>
      </c>
      <c r="D391" s="30" t="s">
        <v>1275</v>
      </c>
      <c r="E391" s="30"/>
      <c r="F391" s="30"/>
      <c r="G391" s="30"/>
      <c r="H391" s="30"/>
      <c r="I391" s="30"/>
      <c r="J391" s="30"/>
      <c r="K391" s="31">
        <v>2.000</v>
      </c>
      <c r="L391" s="32">
        <f ca="1">ROUND(6091.75,2)</f>
        <v>0</v>
      </c>
      <c r="M391" s="32">
        <f ca="1">ROUND((K391*L391)/100,2)</f>
        <v>0</v>
      </c>
    </row>
    <row r="392" spans="1:13" ht="15.48" thickBot="1" customHeight="1">
      <c r="A392" s="34"/>
      <c r="B392" s="34"/>
      <c r="C392" s="34"/>
      <c r="D392" s="35" t="s">
        <v>1276</v>
      </c>
      <c r="E392" s="34"/>
      <c r="F392" s="34"/>
      <c r="G392" s="34"/>
      <c r="H392" s="34"/>
      <c r="I392" s="34"/>
      <c r="J392" s="34"/>
      <c r="K392" s="37">
        <v>1.000</v>
      </c>
      <c r="L392" s="38">
        <f ca="1">ROUND((M374+M375+M376+M377+M378+M379+M380+M381+M382+M383+M384+M385+M386+M387+M388+M389+M390+M391)*(1+M2/100),2)</f>
        <v>0</v>
      </c>
      <c r="M392" s="38">
        <f ca="1">ROUND(K392*L392,2)</f>
        <v>0</v>
      </c>
    </row>
    <row r="393" spans="1:13" ht="15.48" thickBot="1" customHeight="1">
      <c r="A393" s="39" t="s">
        <v>1277</v>
      </c>
      <c r="B393" s="40" t="s">
        <v>1278</v>
      </c>
      <c r="C393" s="40" t="s">
        <v>1279</v>
      </c>
      <c r="D393" s="41" t="s">
        <v>1280</v>
      </c>
      <c r="E393" s="41"/>
      <c r="F393" s="41"/>
      <c r="G393" s="41"/>
      <c r="H393" s="41"/>
      <c r="I393" s="41"/>
      <c r="J393" s="41"/>
      <c r="K393" s="42">
        <f ca="1">SUM(K396:K396)</f>
        <v>0</v>
      </c>
      <c r="L393" s="43">
        <f ca="1">L410</f>
        <v>0</v>
      </c>
      <c r="M393" s="43">
        <f ca="1">ROUND(K393*L393,2)</f>
        <v>0</v>
      </c>
    </row>
    <row r="394" spans="1:13" ht="67.56" thickBot="1" customHeight="1">
      <c r="A394" s="33"/>
      <c r="B394" s="33"/>
      <c r="C394" s="33"/>
      <c r="D394" s="30" t="s">
        <v>1281</v>
      </c>
      <c r="E394" s="30"/>
      <c r="F394" s="30"/>
      <c r="G394" s="30"/>
      <c r="H394" s="30"/>
      <c r="I394" s="30"/>
      <c r="J394" s="30"/>
      <c r="K394" s="30"/>
      <c r="L394" s="30"/>
      <c r="M394" s="30"/>
    </row>
    <row r="395" spans="1:13" ht="15.12" thickBot="1" customHeight="1">
      <c r="A395" s="33"/>
      <c r="B395" s="33"/>
      <c r="C395" s="33"/>
      <c r="D395" s="33"/>
      <c r="E395" s="52"/>
      <c r="F395" s="54" t="s">
        <v>1282</v>
      </c>
      <c r="G395" s="54" t="s">
        <v>1283</v>
      </c>
      <c r="H395" s="54" t="s">
        <v>1284</v>
      </c>
      <c r="I395" s="54" t="s">
        <v>1285</v>
      </c>
      <c r="J395" s="54" t="s">
        <v>1286</v>
      </c>
      <c r="K395" s="54" t="s">
        <v>1287</v>
      </c>
      <c r="L395" s="33"/>
      <c r="M395" s="33"/>
    </row>
    <row r="396" spans="1:13" ht="15.12" thickBot="1" customHeight="1">
      <c r="A396" s="33"/>
      <c r="B396" s="33"/>
      <c r="C396" s="33"/>
      <c r="D396" s="55"/>
      <c r="E396" s="56" t="s">
        <v>1288</v>
      </c>
      <c r="F396" s="57">
        <v>1</v>
      </c>
      <c r="G396" s="58"/>
      <c r="H396" s="58"/>
      <c r="I396" s="58"/>
      <c r="J396" s="60">
        <f ca="1">ROUND(F396,3)</f>
        <v>0</v>
      </c>
      <c r="K396" s="62">
        <f ca="1">SUM(J396:J396)</f>
        <v>0</v>
      </c>
      <c r="L396" s="33"/>
      <c r="M396" s="33"/>
    </row>
    <row r="397" spans="1:13" ht="39.84" thickBot="1" customHeight="1">
      <c r="A397" s="8" t="s">
        <v>1289</v>
      </c>
      <c r="B397" s="8" t="s">
        <v>1290</v>
      </c>
      <c r="C397" s="8" t="s">
        <v>1291</v>
      </c>
      <c r="D397" s="30" t="s">
        <v>1292</v>
      </c>
      <c r="E397" s="30"/>
      <c r="F397" s="30"/>
      <c r="G397" s="30"/>
      <c r="H397" s="30"/>
      <c r="I397" s="30"/>
      <c r="J397" s="30"/>
      <c r="K397" s="31">
        <v>1.000</v>
      </c>
      <c r="L397" s="32">
        <f ca="1">ROUND(27.98,2)</f>
        <v>0</v>
      </c>
      <c r="M397" s="32">
        <f ca="1">ROUND(K397*L397,2)</f>
        <v>0</v>
      </c>
    </row>
    <row r="398" spans="1:13" ht="24.36" thickBot="1" customHeight="1">
      <c r="A398" s="8" t="s">
        <v>1293</v>
      </c>
      <c r="B398" s="8" t="s">
        <v>1294</v>
      </c>
      <c r="C398" s="8" t="s">
        <v>1295</v>
      </c>
      <c r="D398" s="30" t="s">
        <v>1296</v>
      </c>
      <c r="E398" s="30"/>
      <c r="F398" s="30"/>
      <c r="G398" s="30"/>
      <c r="H398" s="30"/>
      <c r="I398" s="30"/>
      <c r="J398" s="30"/>
      <c r="K398" s="31">
        <v>1.000</v>
      </c>
      <c r="L398" s="32">
        <f ca="1">ROUND(2642.22,2)</f>
        <v>0</v>
      </c>
      <c r="M398" s="32">
        <f ca="1">ROUND(K398*L398,2)</f>
        <v>0</v>
      </c>
    </row>
    <row r="399" spans="1:13" ht="21.36" thickBot="1" customHeight="1">
      <c r="A399" s="8" t="s">
        <v>1297</v>
      </c>
      <c r="B399" s="8" t="s">
        <v>1298</v>
      </c>
      <c r="C399" s="8" t="s">
        <v>1299</v>
      </c>
      <c r="D399" s="30" t="s">
        <v>1300</v>
      </c>
      <c r="E399" s="30"/>
      <c r="F399" s="30"/>
      <c r="G399" s="30"/>
      <c r="H399" s="30"/>
      <c r="I399" s="30"/>
      <c r="J399" s="30"/>
      <c r="K399" s="31">
        <v>2.000</v>
      </c>
      <c r="L399" s="32">
        <f ca="1">ROUND(111.92,2)</f>
        <v>0</v>
      </c>
      <c r="M399" s="32">
        <f ca="1">ROUND(K399*L399,2)</f>
        <v>0</v>
      </c>
    </row>
    <row r="400" spans="1:13" ht="21.36" thickBot="1" customHeight="1">
      <c r="A400" s="8" t="s">
        <v>1301</v>
      </c>
      <c r="B400" s="8" t="s">
        <v>1302</v>
      </c>
      <c r="C400" s="8" t="s">
        <v>1303</v>
      </c>
      <c r="D400" s="30" t="s">
        <v>1304</v>
      </c>
      <c r="E400" s="30"/>
      <c r="F400" s="30"/>
      <c r="G400" s="30"/>
      <c r="H400" s="30"/>
      <c r="I400" s="30"/>
      <c r="J400" s="30"/>
      <c r="K400" s="31">
        <v>2.000</v>
      </c>
      <c r="L400" s="32">
        <f ca="1">ROUND(30.66,2)</f>
        <v>0</v>
      </c>
      <c r="M400" s="32">
        <f ca="1">ROUND(K400*L400,2)</f>
        <v>0</v>
      </c>
    </row>
    <row r="401" spans="1:13" ht="15.12" thickBot="1" customHeight="1">
      <c r="A401" s="8" t="s">
        <v>1305</v>
      </c>
      <c r="B401" s="8" t="s">
        <v>1306</v>
      </c>
      <c r="C401" s="8" t="s">
        <v>1307</v>
      </c>
      <c r="D401" s="30" t="s">
        <v>1308</v>
      </c>
      <c r="E401" s="30"/>
      <c r="F401" s="30"/>
      <c r="G401" s="30"/>
      <c r="H401" s="30"/>
      <c r="I401" s="30"/>
      <c r="J401" s="30"/>
      <c r="K401" s="31">
        <v>2.000</v>
      </c>
      <c r="L401" s="32">
        <f ca="1">ROUND(111.92,2)</f>
        <v>0</v>
      </c>
      <c r="M401" s="32">
        <f ca="1">ROUND(K401*L401,2)</f>
        <v>0</v>
      </c>
    </row>
    <row r="402" spans="1:13" ht="15.12" thickBot="1" customHeight="1">
      <c r="A402" s="8" t="s">
        <v>1309</v>
      </c>
      <c r="B402" s="8" t="s">
        <v>1310</v>
      </c>
      <c r="C402" s="8" t="s">
        <v>1311</v>
      </c>
      <c r="D402" s="30" t="s">
        <v>1312</v>
      </c>
      <c r="E402" s="30"/>
      <c r="F402" s="30"/>
      <c r="G402" s="30"/>
      <c r="H402" s="30"/>
      <c r="I402" s="30"/>
      <c r="J402" s="30"/>
      <c r="K402" s="31">
        <v>2.000</v>
      </c>
      <c r="L402" s="32">
        <f ca="1">ROUND(22.18,2)</f>
        <v>0</v>
      </c>
      <c r="M402" s="32">
        <f ca="1">ROUND(K402*L402,2)</f>
        <v>0</v>
      </c>
    </row>
    <row r="403" spans="1:13" ht="15.12" thickBot="1" customHeight="1">
      <c r="A403" s="8" t="s">
        <v>1313</v>
      </c>
      <c r="B403" s="8" t="s">
        <v>1314</v>
      </c>
      <c r="C403" s="8" t="s">
        <v>1315</v>
      </c>
      <c r="D403" s="30" t="s">
        <v>1316</v>
      </c>
      <c r="E403" s="30"/>
      <c r="F403" s="30"/>
      <c r="G403" s="30"/>
      <c r="H403" s="30"/>
      <c r="I403" s="30"/>
      <c r="J403" s="30"/>
      <c r="K403" s="31">
        <v>2.000</v>
      </c>
      <c r="L403" s="32">
        <f ca="1">ROUND(10.10,2)</f>
        <v>0</v>
      </c>
      <c r="M403" s="32">
        <f ca="1">ROUND(K403*L403,2)</f>
        <v>0</v>
      </c>
    </row>
    <row r="404" spans="1:13" ht="15.12" thickBot="1" customHeight="1">
      <c r="A404" s="8" t="s">
        <v>1317</v>
      </c>
      <c r="B404" s="8" t="s">
        <v>1318</v>
      </c>
      <c r="C404" s="8" t="s">
        <v>1319</v>
      </c>
      <c r="D404" s="30" t="s">
        <v>1320</v>
      </c>
      <c r="E404" s="30"/>
      <c r="F404" s="30"/>
      <c r="G404" s="30"/>
      <c r="H404" s="30"/>
      <c r="I404" s="30"/>
      <c r="J404" s="30"/>
      <c r="K404" s="31">
        <v>2.000</v>
      </c>
      <c r="L404" s="32">
        <f ca="1">ROUND(7.95,2)</f>
        <v>0</v>
      </c>
      <c r="M404" s="32">
        <f ca="1">ROUND(K404*L404,2)</f>
        <v>0</v>
      </c>
    </row>
    <row r="405" spans="1:13" ht="15.12" thickBot="1" customHeight="1">
      <c r="A405" s="8" t="s">
        <v>1321</v>
      </c>
      <c r="B405" s="8" t="s">
        <v>1322</v>
      </c>
      <c r="C405" s="8" t="s">
        <v>1323</v>
      </c>
      <c r="D405" s="30" t="s">
        <v>1324</v>
      </c>
      <c r="E405" s="30"/>
      <c r="F405" s="30"/>
      <c r="G405" s="30"/>
      <c r="H405" s="30"/>
      <c r="I405" s="30"/>
      <c r="J405" s="30"/>
      <c r="K405" s="31">
        <v>1.000</v>
      </c>
      <c r="L405" s="32">
        <f ca="1">ROUND(87.10,2)</f>
        <v>0</v>
      </c>
      <c r="M405" s="32">
        <f ca="1">ROUND(K405*L405,2)</f>
        <v>0</v>
      </c>
    </row>
    <row r="406" spans="1:13" ht="15.12" thickBot="1" customHeight="1">
      <c r="A406" s="8" t="s">
        <v>1325</v>
      </c>
      <c r="B406" s="8" t="s">
        <v>1326</v>
      </c>
      <c r="C406" s="8" t="s">
        <v>1327</v>
      </c>
      <c r="D406" s="30" t="s">
        <v>1328</v>
      </c>
      <c r="E406" s="30"/>
      <c r="F406" s="30"/>
      <c r="G406" s="30"/>
      <c r="H406" s="30"/>
      <c r="I406" s="30"/>
      <c r="J406" s="30"/>
      <c r="K406" s="31">
        <v>1.000</v>
      </c>
      <c r="L406" s="32">
        <f ca="1">ROUND(1.48,2)</f>
        <v>0</v>
      </c>
      <c r="M406" s="32">
        <f ca="1">ROUND(K406*L406,2)</f>
        <v>0</v>
      </c>
    </row>
    <row r="407" spans="1:13" ht="15.12" thickBot="1" customHeight="1">
      <c r="A407" s="8" t="s">
        <v>1329</v>
      </c>
      <c r="B407" s="8" t="s">
        <v>1330</v>
      </c>
      <c r="C407" s="8" t="s">
        <v>1331</v>
      </c>
      <c r="D407" s="30" t="s">
        <v>1332</v>
      </c>
      <c r="E407" s="30"/>
      <c r="F407" s="30"/>
      <c r="G407" s="30"/>
      <c r="H407" s="30"/>
      <c r="I407" s="30"/>
      <c r="J407" s="30"/>
      <c r="K407" s="31">
        <v>0.541</v>
      </c>
      <c r="L407" s="32">
        <f ca="1">ROUND(27.24,2)</f>
        <v>0</v>
      </c>
      <c r="M407" s="32">
        <f ca="1">ROUND(K407*L407,2)</f>
        <v>0</v>
      </c>
    </row>
    <row r="408" spans="1:13" ht="15.12" thickBot="1" customHeight="1">
      <c r="A408" s="8" t="s">
        <v>1333</v>
      </c>
      <c r="B408" s="8" t="s">
        <v>1334</v>
      </c>
      <c r="C408" s="8" t="s">
        <v>1335</v>
      </c>
      <c r="D408" s="30" t="s">
        <v>1336</v>
      </c>
      <c r="E408" s="30"/>
      <c r="F408" s="30"/>
      <c r="G408" s="30"/>
      <c r="H408" s="30"/>
      <c r="I408" s="30"/>
      <c r="J408" s="30"/>
      <c r="K408" s="31">
        <v>0.519</v>
      </c>
      <c r="L408" s="32">
        <f ca="1">ROUND(23.25,2)</f>
        <v>0</v>
      </c>
      <c r="M408" s="32">
        <f ca="1">ROUND(K408*L408,2)</f>
        <v>0</v>
      </c>
    </row>
    <row r="409" spans="1:13" ht="15.12" thickBot="1" customHeight="1">
      <c r="A409" s="8" t="s">
        <v>1337</v>
      </c>
      <c r="B409" s="8"/>
      <c r="C409" s="8" t="s">
        <v>1338</v>
      </c>
      <c r="D409" s="30" t="s">
        <v>1339</v>
      </c>
      <c r="E409" s="30"/>
      <c r="F409" s="30"/>
      <c r="G409" s="30"/>
      <c r="H409" s="30"/>
      <c r="I409" s="30"/>
      <c r="J409" s="30"/>
      <c r="K409" s="31">
        <v>2.000</v>
      </c>
      <c r="L409" s="32">
        <f ca="1">ROUND(3375.05,2)</f>
        <v>0</v>
      </c>
      <c r="M409" s="32">
        <f ca="1">ROUND((K409*L409)/100,2)</f>
        <v>0</v>
      </c>
    </row>
    <row r="410" spans="1:13" ht="15.48" thickBot="1" customHeight="1">
      <c r="A410" s="34"/>
      <c r="B410" s="34"/>
      <c r="C410" s="34"/>
      <c r="D410" s="35" t="s">
        <v>1340</v>
      </c>
      <c r="E410" s="34"/>
      <c r="F410" s="34"/>
      <c r="G410" s="34"/>
      <c r="H410" s="34"/>
      <c r="I410" s="34"/>
      <c r="J410" s="34"/>
      <c r="K410" s="37">
        <v>1.000</v>
      </c>
      <c r="L410" s="38">
        <f ca="1">ROUND((M397+M398+M399+M400+M401+M402+M403+M404+M405+M406+M407+M408+M409)*(1+M2/100),2)</f>
        <v>0</v>
      </c>
      <c r="M410" s="38">
        <f ca="1">ROUND(K410*L410,2)</f>
        <v>0</v>
      </c>
    </row>
    <row r="411" spans="1:13" ht="21.36" thickBot="1" customHeight="1">
      <c r="A411" s="39" t="s">
        <v>1341</v>
      </c>
      <c r="B411" s="40" t="s">
        <v>1342</v>
      </c>
      <c r="C411" s="40" t="s">
        <v>1343</v>
      </c>
      <c r="D411" s="41" t="s">
        <v>1344</v>
      </c>
      <c r="E411" s="41"/>
      <c r="F411" s="41"/>
      <c r="G411" s="41"/>
      <c r="H411" s="41"/>
      <c r="I411" s="41"/>
      <c r="J411" s="41"/>
      <c r="K411" s="42">
        <f ca="1">ROUND(1.00,2)</f>
        <v>0</v>
      </c>
      <c r="L411" s="43">
        <f ca="1">ROUND(710.00*(1+M2/100),2)</f>
        <v>0</v>
      </c>
      <c r="M411" s="43">
        <f ca="1">ROUND(K411*L411,2)</f>
        <v>0</v>
      </c>
    </row>
    <row r="412" spans="1:13" ht="233.88" thickBot="1" customHeight="1">
      <c r="A412" s="33"/>
      <c r="B412" s="33"/>
      <c r="C412" s="33"/>
      <c r="D412" s="30" t="s">
        <v>1345</v>
      </c>
      <c r="E412" s="30"/>
      <c r="F412" s="30"/>
      <c r="G412" s="30"/>
      <c r="H412" s="30"/>
      <c r="I412" s="30"/>
      <c r="J412" s="30"/>
      <c r="K412" s="30"/>
      <c r="L412" s="30"/>
      <c r="M412" s="30"/>
    </row>
    <row r="413" spans="1:13" ht="15.48" thickBot="1" customHeight="1">
      <c r="A413" s="15" t="s">
        <v>1346</v>
      </c>
      <c r="B413" s="8" t="s">
        <v>1347</v>
      </c>
      <c r="C413" s="8" t="s">
        <v>1348</v>
      </c>
      <c r="D413" s="30" t="s">
        <v>1349</v>
      </c>
      <c r="E413" s="30"/>
      <c r="F413" s="30"/>
      <c r="G413" s="30"/>
      <c r="H413" s="30"/>
      <c r="I413" s="30"/>
      <c r="J413" s="30"/>
      <c r="K413" s="31">
        <f ca="1">SUM(K416:K417)</f>
        <v>0</v>
      </c>
      <c r="L413" s="32">
        <f ca="1">L422</f>
        <v>0</v>
      </c>
      <c r="M413" s="32">
        <f ca="1">ROUND(K413*L413,2)</f>
        <v>0</v>
      </c>
    </row>
    <row r="414" spans="1:13" ht="58.32" thickBot="1" customHeight="1">
      <c r="A414" s="33"/>
      <c r="B414" s="33"/>
      <c r="C414" s="33"/>
      <c r="D414" s="30" t="s">
        <v>1350</v>
      </c>
      <c r="E414" s="30"/>
      <c r="F414" s="30"/>
      <c r="G414" s="30"/>
      <c r="H414" s="30"/>
      <c r="I414" s="30"/>
      <c r="J414" s="30"/>
      <c r="K414" s="30"/>
      <c r="L414" s="30"/>
      <c r="M414" s="30"/>
    </row>
    <row r="415" spans="1:13" ht="15.12" thickBot="1" customHeight="1">
      <c r="A415" s="33"/>
      <c r="B415" s="33"/>
      <c r="C415" s="33"/>
      <c r="D415" s="33"/>
      <c r="E415" s="52"/>
      <c r="F415" s="54" t="s">
        <v>1351</v>
      </c>
      <c r="G415" s="54" t="s">
        <v>1352</v>
      </c>
      <c r="H415" s="54" t="s">
        <v>1353</v>
      </c>
      <c r="I415" s="54" t="s">
        <v>1354</v>
      </c>
      <c r="J415" s="54" t="s">
        <v>1355</v>
      </c>
      <c r="K415" s="54" t="s">
        <v>1356</v>
      </c>
      <c r="L415" s="33"/>
      <c r="M415" s="33"/>
    </row>
    <row r="416" spans="1:13" ht="30.60" thickBot="1" customHeight="1">
      <c r="A416" s="33"/>
      <c r="B416" s="33"/>
      <c r="C416" s="33"/>
      <c r="D416" s="55"/>
      <c r="E416" s="56" t="s">
        <v>1357</v>
      </c>
      <c r="F416" s="57">
        <v>1</v>
      </c>
      <c r="G416" s="58">
        <v>1.560</v>
      </c>
      <c r="H416" s="58"/>
      <c r="I416" s="58"/>
      <c r="J416" s="60">
        <f ca="1">ROUND(F416*G416,3)</f>
        <v>0</v>
      </c>
      <c r="K416" s="73"/>
      <c r="L416" s="33"/>
      <c r="M416" s="33"/>
    </row>
    <row r="417" spans="1:13" ht="21.36" thickBot="1" customHeight="1">
      <c r="A417" s="33"/>
      <c r="B417" s="33"/>
      <c r="C417" s="33"/>
      <c r="D417" s="55"/>
      <c r="E417" s="8" t="s">
        <v>1358</v>
      </c>
      <c r="F417" s="6">
        <v>1</v>
      </c>
      <c r="G417" s="31">
        <v>44.220</v>
      </c>
      <c r="H417" s="31"/>
      <c r="I417" s="31"/>
      <c r="J417" s="59">
        <f ca="1">ROUND(F417*G417,3)</f>
        <v>0</v>
      </c>
      <c r="K417" s="61">
        <f ca="1">SUM(J416:J417)</f>
        <v>0</v>
      </c>
      <c r="L417" s="33"/>
      <c r="M417" s="33"/>
    </row>
    <row r="418" spans="1:13" ht="39.84" thickBot="1" customHeight="1">
      <c r="A418" s="8" t="s">
        <v>1359</v>
      </c>
      <c r="B418" s="8" t="s">
        <v>1360</v>
      </c>
      <c r="C418" s="8" t="s">
        <v>1361</v>
      </c>
      <c r="D418" s="30" t="s">
        <v>1362</v>
      </c>
      <c r="E418" s="30"/>
      <c r="F418" s="30"/>
      <c r="G418" s="30"/>
      <c r="H418" s="30"/>
      <c r="I418" s="30"/>
      <c r="J418" s="30"/>
      <c r="K418" s="31">
        <v>1.000</v>
      </c>
      <c r="L418" s="32">
        <f ca="1">ROUND(15.43,2)</f>
        <v>0</v>
      </c>
      <c r="M418" s="32">
        <f ca="1">ROUND(K418*L418,2)</f>
        <v>0</v>
      </c>
    </row>
    <row r="419" spans="1:13" ht="15.12" thickBot="1" customHeight="1">
      <c r="A419" s="8" t="s">
        <v>1363</v>
      </c>
      <c r="B419" s="8" t="s">
        <v>1364</v>
      </c>
      <c r="C419" s="8" t="s">
        <v>1365</v>
      </c>
      <c r="D419" s="30" t="s">
        <v>1366</v>
      </c>
      <c r="E419" s="30"/>
      <c r="F419" s="30"/>
      <c r="G419" s="30"/>
      <c r="H419" s="30"/>
      <c r="I419" s="30"/>
      <c r="J419" s="30"/>
      <c r="K419" s="31">
        <v>0.097</v>
      </c>
      <c r="L419" s="32">
        <f ca="1">ROUND(27.24,2)</f>
        <v>0</v>
      </c>
      <c r="M419" s="32">
        <f ca="1">ROUND(K419*L419,2)</f>
        <v>0</v>
      </c>
    </row>
    <row r="420" spans="1:13" ht="15.12" thickBot="1" customHeight="1">
      <c r="A420" s="8" t="s">
        <v>1367</v>
      </c>
      <c r="B420" s="8" t="s">
        <v>1368</v>
      </c>
      <c r="C420" s="8" t="s">
        <v>1369</v>
      </c>
      <c r="D420" s="30" t="s">
        <v>1370</v>
      </c>
      <c r="E420" s="30"/>
      <c r="F420" s="30"/>
      <c r="G420" s="30"/>
      <c r="H420" s="30"/>
      <c r="I420" s="30"/>
      <c r="J420" s="30"/>
      <c r="K420" s="31">
        <v>0.097</v>
      </c>
      <c r="L420" s="32">
        <f ca="1">ROUND(23.25,2)</f>
        <v>0</v>
      </c>
      <c r="M420" s="32">
        <f ca="1">ROUND(K420*L420,2)</f>
        <v>0</v>
      </c>
    </row>
    <row r="421" spans="1:13" ht="15.12" thickBot="1" customHeight="1">
      <c r="A421" s="8" t="s">
        <v>1371</v>
      </c>
      <c r="B421" s="8"/>
      <c r="C421" s="8" t="s">
        <v>1372</v>
      </c>
      <c r="D421" s="30" t="s">
        <v>1373</v>
      </c>
      <c r="E421" s="30"/>
      <c r="F421" s="30"/>
      <c r="G421" s="30"/>
      <c r="H421" s="30"/>
      <c r="I421" s="30"/>
      <c r="J421" s="30"/>
      <c r="K421" s="31">
        <v>2.000</v>
      </c>
      <c r="L421" s="32">
        <f ca="1">ROUND(20.33,2)</f>
        <v>0</v>
      </c>
      <c r="M421" s="32">
        <f ca="1">ROUND((K421*L421)/100,2)</f>
        <v>0</v>
      </c>
    </row>
    <row r="422" spans="1:13" ht="15.48" thickBot="1" customHeight="1">
      <c r="A422" s="34"/>
      <c r="B422" s="34"/>
      <c r="C422" s="34"/>
      <c r="D422" s="35" t="s">
        <v>1374</v>
      </c>
      <c r="E422" s="34"/>
      <c r="F422" s="34"/>
      <c r="G422" s="34"/>
      <c r="H422" s="34"/>
      <c r="I422" s="34"/>
      <c r="J422" s="34"/>
      <c r="K422" s="37">
        <v>45.780</v>
      </c>
      <c r="L422" s="38">
        <f ca="1">ROUND((M418+M419+M420+M421)*(1+M2/100),2)</f>
        <v>0</v>
      </c>
      <c r="M422" s="38">
        <f ca="1">ROUND(K422*L422,2)</f>
        <v>0</v>
      </c>
    </row>
    <row r="423" spans="1:13" ht="15.48" thickBot="1" customHeight="1">
      <c r="A423" s="39" t="s">
        <v>1375</v>
      </c>
      <c r="B423" s="40" t="s">
        <v>1376</v>
      </c>
      <c r="C423" s="40" t="s">
        <v>1377</v>
      </c>
      <c r="D423" s="41" t="s">
        <v>1378</v>
      </c>
      <c r="E423" s="41"/>
      <c r="F423" s="41"/>
      <c r="G423" s="41"/>
      <c r="H423" s="41"/>
      <c r="I423" s="41"/>
      <c r="J423" s="41"/>
      <c r="K423" s="42">
        <f ca="1">SUM(K426:K426)</f>
        <v>0</v>
      </c>
      <c r="L423" s="43">
        <f ca="1">L431</f>
        <v>0</v>
      </c>
      <c r="M423" s="43">
        <f ca="1">ROUND(K423*L423,2)</f>
        <v>0</v>
      </c>
    </row>
    <row r="424" spans="1:13" ht="58.32" thickBot="1" customHeight="1">
      <c r="A424" s="33"/>
      <c r="B424" s="33"/>
      <c r="C424" s="33"/>
      <c r="D424" s="30" t="s">
        <v>1379</v>
      </c>
      <c r="E424" s="30"/>
      <c r="F424" s="30"/>
      <c r="G424" s="30"/>
      <c r="H424" s="30"/>
      <c r="I424" s="30"/>
      <c r="J424" s="30"/>
      <c r="K424" s="30"/>
      <c r="L424" s="30"/>
      <c r="M424" s="30"/>
    </row>
    <row r="425" spans="1:13" ht="15.12" thickBot="1" customHeight="1">
      <c r="A425" s="33"/>
      <c r="B425" s="33"/>
      <c r="C425" s="33"/>
      <c r="D425" s="33"/>
      <c r="E425" s="52"/>
      <c r="F425" s="54" t="s">
        <v>1380</v>
      </c>
      <c r="G425" s="54" t="s">
        <v>1381</v>
      </c>
      <c r="H425" s="54" t="s">
        <v>1382</v>
      </c>
      <c r="I425" s="54" t="s">
        <v>1383</v>
      </c>
      <c r="J425" s="54" t="s">
        <v>1384</v>
      </c>
      <c r="K425" s="54" t="s">
        <v>1385</v>
      </c>
      <c r="L425" s="33"/>
      <c r="M425" s="33"/>
    </row>
    <row r="426" spans="1:13" ht="30.60" thickBot="1" customHeight="1">
      <c r="A426" s="33"/>
      <c r="B426" s="33"/>
      <c r="C426" s="33"/>
      <c r="D426" s="55"/>
      <c r="E426" s="56" t="s">
        <v>1386</v>
      </c>
      <c r="F426" s="57">
        <v>1</v>
      </c>
      <c r="G426" s="58">
        <v>6.240</v>
      </c>
      <c r="H426" s="58"/>
      <c r="I426" s="58"/>
      <c r="J426" s="60">
        <f ca="1">ROUND(F426*G426,3)</f>
        <v>0</v>
      </c>
      <c r="K426" s="62">
        <f ca="1">SUM(J426:J426)</f>
        <v>0</v>
      </c>
      <c r="L426" s="33"/>
      <c r="M426" s="33"/>
    </row>
    <row r="427" spans="1:13" ht="39.84" thickBot="1" customHeight="1">
      <c r="A427" s="8" t="s">
        <v>1387</v>
      </c>
      <c r="B427" s="8" t="s">
        <v>1388</v>
      </c>
      <c r="C427" s="8" t="s">
        <v>1389</v>
      </c>
      <c r="D427" s="30" t="s">
        <v>1390</v>
      </c>
      <c r="E427" s="30"/>
      <c r="F427" s="30"/>
      <c r="G427" s="30"/>
      <c r="H427" s="30"/>
      <c r="I427" s="30"/>
      <c r="J427" s="30"/>
      <c r="K427" s="31">
        <v>1.000</v>
      </c>
      <c r="L427" s="32">
        <f ca="1">ROUND(25.69,2)</f>
        <v>0</v>
      </c>
      <c r="M427" s="32">
        <f ca="1">ROUND(K427*L427,2)</f>
        <v>0</v>
      </c>
    </row>
    <row r="428" spans="1:13" ht="15.12" thickBot="1" customHeight="1">
      <c r="A428" s="8" t="s">
        <v>1391</v>
      </c>
      <c r="B428" s="8" t="s">
        <v>1392</v>
      </c>
      <c r="C428" s="8" t="s">
        <v>1393</v>
      </c>
      <c r="D428" s="30" t="s">
        <v>1394</v>
      </c>
      <c r="E428" s="30"/>
      <c r="F428" s="30"/>
      <c r="G428" s="30"/>
      <c r="H428" s="30"/>
      <c r="I428" s="30"/>
      <c r="J428" s="30"/>
      <c r="K428" s="31">
        <v>0.124</v>
      </c>
      <c r="L428" s="32">
        <f ca="1">ROUND(27.24,2)</f>
        <v>0</v>
      </c>
      <c r="M428" s="32">
        <f ca="1">ROUND(K428*L428,2)</f>
        <v>0</v>
      </c>
    </row>
    <row r="429" spans="1:13" ht="15.12" thickBot="1" customHeight="1">
      <c r="A429" s="8" t="s">
        <v>1395</v>
      </c>
      <c r="B429" s="8" t="s">
        <v>1396</v>
      </c>
      <c r="C429" s="8" t="s">
        <v>1397</v>
      </c>
      <c r="D429" s="30" t="s">
        <v>1398</v>
      </c>
      <c r="E429" s="30"/>
      <c r="F429" s="30"/>
      <c r="G429" s="30"/>
      <c r="H429" s="30"/>
      <c r="I429" s="30"/>
      <c r="J429" s="30"/>
      <c r="K429" s="31">
        <v>0.124</v>
      </c>
      <c r="L429" s="32">
        <f ca="1">ROUND(23.25,2)</f>
        <v>0</v>
      </c>
      <c r="M429" s="32">
        <f ca="1">ROUND(K429*L429,2)</f>
        <v>0</v>
      </c>
    </row>
    <row r="430" spans="1:13" ht="15.12" thickBot="1" customHeight="1">
      <c r="A430" s="8" t="s">
        <v>1399</v>
      </c>
      <c r="B430" s="8"/>
      <c r="C430" s="8" t="s">
        <v>1400</v>
      </c>
      <c r="D430" s="30" t="s">
        <v>1401</v>
      </c>
      <c r="E430" s="30"/>
      <c r="F430" s="30"/>
      <c r="G430" s="30"/>
      <c r="H430" s="30"/>
      <c r="I430" s="30"/>
      <c r="J430" s="30"/>
      <c r="K430" s="31">
        <v>2.000</v>
      </c>
      <c r="L430" s="32">
        <f ca="1">ROUND(31.95,2)</f>
        <v>0</v>
      </c>
      <c r="M430" s="32">
        <f ca="1">ROUND((K430*L430)/100,2)</f>
        <v>0</v>
      </c>
    </row>
    <row r="431" spans="1:13" ht="15.48" thickBot="1" customHeight="1">
      <c r="A431" s="34"/>
      <c r="B431" s="34"/>
      <c r="C431" s="34"/>
      <c r="D431" s="35" t="s">
        <v>1402</v>
      </c>
      <c r="E431" s="34"/>
      <c r="F431" s="34"/>
      <c r="G431" s="34"/>
      <c r="H431" s="34"/>
      <c r="I431" s="34"/>
      <c r="J431" s="34"/>
      <c r="K431" s="37">
        <v>6.240</v>
      </c>
      <c r="L431" s="38">
        <f ca="1">ROUND((M427+M428+M429+M430)*(1+M2/100),2)</f>
        <v>0</v>
      </c>
      <c r="M431" s="38">
        <f ca="1">ROUND(K431*L431,2)</f>
        <v>0</v>
      </c>
    </row>
    <row r="432" spans="1:13" ht="15.48" thickBot="1" customHeight="1">
      <c r="A432" s="39" t="s">
        <v>1403</v>
      </c>
      <c r="B432" s="40" t="s">
        <v>1404</v>
      </c>
      <c r="C432" s="40" t="s">
        <v>1405</v>
      </c>
      <c r="D432" s="41" t="s">
        <v>1406</v>
      </c>
      <c r="E432" s="41"/>
      <c r="F432" s="41"/>
      <c r="G432" s="41"/>
      <c r="H432" s="41"/>
      <c r="I432" s="41"/>
      <c r="J432" s="41"/>
      <c r="K432" s="42">
        <f ca="1">SUM(K435:K435)</f>
        <v>0</v>
      </c>
      <c r="L432" s="43">
        <f ca="1">L440</f>
        <v>0</v>
      </c>
      <c r="M432" s="43">
        <f ca="1">ROUND(K432*L432,2)</f>
        <v>0</v>
      </c>
    </row>
    <row r="433" spans="1:13" ht="58.32" thickBot="1" customHeight="1">
      <c r="A433" s="33"/>
      <c r="B433" s="33"/>
      <c r="C433" s="33"/>
      <c r="D433" s="30" t="s">
        <v>1407</v>
      </c>
      <c r="E433" s="30"/>
      <c r="F433" s="30"/>
      <c r="G433" s="30"/>
      <c r="H433" s="30"/>
      <c r="I433" s="30"/>
      <c r="J433" s="30"/>
      <c r="K433" s="30"/>
      <c r="L433" s="30"/>
      <c r="M433" s="30"/>
    </row>
    <row r="434" spans="1:13" ht="15.12" thickBot="1" customHeight="1">
      <c r="A434" s="33"/>
      <c r="B434" s="33"/>
      <c r="C434" s="33"/>
      <c r="D434" s="33"/>
      <c r="E434" s="52"/>
      <c r="F434" s="54" t="s">
        <v>1408</v>
      </c>
      <c r="G434" s="54" t="s">
        <v>1409</v>
      </c>
      <c r="H434" s="54" t="s">
        <v>1410</v>
      </c>
      <c r="I434" s="54" t="s">
        <v>1411</v>
      </c>
      <c r="J434" s="54" t="s">
        <v>1412</v>
      </c>
      <c r="K434" s="54" t="s">
        <v>1413</v>
      </c>
      <c r="L434" s="33"/>
      <c r="M434" s="33"/>
    </row>
    <row r="435" spans="1:13" ht="21.36" thickBot="1" customHeight="1">
      <c r="A435" s="33"/>
      <c r="B435" s="33"/>
      <c r="C435" s="33"/>
      <c r="D435" s="55"/>
      <c r="E435" s="56" t="s">
        <v>1414</v>
      </c>
      <c r="F435" s="57">
        <v>1</v>
      </c>
      <c r="G435" s="58">
        <v>176.880</v>
      </c>
      <c r="H435" s="58"/>
      <c r="I435" s="58"/>
      <c r="J435" s="60">
        <f ca="1">ROUND(F435*G435,3)</f>
        <v>0</v>
      </c>
      <c r="K435" s="62">
        <f ca="1">SUM(J435:J435)</f>
        <v>0</v>
      </c>
      <c r="L435" s="33"/>
      <c r="M435" s="33"/>
    </row>
    <row r="436" spans="1:13" ht="39.84" thickBot="1" customHeight="1">
      <c r="A436" s="8" t="s">
        <v>1415</v>
      </c>
      <c r="B436" s="8" t="s">
        <v>1416</v>
      </c>
      <c r="C436" s="8" t="s">
        <v>1417</v>
      </c>
      <c r="D436" s="30" t="s">
        <v>1418</v>
      </c>
      <c r="E436" s="30"/>
      <c r="F436" s="30"/>
      <c r="G436" s="30"/>
      <c r="H436" s="30"/>
      <c r="I436" s="30"/>
      <c r="J436" s="30"/>
      <c r="K436" s="31">
        <v>1.000</v>
      </c>
      <c r="L436" s="32">
        <f ca="1">ROUND(31.58,2)</f>
        <v>0</v>
      </c>
      <c r="M436" s="32">
        <f ca="1">ROUND(K436*L436,2)</f>
        <v>0</v>
      </c>
    </row>
    <row r="437" spans="1:13" ht="15.12" thickBot="1" customHeight="1">
      <c r="A437" s="8" t="s">
        <v>1419</v>
      </c>
      <c r="B437" s="8" t="s">
        <v>1420</v>
      </c>
      <c r="C437" s="8" t="s">
        <v>1421</v>
      </c>
      <c r="D437" s="30" t="s">
        <v>1422</v>
      </c>
      <c r="E437" s="30"/>
      <c r="F437" s="30"/>
      <c r="G437" s="30"/>
      <c r="H437" s="30"/>
      <c r="I437" s="30"/>
      <c r="J437" s="30"/>
      <c r="K437" s="31">
        <v>0.124</v>
      </c>
      <c r="L437" s="32">
        <f ca="1">ROUND(27.24,2)</f>
        <v>0</v>
      </c>
      <c r="M437" s="32">
        <f ca="1">ROUND(K437*L437,2)</f>
        <v>0</v>
      </c>
    </row>
    <row r="438" spans="1:13" ht="15.12" thickBot="1" customHeight="1">
      <c r="A438" s="8" t="s">
        <v>1423</v>
      </c>
      <c r="B438" s="8" t="s">
        <v>1424</v>
      </c>
      <c r="C438" s="8" t="s">
        <v>1425</v>
      </c>
      <c r="D438" s="30" t="s">
        <v>1426</v>
      </c>
      <c r="E438" s="30"/>
      <c r="F438" s="30"/>
      <c r="G438" s="30"/>
      <c r="H438" s="30"/>
      <c r="I438" s="30"/>
      <c r="J438" s="30"/>
      <c r="K438" s="31">
        <v>0.124</v>
      </c>
      <c r="L438" s="32">
        <f ca="1">ROUND(23.25,2)</f>
        <v>0</v>
      </c>
      <c r="M438" s="32">
        <f ca="1">ROUND(K438*L438,2)</f>
        <v>0</v>
      </c>
    </row>
    <row r="439" spans="1:13" ht="15.12" thickBot="1" customHeight="1">
      <c r="A439" s="8" t="s">
        <v>1427</v>
      </c>
      <c r="B439" s="8"/>
      <c r="C439" s="8" t="s">
        <v>1428</v>
      </c>
      <c r="D439" s="30" t="s">
        <v>1429</v>
      </c>
      <c r="E439" s="30"/>
      <c r="F439" s="30"/>
      <c r="G439" s="30"/>
      <c r="H439" s="30"/>
      <c r="I439" s="30"/>
      <c r="J439" s="30"/>
      <c r="K439" s="31">
        <v>2.000</v>
      </c>
      <c r="L439" s="32">
        <f ca="1">ROUND(37.84,2)</f>
        <v>0</v>
      </c>
      <c r="M439" s="32">
        <f ca="1">ROUND((K439*L439)/100,2)</f>
        <v>0</v>
      </c>
    </row>
    <row r="440" spans="1:13" ht="15.48" thickBot="1" customHeight="1">
      <c r="A440" s="34"/>
      <c r="B440" s="34"/>
      <c r="C440" s="34"/>
      <c r="D440" s="35" t="s">
        <v>1430</v>
      </c>
      <c r="E440" s="34"/>
      <c r="F440" s="34"/>
      <c r="G440" s="34"/>
      <c r="H440" s="34"/>
      <c r="I440" s="34"/>
      <c r="J440" s="34"/>
      <c r="K440" s="37">
        <v>176.880</v>
      </c>
      <c r="L440" s="38">
        <f ca="1">ROUND((M436+M437+M438+M439)*(1+M2/100),2)</f>
        <v>0</v>
      </c>
      <c r="M440" s="38">
        <f ca="1">ROUND(K440*L440,2)</f>
        <v>0</v>
      </c>
    </row>
    <row r="441" spans="1:13" ht="15.48" thickBot="1" customHeight="1">
      <c r="A441" s="39" t="s">
        <v>1431</v>
      </c>
      <c r="B441" s="40" t="s">
        <v>1432</v>
      </c>
      <c r="C441" s="40" t="s">
        <v>1433</v>
      </c>
      <c r="D441" s="41" t="s">
        <v>1434</v>
      </c>
      <c r="E441" s="41"/>
      <c r="F441" s="41"/>
      <c r="G441" s="41"/>
      <c r="H441" s="41"/>
      <c r="I441" s="41"/>
      <c r="J441" s="41"/>
      <c r="K441" s="42">
        <f ca="1">ROUND(67.29,2)</f>
        <v>0</v>
      </c>
      <c r="L441" s="43">
        <f ca="1">L447</f>
        <v>0</v>
      </c>
      <c r="M441" s="43">
        <f ca="1">ROUND(K441*L441,2)</f>
        <v>0</v>
      </c>
    </row>
    <row r="442" spans="1:13" ht="58.32" thickBot="1" customHeight="1">
      <c r="A442" s="33"/>
      <c r="B442" s="33"/>
      <c r="C442" s="33"/>
      <c r="D442" s="30" t="s">
        <v>1435</v>
      </c>
      <c r="E442" s="30"/>
      <c r="F442" s="30"/>
      <c r="G442" s="30"/>
      <c r="H442" s="30"/>
      <c r="I442" s="30"/>
      <c r="J442" s="30"/>
      <c r="K442" s="30"/>
      <c r="L442" s="30"/>
      <c r="M442" s="30"/>
    </row>
    <row r="443" spans="1:13" ht="39.84" thickBot="1" customHeight="1">
      <c r="A443" s="8" t="s">
        <v>1436</v>
      </c>
      <c r="B443" s="8" t="s">
        <v>1437</v>
      </c>
      <c r="C443" s="8" t="s">
        <v>1438</v>
      </c>
      <c r="D443" s="30" t="s">
        <v>1439</v>
      </c>
      <c r="E443" s="30"/>
      <c r="F443" s="30"/>
      <c r="G443" s="30"/>
      <c r="H443" s="30"/>
      <c r="I443" s="30"/>
      <c r="J443" s="30"/>
      <c r="K443" s="31">
        <v>1.000</v>
      </c>
      <c r="L443" s="32">
        <f ca="1">ROUND(4.31,2)</f>
        <v>0</v>
      </c>
      <c r="M443" s="32">
        <f ca="1">ROUND(K443*L443,2)</f>
        <v>0</v>
      </c>
    </row>
    <row r="444" spans="1:13" ht="15.12" thickBot="1" customHeight="1">
      <c r="A444" s="8" t="s">
        <v>1440</v>
      </c>
      <c r="B444" s="8" t="s">
        <v>1441</v>
      </c>
      <c r="C444" s="8" t="s">
        <v>1442</v>
      </c>
      <c r="D444" s="30" t="s">
        <v>1443</v>
      </c>
      <c r="E444" s="30"/>
      <c r="F444" s="30"/>
      <c r="G444" s="30"/>
      <c r="H444" s="30"/>
      <c r="I444" s="30"/>
      <c r="J444" s="30"/>
      <c r="K444" s="31">
        <v>0.043</v>
      </c>
      <c r="L444" s="32">
        <f ca="1">ROUND(27.24,2)</f>
        <v>0</v>
      </c>
      <c r="M444" s="32">
        <f ca="1">ROUND(K444*L444,2)</f>
        <v>0</v>
      </c>
    </row>
    <row r="445" spans="1:13" ht="15.12" thickBot="1" customHeight="1">
      <c r="A445" s="8" t="s">
        <v>1444</v>
      </c>
      <c r="B445" s="8" t="s">
        <v>1445</v>
      </c>
      <c r="C445" s="8" t="s">
        <v>1446</v>
      </c>
      <c r="D445" s="30" t="s">
        <v>1447</v>
      </c>
      <c r="E445" s="30"/>
      <c r="F445" s="30"/>
      <c r="G445" s="30"/>
      <c r="H445" s="30"/>
      <c r="I445" s="30"/>
      <c r="J445" s="30"/>
      <c r="K445" s="31">
        <v>0.043</v>
      </c>
      <c r="L445" s="32">
        <f ca="1">ROUND(23.25,2)</f>
        <v>0</v>
      </c>
      <c r="M445" s="32">
        <f ca="1">ROUND(K445*L445,2)</f>
        <v>0</v>
      </c>
    </row>
    <row r="446" spans="1:13" ht="15.12" thickBot="1" customHeight="1">
      <c r="A446" s="8" t="s">
        <v>1448</v>
      </c>
      <c r="B446" s="8"/>
      <c r="C446" s="8" t="s">
        <v>1449</v>
      </c>
      <c r="D446" s="30" t="s">
        <v>1450</v>
      </c>
      <c r="E446" s="30"/>
      <c r="F446" s="30"/>
      <c r="G446" s="30"/>
      <c r="H446" s="30"/>
      <c r="I446" s="30"/>
      <c r="J446" s="30"/>
      <c r="K446" s="31">
        <v>2.000</v>
      </c>
      <c r="L446" s="32">
        <f ca="1">ROUND(6.48,2)</f>
        <v>0</v>
      </c>
      <c r="M446" s="32">
        <f ca="1">ROUND((K446*L446)/100,2)</f>
        <v>0</v>
      </c>
    </row>
    <row r="447" spans="1:13" ht="15.48" thickBot="1" customHeight="1">
      <c r="A447" s="34"/>
      <c r="B447" s="34"/>
      <c r="C447" s="34"/>
      <c r="D447" s="35" t="s">
        <v>1451</v>
      </c>
      <c r="E447" s="34"/>
      <c r="F447" s="34"/>
      <c r="G447" s="34"/>
      <c r="H447" s="34"/>
      <c r="I447" s="34"/>
      <c r="J447" s="34"/>
      <c r="K447" s="37">
        <v>67.290</v>
      </c>
      <c r="L447" s="38">
        <f ca="1">ROUND((M443+M444+M445+M446)*(1+M2/100),2)</f>
        <v>0</v>
      </c>
      <c r="M447" s="38">
        <f ca="1">ROUND(K447*L447,2)</f>
        <v>0</v>
      </c>
    </row>
    <row r="448" spans="1:13" ht="15.48" thickBot="1" customHeight="1">
      <c r="A448" s="39" t="s">
        <v>1452</v>
      </c>
      <c r="B448" s="40" t="s">
        <v>1453</v>
      </c>
      <c r="C448" s="40" t="s">
        <v>1454</v>
      </c>
      <c r="D448" s="41" t="s">
        <v>1455</v>
      </c>
      <c r="E448" s="41"/>
      <c r="F448" s="41"/>
      <c r="G448" s="41"/>
      <c r="H448" s="41"/>
      <c r="I448" s="41"/>
      <c r="J448" s="41"/>
      <c r="K448" s="42">
        <f ca="1">ROUND(93.20,2)</f>
        <v>0</v>
      </c>
      <c r="L448" s="43">
        <f ca="1">L454</f>
        <v>0</v>
      </c>
      <c r="M448" s="43">
        <f ca="1">ROUND(K448*L448,2)</f>
        <v>0</v>
      </c>
    </row>
    <row r="449" spans="1:13" ht="58.32" thickBot="1" customHeight="1">
      <c r="A449" s="33"/>
      <c r="B449" s="33"/>
      <c r="C449" s="33"/>
      <c r="D449" s="30" t="s">
        <v>1456</v>
      </c>
      <c r="E449" s="30"/>
      <c r="F449" s="30"/>
      <c r="G449" s="30"/>
      <c r="H449" s="30"/>
      <c r="I449" s="30"/>
      <c r="J449" s="30"/>
      <c r="K449" s="30"/>
      <c r="L449" s="30"/>
      <c r="M449" s="30"/>
    </row>
    <row r="450" spans="1:13" ht="39.84" thickBot="1" customHeight="1">
      <c r="A450" s="8" t="s">
        <v>1457</v>
      </c>
      <c r="B450" s="8" t="s">
        <v>1458</v>
      </c>
      <c r="C450" s="8" t="s">
        <v>1459</v>
      </c>
      <c r="D450" s="30" t="s">
        <v>1460</v>
      </c>
      <c r="E450" s="30"/>
      <c r="F450" s="30"/>
      <c r="G450" s="30"/>
      <c r="H450" s="30"/>
      <c r="I450" s="30"/>
      <c r="J450" s="30"/>
      <c r="K450" s="31">
        <v>1.000</v>
      </c>
      <c r="L450" s="32">
        <f ca="1">ROUND(6.81,2)</f>
        <v>0</v>
      </c>
      <c r="M450" s="32">
        <f ca="1">ROUND(K450*L450,2)</f>
        <v>0</v>
      </c>
    </row>
    <row r="451" spans="1:13" ht="15.12" thickBot="1" customHeight="1">
      <c r="A451" s="8" t="s">
        <v>1461</v>
      </c>
      <c r="B451" s="8" t="s">
        <v>1462</v>
      </c>
      <c r="C451" s="8" t="s">
        <v>1463</v>
      </c>
      <c r="D451" s="30" t="s">
        <v>1464</v>
      </c>
      <c r="E451" s="30"/>
      <c r="F451" s="30"/>
      <c r="G451" s="30"/>
      <c r="H451" s="30"/>
      <c r="I451" s="30"/>
      <c r="J451" s="30"/>
      <c r="K451" s="31">
        <v>0.043</v>
      </c>
      <c r="L451" s="32">
        <f ca="1">ROUND(27.24,2)</f>
        <v>0</v>
      </c>
      <c r="M451" s="32">
        <f ca="1">ROUND(K451*L451,2)</f>
        <v>0</v>
      </c>
    </row>
    <row r="452" spans="1:13" ht="15.12" thickBot="1" customHeight="1">
      <c r="A452" s="8" t="s">
        <v>1465</v>
      </c>
      <c r="B452" s="8" t="s">
        <v>1466</v>
      </c>
      <c r="C452" s="8" t="s">
        <v>1467</v>
      </c>
      <c r="D452" s="30" t="s">
        <v>1468</v>
      </c>
      <c r="E452" s="30"/>
      <c r="F452" s="30"/>
      <c r="G452" s="30"/>
      <c r="H452" s="30"/>
      <c r="I452" s="30"/>
      <c r="J452" s="30"/>
      <c r="K452" s="31">
        <v>0.043</v>
      </c>
      <c r="L452" s="32">
        <f ca="1">ROUND(23.25,2)</f>
        <v>0</v>
      </c>
      <c r="M452" s="32">
        <f ca="1">ROUND(K452*L452,2)</f>
        <v>0</v>
      </c>
    </row>
    <row r="453" spans="1:13" ht="15.12" thickBot="1" customHeight="1">
      <c r="A453" s="8" t="s">
        <v>1469</v>
      </c>
      <c r="B453" s="8"/>
      <c r="C453" s="8" t="s">
        <v>1470</v>
      </c>
      <c r="D453" s="30" t="s">
        <v>1471</v>
      </c>
      <c r="E453" s="30"/>
      <c r="F453" s="30"/>
      <c r="G453" s="30"/>
      <c r="H453" s="30"/>
      <c r="I453" s="30"/>
      <c r="J453" s="30"/>
      <c r="K453" s="31">
        <v>2.000</v>
      </c>
      <c r="L453" s="32">
        <f ca="1">ROUND(8.98,2)</f>
        <v>0</v>
      </c>
      <c r="M453" s="32">
        <f ca="1">ROUND((K453*L453)/100,2)</f>
        <v>0</v>
      </c>
    </row>
    <row r="454" spans="1:13" ht="15.48" thickBot="1" customHeight="1">
      <c r="A454" s="34"/>
      <c r="B454" s="34"/>
      <c r="C454" s="34"/>
      <c r="D454" s="35" t="s">
        <v>1472</v>
      </c>
      <c r="E454" s="34"/>
      <c r="F454" s="34"/>
      <c r="G454" s="34"/>
      <c r="H454" s="34"/>
      <c r="I454" s="34"/>
      <c r="J454" s="34"/>
      <c r="K454" s="37">
        <v>93.200</v>
      </c>
      <c r="L454" s="38">
        <f ca="1">ROUND((M450+M451+M452+M453)*(1+M2/100),2)</f>
        <v>0</v>
      </c>
      <c r="M454" s="38">
        <f ca="1">ROUND(K454*L454,2)</f>
        <v>0</v>
      </c>
    </row>
    <row r="455" spans="1:13" ht="15.48" thickBot="1" customHeight="1">
      <c r="A455" s="39" t="s">
        <v>1473</v>
      </c>
      <c r="B455" s="40" t="s">
        <v>1474</v>
      </c>
      <c r="C455" s="40" t="s">
        <v>1475</v>
      </c>
      <c r="D455" s="41" t="s">
        <v>1476</v>
      </c>
      <c r="E455" s="41"/>
      <c r="F455" s="41"/>
      <c r="G455" s="41"/>
      <c r="H455" s="41"/>
      <c r="I455" s="41"/>
      <c r="J455" s="41"/>
      <c r="K455" s="42">
        <f ca="1">SUM(K458:K458)</f>
        <v>0</v>
      </c>
      <c r="L455" s="43">
        <f ca="1">L463</f>
        <v>0</v>
      </c>
      <c r="M455" s="43">
        <f ca="1">ROUND(K455*L455,2)</f>
        <v>0</v>
      </c>
    </row>
    <row r="456" spans="1:13" ht="49.08" thickBot="1" customHeight="1">
      <c r="A456" s="33"/>
      <c r="B456" s="33"/>
      <c r="C456" s="33"/>
      <c r="D456" s="30" t="s">
        <v>1477</v>
      </c>
      <c r="E456" s="30"/>
      <c r="F456" s="30"/>
      <c r="G456" s="30"/>
      <c r="H456" s="30"/>
      <c r="I456" s="30"/>
      <c r="J456" s="30"/>
      <c r="K456" s="30"/>
      <c r="L456" s="30"/>
      <c r="M456" s="30"/>
    </row>
    <row r="457" spans="1:13" ht="15.12" thickBot="1" customHeight="1">
      <c r="A457" s="33"/>
      <c r="B457" s="33"/>
      <c r="C457" s="33"/>
      <c r="D457" s="33"/>
      <c r="E457" s="52"/>
      <c r="F457" s="54" t="s">
        <v>1478</v>
      </c>
      <c r="G457" s="54" t="s">
        <v>1479</v>
      </c>
      <c r="H457" s="54" t="s">
        <v>1480</v>
      </c>
      <c r="I457" s="54" t="s">
        <v>1481</v>
      </c>
      <c r="J457" s="54" t="s">
        <v>1482</v>
      </c>
      <c r="K457" s="54" t="s">
        <v>1483</v>
      </c>
      <c r="L457" s="33"/>
      <c r="M457" s="33"/>
    </row>
    <row r="458" spans="1:13" ht="21.36" thickBot="1" customHeight="1">
      <c r="A458" s="33"/>
      <c r="B458" s="33"/>
      <c r="C458" s="33"/>
      <c r="D458" s="55"/>
      <c r="E458" s="56" t="s">
        <v>1484</v>
      </c>
      <c r="F458" s="57">
        <v>1</v>
      </c>
      <c r="G458" s="58">
        <v>3.800</v>
      </c>
      <c r="H458" s="58"/>
      <c r="I458" s="58"/>
      <c r="J458" s="60">
        <f ca="1">ROUND(F458*G458,3)</f>
        <v>0</v>
      </c>
      <c r="K458" s="62">
        <f ca="1">SUM(J458:J458)</f>
        <v>0</v>
      </c>
      <c r="L458" s="33"/>
      <c r="M458" s="33"/>
    </row>
    <row r="459" spans="1:13" ht="39.84" thickBot="1" customHeight="1">
      <c r="A459" s="8" t="s">
        <v>1485</v>
      </c>
      <c r="B459" s="8" t="s">
        <v>1486</v>
      </c>
      <c r="C459" s="8" t="s">
        <v>1487</v>
      </c>
      <c r="D459" s="30" t="s">
        <v>1488</v>
      </c>
      <c r="E459" s="30"/>
      <c r="F459" s="30"/>
      <c r="G459" s="30"/>
      <c r="H459" s="30"/>
      <c r="I459" s="30"/>
      <c r="J459" s="30"/>
      <c r="K459" s="31">
        <v>1.000</v>
      </c>
      <c r="L459" s="32">
        <f ca="1">ROUND(29.14,2)</f>
        <v>0</v>
      </c>
      <c r="M459" s="32">
        <f ca="1">ROUND(K459*L459,2)</f>
        <v>0</v>
      </c>
    </row>
    <row r="460" spans="1:13" ht="15.12" thickBot="1" customHeight="1">
      <c r="A460" s="8" t="s">
        <v>1489</v>
      </c>
      <c r="B460" s="8" t="s">
        <v>1490</v>
      </c>
      <c r="C460" s="8" t="s">
        <v>1491</v>
      </c>
      <c r="D460" s="30" t="s">
        <v>1492</v>
      </c>
      <c r="E460" s="30"/>
      <c r="F460" s="30"/>
      <c r="G460" s="30"/>
      <c r="H460" s="30"/>
      <c r="I460" s="30"/>
      <c r="J460" s="30"/>
      <c r="K460" s="31">
        <v>0.216</v>
      </c>
      <c r="L460" s="32">
        <f ca="1">ROUND(27.24,2)</f>
        <v>0</v>
      </c>
      <c r="M460" s="32">
        <f ca="1">ROUND(K460*L460,2)</f>
        <v>0</v>
      </c>
    </row>
    <row r="461" spans="1:13" ht="15.12" thickBot="1" customHeight="1">
      <c r="A461" s="8" t="s">
        <v>1493</v>
      </c>
      <c r="B461" s="8" t="s">
        <v>1494</v>
      </c>
      <c r="C461" s="8" t="s">
        <v>1495</v>
      </c>
      <c r="D461" s="30" t="s">
        <v>1496</v>
      </c>
      <c r="E461" s="30"/>
      <c r="F461" s="30"/>
      <c r="G461" s="30"/>
      <c r="H461" s="30"/>
      <c r="I461" s="30"/>
      <c r="J461" s="30"/>
      <c r="K461" s="31">
        <v>0.216</v>
      </c>
      <c r="L461" s="32">
        <f ca="1">ROUND(23.25,2)</f>
        <v>0</v>
      </c>
      <c r="M461" s="32">
        <f ca="1">ROUND(K461*L461,2)</f>
        <v>0</v>
      </c>
    </row>
    <row r="462" spans="1:13" ht="15.12" thickBot="1" customHeight="1">
      <c r="A462" s="8" t="s">
        <v>1497</v>
      </c>
      <c r="B462" s="8"/>
      <c r="C462" s="8" t="s">
        <v>1498</v>
      </c>
      <c r="D462" s="30" t="s">
        <v>1499</v>
      </c>
      <c r="E462" s="30"/>
      <c r="F462" s="30"/>
      <c r="G462" s="30"/>
      <c r="H462" s="30"/>
      <c r="I462" s="30"/>
      <c r="J462" s="30"/>
      <c r="K462" s="31">
        <v>2.000</v>
      </c>
      <c r="L462" s="32">
        <f ca="1">ROUND(40.04,2)</f>
        <v>0</v>
      </c>
      <c r="M462" s="32">
        <f ca="1">ROUND((K462*L462)/100,2)</f>
        <v>0</v>
      </c>
    </row>
    <row r="463" spans="1:13" ht="15.48" thickBot="1" customHeight="1">
      <c r="A463" s="34"/>
      <c r="B463" s="34"/>
      <c r="C463" s="34"/>
      <c r="D463" s="35" t="s">
        <v>1500</v>
      </c>
      <c r="E463" s="34"/>
      <c r="F463" s="34"/>
      <c r="G463" s="34"/>
      <c r="H463" s="34"/>
      <c r="I463" s="34"/>
      <c r="J463" s="34"/>
      <c r="K463" s="37">
        <v>3.800</v>
      </c>
      <c r="L463" s="38">
        <f ca="1">ROUND((M459+M460+M461+M462)*(1+M2/100),2)</f>
        <v>0</v>
      </c>
      <c r="M463" s="38">
        <f ca="1">ROUND(K463*L463,2)</f>
        <v>0</v>
      </c>
    </row>
    <row r="464" spans="1:13" ht="15.48" thickBot="1" customHeight="1">
      <c r="A464" s="39" t="s">
        <v>1501</v>
      </c>
      <c r="B464" s="40" t="s">
        <v>1502</v>
      </c>
      <c r="C464" s="40" t="s">
        <v>1503</v>
      </c>
      <c r="D464" s="41" t="s">
        <v>1504</v>
      </c>
      <c r="E464" s="41"/>
      <c r="F464" s="41"/>
      <c r="G464" s="41"/>
      <c r="H464" s="41"/>
      <c r="I464" s="41"/>
      <c r="J464" s="41"/>
      <c r="K464" s="42">
        <f ca="1">SUM(K467:K467)</f>
        <v>0</v>
      </c>
      <c r="L464" s="43">
        <f ca="1">L479</f>
        <v>0</v>
      </c>
      <c r="M464" s="43">
        <f ca="1">ROUND(K464*L464,2)</f>
        <v>0</v>
      </c>
    </row>
    <row r="465" spans="1:13" ht="86.04" thickBot="1" customHeight="1">
      <c r="A465" s="33"/>
      <c r="B465" s="33"/>
      <c r="C465" s="33"/>
      <c r="D465" s="30" t="s">
        <v>1505</v>
      </c>
      <c r="E465" s="30"/>
      <c r="F465" s="30"/>
      <c r="G465" s="30"/>
      <c r="H465" s="30"/>
      <c r="I465" s="30"/>
      <c r="J465" s="30"/>
      <c r="K465" s="30"/>
      <c r="L465" s="30"/>
      <c r="M465" s="30"/>
    </row>
    <row r="466" spans="1:13" ht="15.12" thickBot="1" customHeight="1">
      <c r="A466" s="33"/>
      <c r="B466" s="33"/>
      <c r="C466" s="33"/>
      <c r="D466" s="33"/>
      <c r="E466" s="52"/>
      <c r="F466" s="54" t="s">
        <v>1506</v>
      </c>
      <c r="G466" s="54" t="s">
        <v>1507</v>
      </c>
      <c r="H466" s="54" t="s">
        <v>1508</v>
      </c>
      <c r="I466" s="54" t="s">
        <v>1509</v>
      </c>
      <c r="J466" s="54" t="s">
        <v>1510</v>
      </c>
      <c r="K466" s="54" t="s">
        <v>1511</v>
      </c>
      <c r="L466" s="33"/>
      <c r="M466" s="33"/>
    </row>
    <row r="467" spans="1:13" ht="21.36" thickBot="1" customHeight="1">
      <c r="A467" s="33"/>
      <c r="B467" s="33"/>
      <c r="C467" s="33"/>
      <c r="D467" s="55"/>
      <c r="E467" s="56" t="s">
        <v>1512</v>
      </c>
      <c r="F467" s="57">
        <v>1</v>
      </c>
      <c r="G467" s="58">
        <v>45.700</v>
      </c>
      <c r="H467" s="58"/>
      <c r="I467" s="58"/>
      <c r="J467" s="60">
        <f ca="1">ROUND(F467*G467,3)</f>
        <v>0</v>
      </c>
      <c r="K467" s="62">
        <f ca="1">SUM(J467:J467)</f>
        <v>0</v>
      </c>
      <c r="L467" s="33"/>
      <c r="M467" s="33"/>
    </row>
    <row r="468" spans="1:13" ht="15.12" thickBot="1" customHeight="1">
      <c r="A468" s="8" t="s">
        <v>1513</v>
      </c>
      <c r="B468" s="8" t="s">
        <v>1514</v>
      </c>
      <c r="C468" s="8" t="s">
        <v>1515</v>
      </c>
      <c r="D468" s="30" t="s">
        <v>1516</v>
      </c>
      <c r="E468" s="30"/>
      <c r="F468" s="30"/>
      <c r="G468" s="30"/>
      <c r="H468" s="30"/>
      <c r="I468" s="30"/>
      <c r="J468" s="30"/>
      <c r="K468" s="31">
        <v>0.074</v>
      </c>
      <c r="L468" s="32">
        <f ca="1">ROUND(14.30,2)</f>
        <v>0</v>
      </c>
      <c r="M468" s="32">
        <f ca="1">ROUND(K468*L468,2)</f>
        <v>0</v>
      </c>
    </row>
    <row r="469" spans="1:13" ht="39.84" thickBot="1" customHeight="1">
      <c r="A469" s="8" t="s">
        <v>1517</v>
      </c>
      <c r="B469" s="8" t="s">
        <v>1518</v>
      </c>
      <c r="C469" s="8" t="s">
        <v>1519</v>
      </c>
      <c r="D469" s="30" t="s">
        <v>1520</v>
      </c>
      <c r="E469" s="30"/>
      <c r="F469" s="30"/>
      <c r="G469" s="30"/>
      <c r="H469" s="30"/>
      <c r="I469" s="30"/>
      <c r="J469" s="30"/>
      <c r="K469" s="31">
        <v>1.000</v>
      </c>
      <c r="L469" s="32">
        <f ca="1">ROUND(19.52,2)</f>
        <v>0</v>
      </c>
      <c r="M469" s="32">
        <f ca="1">ROUND(K469*L469,2)</f>
        <v>0</v>
      </c>
    </row>
    <row r="470" spans="1:13" ht="21.36" thickBot="1" customHeight="1">
      <c r="A470" s="8" t="s">
        <v>1521</v>
      </c>
      <c r="B470" s="8" t="s">
        <v>1522</v>
      </c>
      <c r="C470" s="8" t="s">
        <v>1523</v>
      </c>
      <c r="D470" s="30" t="s">
        <v>1524</v>
      </c>
      <c r="E470" s="30"/>
      <c r="F470" s="30"/>
      <c r="G470" s="30"/>
      <c r="H470" s="30"/>
      <c r="I470" s="30"/>
      <c r="J470" s="30"/>
      <c r="K470" s="31">
        <v>1.000</v>
      </c>
      <c r="L470" s="32">
        <f ca="1">ROUND(0.25,2)</f>
        <v>0</v>
      </c>
      <c r="M470" s="32">
        <f ca="1">ROUND(K470*L470,2)</f>
        <v>0</v>
      </c>
    </row>
    <row r="471" spans="1:13" ht="15.12" thickBot="1" customHeight="1">
      <c r="A471" s="8" t="s">
        <v>1525</v>
      </c>
      <c r="B471" s="8" t="s">
        <v>1526</v>
      </c>
      <c r="C471" s="8" t="s">
        <v>1527</v>
      </c>
      <c r="D471" s="30" t="s">
        <v>1528</v>
      </c>
      <c r="E471" s="30"/>
      <c r="F471" s="30"/>
      <c r="G471" s="30"/>
      <c r="H471" s="30"/>
      <c r="I471" s="30"/>
      <c r="J471" s="30"/>
      <c r="K471" s="31">
        <v>0.008</v>
      </c>
      <c r="L471" s="32">
        <f ca="1">ROUND(10.38,2)</f>
        <v>0</v>
      </c>
      <c r="M471" s="32">
        <f ca="1">ROUND(K471*L471,2)</f>
        <v>0</v>
      </c>
    </row>
    <row r="472" spans="1:13" ht="15.12" thickBot="1" customHeight="1">
      <c r="A472" s="8" t="s">
        <v>1529</v>
      </c>
      <c r="B472" s="8" t="s">
        <v>1530</v>
      </c>
      <c r="C472" s="8" t="s">
        <v>1531</v>
      </c>
      <c r="D472" s="30" t="s">
        <v>1532</v>
      </c>
      <c r="E472" s="30"/>
      <c r="F472" s="30"/>
      <c r="G472" s="30"/>
      <c r="H472" s="30"/>
      <c r="I472" s="30"/>
      <c r="J472" s="30"/>
      <c r="K472" s="31">
        <v>0.057</v>
      </c>
      <c r="L472" s="32">
        <f ca="1">ROUND(3.92,2)</f>
        <v>0</v>
      </c>
      <c r="M472" s="32">
        <f ca="1">ROUND(K472*L472,2)</f>
        <v>0</v>
      </c>
    </row>
    <row r="473" spans="1:13" ht="15.12" thickBot="1" customHeight="1">
      <c r="A473" s="8" t="s">
        <v>1533</v>
      </c>
      <c r="B473" s="8" t="s">
        <v>1534</v>
      </c>
      <c r="C473" s="8" t="s">
        <v>1535</v>
      </c>
      <c r="D473" s="30" t="s">
        <v>1536</v>
      </c>
      <c r="E473" s="30"/>
      <c r="F473" s="30"/>
      <c r="G473" s="30"/>
      <c r="H473" s="30"/>
      <c r="I473" s="30"/>
      <c r="J473" s="30"/>
      <c r="K473" s="31">
        <v>0.001</v>
      </c>
      <c r="L473" s="32">
        <f ca="1">ROUND(118.90,2)</f>
        <v>0</v>
      </c>
      <c r="M473" s="32">
        <f ca="1">ROUND(K473*L473,2)</f>
        <v>0</v>
      </c>
    </row>
    <row r="474" spans="1:13" ht="15.12" thickBot="1" customHeight="1">
      <c r="A474" s="8" t="s">
        <v>1537</v>
      </c>
      <c r="B474" s="8" t="s">
        <v>1538</v>
      </c>
      <c r="C474" s="8" t="s">
        <v>1539</v>
      </c>
      <c r="D474" s="30" t="s">
        <v>1540</v>
      </c>
      <c r="E474" s="30"/>
      <c r="F474" s="30"/>
      <c r="G474" s="30"/>
      <c r="H474" s="30"/>
      <c r="I474" s="30"/>
      <c r="J474" s="30"/>
      <c r="K474" s="31">
        <v>0.063</v>
      </c>
      <c r="L474" s="32">
        <f ca="1">ROUND(26.38,2)</f>
        <v>0</v>
      </c>
      <c r="M474" s="32">
        <f ca="1">ROUND(K474*L474,2)</f>
        <v>0</v>
      </c>
    </row>
    <row r="475" spans="1:13" ht="15.12" thickBot="1" customHeight="1">
      <c r="A475" s="8" t="s">
        <v>1541</v>
      </c>
      <c r="B475" s="8" t="s">
        <v>1542</v>
      </c>
      <c r="C475" s="8" t="s">
        <v>1543</v>
      </c>
      <c r="D475" s="30" t="s">
        <v>1544</v>
      </c>
      <c r="E475" s="30"/>
      <c r="F475" s="30"/>
      <c r="G475" s="30"/>
      <c r="H475" s="30"/>
      <c r="I475" s="30"/>
      <c r="J475" s="30"/>
      <c r="K475" s="31">
        <v>0.063</v>
      </c>
      <c r="L475" s="32">
        <f ca="1">ROUND(20.97,2)</f>
        <v>0</v>
      </c>
      <c r="M475" s="32">
        <f ca="1">ROUND(K475*L475,2)</f>
        <v>0</v>
      </c>
    </row>
    <row r="476" spans="1:13" ht="15.12" thickBot="1" customHeight="1">
      <c r="A476" s="8" t="s">
        <v>1545</v>
      </c>
      <c r="B476" s="8" t="s">
        <v>1546</v>
      </c>
      <c r="C476" s="8" t="s">
        <v>1547</v>
      </c>
      <c r="D476" s="30" t="s">
        <v>1548</v>
      </c>
      <c r="E476" s="30"/>
      <c r="F476" s="30"/>
      <c r="G476" s="30"/>
      <c r="H476" s="30"/>
      <c r="I476" s="30"/>
      <c r="J476" s="30"/>
      <c r="K476" s="31">
        <v>0.045</v>
      </c>
      <c r="L476" s="32">
        <f ca="1">ROUND(27.24,2)</f>
        <v>0</v>
      </c>
      <c r="M476" s="32">
        <f ca="1">ROUND(K476*L476,2)</f>
        <v>0</v>
      </c>
    </row>
    <row r="477" spans="1:13" ht="15.12" thickBot="1" customHeight="1">
      <c r="A477" s="8" t="s">
        <v>1549</v>
      </c>
      <c r="B477" s="8" t="s">
        <v>1550</v>
      </c>
      <c r="C477" s="8" t="s">
        <v>1551</v>
      </c>
      <c r="D477" s="30" t="s">
        <v>1552</v>
      </c>
      <c r="E477" s="30"/>
      <c r="F477" s="30"/>
      <c r="G477" s="30"/>
      <c r="H477" s="30"/>
      <c r="I477" s="30"/>
      <c r="J477" s="30"/>
      <c r="K477" s="31">
        <v>0.022</v>
      </c>
      <c r="L477" s="32">
        <f ca="1">ROUND(23.25,2)</f>
        <v>0</v>
      </c>
      <c r="M477" s="32">
        <f ca="1">ROUND(K477*L477,2)</f>
        <v>0</v>
      </c>
    </row>
    <row r="478" spans="1:13" ht="15.12" thickBot="1" customHeight="1">
      <c r="A478" s="8" t="s">
        <v>1553</v>
      </c>
      <c r="B478" s="8"/>
      <c r="C478" s="8" t="s">
        <v>1554</v>
      </c>
      <c r="D478" s="30" t="s">
        <v>1555</v>
      </c>
      <c r="E478" s="30"/>
      <c r="F478" s="30"/>
      <c r="G478" s="30"/>
      <c r="H478" s="30"/>
      <c r="I478" s="30"/>
      <c r="J478" s="30"/>
      <c r="K478" s="31">
        <v>2.000</v>
      </c>
      <c r="L478" s="32">
        <f ca="1">ROUND(25.97,2)</f>
        <v>0</v>
      </c>
      <c r="M478" s="32">
        <f ca="1">ROUND((K478*L478)/100,2)</f>
        <v>0</v>
      </c>
    </row>
    <row r="479" spans="1:13" ht="15.48" thickBot="1" customHeight="1">
      <c r="A479" s="34"/>
      <c r="B479" s="34"/>
      <c r="C479" s="34"/>
      <c r="D479" s="35" t="s">
        <v>1556</v>
      </c>
      <c r="E479" s="34"/>
      <c r="F479" s="34"/>
      <c r="G479" s="34"/>
      <c r="H479" s="34"/>
      <c r="I479" s="34"/>
      <c r="J479" s="34"/>
      <c r="K479" s="37">
        <v>45.700</v>
      </c>
      <c r="L479" s="38">
        <f ca="1">ROUND((M468+M469+M470+M471+M472+M473+M474+M475+M476+M477+M478)*(1+M2/100),2)</f>
        <v>0</v>
      </c>
      <c r="M479" s="38">
        <f ca="1">ROUND(K479*L479,2)</f>
        <v>0</v>
      </c>
    </row>
    <row r="480" spans="1:13" ht="15.48" thickBot="1" customHeight="1">
      <c r="A480" s="39" t="s">
        <v>1557</v>
      </c>
      <c r="B480" s="40" t="s">
        <v>1558</v>
      </c>
      <c r="C480" s="40" t="s">
        <v>1559</v>
      </c>
      <c r="D480" s="41" t="s">
        <v>1560</v>
      </c>
      <c r="E480" s="41"/>
      <c r="F480" s="41"/>
      <c r="G480" s="41"/>
      <c r="H480" s="41"/>
      <c r="I480" s="41"/>
      <c r="J480" s="41"/>
      <c r="K480" s="42">
        <f ca="1">ROUND(45.70,2)</f>
        <v>0</v>
      </c>
      <c r="L480" s="43">
        <f ca="1">L493</f>
        <v>0</v>
      </c>
      <c r="M480" s="43">
        <f ca="1">ROUND(K480*L480,2)</f>
        <v>0</v>
      </c>
    </row>
    <row r="481" spans="1:13" ht="86.04" thickBot="1" customHeight="1">
      <c r="A481" s="33"/>
      <c r="B481" s="33"/>
      <c r="C481" s="33"/>
      <c r="D481" s="30" t="s">
        <v>1561</v>
      </c>
      <c r="E481" s="30"/>
      <c r="F481" s="30"/>
      <c r="G481" s="30"/>
      <c r="H481" s="30"/>
      <c r="I481" s="30"/>
      <c r="J481" s="30"/>
      <c r="K481" s="30"/>
      <c r="L481" s="30"/>
      <c r="M481" s="30"/>
    </row>
    <row r="482" spans="1:13" ht="15.12" thickBot="1" customHeight="1">
      <c r="A482" s="8" t="s">
        <v>1562</v>
      </c>
      <c r="B482" s="8" t="s">
        <v>1563</v>
      </c>
      <c r="C482" s="8" t="s">
        <v>1564</v>
      </c>
      <c r="D482" s="30" t="s">
        <v>1565</v>
      </c>
      <c r="E482" s="30"/>
      <c r="F482" s="30"/>
      <c r="G482" s="30"/>
      <c r="H482" s="30"/>
      <c r="I482" s="30"/>
      <c r="J482" s="30"/>
      <c r="K482" s="31">
        <v>0.074</v>
      </c>
      <c r="L482" s="32">
        <f ca="1">ROUND(14.30,2)</f>
        <v>0</v>
      </c>
      <c r="M482" s="32">
        <f ca="1">ROUND(K482*L482,2)</f>
        <v>0</v>
      </c>
    </row>
    <row r="483" spans="1:13" ht="39.84" thickBot="1" customHeight="1">
      <c r="A483" s="8" t="s">
        <v>1566</v>
      </c>
      <c r="B483" s="8" t="s">
        <v>1567</v>
      </c>
      <c r="C483" s="8" t="s">
        <v>1568</v>
      </c>
      <c r="D483" s="30" t="s">
        <v>1569</v>
      </c>
      <c r="E483" s="30"/>
      <c r="F483" s="30"/>
      <c r="G483" s="30"/>
      <c r="H483" s="30"/>
      <c r="I483" s="30"/>
      <c r="J483" s="30"/>
      <c r="K483" s="31">
        <v>1.000</v>
      </c>
      <c r="L483" s="32">
        <f ca="1">ROUND(19.52,2)</f>
        <v>0</v>
      </c>
      <c r="M483" s="32">
        <f ca="1">ROUND(K483*L483,2)</f>
        <v>0</v>
      </c>
    </row>
    <row r="484" spans="1:13" ht="21.36" thickBot="1" customHeight="1">
      <c r="A484" s="8" t="s">
        <v>1570</v>
      </c>
      <c r="B484" s="8" t="s">
        <v>1571</v>
      </c>
      <c r="C484" s="8" t="s">
        <v>1572</v>
      </c>
      <c r="D484" s="30" t="s">
        <v>1573</v>
      </c>
      <c r="E484" s="30"/>
      <c r="F484" s="30"/>
      <c r="G484" s="30"/>
      <c r="H484" s="30"/>
      <c r="I484" s="30"/>
      <c r="J484" s="30"/>
      <c r="K484" s="31">
        <v>1.000</v>
      </c>
      <c r="L484" s="32">
        <f ca="1">ROUND(0.25,2)</f>
        <v>0</v>
      </c>
      <c r="M484" s="32">
        <f ca="1">ROUND(K484*L484,2)</f>
        <v>0</v>
      </c>
    </row>
    <row r="485" spans="1:13" ht="15.12" thickBot="1" customHeight="1">
      <c r="A485" s="8" t="s">
        <v>1574</v>
      </c>
      <c r="B485" s="8" t="s">
        <v>1575</v>
      </c>
      <c r="C485" s="8" t="s">
        <v>1576</v>
      </c>
      <c r="D485" s="30" t="s">
        <v>1577</v>
      </c>
      <c r="E485" s="30"/>
      <c r="F485" s="30"/>
      <c r="G485" s="30"/>
      <c r="H485" s="30"/>
      <c r="I485" s="30"/>
      <c r="J485" s="30"/>
      <c r="K485" s="31">
        <v>0.008</v>
      </c>
      <c r="L485" s="32">
        <f ca="1">ROUND(10.38,2)</f>
        <v>0</v>
      </c>
      <c r="M485" s="32">
        <f ca="1">ROUND(K485*L485,2)</f>
        <v>0</v>
      </c>
    </row>
    <row r="486" spans="1:13" ht="15.12" thickBot="1" customHeight="1">
      <c r="A486" s="8" t="s">
        <v>1578</v>
      </c>
      <c r="B486" s="8" t="s">
        <v>1579</v>
      </c>
      <c r="C486" s="8" t="s">
        <v>1580</v>
      </c>
      <c r="D486" s="30" t="s">
        <v>1581</v>
      </c>
      <c r="E486" s="30"/>
      <c r="F486" s="30"/>
      <c r="G486" s="30"/>
      <c r="H486" s="30"/>
      <c r="I486" s="30"/>
      <c r="J486" s="30"/>
      <c r="K486" s="31">
        <v>0.057</v>
      </c>
      <c r="L486" s="32">
        <f ca="1">ROUND(3.92,2)</f>
        <v>0</v>
      </c>
      <c r="M486" s="32">
        <f ca="1">ROUND(K486*L486,2)</f>
        <v>0</v>
      </c>
    </row>
    <row r="487" spans="1:13" ht="15.12" thickBot="1" customHeight="1">
      <c r="A487" s="8" t="s">
        <v>1582</v>
      </c>
      <c r="B487" s="8" t="s">
        <v>1583</v>
      </c>
      <c r="C487" s="8" t="s">
        <v>1584</v>
      </c>
      <c r="D487" s="30" t="s">
        <v>1585</v>
      </c>
      <c r="E487" s="30"/>
      <c r="F487" s="30"/>
      <c r="G487" s="30"/>
      <c r="H487" s="30"/>
      <c r="I487" s="30"/>
      <c r="J487" s="30"/>
      <c r="K487" s="31">
        <v>0.001</v>
      </c>
      <c r="L487" s="32">
        <f ca="1">ROUND(118.90,2)</f>
        <v>0</v>
      </c>
      <c r="M487" s="32">
        <f ca="1">ROUND(K487*L487,2)</f>
        <v>0</v>
      </c>
    </row>
    <row r="488" spans="1:13" ht="15.12" thickBot="1" customHeight="1">
      <c r="A488" s="8" t="s">
        <v>1586</v>
      </c>
      <c r="B488" s="8" t="s">
        <v>1587</v>
      </c>
      <c r="C488" s="8" t="s">
        <v>1588</v>
      </c>
      <c r="D488" s="30" t="s">
        <v>1589</v>
      </c>
      <c r="E488" s="30"/>
      <c r="F488" s="30"/>
      <c r="G488" s="30"/>
      <c r="H488" s="30"/>
      <c r="I488" s="30"/>
      <c r="J488" s="30"/>
      <c r="K488" s="31">
        <v>0.063</v>
      </c>
      <c r="L488" s="32">
        <f ca="1">ROUND(26.38,2)</f>
        <v>0</v>
      </c>
      <c r="M488" s="32">
        <f ca="1">ROUND(K488*L488,2)</f>
        <v>0</v>
      </c>
    </row>
    <row r="489" spans="1:13" ht="15.12" thickBot="1" customHeight="1">
      <c r="A489" s="8" t="s">
        <v>1590</v>
      </c>
      <c r="B489" s="8" t="s">
        <v>1591</v>
      </c>
      <c r="C489" s="8" t="s">
        <v>1592</v>
      </c>
      <c r="D489" s="30" t="s">
        <v>1593</v>
      </c>
      <c r="E489" s="30"/>
      <c r="F489" s="30"/>
      <c r="G489" s="30"/>
      <c r="H489" s="30"/>
      <c r="I489" s="30"/>
      <c r="J489" s="30"/>
      <c r="K489" s="31">
        <v>0.063</v>
      </c>
      <c r="L489" s="32">
        <f ca="1">ROUND(20.97,2)</f>
        <v>0</v>
      </c>
      <c r="M489" s="32">
        <f ca="1">ROUND(K489*L489,2)</f>
        <v>0</v>
      </c>
    </row>
    <row r="490" spans="1:13" ht="15.12" thickBot="1" customHeight="1">
      <c r="A490" s="8" t="s">
        <v>1594</v>
      </c>
      <c r="B490" s="8" t="s">
        <v>1595</v>
      </c>
      <c r="C490" s="8" t="s">
        <v>1596</v>
      </c>
      <c r="D490" s="30" t="s">
        <v>1597</v>
      </c>
      <c r="E490" s="30"/>
      <c r="F490" s="30"/>
      <c r="G490" s="30"/>
      <c r="H490" s="30"/>
      <c r="I490" s="30"/>
      <c r="J490" s="30"/>
      <c r="K490" s="31">
        <v>0.045</v>
      </c>
      <c r="L490" s="32">
        <f ca="1">ROUND(27.24,2)</f>
        <v>0</v>
      </c>
      <c r="M490" s="32">
        <f ca="1">ROUND(K490*L490,2)</f>
        <v>0</v>
      </c>
    </row>
    <row r="491" spans="1:13" ht="15.12" thickBot="1" customHeight="1">
      <c r="A491" s="8" t="s">
        <v>1598</v>
      </c>
      <c r="B491" s="8" t="s">
        <v>1599</v>
      </c>
      <c r="C491" s="8" t="s">
        <v>1600</v>
      </c>
      <c r="D491" s="30" t="s">
        <v>1601</v>
      </c>
      <c r="E491" s="30"/>
      <c r="F491" s="30"/>
      <c r="G491" s="30"/>
      <c r="H491" s="30"/>
      <c r="I491" s="30"/>
      <c r="J491" s="30"/>
      <c r="K491" s="31">
        <v>0.022</v>
      </c>
      <c r="L491" s="32">
        <f ca="1">ROUND(23.25,2)</f>
        <v>0</v>
      </c>
      <c r="M491" s="32">
        <f ca="1">ROUND(K491*L491,2)</f>
        <v>0</v>
      </c>
    </row>
    <row r="492" spans="1:13" ht="15.12" thickBot="1" customHeight="1">
      <c r="A492" s="8" t="s">
        <v>1602</v>
      </c>
      <c r="B492" s="8"/>
      <c r="C492" s="8" t="s">
        <v>1603</v>
      </c>
      <c r="D492" s="30" t="s">
        <v>1604</v>
      </c>
      <c r="E492" s="30"/>
      <c r="F492" s="30"/>
      <c r="G492" s="30"/>
      <c r="H492" s="30"/>
      <c r="I492" s="30"/>
      <c r="J492" s="30"/>
      <c r="K492" s="31">
        <v>2.000</v>
      </c>
      <c r="L492" s="32">
        <f ca="1">ROUND(25.97,2)</f>
        <v>0</v>
      </c>
      <c r="M492" s="32">
        <f ca="1">ROUND((K492*L492)/100,2)</f>
        <v>0</v>
      </c>
    </row>
    <row r="493" spans="1:13" ht="15.48" thickBot="1" customHeight="1">
      <c r="A493" s="34"/>
      <c r="B493" s="34"/>
      <c r="C493" s="34"/>
      <c r="D493" s="35" t="s">
        <v>1605</v>
      </c>
      <c r="E493" s="34"/>
      <c r="F493" s="34"/>
      <c r="G493" s="34"/>
      <c r="H493" s="34"/>
      <c r="I493" s="34"/>
      <c r="J493" s="34"/>
      <c r="K493" s="37">
        <v>45.700</v>
      </c>
      <c r="L493" s="38">
        <f ca="1">ROUND((M482+M483+M484+M485+M486+M487+M488+M489+M490+M491+M492)*(1+M2/100),2)</f>
        <v>0</v>
      </c>
      <c r="M493" s="38">
        <f ca="1">ROUND(K493*L493,2)</f>
        <v>0</v>
      </c>
    </row>
    <row r="494" spans="1:13" ht="15.48" thickBot="1" customHeight="1">
      <c r="A494" s="39" t="s">
        <v>1606</v>
      </c>
      <c r="B494" s="40" t="s">
        <v>1607</v>
      </c>
      <c r="C494" s="40" t="s">
        <v>1608</v>
      </c>
      <c r="D494" s="41" t="s">
        <v>1609</v>
      </c>
      <c r="E494" s="41"/>
      <c r="F494" s="41"/>
      <c r="G494" s="41"/>
      <c r="H494" s="41"/>
      <c r="I494" s="41"/>
      <c r="J494" s="41"/>
      <c r="K494" s="42">
        <f ca="1">ROUND(12.00,2)</f>
        <v>0</v>
      </c>
      <c r="L494" s="43">
        <f ca="1">L507</f>
        <v>0</v>
      </c>
      <c r="M494" s="43">
        <f ca="1">ROUND(K494*L494,2)</f>
        <v>0</v>
      </c>
    </row>
    <row r="495" spans="1:13" ht="86.04" thickBot="1" customHeight="1">
      <c r="A495" s="33"/>
      <c r="B495" s="33"/>
      <c r="C495" s="33"/>
      <c r="D495" s="30" t="s">
        <v>1610</v>
      </c>
      <c r="E495" s="30"/>
      <c r="F495" s="30"/>
      <c r="G495" s="30"/>
      <c r="H495" s="30"/>
      <c r="I495" s="30"/>
      <c r="J495" s="30"/>
      <c r="K495" s="30"/>
      <c r="L495" s="30"/>
      <c r="M495" s="30"/>
    </row>
    <row r="496" spans="1:13" ht="15.12" thickBot="1" customHeight="1">
      <c r="A496" s="8" t="s">
        <v>1611</v>
      </c>
      <c r="B496" s="8" t="s">
        <v>1612</v>
      </c>
      <c r="C496" s="8" t="s">
        <v>1613</v>
      </c>
      <c r="D496" s="30" t="s">
        <v>1614</v>
      </c>
      <c r="E496" s="30"/>
      <c r="F496" s="30"/>
      <c r="G496" s="30"/>
      <c r="H496" s="30"/>
      <c r="I496" s="30"/>
      <c r="J496" s="30"/>
      <c r="K496" s="31">
        <v>0.066</v>
      </c>
      <c r="L496" s="32">
        <f ca="1">ROUND(14.30,2)</f>
        <v>0</v>
      </c>
      <c r="M496" s="32">
        <f ca="1">ROUND(K496*L496,2)</f>
        <v>0</v>
      </c>
    </row>
    <row r="497" spans="1:13" ht="39.84" thickBot="1" customHeight="1">
      <c r="A497" s="8" t="s">
        <v>1615</v>
      </c>
      <c r="B497" s="8" t="s">
        <v>1616</v>
      </c>
      <c r="C497" s="8" t="s">
        <v>1617</v>
      </c>
      <c r="D497" s="30" t="s">
        <v>1618</v>
      </c>
      <c r="E497" s="30"/>
      <c r="F497" s="30"/>
      <c r="G497" s="30"/>
      <c r="H497" s="30"/>
      <c r="I497" s="30"/>
      <c r="J497" s="30"/>
      <c r="K497" s="31">
        <v>1.000</v>
      </c>
      <c r="L497" s="32">
        <f ca="1">ROUND(5.59,2)</f>
        <v>0</v>
      </c>
      <c r="M497" s="32">
        <f ca="1">ROUND(K497*L497,2)</f>
        <v>0</v>
      </c>
    </row>
    <row r="498" spans="1:13" ht="21.36" thickBot="1" customHeight="1">
      <c r="A498" s="8" t="s">
        <v>1619</v>
      </c>
      <c r="B498" s="8" t="s">
        <v>1620</v>
      </c>
      <c r="C498" s="8" t="s">
        <v>1621</v>
      </c>
      <c r="D498" s="30" t="s">
        <v>1622</v>
      </c>
      <c r="E498" s="30"/>
      <c r="F498" s="30"/>
      <c r="G498" s="30"/>
      <c r="H498" s="30"/>
      <c r="I498" s="30"/>
      <c r="J498" s="30"/>
      <c r="K498" s="31">
        <v>1.000</v>
      </c>
      <c r="L498" s="32">
        <f ca="1">ROUND(0.25,2)</f>
        <v>0</v>
      </c>
      <c r="M498" s="32">
        <f ca="1">ROUND(K498*L498,2)</f>
        <v>0</v>
      </c>
    </row>
    <row r="499" spans="1:13" ht="15.12" thickBot="1" customHeight="1">
      <c r="A499" s="8" t="s">
        <v>1623</v>
      </c>
      <c r="B499" s="8" t="s">
        <v>1624</v>
      </c>
      <c r="C499" s="8" t="s">
        <v>1625</v>
      </c>
      <c r="D499" s="30" t="s">
        <v>1626</v>
      </c>
      <c r="E499" s="30"/>
      <c r="F499" s="30"/>
      <c r="G499" s="30"/>
      <c r="H499" s="30"/>
      <c r="I499" s="30"/>
      <c r="J499" s="30"/>
      <c r="K499" s="31">
        <v>0.007</v>
      </c>
      <c r="L499" s="32">
        <f ca="1">ROUND(10.38,2)</f>
        <v>0</v>
      </c>
      <c r="M499" s="32">
        <f ca="1">ROUND(K499*L499,2)</f>
        <v>0</v>
      </c>
    </row>
    <row r="500" spans="1:13" ht="15.12" thickBot="1" customHeight="1">
      <c r="A500" s="8" t="s">
        <v>1627</v>
      </c>
      <c r="B500" s="8" t="s">
        <v>1628</v>
      </c>
      <c r="C500" s="8" t="s">
        <v>1629</v>
      </c>
      <c r="D500" s="30" t="s">
        <v>1630</v>
      </c>
      <c r="E500" s="30"/>
      <c r="F500" s="30"/>
      <c r="G500" s="30"/>
      <c r="H500" s="30"/>
      <c r="I500" s="30"/>
      <c r="J500" s="30"/>
      <c r="K500" s="31">
        <v>0.051</v>
      </c>
      <c r="L500" s="32">
        <f ca="1">ROUND(3.92,2)</f>
        <v>0</v>
      </c>
      <c r="M500" s="32">
        <f ca="1">ROUND(K500*L500,2)</f>
        <v>0</v>
      </c>
    </row>
    <row r="501" spans="1:13" ht="15.12" thickBot="1" customHeight="1">
      <c r="A501" s="8" t="s">
        <v>1631</v>
      </c>
      <c r="B501" s="8" t="s">
        <v>1632</v>
      </c>
      <c r="C501" s="8" t="s">
        <v>1633</v>
      </c>
      <c r="D501" s="30" t="s">
        <v>1634</v>
      </c>
      <c r="E501" s="30"/>
      <c r="F501" s="30"/>
      <c r="G501" s="30"/>
      <c r="H501" s="30"/>
      <c r="I501" s="30"/>
      <c r="J501" s="30"/>
      <c r="K501" s="31">
        <v>0.001</v>
      </c>
      <c r="L501" s="32">
        <f ca="1">ROUND(118.90,2)</f>
        <v>0</v>
      </c>
      <c r="M501" s="32">
        <f ca="1">ROUND(K501*L501,2)</f>
        <v>0</v>
      </c>
    </row>
    <row r="502" spans="1:13" ht="15.12" thickBot="1" customHeight="1">
      <c r="A502" s="8" t="s">
        <v>1635</v>
      </c>
      <c r="B502" s="8" t="s">
        <v>1636</v>
      </c>
      <c r="C502" s="8" t="s">
        <v>1637</v>
      </c>
      <c r="D502" s="30" t="s">
        <v>1638</v>
      </c>
      <c r="E502" s="30"/>
      <c r="F502" s="30"/>
      <c r="G502" s="30"/>
      <c r="H502" s="30"/>
      <c r="I502" s="30"/>
      <c r="J502" s="30"/>
      <c r="K502" s="31">
        <v>0.055</v>
      </c>
      <c r="L502" s="32">
        <f ca="1">ROUND(26.38,2)</f>
        <v>0</v>
      </c>
      <c r="M502" s="32">
        <f ca="1">ROUND(K502*L502,2)</f>
        <v>0</v>
      </c>
    </row>
    <row r="503" spans="1:13" ht="15.12" thickBot="1" customHeight="1">
      <c r="A503" s="8" t="s">
        <v>1639</v>
      </c>
      <c r="B503" s="8" t="s">
        <v>1640</v>
      </c>
      <c r="C503" s="8" t="s">
        <v>1641</v>
      </c>
      <c r="D503" s="30" t="s">
        <v>1642</v>
      </c>
      <c r="E503" s="30"/>
      <c r="F503" s="30"/>
      <c r="G503" s="30"/>
      <c r="H503" s="30"/>
      <c r="I503" s="30"/>
      <c r="J503" s="30"/>
      <c r="K503" s="31">
        <v>0.055</v>
      </c>
      <c r="L503" s="32">
        <f ca="1">ROUND(20.97,2)</f>
        <v>0</v>
      </c>
      <c r="M503" s="32">
        <f ca="1">ROUND(K503*L503,2)</f>
        <v>0</v>
      </c>
    </row>
    <row r="504" spans="1:13" ht="15.12" thickBot="1" customHeight="1">
      <c r="A504" s="8" t="s">
        <v>1643</v>
      </c>
      <c r="B504" s="8" t="s">
        <v>1644</v>
      </c>
      <c r="C504" s="8" t="s">
        <v>1645</v>
      </c>
      <c r="D504" s="30" t="s">
        <v>1646</v>
      </c>
      <c r="E504" s="30"/>
      <c r="F504" s="30"/>
      <c r="G504" s="30"/>
      <c r="H504" s="30"/>
      <c r="I504" s="30"/>
      <c r="J504" s="30"/>
      <c r="K504" s="31">
        <v>0.036</v>
      </c>
      <c r="L504" s="32">
        <f ca="1">ROUND(27.24,2)</f>
        <v>0</v>
      </c>
      <c r="M504" s="32">
        <f ca="1">ROUND(K504*L504,2)</f>
        <v>0</v>
      </c>
    </row>
    <row r="505" spans="1:13" ht="15.12" thickBot="1" customHeight="1">
      <c r="A505" s="8" t="s">
        <v>1647</v>
      </c>
      <c r="B505" s="8" t="s">
        <v>1648</v>
      </c>
      <c r="C505" s="8" t="s">
        <v>1649</v>
      </c>
      <c r="D505" s="30" t="s">
        <v>1650</v>
      </c>
      <c r="E505" s="30"/>
      <c r="F505" s="30"/>
      <c r="G505" s="30"/>
      <c r="H505" s="30"/>
      <c r="I505" s="30"/>
      <c r="J505" s="30"/>
      <c r="K505" s="31">
        <v>0.022</v>
      </c>
      <c r="L505" s="32">
        <f ca="1">ROUND(23.25,2)</f>
        <v>0</v>
      </c>
      <c r="M505" s="32">
        <f ca="1">ROUND(K505*L505,2)</f>
        <v>0</v>
      </c>
    </row>
    <row r="506" spans="1:13" ht="15.12" thickBot="1" customHeight="1">
      <c r="A506" s="8" t="s">
        <v>1651</v>
      </c>
      <c r="B506" s="8"/>
      <c r="C506" s="8" t="s">
        <v>1652</v>
      </c>
      <c r="D506" s="30" t="s">
        <v>1653</v>
      </c>
      <c r="E506" s="30"/>
      <c r="F506" s="30"/>
      <c r="G506" s="30"/>
      <c r="H506" s="30"/>
      <c r="I506" s="30"/>
      <c r="J506" s="30"/>
      <c r="K506" s="31">
        <v>2.000</v>
      </c>
      <c r="L506" s="32">
        <f ca="1">ROUND(11.26,2)</f>
        <v>0</v>
      </c>
      <c r="M506" s="32">
        <f ca="1">ROUND((K506*L506)/100,2)</f>
        <v>0</v>
      </c>
    </row>
    <row r="507" spans="1:13" ht="15.48" thickBot="1" customHeight="1">
      <c r="A507" s="34"/>
      <c r="B507" s="34"/>
      <c r="C507" s="34"/>
      <c r="D507" s="35" t="s">
        <v>1654</v>
      </c>
      <c r="E507" s="34"/>
      <c r="F507" s="34"/>
      <c r="G507" s="34"/>
      <c r="H507" s="34"/>
      <c r="I507" s="34"/>
      <c r="J507" s="34"/>
      <c r="K507" s="37">
        <v>12.000</v>
      </c>
      <c r="L507" s="38">
        <f ca="1">ROUND((M496+M497+M498+M499+M500+M501+M502+M503+M504+M505+M506)*(1+M2/100),2)</f>
        <v>0</v>
      </c>
      <c r="M507" s="38">
        <f ca="1">ROUND(K507*L507,2)</f>
        <v>0</v>
      </c>
    </row>
    <row r="508" spans="1:13" ht="15.48" thickBot="1" customHeight="1">
      <c r="A508" s="39" t="s">
        <v>1655</v>
      </c>
      <c r="B508" s="40" t="s">
        <v>1656</v>
      </c>
      <c r="C508" s="40" t="s">
        <v>1657</v>
      </c>
      <c r="D508" s="41" t="s">
        <v>1658</v>
      </c>
      <c r="E508" s="41"/>
      <c r="F508" s="41"/>
      <c r="G508" s="41"/>
      <c r="H508" s="41"/>
      <c r="I508" s="41"/>
      <c r="J508" s="41"/>
      <c r="K508" s="42">
        <f ca="1">ROUND(46.00,2)</f>
        <v>0</v>
      </c>
      <c r="L508" s="43">
        <f ca="1">L521</f>
        <v>0</v>
      </c>
      <c r="M508" s="43">
        <f ca="1">ROUND(K508*L508,2)</f>
        <v>0</v>
      </c>
    </row>
    <row r="509" spans="1:13" ht="86.04" thickBot="1" customHeight="1">
      <c r="A509" s="33"/>
      <c r="B509" s="33"/>
      <c r="C509" s="33"/>
      <c r="D509" s="30" t="s">
        <v>1659</v>
      </c>
      <c r="E509" s="30"/>
      <c r="F509" s="30"/>
      <c r="G509" s="30"/>
      <c r="H509" s="30"/>
      <c r="I509" s="30"/>
      <c r="J509" s="30"/>
      <c r="K509" s="30"/>
      <c r="L509" s="30"/>
      <c r="M509" s="30"/>
    </row>
    <row r="510" spans="1:13" ht="15.12" thickBot="1" customHeight="1">
      <c r="A510" s="8" t="s">
        <v>1660</v>
      </c>
      <c r="B510" s="8" t="s">
        <v>1661</v>
      </c>
      <c r="C510" s="8" t="s">
        <v>1662</v>
      </c>
      <c r="D510" s="30" t="s">
        <v>1663</v>
      </c>
      <c r="E510" s="30"/>
      <c r="F510" s="30"/>
      <c r="G510" s="30"/>
      <c r="H510" s="30"/>
      <c r="I510" s="30"/>
      <c r="J510" s="30"/>
      <c r="K510" s="31">
        <v>0.068</v>
      </c>
      <c r="L510" s="32">
        <f ca="1">ROUND(14.30,2)</f>
        <v>0</v>
      </c>
      <c r="M510" s="32">
        <f ca="1">ROUND(K510*L510,2)</f>
        <v>0</v>
      </c>
    </row>
    <row r="511" spans="1:13" ht="39.84" thickBot="1" customHeight="1">
      <c r="A511" s="8" t="s">
        <v>1664</v>
      </c>
      <c r="B511" s="8" t="s">
        <v>1665</v>
      </c>
      <c r="C511" s="8" t="s">
        <v>1666</v>
      </c>
      <c r="D511" s="30" t="s">
        <v>1667</v>
      </c>
      <c r="E511" s="30"/>
      <c r="F511" s="30"/>
      <c r="G511" s="30"/>
      <c r="H511" s="30"/>
      <c r="I511" s="30"/>
      <c r="J511" s="30"/>
      <c r="K511" s="31">
        <v>1.000</v>
      </c>
      <c r="L511" s="32">
        <f ca="1">ROUND(7.20,2)</f>
        <v>0</v>
      </c>
      <c r="M511" s="32">
        <f ca="1">ROUND(K511*L511,2)</f>
        <v>0</v>
      </c>
    </row>
    <row r="512" spans="1:13" ht="21.36" thickBot="1" customHeight="1">
      <c r="A512" s="8" t="s">
        <v>1668</v>
      </c>
      <c r="B512" s="8" t="s">
        <v>1669</v>
      </c>
      <c r="C512" s="8" t="s">
        <v>1670</v>
      </c>
      <c r="D512" s="30" t="s">
        <v>1671</v>
      </c>
      <c r="E512" s="30"/>
      <c r="F512" s="30"/>
      <c r="G512" s="30"/>
      <c r="H512" s="30"/>
      <c r="I512" s="30"/>
      <c r="J512" s="30"/>
      <c r="K512" s="31">
        <v>1.000</v>
      </c>
      <c r="L512" s="32">
        <f ca="1">ROUND(0.25,2)</f>
        <v>0</v>
      </c>
      <c r="M512" s="32">
        <f ca="1">ROUND(K512*L512,2)</f>
        <v>0</v>
      </c>
    </row>
    <row r="513" spans="1:13" ht="15.12" thickBot="1" customHeight="1">
      <c r="A513" s="8" t="s">
        <v>1672</v>
      </c>
      <c r="B513" s="8" t="s">
        <v>1673</v>
      </c>
      <c r="C513" s="8" t="s">
        <v>1674</v>
      </c>
      <c r="D513" s="30" t="s">
        <v>1675</v>
      </c>
      <c r="E513" s="30"/>
      <c r="F513" s="30"/>
      <c r="G513" s="30"/>
      <c r="H513" s="30"/>
      <c r="I513" s="30"/>
      <c r="J513" s="30"/>
      <c r="K513" s="31">
        <v>0.007</v>
      </c>
      <c r="L513" s="32">
        <f ca="1">ROUND(10.38,2)</f>
        <v>0</v>
      </c>
      <c r="M513" s="32">
        <f ca="1">ROUND(K513*L513,2)</f>
        <v>0</v>
      </c>
    </row>
    <row r="514" spans="1:13" ht="15.12" thickBot="1" customHeight="1">
      <c r="A514" s="8" t="s">
        <v>1676</v>
      </c>
      <c r="B514" s="8" t="s">
        <v>1677</v>
      </c>
      <c r="C514" s="8" t="s">
        <v>1678</v>
      </c>
      <c r="D514" s="30" t="s">
        <v>1679</v>
      </c>
      <c r="E514" s="30"/>
      <c r="F514" s="30"/>
      <c r="G514" s="30"/>
      <c r="H514" s="30"/>
      <c r="I514" s="30"/>
      <c r="J514" s="30"/>
      <c r="K514" s="31">
        <v>0.053</v>
      </c>
      <c r="L514" s="32">
        <f ca="1">ROUND(3.92,2)</f>
        <v>0</v>
      </c>
      <c r="M514" s="32">
        <f ca="1">ROUND(K514*L514,2)</f>
        <v>0</v>
      </c>
    </row>
    <row r="515" spans="1:13" ht="15.12" thickBot="1" customHeight="1">
      <c r="A515" s="8" t="s">
        <v>1680</v>
      </c>
      <c r="B515" s="8" t="s">
        <v>1681</v>
      </c>
      <c r="C515" s="8" t="s">
        <v>1682</v>
      </c>
      <c r="D515" s="30" t="s">
        <v>1683</v>
      </c>
      <c r="E515" s="30"/>
      <c r="F515" s="30"/>
      <c r="G515" s="30"/>
      <c r="H515" s="30"/>
      <c r="I515" s="30"/>
      <c r="J515" s="30"/>
      <c r="K515" s="31">
        <v>0.001</v>
      </c>
      <c r="L515" s="32">
        <f ca="1">ROUND(118.90,2)</f>
        <v>0</v>
      </c>
      <c r="M515" s="32">
        <f ca="1">ROUND(K515*L515,2)</f>
        <v>0</v>
      </c>
    </row>
    <row r="516" spans="1:13" ht="15.12" thickBot="1" customHeight="1">
      <c r="A516" s="8" t="s">
        <v>1684</v>
      </c>
      <c r="B516" s="8" t="s">
        <v>1685</v>
      </c>
      <c r="C516" s="8" t="s">
        <v>1686</v>
      </c>
      <c r="D516" s="30" t="s">
        <v>1687</v>
      </c>
      <c r="E516" s="30"/>
      <c r="F516" s="30"/>
      <c r="G516" s="30"/>
      <c r="H516" s="30"/>
      <c r="I516" s="30"/>
      <c r="J516" s="30"/>
      <c r="K516" s="31">
        <v>0.058</v>
      </c>
      <c r="L516" s="32">
        <f ca="1">ROUND(26.38,2)</f>
        <v>0</v>
      </c>
      <c r="M516" s="32">
        <f ca="1">ROUND(K516*L516,2)</f>
        <v>0</v>
      </c>
    </row>
    <row r="517" spans="1:13" ht="15.12" thickBot="1" customHeight="1">
      <c r="A517" s="8" t="s">
        <v>1688</v>
      </c>
      <c r="B517" s="8" t="s">
        <v>1689</v>
      </c>
      <c r="C517" s="8" t="s">
        <v>1690</v>
      </c>
      <c r="D517" s="30" t="s">
        <v>1691</v>
      </c>
      <c r="E517" s="30"/>
      <c r="F517" s="30"/>
      <c r="G517" s="30"/>
      <c r="H517" s="30"/>
      <c r="I517" s="30"/>
      <c r="J517" s="30"/>
      <c r="K517" s="31">
        <v>0.058</v>
      </c>
      <c r="L517" s="32">
        <f ca="1">ROUND(20.97,2)</f>
        <v>0</v>
      </c>
      <c r="M517" s="32">
        <f ca="1">ROUND(K517*L517,2)</f>
        <v>0</v>
      </c>
    </row>
    <row r="518" spans="1:13" ht="15.12" thickBot="1" customHeight="1">
      <c r="A518" s="8" t="s">
        <v>1692</v>
      </c>
      <c r="B518" s="8" t="s">
        <v>1693</v>
      </c>
      <c r="C518" s="8" t="s">
        <v>1694</v>
      </c>
      <c r="D518" s="30" t="s">
        <v>1695</v>
      </c>
      <c r="E518" s="30"/>
      <c r="F518" s="30"/>
      <c r="G518" s="30"/>
      <c r="H518" s="30"/>
      <c r="I518" s="30"/>
      <c r="J518" s="30"/>
      <c r="K518" s="31">
        <v>0.036</v>
      </c>
      <c r="L518" s="32">
        <f ca="1">ROUND(27.24,2)</f>
        <v>0</v>
      </c>
      <c r="M518" s="32">
        <f ca="1">ROUND(K518*L518,2)</f>
        <v>0</v>
      </c>
    </row>
    <row r="519" spans="1:13" ht="15.12" thickBot="1" customHeight="1">
      <c r="A519" s="8" t="s">
        <v>1696</v>
      </c>
      <c r="B519" s="8" t="s">
        <v>1697</v>
      </c>
      <c r="C519" s="8" t="s">
        <v>1698</v>
      </c>
      <c r="D519" s="30" t="s">
        <v>1699</v>
      </c>
      <c r="E519" s="30"/>
      <c r="F519" s="30"/>
      <c r="G519" s="30"/>
      <c r="H519" s="30"/>
      <c r="I519" s="30"/>
      <c r="J519" s="30"/>
      <c r="K519" s="31">
        <v>0.022</v>
      </c>
      <c r="L519" s="32">
        <f ca="1">ROUND(23.25,2)</f>
        <v>0</v>
      </c>
      <c r="M519" s="32">
        <f ca="1">ROUND(K519*L519,2)</f>
        <v>0</v>
      </c>
    </row>
    <row r="520" spans="1:13" ht="15.12" thickBot="1" customHeight="1">
      <c r="A520" s="8" t="s">
        <v>1700</v>
      </c>
      <c r="B520" s="8"/>
      <c r="C520" s="8" t="s">
        <v>1701</v>
      </c>
      <c r="D520" s="30" t="s">
        <v>1702</v>
      </c>
      <c r="E520" s="30"/>
      <c r="F520" s="30"/>
      <c r="G520" s="30"/>
      <c r="H520" s="30"/>
      <c r="I520" s="30"/>
      <c r="J520" s="30"/>
      <c r="K520" s="31">
        <v>2.000</v>
      </c>
      <c r="L520" s="32">
        <f ca="1">ROUND(13.06,2)</f>
        <v>0</v>
      </c>
      <c r="M520" s="32">
        <f ca="1">ROUND((K520*L520)/100,2)</f>
        <v>0</v>
      </c>
    </row>
    <row r="521" spans="1:13" ht="15.48" thickBot="1" customHeight="1">
      <c r="A521" s="34"/>
      <c r="B521" s="34"/>
      <c r="C521" s="34"/>
      <c r="D521" s="35" t="s">
        <v>1703</v>
      </c>
      <c r="E521" s="34"/>
      <c r="F521" s="34"/>
      <c r="G521" s="34"/>
      <c r="H521" s="34"/>
      <c r="I521" s="34"/>
      <c r="J521" s="34"/>
      <c r="K521" s="37">
        <v>46.000</v>
      </c>
      <c r="L521" s="38">
        <f ca="1">ROUND((M510+M511+M512+M513+M514+M515+M516+M517+M518+M519+M520)*(1+M2/100),2)</f>
        <v>0</v>
      </c>
      <c r="M521" s="38">
        <f ca="1">ROUND(K521*L521,2)</f>
        <v>0</v>
      </c>
    </row>
    <row r="522" spans="1:13" ht="15.48" thickBot="1" customHeight="1">
      <c r="A522" s="39" t="s">
        <v>1704</v>
      </c>
      <c r="B522" s="40" t="s">
        <v>1705</v>
      </c>
      <c r="C522" s="40" t="s">
        <v>1706</v>
      </c>
      <c r="D522" s="41" t="s">
        <v>1707</v>
      </c>
      <c r="E522" s="41"/>
      <c r="F522" s="41"/>
      <c r="G522" s="41"/>
      <c r="H522" s="41"/>
      <c r="I522" s="41"/>
      <c r="J522" s="41"/>
      <c r="K522" s="42">
        <f ca="1">ROUND(60.60,2)</f>
        <v>0</v>
      </c>
      <c r="L522" s="43">
        <f ca="1">L535</f>
        <v>0</v>
      </c>
      <c r="M522" s="43">
        <f ca="1">ROUND(K522*L522,2)</f>
        <v>0</v>
      </c>
    </row>
    <row r="523" spans="1:13" ht="86.04" thickBot="1" customHeight="1">
      <c r="A523" s="33"/>
      <c r="B523" s="33"/>
      <c r="C523" s="33"/>
      <c r="D523" s="30" t="s">
        <v>1708</v>
      </c>
      <c r="E523" s="30"/>
      <c r="F523" s="30"/>
      <c r="G523" s="30"/>
      <c r="H523" s="30"/>
      <c r="I523" s="30"/>
      <c r="J523" s="30"/>
      <c r="K523" s="30"/>
      <c r="L523" s="30"/>
      <c r="M523" s="30"/>
    </row>
    <row r="524" spans="1:13" ht="15.12" thickBot="1" customHeight="1">
      <c r="A524" s="8" t="s">
        <v>1709</v>
      </c>
      <c r="B524" s="8" t="s">
        <v>1710</v>
      </c>
      <c r="C524" s="8" t="s">
        <v>1711</v>
      </c>
      <c r="D524" s="30" t="s">
        <v>1712</v>
      </c>
      <c r="E524" s="30"/>
      <c r="F524" s="30"/>
      <c r="G524" s="30"/>
      <c r="H524" s="30"/>
      <c r="I524" s="30"/>
      <c r="J524" s="30"/>
      <c r="K524" s="31">
        <v>0.061</v>
      </c>
      <c r="L524" s="32">
        <f ca="1">ROUND(14.30,2)</f>
        <v>0</v>
      </c>
      <c r="M524" s="32">
        <f ca="1">ROUND(K524*L524,2)</f>
        <v>0</v>
      </c>
    </row>
    <row r="525" spans="1:13" ht="39.84" thickBot="1" customHeight="1">
      <c r="A525" s="8" t="s">
        <v>1713</v>
      </c>
      <c r="B525" s="8" t="s">
        <v>1714</v>
      </c>
      <c r="C525" s="8" t="s">
        <v>1715</v>
      </c>
      <c r="D525" s="30" t="s">
        <v>1716</v>
      </c>
      <c r="E525" s="30"/>
      <c r="F525" s="30"/>
      <c r="G525" s="30"/>
      <c r="H525" s="30"/>
      <c r="I525" s="30"/>
      <c r="J525" s="30"/>
      <c r="K525" s="31">
        <v>1.000</v>
      </c>
      <c r="L525" s="32">
        <f ca="1">ROUND(3.79,2)</f>
        <v>0</v>
      </c>
      <c r="M525" s="32">
        <f ca="1">ROUND(K525*L525,2)</f>
        <v>0</v>
      </c>
    </row>
    <row r="526" spans="1:13" ht="21.36" thickBot="1" customHeight="1">
      <c r="A526" s="8" t="s">
        <v>1717</v>
      </c>
      <c r="B526" s="8" t="s">
        <v>1718</v>
      </c>
      <c r="C526" s="8" t="s">
        <v>1719</v>
      </c>
      <c r="D526" s="30" t="s">
        <v>1720</v>
      </c>
      <c r="E526" s="30"/>
      <c r="F526" s="30"/>
      <c r="G526" s="30"/>
      <c r="H526" s="30"/>
      <c r="I526" s="30"/>
      <c r="J526" s="30"/>
      <c r="K526" s="31">
        <v>1.000</v>
      </c>
      <c r="L526" s="32">
        <f ca="1">ROUND(0.25,2)</f>
        <v>0</v>
      </c>
      <c r="M526" s="32">
        <f ca="1">ROUND(K526*L526,2)</f>
        <v>0</v>
      </c>
    </row>
    <row r="527" spans="1:13" ht="15.12" thickBot="1" customHeight="1">
      <c r="A527" s="8" t="s">
        <v>1721</v>
      </c>
      <c r="B527" s="8" t="s">
        <v>1722</v>
      </c>
      <c r="C527" s="8" t="s">
        <v>1723</v>
      </c>
      <c r="D527" s="30" t="s">
        <v>1724</v>
      </c>
      <c r="E527" s="30"/>
      <c r="F527" s="30"/>
      <c r="G527" s="30"/>
      <c r="H527" s="30"/>
      <c r="I527" s="30"/>
      <c r="J527" s="30"/>
      <c r="K527" s="31">
        <v>0.006</v>
      </c>
      <c r="L527" s="32">
        <f ca="1">ROUND(10.38,2)</f>
        <v>0</v>
      </c>
      <c r="M527" s="32">
        <f ca="1">ROUND(K527*L527,2)</f>
        <v>0</v>
      </c>
    </row>
    <row r="528" spans="1:13" ht="15.12" thickBot="1" customHeight="1">
      <c r="A528" s="8" t="s">
        <v>1725</v>
      </c>
      <c r="B528" s="8" t="s">
        <v>1726</v>
      </c>
      <c r="C528" s="8" t="s">
        <v>1727</v>
      </c>
      <c r="D528" s="30" t="s">
        <v>1728</v>
      </c>
      <c r="E528" s="30"/>
      <c r="F528" s="30"/>
      <c r="G528" s="30"/>
      <c r="H528" s="30"/>
      <c r="I528" s="30"/>
      <c r="J528" s="30"/>
      <c r="K528" s="31">
        <v>0.047</v>
      </c>
      <c r="L528" s="32">
        <f ca="1">ROUND(3.92,2)</f>
        <v>0</v>
      </c>
      <c r="M528" s="32">
        <f ca="1">ROUND(K528*L528,2)</f>
        <v>0</v>
      </c>
    </row>
    <row r="529" spans="1:13" ht="15.12" thickBot="1" customHeight="1">
      <c r="A529" s="8" t="s">
        <v>1729</v>
      </c>
      <c r="B529" s="8" t="s">
        <v>1730</v>
      </c>
      <c r="C529" s="8" t="s">
        <v>1731</v>
      </c>
      <c r="D529" s="30" t="s">
        <v>1732</v>
      </c>
      <c r="E529" s="30"/>
      <c r="F529" s="30"/>
      <c r="G529" s="30"/>
      <c r="H529" s="30"/>
      <c r="I529" s="30"/>
      <c r="J529" s="30"/>
      <c r="K529" s="31">
        <v>0.001</v>
      </c>
      <c r="L529" s="32">
        <f ca="1">ROUND(118.90,2)</f>
        <v>0</v>
      </c>
      <c r="M529" s="32">
        <f ca="1">ROUND(K529*L529,2)</f>
        <v>0</v>
      </c>
    </row>
    <row r="530" spans="1:13" ht="15.12" thickBot="1" customHeight="1">
      <c r="A530" s="8" t="s">
        <v>1733</v>
      </c>
      <c r="B530" s="8" t="s">
        <v>1734</v>
      </c>
      <c r="C530" s="8" t="s">
        <v>1735</v>
      </c>
      <c r="D530" s="30" t="s">
        <v>1736</v>
      </c>
      <c r="E530" s="30"/>
      <c r="F530" s="30"/>
      <c r="G530" s="30"/>
      <c r="H530" s="30"/>
      <c r="I530" s="30"/>
      <c r="J530" s="30"/>
      <c r="K530" s="31">
        <v>0.050</v>
      </c>
      <c r="L530" s="32">
        <f ca="1">ROUND(26.38,2)</f>
        <v>0</v>
      </c>
      <c r="M530" s="32">
        <f ca="1">ROUND(K530*L530,2)</f>
        <v>0</v>
      </c>
    </row>
    <row r="531" spans="1:13" ht="15.12" thickBot="1" customHeight="1">
      <c r="A531" s="8" t="s">
        <v>1737</v>
      </c>
      <c r="B531" s="8" t="s">
        <v>1738</v>
      </c>
      <c r="C531" s="8" t="s">
        <v>1739</v>
      </c>
      <c r="D531" s="30" t="s">
        <v>1740</v>
      </c>
      <c r="E531" s="30"/>
      <c r="F531" s="30"/>
      <c r="G531" s="30"/>
      <c r="H531" s="30"/>
      <c r="I531" s="30"/>
      <c r="J531" s="30"/>
      <c r="K531" s="31">
        <v>0.050</v>
      </c>
      <c r="L531" s="32">
        <f ca="1">ROUND(20.97,2)</f>
        <v>0</v>
      </c>
      <c r="M531" s="32">
        <f ca="1">ROUND(K531*L531,2)</f>
        <v>0</v>
      </c>
    </row>
    <row r="532" spans="1:13" ht="15.12" thickBot="1" customHeight="1">
      <c r="A532" s="8" t="s">
        <v>1741</v>
      </c>
      <c r="B532" s="8" t="s">
        <v>1742</v>
      </c>
      <c r="C532" s="8" t="s">
        <v>1743</v>
      </c>
      <c r="D532" s="30" t="s">
        <v>1744</v>
      </c>
      <c r="E532" s="30"/>
      <c r="F532" s="30"/>
      <c r="G532" s="30"/>
      <c r="H532" s="30"/>
      <c r="I532" s="30"/>
      <c r="J532" s="30"/>
      <c r="K532" s="31">
        <v>0.027</v>
      </c>
      <c r="L532" s="32">
        <f ca="1">ROUND(27.24,2)</f>
        <v>0</v>
      </c>
      <c r="M532" s="32">
        <f ca="1">ROUND(K532*L532,2)</f>
        <v>0</v>
      </c>
    </row>
    <row r="533" spans="1:13" ht="15.12" thickBot="1" customHeight="1">
      <c r="A533" s="8" t="s">
        <v>1745</v>
      </c>
      <c r="B533" s="8" t="s">
        <v>1746</v>
      </c>
      <c r="C533" s="8" t="s">
        <v>1747</v>
      </c>
      <c r="D533" s="30" t="s">
        <v>1748</v>
      </c>
      <c r="E533" s="30"/>
      <c r="F533" s="30"/>
      <c r="G533" s="30"/>
      <c r="H533" s="30"/>
      <c r="I533" s="30"/>
      <c r="J533" s="30"/>
      <c r="K533" s="31">
        <v>0.022</v>
      </c>
      <c r="L533" s="32">
        <f ca="1">ROUND(23.25,2)</f>
        <v>0</v>
      </c>
      <c r="M533" s="32">
        <f ca="1">ROUND(K533*L533,2)</f>
        <v>0</v>
      </c>
    </row>
    <row r="534" spans="1:13" ht="15.12" thickBot="1" customHeight="1">
      <c r="A534" s="8" t="s">
        <v>1749</v>
      </c>
      <c r="B534" s="8"/>
      <c r="C534" s="8" t="s">
        <v>1750</v>
      </c>
      <c r="D534" s="30" t="s">
        <v>1751</v>
      </c>
      <c r="E534" s="30"/>
      <c r="F534" s="30"/>
      <c r="G534" s="30"/>
      <c r="H534" s="30"/>
      <c r="I534" s="30"/>
      <c r="J534" s="30"/>
      <c r="K534" s="31">
        <v>2.000</v>
      </c>
      <c r="L534" s="32">
        <f ca="1">ROUND(8.89,2)</f>
        <v>0</v>
      </c>
      <c r="M534" s="32">
        <f ca="1">ROUND((K534*L534)/100,2)</f>
        <v>0</v>
      </c>
    </row>
    <row r="535" spans="1:13" ht="15.48" thickBot="1" customHeight="1">
      <c r="A535" s="34"/>
      <c r="B535" s="34"/>
      <c r="C535" s="34"/>
      <c r="D535" s="35" t="s">
        <v>1752</v>
      </c>
      <c r="E535" s="34"/>
      <c r="F535" s="34"/>
      <c r="G535" s="34"/>
      <c r="H535" s="34"/>
      <c r="I535" s="34"/>
      <c r="J535" s="34"/>
      <c r="K535" s="37">
        <v>60.600</v>
      </c>
      <c r="L535" s="38">
        <f ca="1">ROUND((M524+M525+M526+M527+M528+M529+M530+M531+M532+M533+M534)*(1+M2/100),2)</f>
        <v>0</v>
      </c>
      <c r="M535" s="38">
        <f ca="1">ROUND(K535*L535,2)</f>
        <v>0</v>
      </c>
    </row>
    <row r="536" spans="1:13" ht="21.36" thickBot="1" customHeight="1">
      <c r="A536" s="39" t="s">
        <v>1753</v>
      </c>
      <c r="B536" s="40" t="s">
        <v>1754</v>
      </c>
      <c r="C536" s="40" t="s">
        <v>1755</v>
      </c>
      <c r="D536" s="41" t="s">
        <v>1756</v>
      </c>
      <c r="E536" s="41"/>
      <c r="F536" s="41"/>
      <c r="G536" s="41"/>
      <c r="H536" s="41"/>
      <c r="I536" s="41"/>
      <c r="J536" s="41"/>
      <c r="K536" s="42">
        <f ca="1">ROUND(1.00,2)</f>
        <v>0</v>
      </c>
      <c r="L536" s="43">
        <f ca="1">ROUND(1351.00*(1+M2/100),2)</f>
        <v>0</v>
      </c>
      <c r="M536" s="43">
        <f ca="1">ROUND(K536*L536,2)</f>
        <v>0</v>
      </c>
    </row>
    <row r="537" spans="1:13" ht="326.28" thickBot="1" customHeight="1">
      <c r="A537" s="33"/>
      <c r="B537" s="33"/>
      <c r="C537" s="33"/>
      <c r="D537" s="30" t="s">
        <v>1757</v>
      </c>
      <c r="E537" s="30"/>
      <c r="F537" s="30"/>
      <c r="G537" s="30"/>
      <c r="H537" s="30"/>
      <c r="I537" s="30"/>
      <c r="J537" s="30"/>
      <c r="K537" s="30"/>
      <c r="L537" s="30"/>
      <c r="M537" s="30"/>
    </row>
    <row r="538" spans="1:13" ht="15.48" thickBot="1" customHeight="1">
      <c r="A538" s="34"/>
      <c r="B538" s="34"/>
      <c r="C538" s="34"/>
      <c r="D538" s="63" t="s">
        <v>1758</v>
      </c>
      <c r="E538" s="64"/>
      <c r="F538" s="64"/>
      <c r="G538" s="64"/>
      <c r="H538" s="64"/>
      <c r="I538" s="64"/>
      <c r="J538" s="64"/>
      <c r="K538" s="64"/>
      <c r="L538" s="65">
        <f ca="1">M364+M370+M393+M411+M413+M423+M432+M441+M448+M455+M464+M480+M494+M508+M522+M536</f>
        <v>0</v>
      </c>
      <c r="M538" s="65">
        <f ca="1">ROUND(L538,2)</f>
        <v>0</v>
      </c>
    </row>
    <row r="539" spans="1:13" ht="15.48" thickBot="1" customHeight="1">
      <c r="A539" s="48" t="s">
        <v>1759</v>
      </c>
      <c r="B539" s="48" t="s">
        <v>1760</v>
      </c>
      <c r="C539" s="49"/>
      <c r="D539" s="50" t="s">
        <v>1761</v>
      </c>
      <c r="E539" s="50"/>
      <c r="F539" s="50"/>
      <c r="G539" s="50"/>
      <c r="H539" s="50"/>
      <c r="I539" s="50"/>
      <c r="J539" s="50"/>
      <c r="K539" s="49"/>
      <c r="L539" s="51">
        <f ca="1">L544</f>
        <v>0</v>
      </c>
      <c r="M539" s="51">
        <f ca="1">ROUND(L539,2)</f>
        <v>0</v>
      </c>
    </row>
    <row r="540" spans="1:13" ht="21.36" thickBot="1" customHeight="1">
      <c r="A540" s="15" t="s">
        <v>1762</v>
      </c>
      <c r="B540" s="8" t="s">
        <v>1763</v>
      </c>
      <c r="C540" s="8" t="s">
        <v>1764</v>
      </c>
      <c r="D540" s="30" t="s">
        <v>1765</v>
      </c>
      <c r="E540" s="30"/>
      <c r="F540" s="30"/>
      <c r="G540" s="30"/>
      <c r="H540" s="30"/>
      <c r="I540" s="30"/>
      <c r="J540" s="30"/>
      <c r="K540" s="31">
        <f ca="1">SUM(K543:K543)</f>
        <v>0</v>
      </c>
      <c r="L540" s="32">
        <f ca="1">ROUND(9223.30*(1+M2/100),2)</f>
        <v>0</v>
      </c>
      <c r="M540" s="32">
        <f ca="1">ROUND(K540*L540,2)</f>
        <v>0</v>
      </c>
    </row>
    <row r="541" spans="1:13" ht="49.08" thickBot="1" customHeight="1">
      <c r="A541" s="33"/>
      <c r="B541" s="33"/>
      <c r="C541" s="33"/>
      <c r="D541" s="30" t="s">
        <v>1766</v>
      </c>
      <c r="E541" s="30"/>
      <c r="F541" s="30"/>
      <c r="G541" s="30"/>
      <c r="H541" s="30"/>
      <c r="I541" s="30"/>
      <c r="J541" s="30"/>
      <c r="K541" s="30"/>
      <c r="L541" s="30"/>
      <c r="M541" s="30"/>
    </row>
    <row r="542" spans="1:13" ht="15.12" thickBot="1" customHeight="1">
      <c r="A542" s="33"/>
      <c r="B542" s="33"/>
      <c r="C542" s="33"/>
      <c r="D542" s="33"/>
      <c r="E542" s="52"/>
      <c r="F542" s="54" t="s">
        <v>1767</v>
      </c>
      <c r="G542" s="54" t="s">
        <v>1768</v>
      </c>
      <c r="H542" s="54" t="s">
        <v>1769</v>
      </c>
      <c r="I542" s="54" t="s">
        <v>1770</v>
      </c>
      <c r="J542" s="54" t="s">
        <v>1771</v>
      </c>
      <c r="K542" s="54" t="s">
        <v>1772</v>
      </c>
      <c r="L542" s="33"/>
      <c r="M542" s="33"/>
    </row>
    <row r="543" spans="1:13" ht="15.12" thickBot="1" customHeight="1">
      <c r="A543" s="33"/>
      <c r="B543" s="33"/>
      <c r="C543" s="33"/>
      <c r="D543" s="55"/>
      <c r="E543" s="56"/>
      <c r="F543" s="57">
        <v>1</v>
      </c>
      <c r="G543" s="58"/>
      <c r="H543" s="58"/>
      <c r="I543" s="58"/>
      <c r="J543" s="60">
        <f ca="1">ROUND(F543,3)</f>
        <v>0</v>
      </c>
      <c r="K543" s="62">
        <f ca="1">SUM(J543:J543)</f>
        <v>0</v>
      </c>
      <c r="L543" s="33"/>
      <c r="M543" s="33"/>
    </row>
    <row r="544" spans="1:13" ht="15.48" thickBot="1" customHeight="1">
      <c r="A544" s="34"/>
      <c r="B544" s="34"/>
      <c r="C544" s="34"/>
      <c r="D544" s="63" t="s">
        <v>1773</v>
      </c>
      <c r="E544" s="64"/>
      <c r="F544" s="64"/>
      <c r="G544" s="64"/>
      <c r="H544" s="64"/>
      <c r="I544" s="64"/>
      <c r="J544" s="64"/>
      <c r="K544" s="64"/>
      <c r="L544" s="65">
        <f ca="1">M540</f>
        <v>0</v>
      </c>
      <c r="M544" s="65">
        <f ca="1">ROUND(L544,2)</f>
        <v>0</v>
      </c>
    </row>
    <row r="545" spans="1:13" ht="15.48" thickBot="1" customHeight="1">
      <c r="A545" s="48" t="s">
        <v>1774</v>
      </c>
      <c r="B545" s="48" t="s">
        <v>1775</v>
      </c>
      <c r="C545" s="49"/>
      <c r="D545" s="50" t="s">
        <v>1776</v>
      </c>
      <c r="E545" s="50"/>
      <c r="F545" s="50"/>
      <c r="G545" s="50"/>
      <c r="H545" s="50"/>
      <c r="I545" s="50"/>
      <c r="J545" s="50"/>
      <c r="K545" s="49"/>
      <c r="L545" s="51">
        <f ca="1">L610</f>
        <v>0</v>
      </c>
      <c r="M545" s="51">
        <f ca="1">ROUND(L545,2)</f>
        <v>0</v>
      </c>
    </row>
    <row r="546" spans="1:13" ht="15.48" thickBot="1" customHeight="1">
      <c r="A546" s="15" t="s">
        <v>1777</v>
      </c>
      <c r="B546" s="8" t="s">
        <v>1778</v>
      </c>
      <c r="C546" s="8" t="s">
        <v>1779</v>
      </c>
      <c r="D546" s="30" t="s">
        <v>1780</v>
      </c>
      <c r="E546" s="30"/>
      <c r="F546" s="30"/>
      <c r="G546" s="30"/>
      <c r="H546" s="30"/>
      <c r="I546" s="30"/>
      <c r="J546" s="30"/>
      <c r="K546" s="31">
        <f ca="1">ROUND(200.00,2)</f>
        <v>0</v>
      </c>
      <c r="L546" s="32">
        <f ca="1">L552</f>
        <v>0</v>
      </c>
      <c r="M546" s="32">
        <f ca="1">ROUND(K546*L546,2)</f>
        <v>0</v>
      </c>
    </row>
    <row r="547" spans="1:13" ht="58.32" thickBot="1" customHeight="1">
      <c r="A547" s="33"/>
      <c r="B547" s="33"/>
      <c r="C547" s="33"/>
      <c r="D547" s="30" t="s">
        <v>1781</v>
      </c>
      <c r="E547" s="30"/>
      <c r="F547" s="30"/>
      <c r="G547" s="30"/>
      <c r="H547" s="30"/>
      <c r="I547" s="30"/>
      <c r="J547" s="30"/>
      <c r="K547" s="30"/>
      <c r="L547" s="30"/>
      <c r="M547" s="30"/>
    </row>
    <row r="548" spans="1:13" ht="39.84" thickBot="1" customHeight="1">
      <c r="A548" s="8" t="s">
        <v>1782</v>
      </c>
      <c r="B548" s="8" t="s">
        <v>1783</v>
      </c>
      <c r="C548" s="8" t="s">
        <v>1784</v>
      </c>
      <c r="D548" s="30" t="s">
        <v>1785</v>
      </c>
      <c r="E548" s="30"/>
      <c r="F548" s="30"/>
      <c r="G548" s="30"/>
      <c r="H548" s="30"/>
      <c r="I548" s="30"/>
      <c r="J548" s="30"/>
      <c r="K548" s="31">
        <v>1.000</v>
      </c>
      <c r="L548" s="32">
        <f ca="1">ROUND(1.43,2)</f>
        <v>0</v>
      </c>
      <c r="M548" s="32">
        <f ca="1">ROUND(K548*L548,2)</f>
        <v>0</v>
      </c>
    </row>
    <row r="549" spans="1:13" ht="15.12" thickBot="1" customHeight="1">
      <c r="A549" s="8" t="s">
        <v>1786</v>
      </c>
      <c r="B549" s="8" t="s">
        <v>1787</v>
      </c>
      <c r="C549" s="8" t="s">
        <v>1788</v>
      </c>
      <c r="D549" s="30" t="s">
        <v>1789</v>
      </c>
      <c r="E549" s="30"/>
      <c r="F549" s="30"/>
      <c r="G549" s="30"/>
      <c r="H549" s="30"/>
      <c r="I549" s="30"/>
      <c r="J549" s="30"/>
      <c r="K549" s="31">
        <v>0.016</v>
      </c>
      <c r="L549" s="32">
        <f ca="1">ROUND(27.24,2)</f>
        <v>0</v>
      </c>
      <c r="M549" s="32">
        <f ca="1">ROUND(K549*L549,2)</f>
        <v>0</v>
      </c>
    </row>
    <row r="550" spans="1:13" ht="15.12" thickBot="1" customHeight="1">
      <c r="A550" s="8" t="s">
        <v>1790</v>
      </c>
      <c r="B550" s="8" t="s">
        <v>1791</v>
      </c>
      <c r="C550" s="8" t="s">
        <v>1792</v>
      </c>
      <c r="D550" s="30" t="s">
        <v>1793</v>
      </c>
      <c r="E550" s="30"/>
      <c r="F550" s="30"/>
      <c r="G550" s="30"/>
      <c r="H550" s="30"/>
      <c r="I550" s="30"/>
      <c r="J550" s="30"/>
      <c r="K550" s="31">
        <v>0.016</v>
      </c>
      <c r="L550" s="32">
        <f ca="1">ROUND(23.25,2)</f>
        <v>0</v>
      </c>
      <c r="M550" s="32">
        <f ca="1">ROUND(K550*L550,2)</f>
        <v>0</v>
      </c>
    </row>
    <row r="551" spans="1:13" ht="15.12" thickBot="1" customHeight="1">
      <c r="A551" s="8" t="s">
        <v>1794</v>
      </c>
      <c r="B551" s="8"/>
      <c r="C551" s="8" t="s">
        <v>1795</v>
      </c>
      <c r="D551" s="30" t="s">
        <v>1796</v>
      </c>
      <c r="E551" s="30"/>
      <c r="F551" s="30"/>
      <c r="G551" s="30"/>
      <c r="H551" s="30"/>
      <c r="I551" s="30"/>
      <c r="J551" s="30"/>
      <c r="K551" s="31">
        <v>2.000</v>
      </c>
      <c r="L551" s="32">
        <f ca="1">ROUND(2.24,2)</f>
        <v>0</v>
      </c>
      <c r="M551" s="32">
        <f ca="1">ROUND((K551*L551)/100,2)</f>
        <v>0</v>
      </c>
    </row>
    <row r="552" spans="1:13" ht="15.48" thickBot="1" customHeight="1">
      <c r="A552" s="34"/>
      <c r="B552" s="34"/>
      <c r="C552" s="34"/>
      <c r="D552" s="35" t="s">
        <v>1797</v>
      </c>
      <c r="E552" s="34"/>
      <c r="F552" s="34"/>
      <c r="G552" s="34"/>
      <c r="H552" s="34"/>
      <c r="I552" s="34"/>
      <c r="J552" s="34"/>
      <c r="K552" s="37">
        <v>200.000</v>
      </c>
      <c r="L552" s="38">
        <f ca="1">ROUND((M548+M549+M550+M551)*(1+M2/100),2)</f>
        <v>0</v>
      </c>
      <c r="M552" s="38">
        <f ca="1">ROUND(K552*L552,2)</f>
        <v>0</v>
      </c>
    </row>
    <row r="553" spans="1:13" ht="15.48" thickBot="1" customHeight="1">
      <c r="A553" s="39" t="s">
        <v>1798</v>
      </c>
      <c r="B553" s="40" t="s">
        <v>1799</v>
      </c>
      <c r="C553" s="40" t="s">
        <v>1800</v>
      </c>
      <c r="D553" s="41" t="s">
        <v>1801</v>
      </c>
      <c r="E553" s="41"/>
      <c r="F553" s="41"/>
      <c r="G553" s="41"/>
      <c r="H553" s="41"/>
      <c r="I553" s="41"/>
      <c r="J553" s="41"/>
      <c r="K553" s="42">
        <f ca="1">ROUND(100.00,2)</f>
        <v>0</v>
      </c>
      <c r="L553" s="43">
        <f ca="1">L559</f>
        <v>0</v>
      </c>
      <c r="M553" s="43">
        <f ca="1">ROUND(K553*L553,2)</f>
        <v>0</v>
      </c>
    </row>
    <row r="554" spans="1:13" ht="86.04" thickBot="1" customHeight="1">
      <c r="A554" s="33"/>
      <c r="B554" s="33"/>
      <c r="C554" s="33"/>
      <c r="D554" s="30" t="s">
        <v>1802</v>
      </c>
      <c r="E554" s="30"/>
      <c r="F554" s="30"/>
      <c r="G554" s="30"/>
      <c r="H554" s="30"/>
      <c r="I554" s="30"/>
      <c r="J554" s="30"/>
      <c r="K554" s="30"/>
      <c r="L554" s="30"/>
      <c r="M554" s="30"/>
    </row>
    <row r="555" spans="1:13" ht="21.36" thickBot="1" customHeight="1">
      <c r="A555" s="8" t="s">
        <v>1803</v>
      </c>
      <c r="B555" s="8" t="s">
        <v>1804</v>
      </c>
      <c r="C555" s="8" t="s">
        <v>1805</v>
      </c>
      <c r="D555" s="30" t="s">
        <v>1806</v>
      </c>
      <c r="E555" s="30"/>
      <c r="F555" s="30"/>
      <c r="G555" s="30"/>
      <c r="H555" s="30"/>
      <c r="I555" s="30"/>
      <c r="J555" s="30"/>
      <c r="K555" s="31">
        <v>1.000</v>
      </c>
      <c r="L555" s="32">
        <f ca="1">ROUND(5.50,2)</f>
        <v>0</v>
      </c>
      <c r="M555" s="32">
        <f ca="1">ROUND(K555*L555,2)</f>
        <v>0</v>
      </c>
    </row>
    <row r="556" spans="1:13" ht="15.12" thickBot="1" customHeight="1">
      <c r="A556" s="8" t="s">
        <v>1807</v>
      </c>
      <c r="B556" s="8" t="s">
        <v>1808</v>
      </c>
      <c r="C556" s="8" t="s">
        <v>1809</v>
      </c>
      <c r="D556" s="30" t="s">
        <v>1810</v>
      </c>
      <c r="E556" s="30"/>
      <c r="F556" s="30"/>
      <c r="G556" s="30"/>
      <c r="H556" s="30"/>
      <c r="I556" s="30"/>
      <c r="J556" s="30"/>
      <c r="K556" s="31">
        <v>0.016</v>
      </c>
      <c r="L556" s="32">
        <f ca="1">ROUND(27.24,2)</f>
        <v>0</v>
      </c>
      <c r="M556" s="32">
        <f ca="1">ROUND(K556*L556,2)</f>
        <v>0</v>
      </c>
    </row>
    <row r="557" spans="1:13" ht="15.12" thickBot="1" customHeight="1">
      <c r="A557" s="8" t="s">
        <v>1811</v>
      </c>
      <c r="B557" s="8" t="s">
        <v>1812</v>
      </c>
      <c r="C557" s="8" t="s">
        <v>1813</v>
      </c>
      <c r="D557" s="30" t="s">
        <v>1814</v>
      </c>
      <c r="E557" s="30"/>
      <c r="F557" s="30"/>
      <c r="G557" s="30"/>
      <c r="H557" s="30"/>
      <c r="I557" s="30"/>
      <c r="J557" s="30"/>
      <c r="K557" s="31">
        <v>0.016</v>
      </c>
      <c r="L557" s="32">
        <f ca="1">ROUND(23.25,2)</f>
        <v>0</v>
      </c>
      <c r="M557" s="32">
        <f ca="1">ROUND(K557*L557,2)</f>
        <v>0</v>
      </c>
    </row>
    <row r="558" spans="1:13" ht="15.12" thickBot="1" customHeight="1">
      <c r="A558" s="8" t="s">
        <v>1815</v>
      </c>
      <c r="B558" s="8"/>
      <c r="C558" s="8" t="s">
        <v>1816</v>
      </c>
      <c r="D558" s="30" t="s">
        <v>1817</v>
      </c>
      <c r="E558" s="30"/>
      <c r="F558" s="30"/>
      <c r="G558" s="30"/>
      <c r="H558" s="30"/>
      <c r="I558" s="30"/>
      <c r="J558" s="30"/>
      <c r="K558" s="31">
        <v>2.000</v>
      </c>
      <c r="L558" s="32">
        <f ca="1">ROUND(6.31,2)</f>
        <v>0</v>
      </c>
      <c r="M558" s="32">
        <f ca="1">ROUND((K558*L558)/100,2)</f>
        <v>0</v>
      </c>
    </row>
    <row r="559" spans="1:13" ht="15.48" thickBot="1" customHeight="1">
      <c r="A559" s="34"/>
      <c r="B559" s="34"/>
      <c r="C559" s="34"/>
      <c r="D559" s="35" t="s">
        <v>1818</v>
      </c>
      <c r="E559" s="34"/>
      <c r="F559" s="34"/>
      <c r="G559" s="34"/>
      <c r="H559" s="34"/>
      <c r="I559" s="34"/>
      <c r="J559" s="34"/>
      <c r="K559" s="37">
        <v>100.000</v>
      </c>
      <c r="L559" s="38">
        <f ca="1">ROUND((M555+M556+M557+M558)*(1+M2/100),2)</f>
        <v>0</v>
      </c>
      <c r="M559" s="38">
        <f ca="1">ROUND(K559*L559,2)</f>
        <v>0</v>
      </c>
    </row>
    <row r="560" spans="1:13" ht="15.48" thickBot="1" customHeight="1">
      <c r="A560" s="39" t="s">
        <v>1819</v>
      </c>
      <c r="B560" s="40" t="s">
        <v>1820</v>
      </c>
      <c r="C560" s="40" t="s">
        <v>1821</v>
      </c>
      <c r="D560" s="41" t="s">
        <v>1822</v>
      </c>
      <c r="E560" s="41"/>
      <c r="F560" s="41"/>
      <c r="G560" s="41"/>
      <c r="H560" s="41"/>
      <c r="I560" s="41"/>
      <c r="J560" s="41"/>
      <c r="K560" s="42">
        <f ca="1">ROUND(1.00,2)</f>
        <v>0</v>
      </c>
      <c r="L560" s="43">
        <f ca="1">L567</f>
        <v>0</v>
      </c>
      <c r="M560" s="43">
        <f ca="1">ROUND(K560*L560,2)</f>
        <v>0</v>
      </c>
    </row>
    <row r="561" spans="1:13" ht="58.32" thickBot="1" customHeight="1">
      <c r="A561" s="33"/>
      <c r="B561" s="33"/>
      <c r="C561" s="33"/>
      <c r="D561" s="30" t="s">
        <v>1823</v>
      </c>
      <c r="E561" s="30"/>
      <c r="F561" s="30"/>
      <c r="G561" s="30"/>
      <c r="H561" s="30"/>
      <c r="I561" s="30"/>
      <c r="J561" s="30"/>
      <c r="K561" s="30"/>
      <c r="L561" s="30"/>
      <c r="M561" s="30"/>
    </row>
    <row r="562" spans="1:13" ht="21.36" thickBot="1" customHeight="1">
      <c r="A562" s="8" t="s">
        <v>1824</v>
      </c>
      <c r="B562" s="8" t="s">
        <v>1825</v>
      </c>
      <c r="C562" s="8" t="s">
        <v>1826</v>
      </c>
      <c r="D562" s="30" t="s">
        <v>1827</v>
      </c>
      <c r="E562" s="30"/>
      <c r="F562" s="30"/>
      <c r="G562" s="30"/>
      <c r="H562" s="30"/>
      <c r="I562" s="30"/>
      <c r="J562" s="30"/>
      <c r="K562" s="31">
        <v>1.000</v>
      </c>
      <c r="L562" s="32">
        <f ca="1">ROUND(98.00,2)</f>
        <v>0</v>
      </c>
      <c r="M562" s="32">
        <f ca="1">ROUND(K562*L562,2)</f>
        <v>0</v>
      </c>
    </row>
    <row r="563" spans="1:13" ht="39.84" thickBot="1" customHeight="1">
      <c r="A563" s="8" t="s">
        <v>1828</v>
      </c>
      <c r="B563" s="8" t="s">
        <v>1829</v>
      </c>
      <c r="C563" s="8" t="s">
        <v>1830</v>
      </c>
      <c r="D563" s="30" t="s">
        <v>1831</v>
      </c>
      <c r="E563" s="30"/>
      <c r="F563" s="30"/>
      <c r="G563" s="30"/>
      <c r="H563" s="30"/>
      <c r="I563" s="30"/>
      <c r="J563" s="30"/>
      <c r="K563" s="31">
        <v>1.000</v>
      </c>
      <c r="L563" s="32">
        <f ca="1">ROUND(6.23,2)</f>
        <v>0</v>
      </c>
      <c r="M563" s="32">
        <f ca="1">ROUND(K563*L563,2)</f>
        <v>0</v>
      </c>
    </row>
    <row r="564" spans="1:13" ht="15.12" thickBot="1" customHeight="1">
      <c r="A564" s="8" t="s">
        <v>1832</v>
      </c>
      <c r="B564" s="8" t="s">
        <v>1833</v>
      </c>
      <c r="C564" s="8" t="s">
        <v>1834</v>
      </c>
      <c r="D564" s="30" t="s">
        <v>1835</v>
      </c>
      <c r="E564" s="30"/>
      <c r="F564" s="30"/>
      <c r="G564" s="30"/>
      <c r="H564" s="30"/>
      <c r="I564" s="30"/>
      <c r="J564" s="30"/>
      <c r="K564" s="31">
        <v>0.216</v>
      </c>
      <c r="L564" s="32">
        <f ca="1">ROUND(27.24,2)</f>
        <v>0</v>
      </c>
      <c r="M564" s="32">
        <f ca="1">ROUND(K564*L564,2)</f>
        <v>0</v>
      </c>
    </row>
    <row r="565" spans="1:13" ht="15.12" thickBot="1" customHeight="1">
      <c r="A565" s="8" t="s">
        <v>1836</v>
      </c>
      <c r="B565" s="8" t="s">
        <v>1837</v>
      </c>
      <c r="C565" s="8" t="s">
        <v>1838</v>
      </c>
      <c r="D565" s="30" t="s">
        <v>1839</v>
      </c>
      <c r="E565" s="30"/>
      <c r="F565" s="30"/>
      <c r="G565" s="30"/>
      <c r="H565" s="30"/>
      <c r="I565" s="30"/>
      <c r="J565" s="30"/>
      <c r="K565" s="31">
        <v>0.216</v>
      </c>
      <c r="L565" s="32">
        <f ca="1">ROUND(23.25,2)</f>
        <v>0</v>
      </c>
      <c r="M565" s="32">
        <f ca="1">ROUND(K565*L565,2)</f>
        <v>0</v>
      </c>
    </row>
    <row r="566" spans="1:13" ht="15.12" thickBot="1" customHeight="1">
      <c r="A566" s="8" t="s">
        <v>1840</v>
      </c>
      <c r="B566" s="8"/>
      <c r="C566" s="8" t="s">
        <v>1841</v>
      </c>
      <c r="D566" s="30" t="s">
        <v>1842</v>
      </c>
      <c r="E566" s="30"/>
      <c r="F566" s="30"/>
      <c r="G566" s="30"/>
      <c r="H566" s="30"/>
      <c r="I566" s="30"/>
      <c r="J566" s="30"/>
      <c r="K566" s="31">
        <v>2.000</v>
      </c>
      <c r="L566" s="32">
        <f ca="1">ROUND(115.13,2)</f>
        <v>0</v>
      </c>
      <c r="M566" s="32">
        <f ca="1">ROUND((K566*L566)/100,2)</f>
        <v>0</v>
      </c>
    </row>
    <row r="567" spans="1:13" ht="15.48" thickBot="1" customHeight="1">
      <c r="A567" s="34"/>
      <c r="B567" s="34"/>
      <c r="C567" s="34"/>
      <c r="D567" s="35" t="s">
        <v>1843</v>
      </c>
      <c r="E567" s="34"/>
      <c r="F567" s="34"/>
      <c r="G567" s="34"/>
      <c r="H567" s="34"/>
      <c r="I567" s="34"/>
      <c r="J567" s="34"/>
      <c r="K567" s="37">
        <v>1.000</v>
      </c>
      <c r="L567" s="38">
        <f ca="1">ROUND((M562+M563+M564+M565+M566)*(1+M2/100),2)</f>
        <v>0</v>
      </c>
      <c r="M567" s="38">
        <f ca="1">ROUND(K567*L567,2)</f>
        <v>0</v>
      </c>
    </row>
    <row r="568" spans="1:13" ht="15.48" thickBot="1" customHeight="1">
      <c r="A568" s="39" t="s">
        <v>1844</v>
      </c>
      <c r="B568" s="40" t="s">
        <v>1845</v>
      </c>
      <c r="C568" s="40" t="s">
        <v>1846</v>
      </c>
      <c r="D568" s="41" t="s">
        <v>1847</v>
      </c>
      <c r="E568" s="41"/>
      <c r="F568" s="41"/>
      <c r="G568" s="41"/>
      <c r="H568" s="41"/>
      <c r="I568" s="41"/>
      <c r="J568" s="41"/>
      <c r="K568" s="42">
        <f ca="1">ROUND(64.70,2)</f>
        <v>0</v>
      </c>
      <c r="L568" s="43">
        <f ca="1">L581</f>
        <v>0</v>
      </c>
      <c r="M568" s="43">
        <f ca="1">ROUND(K568*L568,2)</f>
        <v>0</v>
      </c>
    </row>
    <row r="569" spans="1:13" ht="86.04" thickBot="1" customHeight="1">
      <c r="A569" s="33"/>
      <c r="B569" s="33"/>
      <c r="C569" s="33"/>
      <c r="D569" s="30" t="s">
        <v>1848</v>
      </c>
      <c r="E569" s="30"/>
      <c r="F569" s="30"/>
      <c r="G569" s="30"/>
      <c r="H569" s="30"/>
      <c r="I569" s="30"/>
      <c r="J569" s="30"/>
      <c r="K569" s="30"/>
      <c r="L569" s="30"/>
      <c r="M569" s="30"/>
    </row>
    <row r="570" spans="1:13" ht="15.12" thickBot="1" customHeight="1">
      <c r="A570" s="8" t="s">
        <v>1849</v>
      </c>
      <c r="B570" s="8" t="s">
        <v>1850</v>
      </c>
      <c r="C570" s="8" t="s">
        <v>1851</v>
      </c>
      <c r="D570" s="30" t="s">
        <v>1852</v>
      </c>
      <c r="E570" s="30"/>
      <c r="F570" s="30"/>
      <c r="G570" s="30"/>
      <c r="H570" s="30"/>
      <c r="I570" s="30"/>
      <c r="J570" s="30"/>
      <c r="K570" s="31">
        <v>0.061</v>
      </c>
      <c r="L570" s="32">
        <f ca="1">ROUND(14.30,2)</f>
        <v>0</v>
      </c>
      <c r="M570" s="32">
        <f ca="1">ROUND(K570*L570,2)</f>
        <v>0</v>
      </c>
    </row>
    <row r="571" spans="1:13" ht="39.84" thickBot="1" customHeight="1">
      <c r="A571" s="8" t="s">
        <v>1853</v>
      </c>
      <c r="B571" s="8" t="s">
        <v>1854</v>
      </c>
      <c r="C571" s="8" t="s">
        <v>1855</v>
      </c>
      <c r="D571" s="30" t="s">
        <v>1856</v>
      </c>
      <c r="E571" s="30"/>
      <c r="F571" s="30"/>
      <c r="G571" s="30"/>
      <c r="H571" s="30"/>
      <c r="I571" s="30"/>
      <c r="J571" s="30"/>
      <c r="K571" s="31">
        <v>1.000</v>
      </c>
      <c r="L571" s="32">
        <f ca="1">ROUND(3.79,2)</f>
        <v>0</v>
      </c>
      <c r="M571" s="32">
        <f ca="1">ROUND(K571*L571,2)</f>
        <v>0</v>
      </c>
    </row>
    <row r="572" spans="1:13" ht="21.36" thickBot="1" customHeight="1">
      <c r="A572" s="8" t="s">
        <v>1857</v>
      </c>
      <c r="B572" s="8" t="s">
        <v>1858</v>
      </c>
      <c r="C572" s="8" t="s">
        <v>1859</v>
      </c>
      <c r="D572" s="30" t="s">
        <v>1860</v>
      </c>
      <c r="E572" s="30"/>
      <c r="F572" s="30"/>
      <c r="G572" s="30"/>
      <c r="H572" s="30"/>
      <c r="I572" s="30"/>
      <c r="J572" s="30"/>
      <c r="K572" s="31">
        <v>1.000</v>
      </c>
      <c r="L572" s="32">
        <f ca="1">ROUND(0.25,2)</f>
        <v>0</v>
      </c>
      <c r="M572" s="32">
        <f ca="1">ROUND(K572*L572,2)</f>
        <v>0</v>
      </c>
    </row>
    <row r="573" spans="1:13" ht="15.12" thickBot="1" customHeight="1">
      <c r="A573" s="8" t="s">
        <v>1861</v>
      </c>
      <c r="B573" s="8" t="s">
        <v>1862</v>
      </c>
      <c r="C573" s="8" t="s">
        <v>1863</v>
      </c>
      <c r="D573" s="30" t="s">
        <v>1864</v>
      </c>
      <c r="E573" s="30"/>
      <c r="F573" s="30"/>
      <c r="G573" s="30"/>
      <c r="H573" s="30"/>
      <c r="I573" s="30"/>
      <c r="J573" s="30"/>
      <c r="K573" s="31">
        <v>0.006</v>
      </c>
      <c r="L573" s="32">
        <f ca="1">ROUND(10.38,2)</f>
        <v>0</v>
      </c>
      <c r="M573" s="32">
        <f ca="1">ROUND(K573*L573,2)</f>
        <v>0</v>
      </c>
    </row>
    <row r="574" spans="1:13" ht="15.12" thickBot="1" customHeight="1">
      <c r="A574" s="8" t="s">
        <v>1865</v>
      </c>
      <c r="B574" s="8" t="s">
        <v>1866</v>
      </c>
      <c r="C574" s="8" t="s">
        <v>1867</v>
      </c>
      <c r="D574" s="30" t="s">
        <v>1868</v>
      </c>
      <c r="E574" s="30"/>
      <c r="F574" s="30"/>
      <c r="G574" s="30"/>
      <c r="H574" s="30"/>
      <c r="I574" s="30"/>
      <c r="J574" s="30"/>
      <c r="K574" s="31">
        <v>0.047</v>
      </c>
      <c r="L574" s="32">
        <f ca="1">ROUND(3.92,2)</f>
        <v>0</v>
      </c>
      <c r="M574" s="32">
        <f ca="1">ROUND(K574*L574,2)</f>
        <v>0</v>
      </c>
    </row>
    <row r="575" spans="1:13" ht="15.12" thickBot="1" customHeight="1">
      <c r="A575" s="8" t="s">
        <v>1869</v>
      </c>
      <c r="B575" s="8" t="s">
        <v>1870</v>
      </c>
      <c r="C575" s="8" t="s">
        <v>1871</v>
      </c>
      <c r="D575" s="30" t="s">
        <v>1872</v>
      </c>
      <c r="E575" s="30"/>
      <c r="F575" s="30"/>
      <c r="G575" s="30"/>
      <c r="H575" s="30"/>
      <c r="I575" s="30"/>
      <c r="J575" s="30"/>
      <c r="K575" s="31">
        <v>0.001</v>
      </c>
      <c r="L575" s="32">
        <f ca="1">ROUND(118.90,2)</f>
        <v>0</v>
      </c>
      <c r="M575" s="32">
        <f ca="1">ROUND(K575*L575,2)</f>
        <v>0</v>
      </c>
    </row>
    <row r="576" spans="1:13" ht="15.12" thickBot="1" customHeight="1">
      <c r="A576" s="8" t="s">
        <v>1873</v>
      </c>
      <c r="B576" s="8" t="s">
        <v>1874</v>
      </c>
      <c r="C576" s="8" t="s">
        <v>1875</v>
      </c>
      <c r="D576" s="30" t="s">
        <v>1876</v>
      </c>
      <c r="E576" s="30"/>
      <c r="F576" s="30"/>
      <c r="G576" s="30"/>
      <c r="H576" s="30"/>
      <c r="I576" s="30"/>
      <c r="J576" s="30"/>
      <c r="K576" s="31">
        <v>0.050</v>
      </c>
      <c r="L576" s="32">
        <f ca="1">ROUND(26.38,2)</f>
        <v>0</v>
      </c>
      <c r="M576" s="32">
        <f ca="1">ROUND(K576*L576,2)</f>
        <v>0</v>
      </c>
    </row>
    <row r="577" spans="1:13" ht="15.12" thickBot="1" customHeight="1">
      <c r="A577" s="8" t="s">
        <v>1877</v>
      </c>
      <c r="B577" s="8" t="s">
        <v>1878</v>
      </c>
      <c r="C577" s="8" t="s">
        <v>1879</v>
      </c>
      <c r="D577" s="30" t="s">
        <v>1880</v>
      </c>
      <c r="E577" s="30"/>
      <c r="F577" s="30"/>
      <c r="G577" s="30"/>
      <c r="H577" s="30"/>
      <c r="I577" s="30"/>
      <c r="J577" s="30"/>
      <c r="K577" s="31">
        <v>0.050</v>
      </c>
      <c r="L577" s="32">
        <f ca="1">ROUND(20.97,2)</f>
        <v>0</v>
      </c>
      <c r="M577" s="32">
        <f ca="1">ROUND(K577*L577,2)</f>
        <v>0</v>
      </c>
    </row>
    <row r="578" spans="1:13" ht="15.12" thickBot="1" customHeight="1">
      <c r="A578" s="8" t="s">
        <v>1881</v>
      </c>
      <c r="B578" s="8" t="s">
        <v>1882</v>
      </c>
      <c r="C578" s="8" t="s">
        <v>1883</v>
      </c>
      <c r="D578" s="30" t="s">
        <v>1884</v>
      </c>
      <c r="E578" s="30"/>
      <c r="F578" s="30"/>
      <c r="G578" s="30"/>
      <c r="H578" s="30"/>
      <c r="I578" s="30"/>
      <c r="J578" s="30"/>
      <c r="K578" s="31">
        <v>0.027</v>
      </c>
      <c r="L578" s="32">
        <f ca="1">ROUND(27.24,2)</f>
        <v>0</v>
      </c>
      <c r="M578" s="32">
        <f ca="1">ROUND(K578*L578,2)</f>
        <v>0</v>
      </c>
    </row>
    <row r="579" spans="1:13" ht="15.12" thickBot="1" customHeight="1">
      <c r="A579" s="8" t="s">
        <v>1885</v>
      </c>
      <c r="B579" s="8" t="s">
        <v>1886</v>
      </c>
      <c r="C579" s="8" t="s">
        <v>1887</v>
      </c>
      <c r="D579" s="30" t="s">
        <v>1888</v>
      </c>
      <c r="E579" s="30"/>
      <c r="F579" s="30"/>
      <c r="G579" s="30"/>
      <c r="H579" s="30"/>
      <c r="I579" s="30"/>
      <c r="J579" s="30"/>
      <c r="K579" s="31">
        <v>0.022</v>
      </c>
      <c r="L579" s="32">
        <f ca="1">ROUND(23.25,2)</f>
        <v>0</v>
      </c>
      <c r="M579" s="32">
        <f ca="1">ROUND(K579*L579,2)</f>
        <v>0</v>
      </c>
    </row>
    <row r="580" spans="1:13" ht="15.12" thickBot="1" customHeight="1">
      <c r="A580" s="8" t="s">
        <v>1889</v>
      </c>
      <c r="B580" s="8"/>
      <c r="C580" s="8" t="s">
        <v>1890</v>
      </c>
      <c r="D580" s="30" t="s">
        <v>1891</v>
      </c>
      <c r="E580" s="30"/>
      <c r="F580" s="30"/>
      <c r="G580" s="30"/>
      <c r="H580" s="30"/>
      <c r="I580" s="30"/>
      <c r="J580" s="30"/>
      <c r="K580" s="31">
        <v>2.000</v>
      </c>
      <c r="L580" s="32">
        <f ca="1">ROUND(8.89,2)</f>
        <v>0</v>
      </c>
      <c r="M580" s="32">
        <f ca="1">ROUND((K580*L580)/100,2)</f>
        <v>0</v>
      </c>
    </row>
    <row r="581" spans="1:13" ht="15.48" thickBot="1" customHeight="1">
      <c r="A581" s="34"/>
      <c r="B581" s="34"/>
      <c r="C581" s="34"/>
      <c r="D581" s="35" t="s">
        <v>1892</v>
      </c>
      <c r="E581" s="34"/>
      <c r="F581" s="34"/>
      <c r="G581" s="34"/>
      <c r="H581" s="34"/>
      <c r="I581" s="34"/>
      <c r="J581" s="34"/>
      <c r="K581" s="37">
        <v>64.700</v>
      </c>
      <c r="L581" s="38">
        <f ca="1">ROUND((M570+M571+M572+M573+M574+M575+M576+M577+M578+M579+M580)*(1+M2/100),2)</f>
        <v>0</v>
      </c>
      <c r="M581" s="38">
        <f ca="1">ROUND(K581*L581,2)</f>
        <v>0</v>
      </c>
    </row>
    <row r="582" spans="1:13" ht="15.48" thickBot="1" customHeight="1">
      <c r="A582" s="39" t="s">
        <v>1893</v>
      </c>
      <c r="B582" s="40" t="s">
        <v>1894</v>
      </c>
      <c r="C582" s="40" t="s">
        <v>1895</v>
      </c>
      <c r="D582" s="41" t="s">
        <v>1896</v>
      </c>
      <c r="E582" s="41"/>
      <c r="F582" s="41"/>
      <c r="G582" s="41"/>
      <c r="H582" s="41"/>
      <c r="I582" s="41"/>
      <c r="J582" s="41"/>
      <c r="K582" s="42">
        <f ca="1">ROUND(45.70,2)</f>
        <v>0</v>
      </c>
      <c r="L582" s="43">
        <f ca="1">L595</f>
        <v>0</v>
      </c>
      <c r="M582" s="43">
        <f ca="1">ROUND(K582*L582,2)</f>
        <v>0</v>
      </c>
    </row>
    <row r="583" spans="1:13" ht="86.04" thickBot="1" customHeight="1">
      <c r="A583" s="33"/>
      <c r="B583" s="33"/>
      <c r="C583" s="33"/>
      <c r="D583" s="30" t="s">
        <v>1897</v>
      </c>
      <c r="E583" s="30"/>
      <c r="F583" s="30"/>
      <c r="G583" s="30"/>
      <c r="H583" s="30"/>
      <c r="I583" s="30"/>
      <c r="J583" s="30"/>
      <c r="K583" s="30"/>
      <c r="L583" s="30"/>
      <c r="M583" s="30"/>
    </row>
    <row r="584" spans="1:13" ht="15.12" thickBot="1" customHeight="1">
      <c r="A584" s="8" t="s">
        <v>1898</v>
      </c>
      <c r="B584" s="8" t="s">
        <v>1899</v>
      </c>
      <c r="C584" s="8" t="s">
        <v>1900</v>
      </c>
      <c r="D584" s="30" t="s">
        <v>1901</v>
      </c>
      <c r="E584" s="30"/>
      <c r="F584" s="30"/>
      <c r="G584" s="30"/>
      <c r="H584" s="30"/>
      <c r="I584" s="30"/>
      <c r="J584" s="30"/>
      <c r="K584" s="31">
        <v>0.061</v>
      </c>
      <c r="L584" s="32">
        <f ca="1">ROUND(14.30,2)</f>
        <v>0</v>
      </c>
      <c r="M584" s="32">
        <f ca="1">ROUND(K584*L584,2)</f>
        <v>0</v>
      </c>
    </row>
    <row r="585" spans="1:13" ht="39.84" thickBot="1" customHeight="1">
      <c r="A585" s="8" t="s">
        <v>1902</v>
      </c>
      <c r="B585" s="8" t="s">
        <v>1903</v>
      </c>
      <c r="C585" s="8" t="s">
        <v>1904</v>
      </c>
      <c r="D585" s="30" t="s">
        <v>1905</v>
      </c>
      <c r="E585" s="30"/>
      <c r="F585" s="30"/>
      <c r="G585" s="30"/>
      <c r="H585" s="30"/>
      <c r="I585" s="30"/>
      <c r="J585" s="30"/>
      <c r="K585" s="31">
        <v>1.000</v>
      </c>
      <c r="L585" s="32">
        <f ca="1">ROUND(3.79,2)</f>
        <v>0</v>
      </c>
      <c r="M585" s="32">
        <f ca="1">ROUND(K585*L585,2)</f>
        <v>0</v>
      </c>
    </row>
    <row r="586" spans="1:13" ht="21.36" thickBot="1" customHeight="1">
      <c r="A586" s="8" t="s">
        <v>1906</v>
      </c>
      <c r="B586" s="8" t="s">
        <v>1907</v>
      </c>
      <c r="C586" s="8" t="s">
        <v>1908</v>
      </c>
      <c r="D586" s="30" t="s">
        <v>1909</v>
      </c>
      <c r="E586" s="30"/>
      <c r="F586" s="30"/>
      <c r="G586" s="30"/>
      <c r="H586" s="30"/>
      <c r="I586" s="30"/>
      <c r="J586" s="30"/>
      <c r="K586" s="31">
        <v>1.000</v>
      </c>
      <c r="L586" s="32">
        <f ca="1">ROUND(0.25,2)</f>
        <v>0</v>
      </c>
      <c r="M586" s="32">
        <f ca="1">ROUND(K586*L586,2)</f>
        <v>0</v>
      </c>
    </row>
    <row r="587" spans="1:13" ht="15.12" thickBot="1" customHeight="1">
      <c r="A587" s="8" t="s">
        <v>1910</v>
      </c>
      <c r="B587" s="8" t="s">
        <v>1911</v>
      </c>
      <c r="C587" s="8" t="s">
        <v>1912</v>
      </c>
      <c r="D587" s="30" t="s">
        <v>1913</v>
      </c>
      <c r="E587" s="30"/>
      <c r="F587" s="30"/>
      <c r="G587" s="30"/>
      <c r="H587" s="30"/>
      <c r="I587" s="30"/>
      <c r="J587" s="30"/>
      <c r="K587" s="31">
        <v>0.006</v>
      </c>
      <c r="L587" s="32">
        <f ca="1">ROUND(10.38,2)</f>
        <v>0</v>
      </c>
      <c r="M587" s="32">
        <f ca="1">ROUND(K587*L587,2)</f>
        <v>0</v>
      </c>
    </row>
    <row r="588" spans="1:13" ht="15.12" thickBot="1" customHeight="1">
      <c r="A588" s="8" t="s">
        <v>1914</v>
      </c>
      <c r="B588" s="8" t="s">
        <v>1915</v>
      </c>
      <c r="C588" s="8" t="s">
        <v>1916</v>
      </c>
      <c r="D588" s="30" t="s">
        <v>1917</v>
      </c>
      <c r="E588" s="30"/>
      <c r="F588" s="30"/>
      <c r="G588" s="30"/>
      <c r="H588" s="30"/>
      <c r="I588" s="30"/>
      <c r="J588" s="30"/>
      <c r="K588" s="31">
        <v>0.047</v>
      </c>
      <c r="L588" s="32">
        <f ca="1">ROUND(3.92,2)</f>
        <v>0</v>
      </c>
      <c r="M588" s="32">
        <f ca="1">ROUND(K588*L588,2)</f>
        <v>0</v>
      </c>
    </row>
    <row r="589" spans="1:13" ht="15.12" thickBot="1" customHeight="1">
      <c r="A589" s="8" t="s">
        <v>1918</v>
      </c>
      <c r="B589" s="8" t="s">
        <v>1919</v>
      </c>
      <c r="C589" s="8" t="s">
        <v>1920</v>
      </c>
      <c r="D589" s="30" t="s">
        <v>1921</v>
      </c>
      <c r="E589" s="30"/>
      <c r="F589" s="30"/>
      <c r="G589" s="30"/>
      <c r="H589" s="30"/>
      <c r="I589" s="30"/>
      <c r="J589" s="30"/>
      <c r="K589" s="31">
        <v>0.001</v>
      </c>
      <c r="L589" s="32">
        <f ca="1">ROUND(118.90,2)</f>
        <v>0</v>
      </c>
      <c r="M589" s="32">
        <f ca="1">ROUND(K589*L589,2)</f>
        <v>0</v>
      </c>
    </row>
    <row r="590" spans="1:13" ht="15.12" thickBot="1" customHeight="1">
      <c r="A590" s="8" t="s">
        <v>1922</v>
      </c>
      <c r="B590" s="8" t="s">
        <v>1923</v>
      </c>
      <c r="C590" s="8" t="s">
        <v>1924</v>
      </c>
      <c r="D590" s="30" t="s">
        <v>1925</v>
      </c>
      <c r="E590" s="30"/>
      <c r="F590" s="30"/>
      <c r="G590" s="30"/>
      <c r="H590" s="30"/>
      <c r="I590" s="30"/>
      <c r="J590" s="30"/>
      <c r="K590" s="31">
        <v>0.050</v>
      </c>
      <c r="L590" s="32">
        <f ca="1">ROUND(26.38,2)</f>
        <v>0</v>
      </c>
      <c r="M590" s="32">
        <f ca="1">ROUND(K590*L590,2)</f>
        <v>0</v>
      </c>
    </row>
    <row r="591" spans="1:13" ht="15.12" thickBot="1" customHeight="1">
      <c r="A591" s="8" t="s">
        <v>1926</v>
      </c>
      <c r="B591" s="8" t="s">
        <v>1927</v>
      </c>
      <c r="C591" s="8" t="s">
        <v>1928</v>
      </c>
      <c r="D591" s="30" t="s">
        <v>1929</v>
      </c>
      <c r="E591" s="30"/>
      <c r="F591" s="30"/>
      <c r="G591" s="30"/>
      <c r="H591" s="30"/>
      <c r="I591" s="30"/>
      <c r="J591" s="30"/>
      <c r="K591" s="31">
        <v>0.050</v>
      </c>
      <c r="L591" s="32">
        <f ca="1">ROUND(20.97,2)</f>
        <v>0</v>
      </c>
      <c r="M591" s="32">
        <f ca="1">ROUND(K591*L591,2)</f>
        <v>0</v>
      </c>
    </row>
    <row r="592" spans="1:13" ht="15.12" thickBot="1" customHeight="1">
      <c r="A592" s="8" t="s">
        <v>1930</v>
      </c>
      <c r="B592" s="8" t="s">
        <v>1931</v>
      </c>
      <c r="C592" s="8" t="s">
        <v>1932</v>
      </c>
      <c r="D592" s="30" t="s">
        <v>1933</v>
      </c>
      <c r="E592" s="30"/>
      <c r="F592" s="30"/>
      <c r="G592" s="30"/>
      <c r="H592" s="30"/>
      <c r="I592" s="30"/>
      <c r="J592" s="30"/>
      <c r="K592" s="31">
        <v>0.027</v>
      </c>
      <c r="L592" s="32">
        <f ca="1">ROUND(27.24,2)</f>
        <v>0</v>
      </c>
      <c r="M592" s="32">
        <f ca="1">ROUND(K592*L592,2)</f>
        <v>0</v>
      </c>
    </row>
    <row r="593" spans="1:13" ht="15.12" thickBot="1" customHeight="1">
      <c r="A593" s="8" t="s">
        <v>1934</v>
      </c>
      <c r="B593" s="8" t="s">
        <v>1935</v>
      </c>
      <c r="C593" s="8" t="s">
        <v>1936</v>
      </c>
      <c r="D593" s="30" t="s">
        <v>1937</v>
      </c>
      <c r="E593" s="30"/>
      <c r="F593" s="30"/>
      <c r="G593" s="30"/>
      <c r="H593" s="30"/>
      <c r="I593" s="30"/>
      <c r="J593" s="30"/>
      <c r="K593" s="31">
        <v>0.022</v>
      </c>
      <c r="L593" s="32">
        <f ca="1">ROUND(23.25,2)</f>
        <v>0</v>
      </c>
      <c r="M593" s="32">
        <f ca="1">ROUND(K593*L593,2)</f>
        <v>0</v>
      </c>
    </row>
    <row r="594" spans="1:13" ht="15.12" thickBot="1" customHeight="1">
      <c r="A594" s="8" t="s">
        <v>1938</v>
      </c>
      <c r="B594" s="8"/>
      <c r="C594" s="8" t="s">
        <v>1939</v>
      </c>
      <c r="D594" s="30" t="s">
        <v>1940</v>
      </c>
      <c r="E594" s="30"/>
      <c r="F594" s="30"/>
      <c r="G594" s="30"/>
      <c r="H594" s="30"/>
      <c r="I594" s="30"/>
      <c r="J594" s="30"/>
      <c r="K594" s="31">
        <v>2.000</v>
      </c>
      <c r="L594" s="32">
        <f ca="1">ROUND(8.89,2)</f>
        <v>0</v>
      </c>
      <c r="M594" s="32">
        <f ca="1">ROUND((K594*L594)/100,2)</f>
        <v>0</v>
      </c>
    </row>
    <row r="595" spans="1:13" ht="15.48" thickBot="1" customHeight="1">
      <c r="A595" s="34"/>
      <c r="B595" s="34"/>
      <c r="C595" s="34"/>
      <c r="D595" s="35" t="s">
        <v>1941</v>
      </c>
      <c r="E595" s="34"/>
      <c r="F595" s="34"/>
      <c r="G595" s="34"/>
      <c r="H595" s="34"/>
      <c r="I595" s="34"/>
      <c r="J595" s="34"/>
      <c r="K595" s="37">
        <v>45.700</v>
      </c>
      <c r="L595" s="38">
        <f ca="1">ROUND((M584+M585+M586+M587+M588+M589+M590+M591+M592+M593+M594)*(1+M2/100),2)</f>
        <v>0</v>
      </c>
      <c r="M595" s="38">
        <f ca="1">ROUND(K595*L595,2)</f>
        <v>0</v>
      </c>
    </row>
    <row r="596" spans="1:13" ht="15.48" thickBot="1" customHeight="1">
      <c r="A596" s="39" t="s">
        <v>1942</v>
      </c>
      <c r="B596" s="40" t="s">
        <v>1943</v>
      </c>
      <c r="C596" s="40" t="s">
        <v>1944</v>
      </c>
      <c r="D596" s="41" t="s">
        <v>1945</v>
      </c>
      <c r="E596" s="41"/>
      <c r="F596" s="41"/>
      <c r="G596" s="41"/>
      <c r="H596" s="41"/>
      <c r="I596" s="41"/>
      <c r="J596" s="41"/>
      <c r="K596" s="42">
        <f ca="1">ROUND(60.60,2)</f>
        <v>0</v>
      </c>
      <c r="L596" s="43">
        <f ca="1">L609</f>
        <v>0</v>
      </c>
      <c r="M596" s="43">
        <f ca="1">ROUND(K596*L596,2)</f>
        <v>0</v>
      </c>
    </row>
    <row r="597" spans="1:13" ht="86.04" thickBot="1" customHeight="1">
      <c r="A597" s="33"/>
      <c r="B597" s="33"/>
      <c r="C597" s="33"/>
      <c r="D597" s="30" t="s">
        <v>1946</v>
      </c>
      <c r="E597" s="30"/>
      <c r="F597" s="30"/>
      <c r="G597" s="30"/>
      <c r="H597" s="30"/>
      <c r="I597" s="30"/>
      <c r="J597" s="30"/>
      <c r="K597" s="30"/>
      <c r="L597" s="30"/>
      <c r="M597" s="30"/>
    </row>
    <row r="598" spans="1:13" ht="15.12" thickBot="1" customHeight="1">
      <c r="A598" s="8" t="s">
        <v>1947</v>
      </c>
      <c r="B598" s="8" t="s">
        <v>1948</v>
      </c>
      <c r="C598" s="8" t="s">
        <v>1949</v>
      </c>
      <c r="D598" s="30" t="s">
        <v>1950</v>
      </c>
      <c r="E598" s="30"/>
      <c r="F598" s="30"/>
      <c r="G598" s="30"/>
      <c r="H598" s="30"/>
      <c r="I598" s="30"/>
      <c r="J598" s="30"/>
      <c r="K598" s="31">
        <v>0.061</v>
      </c>
      <c r="L598" s="32">
        <f ca="1">ROUND(14.30,2)</f>
        <v>0</v>
      </c>
      <c r="M598" s="32">
        <f ca="1">ROUND(K598*L598,2)</f>
        <v>0</v>
      </c>
    </row>
    <row r="599" spans="1:13" ht="39.84" thickBot="1" customHeight="1">
      <c r="A599" s="8" t="s">
        <v>1951</v>
      </c>
      <c r="B599" s="8" t="s">
        <v>1952</v>
      </c>
      <c r="C599" s="8" t="s">
        <v>1953</v>
      </c>
      <c r="D599" s="30" t="s">
        <v>1954</v>
      </c>
      <c r="E599" s="30"/>
      <c r="F599" s="30"/>
      <c r="G599" s="30"/>
      <c r="H599" s="30"/>
      <c r="I599" s="30"/>
      <c r="J599" s="30"/>
      <c r="K599" s="31">
        <v>1.000</v>
      </c>
      <c r="L599" s="32">
        <f ca="1">ROUND(3.79,2)</f>
        <v>0</v>
      </c>
      <c r="M599" s="32">
        <f ca="1">ROUND(K599*L599,2)</f>
        <v>0</v>
      </c>
    </row>
    <row r="600" spans="1:13" ht="21.36" thickBot="1" customHeight="1">
      <c r="A600" s="8" t="s">
        <v>1955</v>
      </c>
      <c r="B600" s="8" t="s">
        <v>1956</v>
      </c>
      <c r="C600" s="8" t="s">
        <v>1957</v>
      </c>
      <c r="D600" s="30" t="s">
        <v>1958</v>
      </c>
      <c r="E600" s="30"/>
      <c r="F600" s="30"/>
      <c r="G600" s="30"/>
      <c r="H600" s="30"/>
      <c r="I600" s="30"/>
      <c r="J600" s="30"/>
      <c r="K600" s="31">
        <v>1.000</v>
      </c>
      <c r="L600" s="32">
        <f ca="1">ROUND(0.25,2)</f>
        <v>0</v>
      </c>
      <c r="M600" s="32">
        <f ca="1">ROUND(K600*L600,2)</f>
        <v>0</v>
      </c>
    </row>
    <row r="601" spans="1:13" ht="15.12" thickBot="1" customHeight="1">
      <c r="A601" s="8" t="s">
        <v>1959</v>
      </c>
      <c r="B601" s="8" t="s">
        <v>1960</v>
      </c>
      <c r="C601" s="8" t="s">
        <v>1961</v>
      </c>
      <c r="D601" s="30" t="s">
        <v>1962</v>
      </c>
      <c r="E601" s="30"/>
      <c r="F601" s="30"/>
      <c r="G601" s="30"/>
      <c r="H601" s="30"/>
      <c r="I601" s="30"/>
      <c r="J601" s="30"/>
      <c r="K601" s="31">
        <v>0.006</v>
      </c>
      <c r="L601" s="32">
        <f ca="1">ROUND(10.38,2)</f>
        <v>0</v>
      </c>
      <c r="M601" s="32">
        <f ca="1">ROUND(K601*L601,2)</f>
        <v>0</v>
      </c>
    </row>
    <row r="602" spans="1:13" ht="15.12" thickBot="1" customHeight="1">
      <c r="A602" s="8" t="s">
        <v>1963</v>
      </c>
      <c r="B602" s="8" t="s">
        <v>1964</v>
      </c>
      <c r="C602" s="8" t="s">
        <v>1965</v>
      </c>
      <c r="D602" s="30" t="s">
        <v>1966</v>
      </c>
      <c r="E602" s="30"/>
      <c r="F602" s="30"/>
      <c r="G602" s="30"/>
      <c r="H602" s="30"/>
      <c r="I602" s="30"/>
      <c r="J602" s="30"/>
      <c r="K602" s="31">
        <v>0.047</v>
      </c>
      <c r="L602" s="32">
        <f ca="1">ROUND(3.92,2)</f>
        <v>0</v>
      </c>
      <c r="M602" s="32">
        <f ca="1">ROUND(K602*L602,2)</f>
        <v>0</v>
      </c>
    </row>
    <row r="603" spans="1:13" ht="15.12" thickBot="1" customHeight="1">
      <c r="A603" s="8" t="s">
        <v>1967</v>
      </c>
      <c r="B603" s="8" t="s">
        <v>1968</v>
      </c>
      <c r="C603" s="8" t="s">
        <v>1969</v>
      </c>
      <c r="D603" s="30" t="s">
        <v>1970</v>
      </c>
      <c r="E603" s="30"/>
      <c r="F603" s="30"/>
      <c r="G603" s="30"/>
      <c r="H603" s="30"/>
      <c r="I603" s="30"/>
      <c r="J603" s="30"/>
      <c r="K603" s="31">
        <v>0.001</v>
      </c>
      <c r="L603" s="32">
        <f ca="1">ROUND(118.90,2)</f>
        <v>0</v>
      </c>
      <c r="M603" s="32">
        <f ca="1">ROUND(K603*L603,2)</f>
        <v>0</v>
      </c>
    </row>
    <row r="604" spans="1:13" ht="15.12" thickBot="1" customHeight="1">
      <c r="A604" s="8" t="s">
        <v>1971</v>
      </c>
      <c r="B604" s="8" t="s">
        <v>1972</v>
      </c>
      <c r="C604" s="8" t="s">
        <v>1973</v>
      </c>
      <c r="D604" s="30" t="s">
        <v>1974</v>
      </c>
      <c r="E604" s="30"/>
      <c r="F604" s="30"/>
      <c r="G604" s="30"/>
      <c r="H604" s="30"/>
      <c r="I604" s="30"/>
      <c r="J604" s="30"/>
      <c r="K604" s="31">
        <v>0.050</v>
      </c>
      <c r="L604" s="32">
        <f ca="1">ROUND(26.38,2)</f>
        <v>0</v>
      </c>
      <c r="M604" s="32">
        <f ca="1">ROUND(K604*L604,2)</f>
        <v>0</v>
      </c>
    </row>
    <row r="605" spans="1:13" ht="15.12" thickBot="1" customHeight="1">
      <c r="A605" s="8" t="s">
        <v>1975</v>
      </c>
      <c r="B605" s="8" t="s">
        <v>1976</v>
      </c>
      <c r="C605" s="8" t="s">
        <v>1977</v>
      </c>
      <c r="D605" s="30" t="s">
        <v>1978</v>
      </c>
      <c r="E605" s="30"/>
      <c r="F605" s="30"/>
      <c r="G605" s="30"/>
      <c r="H605" s="30"/>
      <c r="I605" s="30"/>
      <c r="J605" s="30"/>
      <c r="K605" s="31">
        <v>0.050</v>
      </c>
      <c r="L605" s="32">
        <f ca="1">ROUND(20.97,2)</f>
        <v>0</v>
      </c>
      <c r="M605" s="32">
        <f ca="1">ROUND(K605*L605,2)</f>
        <v>0</v>
      </c>
    </row>
    <row r="606" spans="1:13" ht="15.12" thickBot="1" customHeight="1">
      <c r="A606" s="8" t="s">
        <v>1979</v>
      </c>
      <c r="B606" s="8" t="s">
        <v>1980</v>
      </c>
      <c r="C606" s="8" t="s">
        <v>1981</v>
      </c>
      <c r="D606" s="30" t="s">
        <v>1982</v>
      </c>
      <c r="E606" s="30"/>
      <c r="F606" s="30"/>
      <c r="G606" s="30"/>
      <c r="H606" s="30"/>
      <c r="I606" s="30"/>
      <c r="J606" s="30"/>
      <c r="K606" s="31">
        <v>0.027</v>
      </c>
      <c r="L606" s="32">
        <f ca="1">ROUND(27.24,2)</f>
        <v>0</v>
      </c>
      <c r="M606" s="32">
        <f ca="1">ROUND(K606*L606,2)</f>
        <v>0</v>
      </c>
    </row>
    <row r="607" spans="1:13" ht="15.12" thickBot="1" customHeight="1">
      <c r="A607" s="8" t="s">
        <v>1983</v>
      </c>
      <c r="B607" s="8" t="s">
        <v>1984</v>
      </c>
      <c r="C607" s="8" t="s">
        <v>1985</v>
      </c>
      <c r="D607" s="30" t="s">
        <v>1986</v>
      </c>
      <c r="E607" s="30"/>
      <c r="F607" s="30"/>
      <c r="G607" s="30"/>
      <c r="H607" s="30"/>
      <c r="I607" s="30"/>
      <c r="J607" s="30"/>
      <c r="K607" s="31">
        <v>0.022</v>
      </c>
      <c r="L607" s="32">
        <f ca="1">ROUND(23.25,2)</f>
        <v>0</v>
      </c>
      <c r="M607" s="32">
        <f ca="1">ROUND(K607*L607,2)</f>
        <v>0</v>
      </c>
    </row>
    <row r="608" spans="1:13" ht="15.12" thickBot="1" customHeight="1">
      <c r="A608" s="8" t="s">
        <v>1987</v>
      </c>
      <c r="B608" s="8"/>
      <c r="C608" s="8" t="s">
        <v>1988</v>
      </c>
      <c r="D608" s="30" t="s">
        <v>1989</v>
      </c>
      <c r="E608" s="30"/>
      <c r="F608" s="30"/>
      <c r="G608" s="30"/>
      <c r="H608" s="30"/>
      <c r="I608" s="30"/>
      <c r="J608" s="30"/>
      <c r="K608" s="31">
        <v>2.000</v>
      </c>
      <c r="L608" s="32">
        <f ca="1">ROUND(8.89,2)</f>
        <v>0</v>
      </c>
      <c r="M608" s="32">
        <f ca="1">ROUND((K608*L608)/100,2)</f>
        <v>0</v>
      </c>
    </row>
    <row r="609" spans="1:13" ht="15.48" thickBot="1" customHeight="1">
      <c r="A609" s="34"/>
      <c r="B609" s="34"/>
      <c r="C609" s="34"/>
      <c r="D609" s="35" t="s">
        <v>1990</v>
      </c>
      <c r="E609" s="34"/>
      <c r="F609" s="34"/>
      <c r="G609" s="34"/>
      <c r="H609" s="34"/>
      <c r="I609" s="34"/>
      <c r="J609" s="34"/>
      <c r="K609" s="37">
        <v>60.600</v>
      </c>
      <c r="L609" s="38">
        <f ca="1">ROUND((M598+M599+M600+M601+M602+M603+M604+M605+M606+M607+M608)*(1+M2/100),2)</f>
        <v>0</v>
      </c>
      <c r="M609" s="38">
        <f ca="1">ROUND(K609*L609,2)</f>
        <v>0</v>
      </c>
    </row>
    <row r="610" spans="1:13" ht="15.48" thickBot="1" customHeight="1">
      <c r="A610" s="44"/>
      <c r="B610" s="44"/>
      <c r="C610" s="44"/>
      <c r="D610" s="45" t="s">
        <v>1991</v>
      </c>
      <c r="E610" s="46"/>
      <c r="F610" s="46"/>
      <c r="G610" s="46"/>
      <c r="H610" s="46"/>
      <c r="I610" s="46"/>
      <c r="J610" s="46"/>
      <c r="K610" s="46"/>
      <c r="L610" s="47">
        <f ca="1">M546+M553+M560+M568+M582+M596</f>
        <v>0</v>
      </c>
      <c r="M610" s="47">
        <f ca="1">ROUND(L610,2)</f>
        <v>0</v>
      </c>
    </row>
    <row r="611" spans="1:13" ht="15.48" thickBot="1" customHeight="1">
      <c r="A611" s="44"/>
      <c r="B611" s="44"/>
      <c r="C611" s="44"/>
      <c r="D611" s="66" t="s">
        <v>1992</v>
      </c>
      <c r="E611" s="67"/>
      <c r="F611" s="67"/>
      <c r="G611" s="67"/>
      <c r="H611" s="67"/>
      <c r="I611" s="67"/>
      <c r="J611" s="67"/>
      <c r="K611" s="67"/>
      <c r="L611" s="68">
        <f ca="1">M362+M538+M544+M610</f>
        <v>0</v>
      </c>
      <c r="M611" s="68">
        <f ca="1">ROUND(L611,2)</f>
        <v>0</v>
      </c>
    </row>
    <row r="612" spans="1:13" ht="15.48" thickBot="1" customHeight="1">
      <c r="A612" s="69" t="s">
        <v>1993</v>
      </c>
      <c r="B612" s="69" t="s">
        <v>1994</v>
      </c>
      <c r="C612" s="70"/>
      <c r="D612" s="71" t="s">
        <v>1995</v>
      </c>
      <c r="E612" s="71"/>
      <c r="F612" s="71"/>
      <c r="G612" s="71"/>
      <c r="H612" s="71"/>
      <c r="I612" s="71"/>
      <c r="J612" s="71"/>
      <c r="K612" s="70"/>
      <c r="L612" s="72">
        <f ca="1">L794</f>
        <v>0</v>
      </c>
      <c r="M612" s="72">
        <f ca="1">ROUND(L612,2)</f>
        <v>0</v>
      </c>
    </row>
    <row r="613" spans="1:13" ht="15.48" thickBot="1" customHeight="1">
      <c r="A613" s="26" t="s">
        <v>1996</v>
      </c>
      <c r="B613" s="26" t="s">
        <v>1997</v>
      </c>
      <c r="C613" s="27"/>
      <c r="D613" s="28" t="s">
        <v>1998</v>
      </c>
      <c r="E613" s="28"/>
      <c r="F613" s="28"/>
      <c r="G613" s="28"/>
      <c r="H613" s="28"/>
      <c r="I613" s="28"/>
      <c r="J613" s="28"/>
      <c r="K613" s="27"/>
      <c r="L613" s="29">
        <f ca="1">L654</f>
        <v>0</v>
      </c>
      <c r="M613" s="29">
        <f ca="1">ROUND(L613,2)</f>
        <v>0</v>
      </c>
    </row>
    <row r="614" spans="1:13" ht="15.48" thickBot="1" customHeight="1">
      <c r="A614" s="15" t="s">
        <v>1999</v>
      </c>
      <c r="B614" s="8" t="s">
        <v>2000</v>
      </c>
      <c r="C614" s="8" t="s">
        <v>2001</v>
      </c>
      <c r="D614" s="30" t="s">
        <v>2002</v>
      </c>
      <c r="E614" s="30"/>
      <c r="F614" s="30"/>
      <c r="G614" s="30"/>
      <c r="H614" s="30"/>
      <c r="I614" s="30"/>
      <c r="J614" s="30"/>
      <c r="K614" s="31">
        <f ca="1">ROUND(48.00,2)</f>
        <v>0</v>
      </c>
      <c r="L614" s="32">
        <f ca="1">L620</f>
        <v>0</v>
      </c>
      <c r="M614" s="32">
        <f ca="1">ROUND(K614*L614,2)</f>
        <v>0</v>
      </c>
    </row>
    <row r="615" spans="1:13" ht="39.84" thickBot="1" customHeight="1">
      <c r="A615" s="33"/>
      <c r="B615" s="33"/>
      <c r="C615" s="33"/>
      <c r="D615" s="30" t="s">
        <v>2003</v>
      </c>
      <c r="E615" s="30"/>
      <c r="F615" s="30"/>
      <c r="G615" s="30"/>
      <c r="H615" s="30"/>
      <c r="I615" s="30"/>
      <c r="J615" s="30"/>
      <c r="K615" s="30"/>
      <c r="L615" s="30"/>
      <c r="M615" s="30"/>
    </row>
    <row r="616" spans="1:13" ht="21.36" thickBot="1" customHeight="1">
      <c r="A616" s="8" t="s">
        <v>2004</v>
      </c>
      <c r="B616" s="8" t="s">
        <v>2005</v>
      </c>
      <c r="C616" s="8" t="s">
        <v>2006</v>
      </c>
      <c r="D616" s="30" t="s">
        <v>2007</v>
      </c>
      <c r="E616" s="30"/>
      <c r="F616" s="30"/>
      <c r="G616" s="30"/>
      <c r="H616" s="30"/>
      <c r="I616" s="30"/>
      <c r="J616" s="30"/>
      <c r="K616" s="31">
        <v>0.120</v>
      </c>
      <c r="L616" s="32">
        <f ca="1">ROUND(25.21,2)</f>
        <v>0</v>
      </c>
      <c r="M616" s="32">
        <f ca="1">ROUND(K616*L616,2)</f>
        <v>0</v>
      </c>
    </row>
    <row r="617" spans="1:13" ht="15.12" thickBot="1" customHeight="1">
      <c r="A617" s="8" t="s">
        <v>2008</v>
      </c>
      <c r="B617" s="8" t="s">
        <v>2009</v>
      </c>
      <c r="C617" s="8" t="s">
        <v>2010</v>
      </c>
      <c r="D617" s="30" t="s">
        <v>2011</v>
      </c>
      <c r="E617" s="30"/>
      <c r="F617" s="30"/>
      <c r="G617" s="30"/>
      <c r="H617" s="30"/>
      <c r="I617" s="30"/>
      <c r="J617" s="30"/>
      <c r="K617" s="31">
        <v>0.110</v>
      </c>
      <c r="L617" s="32">
        <f ca="1">ROUND(25.42,2)</f>
        <v>0</v>
      </c>
      <c r="M617" s="32">
        <f ca="1">ROUND(K617*L617,2)</f>
        <v>0</v>
      </c>
    </row>
    <row r="618" spans="1:13" ht="15.12" thickBot="1" customHeight="1">
      <c r="A618" s="8" t="s">
        <v>2012</v>
      </c>
      <c r="B618" s="8" t="s">
        <v>2013</v>
      </c>
      <c r="C618" s="8" t="s">
        <v>2014</v>
      </c>
      <c r="D618" s="30" t="s">
        <v>2015</v>
      </c>
      <c r="E618" s="30"/>
      <c r="F618" s="30"/>
      <c r="G618" s="30"/>
      <c r="H618" s="30"/>
      <c r="I618" s="30"/>
      <c r="J618" s="30"/>
      <c r="K618" s="31">
        <v>0.110</v>
      </c>
      <c r="L618" s="32">
        <f ca="1">ROUND(22.45,2)</f>
        <v>0</v>
      </c>
      <c r="M618" s="32">
        <f ca="1">ROUND(K618*L618,2)</f>
        <v>0</v>
      </c>
    </row>
    <row r="619" spans="1:13" ht="15.12" thickBot="1" customHeight="1">
      <c r="A619" s="8" t="s">
        <v>2016</v>
      </c>
      <c r="B619" s="8"/>
      <c r="C619" s="8" t="s">
        <v>2017</v>
      </c>
      <c r="D619" s="30" t="s">
        <v>2018</v>
      </c>
      <c r="E619" s="30"/>
      <c r="F619" s="30"/>
      <c r="G619" s="30"/>
      <c r="H619" s="30"/>
      <c r="I619" s="30"/>
      <c r="J619" s="30"/>
      <c r="K619" s="31">
        <v>2.000</v>
      </c>
      <c r="L619" s="32">
        <f ca="1">ROUND(8.30,2)</f>
        <v>0</v>
      </c>
      <c r="M619" s="32">
        <f ca="1">ROUND((K619*L619)/100,2)</f>
        <v>0</v>
      </c>
    </row>
    <row r="620" spans="1:13" ht="15.48" thickBot="1" customHeight="1">
      <c r="A620" s="34"/>
      <c r="B620" s="34"/>
      <c r="C620" s="34"/>
      <c r="D620" s="35" t="s">
        <v>2019</v>
      </c>
      <c r="E620" s="34"/>
      <c r="F620" s="34"/>
      <c r="G620" s="34"/>
      <c r="H620" s="34"/>
      <c r="I620" s="34"/>
      <c r="J620" s="34"/>
      <c r="K620" s="37">
        <v>48.000</v>
      </c>
      <c r="L620" s="38">
        <f ca="1">ROUND((M616+M617+M618+M619)*(1+M2/100),2)</f>
        <v>0</v>
      </c>
      <c r="M620" s="38">
        <f ca="1">ROUND(K620*L620,2)</f>
        <v>0</v>
      </c>
    </row>
    <row r="621" spans="1:13" ht="15.48" thickBot="1" customHeight="1">
      <c r="A621" s="39" t="s">
        <v>2020</v>
      </c>
      <c r="B621" s="40" t="s">
        <v>2021</v>
      </c>
      <c r="C621" s="40" t="s">
        <v>2022</v>
      </c>
      <c r="D621" s="41" t="s">
        <v>2023</v>
      </c>
      <c r="E621" s="41"/>
      <c r="F621" s="41"/>
      <c r="G621" s="41"/>
      <c r="H621" s="41"/>
      <c r="I621" s="41"/>
      <c r="J621" s="41"/>
      <c r="K621" s="42">
        <f ca="1">ROUND(5.00,2)</f>
        <v>0</v>
      </c>
      <c r="L621" s="43">
        <f ca="1">L627</f>
        <v>0</v>
      </c>
      <c r="M621" s="43">
        <f ca="1">ROUND(K621*L621,2)</f>
        <v>0</v>
      </c>
    </row>
    <row r="622" spans="1:13" ht="49.08" thickBot="1" customHeight="1">
      <c r="A622" s="33"/>
      <c r="B622" s="33"/>
      <c r="C622" s="33"/>
      <c r="D622" s="30" t="s">
        <v>2024</v>
      </c>
      <c r="E622" s="30"/>
      <c r="F622" s="30"/>
      <c r="G622" s="30"/>
      <c r="H622" s="30"/>
      <c r="I622" s="30"/>
      <c r="J622" s="30"/>
      <c r="K622" s="30"/>
      <c r="L622" s="30"/>
      <c r="M622" s="30"/>
    </row>
    <row r="623" spans="1:13" ht="15.12" thickBot="1" customHeight="1">
      <c r="A623" s="8" t="s">
        <v>2025</v>
      </c>
      <c r="B623" s="8" t="s">
        <v>2026</v>
      </c>
      <c r="C623" s="8" t="s">
        <v>2027</v>
      </c>
      <c r="D623" s="30" t="s">
        <v>2028</v>
      </c>
      <c r="E623" s="30"/>
      <c r="F623" s="30"/>
      <c r="G623" s="30"/>
      <c r="H623" s="30"/>
      <c r="I623" s="30"/>
      <c r="J623" s="30"/>
      <c r="K623" s="31">
        <v>0.684</v>
      </c>
      <c r="L623" s="32">
        <f ca="1">ROUND(15.83,2)</f>
        <v>0</v>
      </c>
      <c r="M623" s="32">
        <f ca="1">ROUND(K623*L623,2)</f>
        <v>0</v>
      </c>
    </row>
    <row r="624" spans="1:13" ht="15.12" thickBot="1" customHeight="1">
      <c r="A624" s="8" t="s">
        <v>2029</v>
      </c>
      <c r="B624" s="8" t="s">
        <v>2030</v>
      </c>
      <c r="C624" s="8" t="s">
        <v>2031</v>
      </c>
      <c r="D624" s="30" t="s">
        <v>2032</v>
      </c>
      <c r="E624" s="30"/>
      <c r="F624" s="30"/>
      <c r="G624" s="30"/>
      <c r="H624" s="30"/>
      <c r="I624" s="30"/>
      <c r="J624" s="30"/>
      <c r="K624" s="31">
        <v>0.164</v>
      </c>
      <c r="L624" s="32">
        <f ca="1">ROUND(25.42,2)</f>
        <v>0</v>
      </c>
      <c r="M624" s="32">
        <f ca="1">ROUND(K624*L624,2)</f>
        <v>0</v>
      </c>
    </row>
    <row r="625" spans="1:13" ht="15.12" thickBot="1" customHeight="1">
      <c r="A625" s="8" t="s">
        <v>2033</v>
      </c>
      <c r="B625" s="8" t="s">
        <v>2034</v>
      </c>
      <c r="C625" s="8" t="s">
        <v>2035</v>
      </c>
      <c r="D625" s="30" t="s">
        <v>2036</v>
      </c>
      <c r="E625" s="30"/>
      <c r="F625" s="30"/>
      <c r="G625" s="30"/>
      <c r="H625" s="30"/>
      <c r="I625" s="30"/>
      <c r="J625" s="30"/>
      <c r="K625" s="31">
        <v>0.164</v>
      </c>
      <c r="L625" s="32">
        <f ca="1">ROUND(22.45,2)</f>
        <v>0</v>
      </c>
      <c r="M625" s="32">
        <f ca="1">ROUND(K625*L625,2)</f>
        <v>0</v>
      </c>
    </row>
    <row r="626" spans="1:13" ht="15.12" thickBot="1" customHeight="1">
      <c r="A626" s="8" t="s">
        <v>2037</v>
      </c>
      <c r="B626" s="8"/>
      <c r="C626" s="8" t="s">
        <v>2038</v>
      </c>
      <c r="D626" s="30" t="s">
        <v>2039</v>
      </c>
      <c r="E626" s="30"/>
      <c r="F626" s="30"/>
      <c r="G626" s="30"/>
      <c r="H626" s="30"/>
      <c r="I626" s="30"/>
      <c r="J626" s="30"/>
      <c r="K626" s="31">
        <v>2.000</v>
      </c>
      <c r="L626" s="32">
        <f ca="1">ROUND(18.68,2)</f>
        <v>0</v>
      </c>
      <c r="M626" s="32">
        <f ca="1">ROUND((K626*L626)/100,2)</f>
        <v>0</v>
      </c>
    </row>
    <row r="627" spans="1:13" ht="15.48" thickBot="1" customHeight="1">
      <c r="A627" s="34"/>
      <c r="B627" s="34"/>
      <c r="C627" s="34"/>
      <c r="D627" s="35" t="s">
        <v>2040</v>
      </c>
      <c r="E627" s="34"/>
      <c r="F627" s="34"/>
      <c r="G627" s="34"/>
      <c r="H627" s="34"/>
      <c r="I627" s="34"/>
      <c r="J627" s="34"/>
      <c r="K627" s="37">
        <v>5.000</v>
      </c>
      <c r="L627" s="38">
        <f ca="1">ROUND((M623+M624+M625+M626)*(1+M2/100),2)</f>
        <v>0</v>
      </c>
      <c r="M627" s="38">
        <f ca="1">ROUND(K627*L627,2)</f>
        <v>0</v>
      </c>
    </row>
    <row r="628" spans="1:13" ht="15.48" thickBot="1" customHeight="1">
      <c r="A628" s="39" t="s">
        <v>2041</v>
      </c>
      <c r="B628" s="40" t="s">
        <v>2042</v>
      </c>
      <c r="C628" s="40" t="s">
        <v>2043</v>
      </c>
      <c r="D628" s="41" t="s">
        <v>2044</v>
      </c>
      <c r="E628" s="41"/>
      <c r="F628" s="41"/>
      <c r="G628" s="41"/>
      <c r="H628" s="41"/>
      <c r="I628" s="41"/>
      <c r="J628" s="41"/>
      <c r="K628" s="42">
        <f ca="1">ROUND(89.00,2)</f>
        <v>0</v>
      </c>
      <c r="L628" s="43">
        <f ca="1">L635</f>
        <v>0</v>
      </c>
      <c r="M628" s="43">
        <f ca="1">ROUND(K628*L628,2)</f>
        <v>0</v>
      </c>
    </row>
    <row r="629" spans="1:13" ht="49.08" thickBot="1" customHeight="1">
      <c r="A629" s="33"/>
      <c r="B629" s="33"/>
      <c r="C629" s="33"/>
      <c r="D629" s="30" t="s">
        <v>2045</v>
      </c>
      <c r="E629" s="30"/>
      <c r="F629" s="30"/>
      <c r="G629" s="30"/>
      <c r="H629" s="30"/>
      <c r="I629" s="30"/>
      <c r="J629" s="30"/>
      <c r="K629" s="30"/>
      <c r="L629" s="30"/>
      <c r="M629" s="30"/>
    </row>
    <row r="630" spans="1:13" ht="15.12" thickBot="1" customHeight="1">
      <c r="A630" s="8" t="s">
        <v>2046</v>
      </c>
      <c r="B630" s="8" t="s">
        <v>2047</v>
      </c>
      <c r="C630" s="8" t="s">
        <v>2048</v>
      </c>
      <c r="D630" s="30" t="s">
        <v>2049</v>
      </c>
      <c r="E630" s="30"/>
      <c r="F630" s="30"/>
      <c r="G630" s="30"/>
      <c r="H630" s="30"/>
      <c r="I630" s="30"/>
      <c r="J630" s="30"/>
      <c r="K630" s="31">
        <v>0.057</v>
      </c>
      <c r="L630" s="32">
        <f ca="1">ROUND(15.83,2)</f>
        <v>0</v>
      </c>
      <c r="M630" s="32">
        <f ca="1">ROUND(K630*L630,2)</f>
        <v>0</v>
      </c>
    </row>
    <row r="631" spans="1:13" ht="15.12" thickBot="1" customHeight="1">
      <c r="A631" s="8" t="s">
        <v>2050</v>
      </c>
      <c r="B631" s="8" t="s">
        <v>2051</v>
      </c>
      <c r="C631" s="8" t="s">
        <v>2052</v>
      </c>
      <c r="D631" s="30" t="s">
        <v>2053</v>
      </c>
      <c r="E631" s="30"/>
      <c r="F631" s="30"/>
      <c r="G631" s="30"/>
      <c r="H631" s="30"/>
      <c r="I631" s="30"/>
      <c r="J631" s="30"/>
      <c r="K631" s="31">
        <v>2.000</v>
      </c>
      <c r="L631" s="32">
        <f ca="1">ROUND(0.10,2)</f>
        <v>0</v>
      </c>
      <c r="M631" s="32">
        <f ca="1">ROUND(K631*L631,2)</f>
        <v>0</v>
      </c>
    </row>
    <row r="632" spans="1:13" ht="15.12" thickBot="1" customHeight="1">
      <c r="A632" s="8" t="s">
        <v>2054</v>
      </c>
      <c r="B632" s="8" t="s">
        <v>2055</v>
      </c>
      <c r="C632" s="8" t="s">
        <v>2056</v>
      </c>
      <c r="D632" s="30" t="s">
        <v>2057</v>
      </c>
      <c r="E632" s="30"/>
      <c r="F632" s="30"/>
      <c r="G632" s="30"/>
      <c r="H632" s="30"/>
      <c r="I632" s="30"/>
      <c r="J632" s="30"/>
      <c r="K632" s="31">
        <v>0.055</v>
      </c>
      <c r="L632" s="32">
        <f ca="1">ROUND(25.42,2)</f>
        <v>0</v>
      </c>
      <c r="M632" s="32">
        <f ca="1">ROUND(K632*L632,2)</f>
        <v>0</v>
      </c>
    </row>
    <row r="633" spans="1:13" ht="15.12" thickBot="1" customHeight="1">
      <c r="A633" s="8" t="s">
        <v>2058</v>
      </c>
      <c r="B633" s="8" t="s">
        <v>2059</v>
      </c>
      <c r="C633" s="8" t="s">
        <v>2060</v>
      </c>
      <c r="D633" s="30" t="s">
        <v>2061</v>
      </c>
      <c r="E633" s="30"/>
      <c r="F633" s="30"/>
      <c r="G633" s="30"/>
      <c r="H633" s="30"/>
      <c r="I633" s="30"/>
      <c r="J633" s="30"/>
      <c r="K633" s="31">
        <v>0.055</v>
      </c>
      <c r="L633" s="32">
        <f ca="1">ROUND(22.45,2)</f>
        <v>0</v>
      </c>
      <c r="M633" s="32">
        <f ca="1">ROUND(K633*L633,2)</f>
        <v>0</v>
      </c>
    </row>
    <row r="634" spans="1:13" ht="15.12" thickBot="1" customHeight="1">
      <c r="A634" s="8" t="s">
        <v>2062</v>
      </c>
      <c r="B634" s="8"/>
      <c r="C634" s="8" t="s">
        <v>2063</v>
      </c>
      <c r="D634" s="30" t="s">
        <v>2064</v>
      </c>
      <c r="E634" s="30"/>
      <c r="F634" s="30"/>
      <c r="G634" s="30"/>
      <c r="H634" s="30"/>
      <c r="I634" s="30"/>
      <c r="J634" s="30"/>
      <c r="K634" s="31">
        <v>2.000</v>
      </c>
      <c r="L634" s="32">
        <f ca="1">ROUND(3.73,2)</f>
        <v>0</v>
      </c>
      <c r="M634" s="32">
        <f ca="1">ROUND((K634*L634)/100,2)</f>
        <v>0</v>
      </c>
    </row>
    <row r="635" spans="1:13" ht="15.48" thickBot="1" customHeight="1">
      <c r="A635" s="34"/>
      <c r="B635" s="34"/>
      <c r="C635" s="34"/>
      <c r="D635" s="35" t="s">
        <v>2065</v>
      </c>
      <c r="E635" s="34"/>
      <c r="F635" s="34"/>
      <c r="G635" s="34"/>
      <c r="H635" s="34"/>
      <c r="I635" s="34"/>
      <c r="J635" s="34"/>
      <c r="K635" s="37">
        <v>89.000</v>
      </c>
      <c r="L635" s="38">
        <f ca="1">ROUND((M630+M631+M632+M633+M634)*(1+M2/100),2)</f>
        <v>0</v>
      </c>
      <c r="M635" s="38">
        <f ca="1">ROUND(K635*L635,2)</f>
        <v>0</v>
      </c>
    </row>
    <row r="636" spans="1:13" ht="15.48" thickBot="1" customHeight="1">
      <c r="A636" s="39" t="s">
        <v>2066</v>
      </c>
      <c r="B636" s="40" t="s">
        <v>2067</v>
      </c>
      <c r="C636" s="40" t="s">
        <v>2068</v>
      </c>
      <c r="D636" s="41" t="s">
        <v>2069</v>
      </c>
      <c r="E636" s="41"/>
      <c r="F636" s="41"/>
      <c r="G636" s="41"/>
      <c r="H636" s="41"/>
      <c r="I636" s="41"/>
      <c r="J636" s="41"/>
      <c r="K636" s="42">
        <f ca="1">ROUND(2.00,2)</f>
        <v>0</v>
      </c>
      <c r="L636" s="43">
        <f ca="1">L644</f>
        <v>0</v>
      </c>
      <c r="M636" s="43">
        <f ca="1">ROUND(K636*L636,2)</f>
        <v>0</v>
      </c>
    </row>
    <row r="637" spans="1:13" ht="49.08" thickBot="1" customHeight="1">
      <c r="A637" s="33"/>
      <c r="B637" s="33"/>
      <c r="C637" s="33"/>
      <c r="D637" s="30" t="s">
        <v>2070</v>
      </c>
      <c r="E637" s="30"/>
      <c r="F637" s="30"/>
      <c r="G637" s="30"/>
      <c r="H637" s="30"/>
      <c r="I637" s="30"/>
      <c r="J637" s="30"/>
      <c r="K637" s="30"/>
      <c r="L637" s="30"/>
      <c r="M637" s="30"/>
    </row>
    <row r="638" spans="1:13" ht="15.12" thickBot="1" customHeight="1">
      <c r="A638" s="8" t="s">
        <v>2071</v>
      </c>
      <c r="B638" s="8" t="s">
        <v>2072</v>
      </c>
      <c r="C638" s="8" t="s">
        <v>2073</v>
      </c>
      <c r="D638" s="30" t="s">
        <v>2074</v>
      </c>
      <c r="E638" s="30"/>
      <c r="F638" s="30"/>
      <c r="G638" s="30"/>
      <c r="H638" s="30"/>
      <c r="I638" s="30"/>
      <c r="J638" s="30"/>
      <c r="K638" s="31">
        <v>1.000</v>
      </c>
      <c r="L638" s="32">
        <f ca="1">ROUND(195.32,2)</f>
        <v>0</v>
      </c>
      <c r="M638" s="32">
        <f ca="1">ROUND(K638*L638,2)</f>
        <v>0</v>
      </c>
    </row>
    <row r="639" spans="1:13" ht="21.36" thickBot="1" customHeight="1">
      <c r="A639" s="8" t="s">
        <v>2075</v>
      </c>
      <c r="B639" s="8" t="s">
        <v>2076</v>
      </c>
      <c r="C639" s="8" t="s">
        <v>2077</v>
      </c>
      <c r="D639" s="30" t="s">
        <v>2078</v>
      </c>
      <c r="E639" s="30"/>
      <c r="F639" s="30"/>
      <c r="G639" s="30"/>
      <c r="H639" s="30"/>
      <c r="I639" s="30"/>
      <c r="J639" s="30"/>
      <c r="K639" s="31">
        <v>1.000</v>
      </c>
      <c r="L639" s="32">
        <f ca="1">ROUND(5.88,2)</f>
        <v>0</v>
      </c>
      <c r="M639" s="32">
        <f ca="1">ROUND(K639*L639,2)</f>
        <v>0</v>
      </c>
    </row>
    <row r="640" spans="1:13" ht="24.36" thickBot="1" customHeight="1">
      <c r="A640" s="8" t="s">
        <v>2079</v>
      </c>
      <c r="B640" s="8" t="s">
        <v>2080</v>
      </c>
      <c r="C640" s="8" t="s">
        <v>2081</v>
      </c>
      <c r="D640" s="30" t="s">
        <v>2082</v>
      </c>
      <c r="E640" s="30"/>
      <c r="F640" s="30"/>
      <c r="G640" s="30"/>
      <c r="H640" s="30"/>
      <c r="I640" s="30"/>
      <c r="J640" s="30"/>
      <c r="K640" s="31">
        <v>0.100</v>
      </c>
      <c r="L640" s="32">
        <f ca="1">ROUND(81.80,2)</f>
        <v>0</v>
      </c>
      <c r="M640" s="32">
        <f ca="1">ROUND(K640*L640,2)</f>
        <v>0</v>
      </c>
    </row>
    <row r="641" spans="1:13" ht="15.12" thickBot="1" customHeight="1">
      <c r="A641" s="8" t="s">
        <v>2083</v>
      </c>
      <c r="B641" s="8" t="s">
        <v>2084</v>
      </c>
      <c r="C641" s="8" t="s">
        <v>2085</v>
      </c>
      <c r="D641" s="30" t="s">
        <v>2086</v>
      </c>
      <c r="E641" s="30"/>
      <c r="F641" s="30"/>
      <c r="G641" s="30"/>
      <c r="H641" s="30"/>
      <c r="I641" s="30"/>
      <c r="J641" s="30"/>
      <c r="K641" s="31">
        <v>0.439</v>
      </c>
      <c r="L641" s="32">
        <f ca="1">ROUND(25.42,2)</f>
        <v>0</v>
      </c>
      <c r="M641" s="32">
        <f ca="1">ROUND(K641*L641,2)</f>
        <v>0</v>
      </c>
    </row>
    <row r="642" spans="1:13" ht="15.12" thickBot="1" customHeight="1">
      <c r="A642" s="8" t="s">
        <v>2087</v>
      </c>
      <c r="B642" s="8" t="s">
        <v>2088</v>
      </c>
      <c r="C642" s="8" t="s">
        <v>2089</v>
      </c>
      <c r="D642" s="30" t="s">
        <v>2090</v>
      </c>
      <c r="E642" s="30"/>
      <c r="F642" s="30"/>
      <c r="G642" s="30"/>
      <c r="H642" s="30"/>
      <c r="I642" s="30"/>
      <c r="J642" s="30"/>
      <c r="K642" s="31">
        <v>0.439</v>
      </c>
      <c r="L642" s="32">
        <f ca="1">ROUND(22.45,2)</f>
        <v>0</v>
      </c>
      <c r="M642" s="32">
        <f ca="1">ROUND(K642*L642,2)</f>
        <v>0</v>
      </c>
    </row>
    <row r="643" spans="1:13" ht="15.12" thickBot="1" customHeight="1">
      <c r="A643" s="8" t="s">
        <v>2091</v>
      </c>
      <c r="B643" s="8"/>
      <c r="C643" s="8" t="s">
        <v>2092</v>
      </c>
      <c r="D643" s="30" t="s">
        <v>2093</v>
      </c>
      <c r="E643" s="30"/>
      <c r="F643" s="30"/>
      <c r="G643" s="30"/>
      <c r="H643" s="30"/>
      <c r="I643" s="30"/>
      <c r="J643" s="30"/>
      <c r="K643" s="31">
        <v>2.000</v>
      </c>
      <c r="L643" s="32">
        <f ca="1">ROUND(230.40,2)</f>
        <v>0</v>
      </c>
      <c r="M643" s="32">
        <f ca="1">ROUND((K643*L643)/100,2)</f>
        <v>0</v>
      </c>
    </row>
    <row r="644" spans="1:13" ht="15.48" thickBot="1" customHeight="1">
      <c r="A644" s="34"/>
      <c r="B644" s="34"/>
      <c r="C644" s="34"/>
      <c r="D644" s="35" t="s">
        <v>2094</v>
      </c>
      <c r="E644" s="34"/>
      <c r="F644" s="34"/>
      <c r="G644" s="34"/>
      <c r="H644" s="34"/>
      <c r="I644" s="34"/>
      <c r="J644" s="34"/>
      <c r="K644" s="37">
        <v>2.000</v>
      </c>
      <c r="L644" s="38">
        <f ca="1">ROUND((M638+M639+M640+M641+M642+M643)*(1+M2/100),2)</f>
        <v>0</v>
      </c>
      <c r="M644" s="38">
        <f ca="1">ROUND(K644*L644,2)</f>
        <v>0</v>
      </c>
    </row>
    <row r="645" spans="1:13" ht="15.48" thickBot="1" customHeight="1">
      <c r="A645" s="39" t="s">
        <v>2095</v>
      </c>
      <c r="B645" s="40" t="s">
        <v>2096</v>
      </c>
      <c r="C645" s="40" t="s">
        <v>2097</v>
      </c>
      <c r="D645" s="41" t="s">
        <v>2098</v>
      </c>
      <c r="E645" s="41"/>
      <c r="F645" s="41"/>
      <c r="G645" s="41"/>
      <c r="H645" s="41"/>
      <c r="I645" s="41"/>
      <c r="J645" s="41"/>
      <c r="K645" s="42">
        <f ca="1">ROUND(1.00,2)</f>
        <v>0</v>
      </c>
      <c r="L645" s="43">
        <f ca="1">L653</f>
        <v>0</v>
      </c>
      <c r="M645" s="43">
        <f ca="1">ROUND(K645*L645,2)</f>
        <v>0</v>
      </c>
    </row>
    <row r="646" spans="1:13" ht="30.60" thickBot="1" customHeight="1">
      <c r="A646" s="33"/>
      <c r="B646" s="33"/>
      <c r="C646" s="33"/>
      <c r="D646" s="30" t="s">
        <v>2099</v>
      </c>
      <c r="E646" s="30"/>
      <c r="F646" s="30"/>
      <c r="G646" s="30"/>
      <c r="H646" s="30"/>
      <c r="I646" s="30"/>
      <c r="J646" s="30"/>
      <c r="K646" s="30"/>
      <c r="L646" s="30"/>
      <c r="M646" s="30"/>
    </row>
    <row r="647" spans="1:13" ht="21.36" thickBot="1" customHeight="1">
      <c r="A647" s="8" t="s">
        <v>2100</v>
      </c>
      <c r="B647" s="8" t="s">
        <v>2101</v>
      </c>
      <c r="C647" s="8" t="s">
        <v>2102</v>
      </c>
      <c r="D647" s="30" t="s">
        <v>2103</v>
      </c>
      <c r="E647" s="30"/>
      <c r="F647" s="30"/>
      <c r="G647" s="30"/>
      <c r="H647" s="30"/>
      <c r="I647" s="30"/>
      <c r="J647" s="30"/>
      <c r="K647" s="31">
        <v>1.000</v>
      </c>
      <c r="L647" s="32">
        <f ca="1">ROUND(410.00,2)</f>
        <v>0</v>
      </c>
      <c r="M647" s="32">
        <f ca="1">ROUND(K647*L647,2)</f>
        <v>0</v>
      </c>
    </row>
    <row r="648" spans="1:13" ht="21.36" thickBot="1" customHeight="1">
      <c r="A648" s="8" t="s">
        <v>2104</v>
      </c>
      <c r="B648" s="8" t="s">
        <v>2105</v>
      </c>
      <c r="C648" s="8" t="s">
        <v>2106</v>
      </c>
      <c r="D648" s="30" t="s">
        <v>2107</v>
      </c>
      <c r="E648" s="30"/>
      <c r="F648" s="30"/>
      <c r="G648" s="30"/>
      <c r="H648" s="30"/>
      <c r="I648" s="30"/>
      <c r="J648" s="30"/>
      <c r="K648" s="31">
        <v>1.000</v>
      </c>
      <c r="L648" s="32">
        <f ca="1">ROUND(5.88,2)</f>
        <v>0</v>
      </c>
      <c r="M648" s="32">
        <f ca="1">ROUND(K648*L648,2)</f>
        <v>0</v>
      </c>
    </row>
    <row r="649" spans="1:13" ht="24.36" thickBot="1" customHeight="1">
      <c r="A649" s="8" t="s">
        <v>2108</v>
      </c>
      <c r="B649" s="8" t="s">
        <v>2109</v>
      </c>
      <c r="C649" s="8" t="s">
        <v>2110</v>
      </c>
      <c r="D649" s="30" t="s">
        <v>2111</v>
      </c>
      <c r="E649" s="30"/>
      <c r="F649" s="30"/>
      <c r="G649" s="30"/>
      <c r="H649" s="30"/>
      <c r="I649" s="30"/>
      <c r="J649" s="30"/>
      <c r="K649" s="31">
        <v>0.100</v>
      </c>
      <c r="L649" s="32">
        <f ca="1">ROUND(81.80,2)</f>
        <v>0</v>
      </c>
      <c r="M649" s="32">
        <f ca="1">ROUND(K649*L649,2)</f>
        <v>0</v>
      </c>
    </row>
    <row r="650" spans="1:13" ht="15.12" thickBot="1" customHeight="1">
      <c r="A650" s="8" t="s">
        <v>2112</v>
      </c>
      <c r="B650" s="8" t="s">
        <v>2113</v>
      </c>
      <c r="C650" s="8" t="s">
        <v>2114</v>
      </c>
      <c r="D650" s="30" t="s">
        <v>2115</v>
      </c>
      <c r="E650" s="30"/>
      <c r="F650" s="30"/>
      <c r="G650" s="30"/>
      <c r="H650" s="30"/>
      <c r="I650" s="30"/>
      <c r="J650" s="30"/>
      <c r="K650" s="31">
        <v>0.439</v>
      </c>
      <c r="L650" s="32">
        <f ca="1">ROUND(25.42,2)</f>
        <v>0</v>
      </c>
      <c r="M650" s="32">
        <f ca="1">ROUND(K650*L650,2)</f>
        <v>0</v>
      </c>
    </row>
    <row r="651" spans="1:13" ht="15.12" thickBot="1" customHeight="1">
      <c r="A651" s="8" t="s">
        <v>2116</v>
      </c>
      <c r="B651" s="8" t="s">
        <v>2117</v>
      </c>
      <c r="C651" s="8" t="s">
        <v>2118</v>
      </c>
      <c r="D651" s="30" t="s">
        <v>2119</v>
      </c>
      <c r="E651" s="30"/>
      <c r="F651" s="30"/>
      <c r="G651" s="30"/>
      <c r="H651" s="30"/>
      <c r="I651" s="30"/>
      <c r="J651" s="30"/>
      <c r="K651" s="31">
        <v>0.439</v>
      </c>
      <c r="L651" s="32">
        <f ca="1">ROUND(22.45,2)</f>
        <v>0</v>
      </c>
      <c r="M651" s="32">
        <f ca="1">ROUND(K651*L651,2)</f>
        <v>0</v>
      </c>
    </row>
    <row r="652" spans="1:13" ht="15.12" thickBot="1" customHeight="1">
      <c r="A652" s="8" t="s">
        <v>2120</v>
      </c>
      <c r="B652" s="8"/>
      <c r="C652" s="8" t="s">
        <v>2121</v>
      </c>
      <c r="D652" s="30" t="s">
        <v>2122</v>
      </c>
      <c r="E652" s="30"/>
      <c r="F652" s="30"/>
      <c r="G652" s="30"/>
      <c r="H652" s="30"/>
      <c r="I652" s="30"/>
      <c r="J652" s="30"/>
      <c r="K652" s="31">
        <v>2.000</v>
      </c>
      <c r="L652" s="32">
        <f ca="1">ROUND(445.08,2)</f>
        <v>0</v>
      </c>
      <c r="M652" s="32">
        <f ca="1">ROUND((K652*L652)/100,2)</f>
        <v>0</v>
      </c>
    </row>
    <row r="653" spans="1:13" ht="15.48" thickBot="1" customHeight="1">
      <c r="A653" s="34"/>
      <c r="B653" s="34"/>
      <c r="C653" s="34"/>
      <c r="D653" s="35" t="s">
        <v>2123</v>
      </c>
      <c r="E653" s="34"/>
      <c r="F653" s="34"/>
      <c r="G653" s="34"/>
      <c r="H653" s="34"/>
      <c r="I653" s="34"/>
      <c r="J653" s="34"/>
      <c r="K653" s="37">
        <v>1.000</v>
      </c>
      <c r="L653" s="38">
        <f ca="1">ROUND((M647+M648+M649+M650+M651+M652)*(1+M2/100),2)</f>
        <v>0</v>
      </c>
      <c r="M653" s="38">
        <f ca="1">ROUND(K653*L653,2)</f>
        <v>0</v>
      </c>
    </row>
    <row r="654" spans="1:13" ht="15.48" thickBot="1" customHeight="1">
      <c r="A654" s="44"/>
      <c r="B654" s="44"/>
      <c r="C654" s="44"/>
      <c r="D654" s="45" t="s">
        <v>2124</v>
      </c>
      <c r="E654" s="46"/>
      <c r="F654" s="46"/>
      <c r="G654" s="46"/>
      <c r="H654" s="46"/>
      <c r="I654" s="46"/>
      <c r="J654" s="46"/>
      <c r="K654" s="46"/>
      <c r="L654" s="47">
        <f ca="1">M614+M621+M628+M636+M645</f>
        <v>0</v>
      </c>
      <c r="M654" s="47">
        <f ca="1">ROUND(L654,2)</f>
        <v>0</v>
      </c>
    </row>
    <row r="655" spans="1:13" ht="15.48" thickBot="1" customHeight="1">
      <c r="A655" s="48" t="s">
        <v>2125</v>
      </c>
      <c r="B655" s="48" t="s">
        <v>2126</v>
      </c>
      <c r="C655" s="49"/>
      <c r="D655" s="50" t="s">
        <v>2127</v>
      </c>
      <c r="E655" s="50"/>
      <c r="F655" s="50"/>
      <c r="G655" s="50"/>
      <c r="H655" s="50"/>
      <c r="I655" s="50"/>
      <c r="J655" s="50"/>
      <c r="K655" s="49"/>
      <c r="L655" s="51">
        <f ca="1">L664</f>
        <v>0</v>
      </c>
      <c r="M655" s="51">
        <f ca="1">ROUND(L655,2)</f>
        <v>0</v>
      </c>
    </row>
    <row r="656" spans="1:13" ht="15.48" thickBot="1" customHeight="1">
      <c r="A656" s="15" t="s">
        <v>2128</v>
      </c>
      <c r="B656" s="8" t="s">
        <v>2129</v>
      </c>
      <c r="C656" s="8" t="s">
        <v>2130</v>
      </c>
      <c r="D656" s="30" t="s">
        <v>2131</v>
      </c>
      <c r="E656" s="30"/>
      <c r="F656" s="30"/>
      <c r="G656" s="30"/>
      <c r="H656" s="30"/>
      <c r="I656" s="30"/>
      <c r="J656" s="30"/>
      <c r="K656" s="31">
        <f ca="1">ROUND(1.00,2)</f>
        <v>0</v>
      </c>
      <c r="L656" s="32">
        <f ca="1">L663</f>
        <v>0</v>
      </c>
      <c r="M656" s="32">
        <f ca="1">ROUND(K656*L656,2)</f>
        <v>0</v>
      </c>
    </row>
    <row r="657" spans="1:13" ht="30.60" thickBot="1" customHeight="1">
      <c r="A657" s="33"/>
      <c r="B657" s="33"/>
      <c r="C657" s="33"/>
      <c r="D657" s="30" t="s">
        <v>2132</v>
      </c>
      <c r="E657" s="30"/>
      <c r="F657" s="30"/>
      <c r="G657" s="30"/>
      <c r="H657" s="30"/>
      <c r="I657" s="30"/>
      <c r="J657" s="30"/>
      <c r="K657" s="30"/>
      <c r="L657" s="30"/>
      <c r="M657" s="30"/>
    </row>
    <row r="658" spans="1:13" ht="39.84" thickBot="1" customHeight="1">
      <c r="A658" s="8" t="s">
        <v>2133</v>
      </c>
      <c r="B658" s="8" t="s">
        <v>2134</v>
      </c>
      <c r="C658" s="8" t="s">
        <v>2135</v>
      </c>
      <c r="D658" s="30" t="s">
        <v>2136</v>
      </c>
      <c r="E658" s="30"/>
      <c r="F658" s="30"/>
      <c r="G658" s="30"/>
      <c r="H658" s="30"/>
      <c r="I658" s="30"/>
      <c r="J658" s="30"/>
      <c r="K658" s="31">
        <v>1.000</v>
      </c>
      <c r="L658" s="32">
        <f ca="1">ROUND(636.30,2)</f>
        <v>0</v>
      </c>
      <c r="M658" s="32">
        <f ca="1">ROUND(K658*L658,2)</f>
        <v>0</v>
      </c>
    </row>
    <row r="659" spans="1:13" ht="15.12" thickBot="1" customHeight="1">
      <c r="A659" s="8" t="s">
        <v>2137</v>
      </c>
      <c r="B659" s="8" t="s">
        <v>2138</v>
      </c>
      <c r="C659" s="8" t="s">
        <v>2139</v>
      </c>
      <c r="D659" s="30" t="s">
        <v>2140</v>
      </c>
      <c r="E659" s="30"/>
      <c r="F659" s="30"/>
      <c r="G659" s="30"/>
      <c r="H659" s="30"/>
      <c r="I659" s="30"/>
      <c r="J659" s="30"/>
      <c r="K659" s="31">
        <v>1.000</v>
      </c>
      <c r="L659" s="32">
        <f ca="1">ROUND(0.50,2)</f>
        <v>0</v>
      </c>
      <c r="M659" s="32">
        <f ca="1">ROUND(K659*L659,2)</f>
        <v>0</v>
      </c>
    </row>
    <row r="660" spans="1:13" ht="15.12" thickBot="1" customHeight="1">
      <c r="A660" s="8" t="s">
        <v>2141</v>
      </c>
      <c r="B660" s="8" t="s">
        <v>2142</v>
      </c>
      <c r="C660" s="8" t="s">
        <v>2143</v>
      </c>
      <c r="D660" s="30" t="s">
        <v>2144</v>
      </c>
      <c r="E660" s="30"/>
      <c r="F660" s="30"/>
      <c r="G660" s="30"/>
      <c r="H660" s="30"/>
      <c r="I660" s="30"/>
      <c r="J660" s="30"/>
      <c r="K660" s="31">
        <v>0.250</v>
      </c>
      <c r="L660" s="32">
        <f ca="1">ROUND(27.24,2)</f>
        <v>0</v>
      </c>
      <c r="M660" s="32">
        <f ca="1">ROUND(K660*L660,2)</f>
        <v>0</v>
      </c>
    </row>
    <row r="661" spans="1:13" ht="15.12" thickBot="1" customHeight="1">
      <c r="A661" s="8" t="s">
        <v>2145</v>
      </c>
      <c r="B661" s="8" t="s">
        <v>2146</v>
      </c>
      <c r="C661" s="8" t="s">
        <v>2147</v>
      </c>
      <c r="D661" s="30" t="s">
        <v>2148</v>
      </c>
      <c r="E661" s="30"/>
      <c r="F661" s="30"/>
      <c r="G661" s="30"/>
      <c r="H661" s="30"/>
      <c r="I661" s="30"/>
      <c r="J661" s="30"/>
      <c r="K661" s="31">
        <v>0.250</v>
      </c>
      <c r="L661" s="32">
        <f ca="1">ROUND(23.25,2)</f>
        <v>0</v>
      </c>
      <c r="M661" s="32">
        <f ca="1">ROUND(K661*L661,2)</f>
        <v>0</v>
      </c>
    </row>
    <row r="662" spans="1:13" ht="15.12" thickBot="1" customHeight="1">
      <c r="A662" s="8" t="s">
        <v>2149</v>
      </c>
      <c r="B662" s="8"/>
      <c r="C662" s="8" t="s">
        <v>2150</v>
      </c>
      <c r="D662" s="30" t="s">
        <v>2151</v>
      </c>
      <c r="E662" s="30"/>
      <c r="F662" s="30"/>
      <c r="G662" s="30"/>
      <c r="H662" s="30"/>
      <c r="I662" s="30"/>
      <c r="J662" s="30"/>
      <c r="K662" s="31">
        <v>2.000</v>
      </c>
      <c r="L662" s="32">
        <f ca="1">ROUND(649.42,2)</f>
        <v>0</v>
      </c>
      <c r="M662" s="32">
        <f ca="1">ROUND((K662*L662)/100,2)</f>
        <v>0</v>
      </c>
    </row>
    <row r="663" spans="1:13" ht="15.48" thickBot="1" customHeight="1">
      <c r="A663" s="34"/>
      <c r="B663" s="34"/>
      <c r="C663" s="34"/>
      <c r="D663" s="35" t="s">
        <v>2152</v>
      </c>
      <c r="E663" s="34"/>
      <c r="F663" s="34"/>
      <c r="G663" s="34"/>
      <c r="H663" s="34"/>
      <c r="I663" s="34"/>
      <c r="J663" s="34"/>
      <c r="K663" s="37">
        <v>1.000</v>
      </c>
      <c r="L663" s="38">
        <f ca="1">ROUND((M658+M659+M660+M661+M662)*(1+M2/100),2)</f>
        <v>0</v>
      </c>
      <c r="M663" s="38">
        <f ca="1">ROUND(K663*L663,2)</f>
        <v>0</v>
      </c>
    </row>
    <row r="664" spans="1:13" ht="15.48" thickBot="1" customHeight="1">
      <c r="A664" s="44"/>
      <c r="B664" s="44"/>
      <c r="C664" s="44"/>
      <c r="D664" s="45" t="s">
        <v>2153</v>
      </c>
      <c r="E664" s="46"/>
      <c r="F664" s="46"/>
      <c r="G664" s="46"/>
      <c r="H664" s="46"/>
      <c r="I664" s="46"/>
      <c r="J664" s="46"/>
      <c r="K664" s="46"/>
      <c r="L664" s="47">
        <f ca="1">M656</f>
        <v>0</v>
      </c>
      <c r="M664" s="47">
        <f ca="1">ROUND(L664,2)</f>
        <v>0</v>
      </c>
    </row>
    <row r="665" spans="1:13" ht="15.48" thickBot="1" customHeight="1">
      <c r="A665" s="48" t="s">
        <v>2154</v>
      </c>
      <c r="B665" s="48" t="s">
        <v>2155</v>
      </c>
      <c r="C665" s="49"/>
      <c r="D665" s="50" t="s">
        <v>2156</v>
      </c>
      <c r="E665" s="50"/>
      <c r="F665" s="50"/>
      <c r="G665" s="50"/>
      <c r="H665" s="50"/>
      <c r="I665" s="50"/>
      <c r="J665" s="50"/>
      <c r="K665" s="49"/>
      <c r="L665" s="51">
        <f ca="1">L741</f>
        <v>0</v>
      </c>
      <c r="M665" s="51">
        <f ca="1">ROUND(L665,2)</f>
        <v>0</v>
      </c>
    </row>
    <row r="666" spans="1:13" ht="25.08" thickBot="1" customHeight="1">
      <c r="A666" s="15" t="s">
        <v>2157</v>
      </c>
      <c r="B666" s="8" t="s">
        <v>2158</v>
      </c>
      <c r="C666" s="8" t="s">
        <v>2159</v>
      </c>
      <c r="D666" s="30" t="s">
        <v>2160</v>
      </c>
      <c r="E666" s="30"/>
      <c r="F666" s="30"/>
      <c r="G666" s="30"/>
      <c r="H666" s="30"/>
      <c r="I666" s="30"/>
      <c r="J666" s="30"/>
      <c r="K666" s="31">
        <f ca="1">ROUND(2.00,2)</f>
        <v>0</v>
      </c>
      <c r="L666" s="32">
        <f ca="1">L671</f>
        <v>0</v>
      </c>
      <c r="M666" s="32">
        <f ca="1">ROUND(K666*L666,2)</f>
        <v>0</v>
      </c>
    </row>
    <row r="667" spans="1:13" ht="39.84" thickBot="1" customHeight="1">
      <c r="A667" s="33"/>
      <c r="B667" s="33"/>
      <c r="C667" s="33"/>
      <c r="D667" s="30" t="s">
        <v>2161</v>
      </c>
      <c r="E667" s="30"/>
      <c r="F667" s="30"/>
      <c r="G667" s="30"/>
      <c r="H667" s="30"/>
      <c r="I667" s="30"/>
      <c r="J667" s="30"/>
      <c r="K667" s="30"/>
      <c r="L667" s="30"/>
      <c r="M667" s="30"/>
    </row>
    <row r="668" spans="1:13" ht="49.08" thickBot="1" customHeight="1">
      <c r="A668" s="8" t="s">
        <v>2162</v>
      </c>
      <c r="B668" s="8" t="s">
        <v>2163</v>
      </c>
      <c r="C668" s="8" t="s">
        <v>2164</v>
      </c>
      <c r="D668" s="30" t="s">
        <v>2165</v>
      </c>
      <c r="E668" s="30"/>
      <c r="F668" s="30"/>
      <c r="G668" s="30"/>
      <c r="H668" s="30"/>
      <c r="I668" s="30"/>
      <c r="J668" s="30"/>
      <c r="K668" s="31">
        <v>1.000</v>
      </c>
      <c r="L668" s="32">
        <f ca="1">ROUND(3039.00,2)</f>
        <v>0</v>
      </c>
      <c r="M668" s="32">
        <f ca="1">ROUND(K668*L668,2)</f>
        <v>0</v>
      </c>
    </row>
    <row r="669" spans="1:13" ht="15.12" thickBot="1" customHeight="1">
      <c r="A669" s="8" t="s">
        <v>2166</v>
      </c>
      <c r="B669" s="8" t="s">
        <v>2167</v>
      </c>
      <c r="C669" s="8" t="s">
        <v>2168</v>
      </c>
      <c r="D669" s="30" t="s">
        <v>2169</v>
      </c>
      <c r="E669" s="30"/>
      <c r="F669" s="30"/>
      <c r="G669" s="30"/>
      <c r="H669" s="30"/>
      <c r="I669" s="30"/>
      <c r="J669" s="30"/>
      <c r="K669" s="31">
        <v>3.000</v>
      </c>
      <c r="L669" s="32">
        <f ca="1">ROUND(23.25,2)</f>
        <v>0</v>
      </c>
      <c r="M669" s="32">
        <f ca="1">ROUND(K669*L669,2)</f>
        <v>0</v>
      </c>
    </row>
    <row r="670" spans="1:13" ht="15.12" thickBot="1" customHeight="1">
      <c r="A670" s="8" t="s">
        <v>2170</v>
      </c>
      <c r="B670" s="8" t="s">
        <v>2171</v>
      </c>
      <c r="C670" s="8" t="s">
        <v>2172</v>
      </c>
      <c r="D670" s="30" t="s">
        <v>2173</v>
      </c>
      <c r="E670" s="30"/>
      <c r="F670" s="30"/>
      <c r="G670" s="30"/>
      <c r="H670" s="30"/>
      <c r="I670" s="30"/>
      <c r="J670" s="30"/>
      <c r="K670" s="31">
        <v>3.000</v>
      </c>
      <c r="L670" s="32">
        <f ca="1">ROUND(27.24,2)</f>
        <v>0</v>
      </c>
      <c r="M670" s="32">
        <f ca="1">ROUND(K670*L670,2)</f>
        <v>0</v>
      </c>
    </row>
    <row r="671" spans="1:13" ht="15.48" thickBot="1" customHeight="1">
      <c r="A671" s="34"/>
      <c r="B671" s="34"/>
      <c r="C671" s="34"/>
      <c r="D671" s="35" t="s">
        <v>2174</v>
      </c>
      <c r="E671" s="34"/>
      <c r="F671" s="34"/>
      <c r="G671" s="34"/>
      <c r="H671" s="34"/>
      <c r="I671" s="34"/>
      <c r="J671" s="34"/>
      <c r="K671" s="37">
        <v>2.000</v>
      </c>
      <c r="L671" s="38">
        <f ca="1">ROUND((M668+M669+M670)*(1+M2/100),2)</f>
        <v>0</v>
      </c>
      <c r="M671" s="38">
        <f ca="1">ROUND(K671*L671,2)</f>
        <v>0</v>
      </c>
    </row>
    <row r="672" spans="1:13" ht="49.08" thickBot="1" customHeight="1">
      <c r="A672" s="39" t="s">
        <v>2175</v>
      </c>
      <c r="B672" s="40" t="s">
        <v>2176</v>
      </c>
      <c r="C672" s="40" t="s">
        <v>2177</v>
      </c>
      <c r="D672" s="41" t="s">
        <v>2178</v>
      </c>
      <c r="E672" s="41"/>
      <c r="F672" s="41"/>
      <c r="G672" s="41"/>
      <c r="H672" s="41"/>
      <c r="I672" s="41"/>
      <c r="J672" s="41"/>
      <c r="K672" s="42">
        <f ca="1">SUM(K675:K676)</f>
        <v>0</v>
      </c>
      <c r="L672" s="43">
        <f ca="1">L688</f>
        <v>0</v>
      </c>
      <c r="M672" s="43">
        <f ca="1">ROUND(K672*L672,2)</f>
        <v>0</v>
      </c>
    </row>
    <row r="673" spans="1:13" ht="86.04" thickBot="1" customHeight="1">
      <c r="A673" s="33"/>
      <c r="B673" s="33"/>
      <c r="C673" s="33"/>
      <c r="D673" s="30" t="s">
        <v>2179</v>
      </c>
      <c r="E673" s="30"/>
      <c r="F673" s="30"/>
      <c r="G673" s="30"/>
      <c r="H673" s="30"/>
      <c r="I673" s="30"/>
      <c r="J673" s="30"/>
      <c r="K673" s="30"/>
      <c r="L673" s="30"/>
      <c r="M673" s="30"/>
    </row>
    <row r="674" spans="1:13" ht="15.12" thickBot="1" customHeight="1">
      <c r="A674" s="33"/>
      <c r="B674" s="33"/>
      <c r="C674" s="33"/>
      <c r="D674" s="33"/>
      <c r="E674" s="52"/>
      <c r="F674" s="54" t="s">
        <v>2180</v>
      </c>
      <c r="G674" s="54" t="s">
        <v>2181</v>
      </c>
      <c r="H674" s="54" t="s">
        <v>2182</v>
      </c>
      <c r="I674" s="54" t="s">
        <v>2183</v>
      </c>
      <c r="J674" s="54" t="s">
        <v>2184</v>
      </c>
      <c r="K674" s="54" t="s">
        <v>2185</v>
      </c>
      <c r="L674" s="33"/>
      <c r="M674" s="33"/>
    </row>
    <row r="675" spans="1:13" ht="30.60" thickBot="1" customHeight="1">
      <c r="A675" s="33"/>
      <c r="B675" s="33"/>
      <c r="C675" s="33"/>
      <c r="D675" s="55"/>
      <c r="E675" s="56" t="s">
        <v>2186</v>
      </c>
      <c r="F675" s="57">
        <v>1</v>
      </c>
      <c r="G675" s="58">
        <v>132.000</v>
      </c>
      <c r="H675" s="58"/>
      <c r="I675" s="58"/>
      <c r="J675" s="60">
        <f ca="1">ROUND(F675*G675,3)</f>
        <v>0</v>
      </c>
      <c r="K675" s="73"/>
      <c r="L675" s="33"/>
      <c r="M675" s="33"/>
    </row>
    <row r="676" spans="1:13" ht="15.12" thickBot="1" customHeight="1">
      <c r="A676" s="33"/>
      <c r="B676" s="33"/>
      <c r="C676" s="33"/>
      <c r="D676" s="55"/>
      <c r="E676" s="8"/>
      <c r="F676" s="6">
        <v>1</v>
      </c>
      <c r="G676" s="31"/>
      <c r="H676" s="31"/>
      <c r="I676" s="31"/>
      <c r="J676" s="59">
        <f ca="1">ROUND(F676,3)</f>
        <v>0</v>
      </c>
      <c r="K676" s="61">
        <f ca="1">SUM(J675:J676)</f>
        <v>0</v>
      </c>
      <c r="L676" s="33"/>
      <c r="M676" s="33"/>
    </row>
    <row r="677" spans="1:13" ht="15.12" thickBot="1" customHeight="1">
      <c r="A677" s="8" t="s">
        <v>2187</v>
      </c>
      <c r="B677" s="8" t="s">
        <v>2188</v>
      </c>
      <c r="C677" s="8" t="s">
        <v>2189</v>
      </c>
      <c r="D677" s="30" t="s">
        <v>2190</v>
      </c>
      <c r="E677" s="30"/>
      <c r="F677" s="30"/>
      <c r="G677" s="30"/>
      <c r="H677" s="30"/>
      <c r="I677" s="30"/>
      <c r="J677" s="30"/>
      <c r="K677" s="31">
        <v>0.061</v>
      </c>
      <c r="L677" s="32">
        <f ca="1">ROUND(14.30,2)</f>
        <v>0</v>
      </c>
      <c r="M677" s="32">
        <f ca="1">ROUND(K677*L677,2)</f>
        <v>0</v>
      </c>
    </row>
    <row r="678" spans="1:13" ht="39.84" thickBot="1" customHeight="1">
      <c r="A678" s="8" t="s">
        <v>2191</v>
      </c>
      <c r="B678" s="8" t="s">
        <v>2192</v>
      </c>
      <c r="C678" s="8" t="s">
        <v>2193</v>
      </c>
      <c r="D678" s="30" t="s">
        <v>2194</v>
      </c>
      <c r="E678" s="30"/>
      <c r="F678" s="30"/>
      <c r="G678" s="30"/>
      <c r="H678" s="30"/>
      <c r="I678" s="30"/>
      <c r="J678" s="30"/>
      <c r="K678" s="31">
        <v>1.000</v>
      </c>
      <c r="L678" s="32">
        <f ca="1">ROUND(3.79,2)</f>
        <v>0</v>
      </c>
      <c r="M678" s="32">
        <f ca="1">ROUND(K678*L678,2)</f>
        <v>0</v>
      </c>
    </row>
    <row r="679" spans="1:13" ht="21.36" thickBot="1" customHeight="1">
      <c r="A679" s="8" t="s">
        <v>2195</v>
      </c>
      <c r="B679" s="8" t="s">
        <v>2196</v>
      </c>
      <c r="C679" s="8" t="s">
        <v>2197</v>
      </c>
      <c r="D679" s="30" t="s">
        <v>2198</v>
      </c>
      <c r="E679" s="30"/>
      <c r="F679" s="30"/>
      <c r="G679" s="30"/>
      <c r="H679" s="30"/>
      <c r="I679" s="30"/>
      <c r="J679" s="30"/>
      <c r="K679" s="31">
        <v>1.000</v>
      </c>
      <c r="L679" s="32">
        <f ca="1">ROUND(0.25,2)</f>
        <v>0</v>
      </c>
      <c r="M679" s="32">
        <f ca="1">ROUND(K679*L679,2)</f>
        <v>0</v>
      </c>
    </row>
    <row r="680" spans="1:13" ht="15.12" thickBot="1" customHeight="1">
      <c r="A680" s="8" t="s">
        <v>2199</v>
      </c>
      <c r="B680" s="8" t="s">
        <v>2200</v>
      </c>
      <c r="C680" s="8" t="s">
        <v>2201</v>
      </c>
      <c r="D680" s="30" t="s">
        <v>2202</v>
      </c>
      <c r="E680" s="30"/>
      <c r="F680" s="30"/>
      <c r="G680" s="30"/>
      <c r="H680" s="30"/>
      <c r="I680" s="30"/>
      <c r="J680" s="30"/>
      <c r="K680" s="31">
        <v>0.006</v>
      </c>
      <c r="L680" s="32">
        <f ca="1">ROUND(10.38,2)</f>
        <v>0</v>
      </c>
      <c r="M680" s="32">
        <f ca="1">ROUND(K680*L680,2)</f>
        <v>0</v>
      </c>
    </row>
    <row r="681" spans="1:13" ht="15.12" thickBot="1" customHeight="1">
      <c r="A681" s="8" t="s">
        <v>2203</v>
      </c>
      <c r="B681" s="8" t="s">
        <v>2204</v>
      </c>
      <c r="C681" s="8" t="s">
        <v>2205</v>
      </c>
      <c r="D681" s="30" t="s">
        <v>2206</v>
      </c>
      <c r="E681" s="30"/>
      <c r="F681" s="30"/>
      <c r="G681" s="30"/>
      <c r="H681" s="30"/>
      <c r="I681" s="30"/>
      <c r="J681" s="30"/>
      <c r="K681" s="31">
        <v>0.047</v>
      </c>
      <c r="L681" s="32">
        <f ca="1">ROUND(3.92,2)</f>
        <v>0</v>
      </c>
      <c r="M681" s="32">
        <f ca="1">ROUND(K681*L681,2)</f>
        <v>0</v>
      </c>
    </row>
    <row r="682" spans="1:13" ht="15.12" thickBot="1" customHeight="1">
      <c r="A682" s="8" t="s">
        <v>2207</v>
      </c>
      <c r="B682" s="8" t="s">
        <v>2208</v>
      </c>
      <c r="C682" s="8" t="s">
        <v>2209</v>
      </c>
      <c r="D682" s="30" t="s">
        <v>2210</v>
      </c>
      <c r="E682" s="30"/>
      <c r="F682" s="30"/>
      <c r="G682" s="30"/>
      <c r="H682" s="30"/>
      <c r="I682" s="30"/>
      <c r="J682" s="30"/>
      <c r="K682" s="31">
        <v>0.001</v>
      </c>
      <c r="L682" s="32">
        <f ca="1">ROUND(118.90,2)</f>
        <v>0</v>
      </c>
      <c r="M682" s="32">
        <f ca="1">ROUND(K682*L682,2)</f>
        <v>0</v>
      </c>
    </row>
    <row r="683" spans="1:13" ht="15.12" thickBot="1" customHeight="1">
      <c r="A683" s="8" t="s">
        <v>2211</v>
      </c>
      <c r="B683" s="8" t="s">
        <v>2212</v>
      </c>
      <c r="C683" s="8" t="s">
        <v>2213</v>
      </c>
      <c r="D683" s="30" t="s">
        <v>2214</v>
      </c>
      <c r="E683" s="30"/>
      <c r="F683" s="30"/>
      <c r="G683" s="30"/>
      <c r="H683" s="30"/>
      <c r="I683" s="30"/>
      <c r="J683" s="30"/>
      <c r="K683" s="31">
        <v>0.050</v>
      </c>
      <c r="L683" s="32">
        <f ca="1">ROUND(26.38,2)</f>
        <v>0</v>
      </c>
      <c r="M683" s="32">
        <f ca="1">ROUND(K683*L683,2)</f>
        <v>0</v>
      </c>
    </row>
    <row r="684" spans="1:13" ht="15.12" thickBot="1" customHeight="1">
      <c r="A684" s="8" t="s">
        <v>2215</v>
      </c>
      <c r="B684" s="8" t="s">
        <v>2216</v>
      </c>
      <c r="C684" s="8" t="s">
        <v>2217</v>
      </c>
      <c r="D684" s="30" t="s">
        <v>2218</v>
      </c>
      <c r="E684" s="30"/>
      <c r="F684" s="30"/>
      <c r="G684" s="30"/>
      <c r="H684" s="30"/>
      <c r="I684" s="30"/>
      <c r="J684" s="30"/>
      <c r="K684" s="31">
        <v>0.050</v>
      </c>
      <c r="L684" s="32">
        <f ca="1">ROUND(20.97,2)</f>
        <v>0</v>
      </c>
      <c r="M684" s="32">
        <f ca="1">ROUND(K684*L684,2)</f>
        <v>0</v>
      </c>
    </row>
    <row r="685" spans="1:13" ht="15.12" thickBot="1" customHeight="1">
      <c r="A685" s="8" t="s">
        <v>2219</v>
      </c>
      <c r="B685" s="8" t="s">
        <v>2220</v>
      </c>
      <c r="C685" s="8" t="s">
        <v>2221</v>
      </c>
      <c r="D685" s="30" t="s">
        <v>2222</v>
      </c>
      <c r="E685" s="30"/>
      <c r="F685" s="30"/>
      <c r="G685" s="30"/>
      <c r="H685" s="30"/>
      <c r="I685" s="30"/>
      <c r="J685" s="30"/>
      <c r="K685" s="31">
        <v>0.027</v>
      </c>
      <c r="L685" s="32">
        <f ca="1">ROUND(27.24,2)</f>
        <v>0</v>
      </c>
      <c r="M685" s="32">
        <f ca="1">ROUND(K685*L685,2)</f>
        <v>0</v>
      </c>
    </row>
    <row r="686" spans="1:13" ht="15.12" thickBot="1" customHeight="1">
      <c r="A686" s="8" t="s">
        <v>2223</v>
      </c>
      <c r="B686" s="8" t="s">
        <v>2224</v>
      </c>
      <c r="C686" s="8" t="s">
        <v>2225</v>
      </c>
      <c r="D686" s="30" t="s">
        <v>2226</v>
      </c>
      <c r="E686" s="30"/>
      <c r="F686" s="30"/>
      <c r="G686" s="30"/>
      <c r="H686" s="30"/>
      <c r="I686" s="30"/>
      <c r="J686" s="30"/>
      <c r="K686" s="31">
        <v>0.022</v>
      </c>
      <c r="L686" s="32">
        <f ca="1">ROUND(23.25,2)</f>
        <v>0</v>
      </c>
      <c r="M686" s="32">
        <f ca="1">ROUND(K686*L686,2)</f>
        <v>0</v>
      </c>
    </row>
    <row r="687" spans="1:13" ht="15.12" thickBot="1" customHeight="1">
      <c r="A687" s="8" t="s">
        <v>2227</v>
      </c>
      <c r="B687" s="8"/>
      <c r="C687" s="8" t="s">
        <v>2228</v>
      </c>
      <c r="D687" s="30" t="s">
        <v>2229</v>
      </c>
      <c r="E687" s="30"/>
      <c r="F687" s="30"/>
      <c r="G687" s="30"/>
      <c r="H687" s="30"/>
      <c r="I687" s="30"/>
      <c r="J687" s="30"/>
      <c r="K687" s="31">
        <v>2.000</v>
      </c>
      <c r="L687" s="32">
        <f ca="1">ROUND(8.89,2)</f>
        <v>0</v>
      </c>
      <c r="M687" s="32">
        <f ca="1">ROUND((K687*L687)/100,2)</f>
        <v>0</v>
      </c>
    </row>
    <row r="688" spans="1:13" ht="15.48" thickBot="1" customHeight="1">
      <c r="A688" s="34"/>
      <c r="B688" s="34"/>
      <c r="C688" s="34"/>
      <c r="D688" s="35" t="s">
        <v>2230</v>
      </c>
      <c r="E688" s="34"/>
      <c r="F688" s="34"/>
      <c r="G688" s="34"/>
      <c r="H688" s="34"/>
      <c r="I688" s="34"/>
      <c r="J688" s="34"/>
      <c r="K688" s="37">
        <v>133.000</v>
      </c>
      <c r="L688" s="38">
        <f ca="1">ROUND((M677+M678+M679+M680+M681+M682+M683+M684+M685+M686+M687)*(1+M2/100),2)</f>
        <v>0</v>
      </c>
      <c r="M688" s="38">
        <f ca="1">ROUND(K688*L688,2)</f>
        <v>0</v>
      </c>
    </row>
    <row r="689" spans="1:13" ht="39.84" thickBot="1" customHeight="1">
      <c r="A689" s="39" t="s">
        <v>2231</v>
      </c>
      <c r="B689" s="40" t="s">
        <v>2232</v>
      </c>
      <c r="C689" s="40" t="s">
        <v>2233</v>
      </c>
      <c r="D689" s="41" t="s">
        <v>2234</v>
      </c>
      <c r="E689" s="41"/>
      <c r="F689" s="41"/>
      <c r="G689" s="41"/>
      <c r="H689" s="41"/>
      <c r="I689" s="41"/>
      <c r="J689" s="41"/>
      <c r="K689" s="42">
        <f ca="1">SUM(K692:K693)</f>
        <v>0</v>
      </c>
      <c r="L689" s="43">
        <f ca="1">L698</f>
        <v>0</v>
      </c>
      <c r="M689" s="43">
        <f ca="1">ROUND(K689*L689,2)</f>
        <v>0</v>
      </c>
    </row>
    <row r="690" spans="1:13" ht="58.32" thickBot="1" customHeight="1">
      <c r="A690" s="33"/>
      <c r="B690" s="33"/>
      <c r="C690" s="33"/>
      <c r="D690" s="30" t="s">
        <v>2235</v>
      </c>
      <c r="E690" s="30"/>
      <c r="F690" s="30"/>
      <c r="G690" s="30"/>
      <c r="H690" s="30"/>
      <c r="I690" s="30"/>
      <c r="J690" s="30"/>
      <c r="K690" s="30"/>
      <c r="L690" s="30"/>
      <c r="M690" s="30"/>
    </row>
    <row r="691" spans="1:13" ht="15.12" thickBot="1" customHeight="1">
      <c r="A691" s="33"/>
      <c r="B691" s="33"/>
      <c r="C691" s="33"/>
      <c r="D691" s="33"/>
      <c r="E691" s="52"/>
      <c r="F691" s="54" t="s">
        <v>2236</v>
      </c>
      <c r="G691" s="54" t="s">
        <v>2237</v>
      </c>
      <c r="H691" s="54" t="s">
        <v>2238</v>
      </c>
      <c r="I691" s="54" t="s">
        <v>2239</v>
      </c>
      <c r="J691" s="54" t="s">
        <v>2240</v>
      </c>
      <c r="K691" s="54" t="s">
        <v>2241</v>
      </c>
      <c r="L691" s="33"/>
      <c r="M691" s="33"/>
    </row>
    <row r="692" spans="1:13" ht="30.60" thickBot="1" customHeight="1">
      <c r="A692" s="33"/>
      <c r="B692" s="33"/>
      <c r="C692" s="33"/>
      <c r="D692" s="55"/>
      <c r="E692" s="56" t="s">
        <v>2242</v>
      </c>
      <c r="F692" s="57">
        <v>1</v>
      </c>
      <c r="G692" s="58">
        <v>10.000</v>
      </c>
      <c r="H692" s="58"/>
      <c r="I692" s="58"/>
      <c r="J692" s="60">
        <f ca="1">ROUND(F692*G692,3)</f>
        <v>0</v>
      </c>
      <c r="K692" s="73"/>
      <c r="L692" s="33"/>
      <c r="M692" s="33"/>
    </row>
    <row r="693" spans="1:13" ht="21.36" thickBot="1" customHeight="1">
      <c r="A693" s="33"/>
      <c r="B693" s="33"/>
      <c r="C693" s="33"/>
      <c r="D693" s="55"/>
      <c r="E693" s="8" t="s">
        <v>2243</v>
      </c>
      <c r="F693" s="6">
        <v>1</v>
      </c>
      <c r="G693" s="31">
        <v>10.000</v>
      </c>
      <c r="H693" s="31"/>
      <c r="I693" s="31"/>
      <c r="J693" s="59">
        <f ca="1">ROUND(F693*G693,3)</f>
        <v>0</v>
      </c>
      <c r="K693" s="61">
        <f ca="1">SUM(J692:J693)</f>
        <v>0</v>
      </c>
      <c r="L693" s="33"/>
      <c r="M693" s="33"/>
    </row>
    <row r="694" spans="1:13" ht="39.84" thickBot="1" customHeight="1">
      <c r="A694" s="8" t="s">
        <v>2244</v>
      </c>
      <c r="B694" s="8" t="s">
        <v>2245</v>
      </c>
      <c r="C694" s="8" t="s">
        <v>2246</v>
      </c>
      <c r="D694" s="30" t="s">
        <v>2247</v>
      </c>
      <c r="E694" s="30"/>
      <c r="F694" s="30"/>
      <c r="G694" s="30"/>
      <c r="H694" s="30"/>
      <c r="I694" s="30"/>
      <c r="J694" s="30"/>
      <c r="K694" s="31">
        <v>1.000</v>
      </c>
      <c r="L694" s="32">
        <f ca="1">ROUND(11.31,2)</f>
        <v>0</v>
      </c>
      <c r="M694" s="32">
        <f ca="1">ROUND(K694*L694,2)</f>
        <v>0</v>
      </c>
    </row>
    <row r="695" spans="1:13" ht="15.12" thickBot="1" customHeight="1">
      <c r="A695" s="8" t="s">
        <v>2248</v>
      </c>
      <c r="B695" s="8" t="s">
        <v>2249</v>
      </c>
      <c r="C695" s="8" t="s">
        <v>2250</v>
      </c>
      <c r="D695" s="30" t="s">
        <v>2251</v>
      </c>
      <c r="E695" s="30"/>
      <c r="F695" s="30"/>
      <c r="G695" s="30"/>
      <c r="H695" s="30"/>
      <c r="I695" s="30"/>
      <c r="J695" s="30"/>
      <c r="K695" s="31">
        <v>0.043</v>
      </c>
      <c r="L695" s="32">
        <f ca="1">ROUND(27.24,2)</f>
        <v>0</v>
      </c>
      <c r="M695" s="32">
        <f ca="1">ROUND(K695*L695,2)</f>
        <v>0</v>
      </c>
    </row>
    <row r="696" spans="1:13" ht="15.12" thickBot="1" customHeight="1">
      <c r="A696" s="8" t="s">
        <v>2252</v>
      </c>
      <c r="B696" s="8" t="s">
        <v>2253</v>
      </c>
      <c r="C696" s="8" t="s">
        <v>2254</v>
      </c>
      <c r="D696" s="30" t="s">
        <v>2255</v>
      </c>
      <c r="E696" s="30"/>
      <c r="F696" s="30"/>
      <c r="G696" s="30"/>
      <c r="H696" s="30"/>
      <c r="I696" s="30"/>
      <c r="J696" s="30"/>
      <c r="K696" s="31">
        <v>0.043</v>
      </c>
      <c r="L696" s="32">
        <f ca="1">ROUND(23.25,2)</f>
        <v>0</v>
      </c>
      <c r="M696" s="32">
        <f ca="1">ROUND(K696*L696,2)</f>
        <v>0</v>
      </c>
    </row>
    <row r="697" spans="1:13" ht="15.12" thickBot="1" customHeight="1">
      <c r="A697" s="8" t="s">
        <v>2256</v>
      </c>
      <c r="B697" s="8"/>
      <c r="C697" s="8" t="s">
        <v>2257</v>
      </c>
      <c r="D697" s="30" t="s">
        <v>2258</v>
      </c>
      <c r="E697" s="30"/>
      <c r="F697" s="30"/>
      <c r="G697" s="30"/>
      <c r="H697" s="30"/>
      <c r="I697" s="30"/>
      <c r="J697" s="30"/>
      <c r="K697" s="31">
        <v>2.000</v>
      </c>
      <c r="L697" s="32">
        <f ca="1">ROUND(13.48,2)</f>
        <v>0</v>
      </c>
      <c r="M697" s="32">
        <f ca="1">ROUND((K697*L697)/100,2)</f>
        <v>0</v>
      </c>
    </row>
    <row r="698" spans="1:13" ht="15.48" thickBot="1" customHeight="1">
      <c r="A698" s="34"/>
      <c r="B698" s="34"/>
      <c r="C698" s="34"/>
      <c r="D698" s="35" t="s">
        <v>2259</v>
      </c>
      <c r="E698" s="34"/>
      <c r="F698" s="34"/>
      <c r="G698" s="34"/>
      <c r="H698" s="34"/>
      <c r="I698" s="34"/>
      <c r="J698" s="34"/>
      <c r="K698" s="37">
        <v>20.000</v>
      </c>
      <c r="L698" s="38">
        <f ca="1">ROUND((M694+M695+M696+M697)*(1+M2/100),2)</f>
        <v>0</v>
      </c>
      <c r="M698" s="38">
        <f ca="1">ROUND(K698*L698,2)</f>
        <v>0</v>
      </c>
    </row>
    <row r="699" spans="1:13" ht="15.48" thickBot="1" customHeight="1">
      <c r="A699" s="39" t="s">
        <v>2260</v>
      </c>
      <c r="B699" s="40" t="s">
        <v>2261</v>
      </c>
      <c r="C699" s="40" t="s">
        <v>2262</v>
      </c>
      <c r="D699" s="41" t="s">
        <v>2263</v>
      </c>
      <c r="E699" s="41"/>
      <c r="F699" s="41"/>
      <c r="G699" s="41"/>
      <c r="H699" s="41"/>
      <c r="I699" s="41"/>
      <c r="J699" s="41"/>
      <c r="K699" s="42">
        <f ca="1">ROUND(1.00,2)</f>
        <v>0</v>
      </c>
      <c r="L699" s="43">
        <f ca="1">L709</f>
        <v>0</v>
      </c>
      <c r="M699" s="43">
        <f ca="1">ROUND(K699*L699,2)</f>
        <v>0</v>
      </c>
    </row>
    <row r="700" spans="1:13" ht="67.56" thickBot="1" customHeight="1">
      <c r="A700" s="33"/>
      <c r="B700" s="33"/>
      <c r="C700" s="33"/>
      <c r="D700" s="30" t="s">
        <v>2264</v>
      </c>
      <c r="E700" s="30"/>
      <c r="F700" s="30"/>
      <c r="G700" s="30"/>
      <c r="H700" s="30"/>
      <c r="I700" s="30"/>
      <c r="J700" s="30"/>
      <c r="K700" s="30"/>
      <c r="L700" s="30"/>
      <c r="M700" s="30"/>
    </row>
    <row r="701" spans="1:13" ht="39.84" thickBot="1" customHeight="1">
      <c r="A701" s="8" t="s">
        <v>2265</v>
      </c>
      <c r="B701" s="8" t="s">
        <v>2266</v>
      </c>
      <c r="C701" s="8" t="s">
        <v>2267</v>
      </c>
      <c r="D701" s="30" t="s">
        <v>2268</v>
      </c>
      <c r="E701" s="30"/>
      <c r="F701" s="30"/>
      <c r="G701" s="30"/>
      <c r="H701" s="30"/>
      <c r="I701" s="30"/>
      <c r="J701" s="30"/>
      <c r="K701" s="31">
        <v>1.000</v>
      </c>
      <c r="L701" s="32">
        <f ca="1">ROUND(21.43,2)</f>
        <v>0</v>
      </c>
      <c r="M701" s="32">
        <f ca="1">ROUND(K701*L701,2)</f>
        <v>0</v>
      </c>
    </row>
    <row r="702" spans="1:13" ht="24.36" thickBot="1" customHeight="1">
      <c r="A702" s="8" t="s">
        <v>2269</v>
      </c>
      <c r="B702" s="8" t="s">
        <v>2270</v>
      </c>
      <c r="C702" s="8" t="s">
        <v>2271</v>
      </c>
      <c r="D702" s="30" t="s">
        <v>2272</v>
      </c>
      <c r="E702" s="30"/>
      <c r="F702" s="30"/>
      <c r="G702" s="30"/>
      <c r="H702" s="30"/>
      <c r="I702" s="30"/>
      <c r="J702" s="30"/>
      <c r="K702" s="31">
        <v>1.000</v>
      </c>
      <c r="L702" s="32">
        <f ca="1">ROUND(193.50,2)</f>
        <v>0</v>
      </c>
      <c r="M702" s="32">
        <f ca="1">ROUND(K702*L702,2)</f>
        <v>0</v>
      </c>
    </row>
    <row r="703" spans="1:13" ht="24.36" thickBot="1" customHeight="1">
      <c r="A703" s="8" t="s">
        <v>2273</v>
      </c>
      <c r="B703" s="8" t="s">
        <v>2274</v>
      </c>
      <c r="C703" s="8" t="s">
        <v>2275</v>
      </c>
      <c r="D703" s="30" t="s">
        <v>2276</v>
      </c>
      <c r="E703" s="30"/>
      <c r="F703" s="30"/>
      <c r="G703" s="30"/>
      <c r="H703" s="30"/>
      <c r="I703" s="30"/>
      <c r="J703" s="30"/>
      <c r="K703" s="31">
        <v>1.000</v>
      </c>
      <c r="L703" s="32">
        <f ca="1">ROUND(193.50,2)</f>
        <v>0</v>
      </c>
      <c r="M703" s="32">
        <f ca="1">ROUND(K703*L703,2)</f>
        <v>0</v>
      </c>
    </row>
    <row r="704" spans="1:13" ht="15.12" thickBot="1" customHeight="1">
      <c r="A704" s="8" t="s">
        <v>2277</v>
      </c>
      <c r="B704" s="8" t="s">
        <v>2278</v>
      </c>
      <c r="C704" s="8" t="s">
        <v>2279</v>
      </c>
      <c r="D704" s="30" t="s">
        <v>2280</v>
      </c>
      <c r="E704" s="30"/>
      <c r="F704" s="30"/>
      <c r="G704" s="30"/>
      <c r="H704" s="30"/>
      <c r="I704" s="30"/>
      <c r="J704" s="30"/>
      <c r="K704" s="31">
        <v>1.000</v>
      </c>
      <c r="L704" s="32">
        <f ca="1">ROUND(87.10,2)</f>
        <v>0</v>
      </c>
      <c r="M704" s="32">
        <f ca="1">ROUND(K704*L704,2)</f>
        <v>0</v>
      </c>
    </row>
    <row r="705" spans="1:13" ht="15.12" thickBot="1" customHeight="1">
      <c r="A705" s="8" t="s">
        <v>2281</v>
      </c>
      <c r="B705" s="8" t="s">
        <v>2282</v>
      </c>
      <c r="C705" s="8" t="s">
        <v>2283</v>
      </c>
      <c r="D705" s="30" t="s">
        <v>2284</v>
      </c>
      <c r="E705" s="30"/>
      <c r="F705" s="30"/>
      <c r="G705" s="30"/>
      <c r="H705" s="30"/>
      <c r="I705" s="30"/>
      <c r="J705" s="30"/>
      <c r="K705" s="31">
        <v>1.000</v>
      </c>
      <c r="L705" s="32">
        <f ca="1">ROUND(1.48,2)</f>
        <v>0</v>
      </c>
      <c r="M705" s="32">
        <f ca="1">ROUND(K705*L705,2)</f>
        <v>0</v>
      </c>
    </row>
    <row r="706" spans="1:13" ht="15.12" thickBot="1" customHeight="1">
      <c r="A706" s="8" t="s">
        <v>2285</v>
      </c>
      <c r="B706" s="8" t="s">
        <v>2286</v>
      </c>
      <c r="C706" s="8" t="s">
        <v>2287</v>
      </c>
      <c r="D706" s="30" t="s">
        <v>2288</v>
      </c>
      <c r="E706" s="30"/>
      <c r="F706" s="30"/>
      <c r="G706" s="30"/>
      <c r="H706" s="30"/>
      <c r="I706" s="30"/>
      <c r="J706" s="30"/>
      <c r="K706" s="31">
        <v>0.535</v>
      </c>
      <c r="L706" s="32">
        <f ca="1">ROUND(27.24,2)</f>
        <v>0</v>
      </c>
      <c r="M706" s="32">
        <f ca="1">ROUND(K706*L706,2)</f>
        <v>0</v>
      </c>
    </row>
    <row r="707" spans="1:13" ht="15.12" thickBot="1" customHeight="1">
      <c r="A707" s="8" t="s">
        <v>2289</v>
      </c>
      <c r="B707" s="8" t="s">
        <v>2290</v>
      </c>
      <c r="C707" s="8" t="s">
        <v>2291</v>
      </c>
      <c r="D707" s="30" t="s">
        <v>2292</v>
      </c>
      <c r="E707" s="30"/>
      <c r="F707" s="30"/>
      <c r="G707" s="30"/>
      <c r="H707" s="30"/>
      <c r="I707" s="30"/>
      <c r="J707" s="30"/>
      <c r="K707" s="31">
        <v>0.513</v>
      </c>
      <c r="L707" s="32">
        <f ca="1">ROUND(23.25,2)</f>
        <v>0</v>
      </c>
      <c r="M707" s="32">
        <f ca="1">ROUND(K707*L707,2)</f>
        <v>0</v>
      </c>
    </row>
    <row r="708" spans="1:13" ht="15.12" thickBot="1" customHeight="1">
      <c r="A708" s="8" t="s">
        <v>2293</v>
      </c>
      <c r="B708" s="8"/>
      <c r="C708" s="8" t="s">
        <v>2294</v>
      </c>
      <c r="D708" s="30" t="s">
        <v>2295</v>
      </c>
      <c r="E708" s="30"/>
      <c r="F708" s="30"/>
      <c r="G708" s="30"/>
      <c r="H708" s="30"/>
      <c r="I708" s="30"/>
      <c r="J708" s="30"/>
      <c r="K708" s="31">
        <v>2.000</v>
      </c>
      <c r="L708" s="32">
        <f ca="1">ROUND(523.51,2)</f>
        <v>0</v>
      </c>
      <c r="M708" s="32">
        <f ca="1">ROUND((K708*L708)/100,2)</f>
        <v>0</v>
      </c>
    </row>
    <row r="709" spans="1:13" ht="15.48" thickBot="1" customHeight="1">
      <c r="A709" s="34"/>
      <c r="B709" s="34"/>
      <c r="C709" s="34"/>
      <c r="D709" s="35" t="s">
        <v>2296</v>
      </c>
      <c r="E709" s="34"/>
      <c r="F709" s="34"/>
      <c r="G709" s="34"/>
      <c r="H709" s="34"/>
      <c r="I709" s="34"/>
      <c r="J709" s="34"/>
      <c r="K709" s="37">
        <v>1.000</v>
      </c>
      <c r="L709" s="38">
        <f ca="1">ROUND((M701+M702+M703+M704+M705+M706+M707+M708)*(1+M2/100),2)</f>
        <v>0</v>
      </c>
      <c r="M709" s="38">
        <f ca="1">ROUND(K709*L709,2)</f>
        <v>0</v>
      </c>
    </row>
    <row r="710" spans="1:13" ht="21.36" thickBot="1" customHeight="1">
      <c r="A710" s="39" t="s">
        <v>2297</v>
      </c>
      <c r="B710" s="40" t="s">
        <v>2298</v>
      </c>
      <c r="C710" s="40" t="s">
        <v>2299</v>
      </c>
      <c r="D710" s="41" t="s">
        <v>2300</v>
      </c>
      <c r="E710" s="41"/>
      <c r="F710" s="41"/>
      <c r="G710" s="41"/>
      <c r="H710" s="41"/>
      <c r="I710" s="41"/>
      <c r="J710" s="41"/>
      <c r="K710" s="42">
        <f ca="1">ROUND(1.00,2)</f>
        <v>0</v>
      </c>
      <c r="L710" s="43">
        <f ca="1">L722</f>
        <v>0</v>
      </c>
      <c r="M710" s="43">
        <f ca="1">ROUND(K710*L710,2)</f>
        <v>0</v>
      </c>
    </row>
    <row r="711" spans="1:13" ht="58.32" thickBot="1" customHeight="1">
      <c r="A711" s="33"/>
      <c r="B711" s="33"/>
      <c r="C711" s="33"/>
      <c r="D711" s="30" t="s">
        <v>2301</v>
      </c>
      <c r="E711" s="30"/>
      <c r="F711" s="30"/>
      <c r="G711" s="30"/>
      <c r="H711" s="30"/>
      <c r="I711" s="30"/>
      <c r="J711" s="30"/>
      <c r="K711" s="30"/>
      <c r="L711" s="30"/>
      <c r="M711" s="30"/>
    </row>
    <row r="712" spans="1:13" ht="30.60" thickBot="1" customHeight="1">
      <c r="A712" s="8" t="s">
        <v>2302</v>
      </c>
      <c r="B712" s="8" t="s">
        <v>2303</v>
      </c>
      <c r="C712" s="8" t="s">
        <v>2304</v>
      </c>
      <c r="D712" s="30" t="s">
        <v>2305</v>
      </c>
      <c r="E712" s="30"/>
      <c r="F712" s="30"/>
      <c r="G712" s="30"/>
      <c r="H712" s="30"/>
      <c r="I712" s="30"/>
      <c r="J712" s="30"/>
      <c r="K712" s="31">
        <v>1.000</v>
      </c>
      <c r="L712" s="32">
        <f ca="1">ROUND(28.95,2)</f>
        <v>0</v>
      </c>
      <c r="M712" s="32">
        <f ca="1">ROUND(K712*L712,2)</f>
        <v>0</v>
      </c>
    </row>
    <row r="713" spans="1:13" ht="24.36" thickBot="1" customHeight="1">
      <c r="A713" s="8" t="s">
        <v>2306</v>
      </c>
      <c r="B713" s="8" t="s">
        <v>2307</v>
      </c>
      <c r="C713" s="8" t="s">
        <v>2308</v>
      </c>
      <c r="D713" s="30" t="s">
        <v>2309</v>
      </c>
      <c r="E713" s="30"/>
      <c r="F713" s="30"/>
      <c r="G713" s="30"/>
      <c r="H713" s="30"/>
      <c r="I713" s="30"/>
      <c r="J713" s="30"/>
      <c r="K713" s="31">
        <v>1.000</v>
      </c>
      <c r="L713" s="32">
        <f ca="1">ROUND(90.99,2)</f>
        <v>0</v>
      </c>
      <c r="M713" s="32">
        <f ca="1">ROUND(K713*L713,2)</f>
        <v>0</v>
      </c>
    </row>
    <row r="714" spans="1:13" ht="24.36" thickBot="1" customHeight="1">
      <c r="A714" s="8" t="s">
        <v>2310</v>
      </c>
      <c r="B714" s="8" t="s">
        <v>2311</v>
      </c>
      <c r="C714" s="8" t="s">
        <v>2312</v>
      </c>
      <c r="D714" s="30" t="s">
        <v>2313</v>
      </c>
      <c r="E714" s="30"/>
      <c r="F714" s="30"/>
      <c r="G714" s="30"/>
      <c r="H714" s="30"/>
      <c r="I714" s="30"/>
      <c r="J714" s="30"/>
      <c r="K714" s="31">
        <v>2.000</v>
      </c>
      <c r="L714" s="32">
        <f ca="1">ROUND(172.64,2)</f>
        <v>0</v>
      </c>
      <c r="M714" s="32">
        <f ca="1">ROUND(K714*L714,2)</f>
        <v>0</v>
      </c>
    </row>
    <row r="715" spans="1:13" ht="24.36" thickBot="1" customHeight="1">
      <c r="A715" s="8" t="s">
        <v>2314</v>
      </c>
      <c r="B715" s="8" t="s">
        <v>2315</v>
      </c>
      <c r="C715" s="8" t="s">
        <v>2316</v>
      </c>
      <c r="D715" s="30" t="s">
        <v>2317</v>
      </c>
      <c r="E715" s="30"/>
      <c r="F715" s="30"/>
      <c r="G715" s="30"/>
      <c r="H715" s="30"/>
      <c r="I715" s="30"/>
      <c r="J715" s="30"/>
      <c r="K715" s="31">
        <v>2.000</v>
      </c>
      <c r="L715" s="32">
        <f ca="1">ROUND(101.40,2)</f>
        <v>0</v>
      </c>
      <c r="M715" s="32">
        <f ca="1">ROUND(K715*L715,2)</f>
        <v>0</v>
      </c>
    </row>
    <row r="716" spans="1:13" ht="24.36" thickBot="1" customHeight="1">
      <c r="A716" s="8" t="s">
        <v>2318</v>
      </c>
      <c r="B716" s="8" t="s">
        <v>2319</v>
      </c>
      <c r="C716" s="8" t="s">
        <v>2320</v>
      </c>
      <c r="D716" s="30" t="s">
        <v>2321</v>
      </c>
      <c r="E716" s="30"/>
      <c r="F716" s="30"/>
      <c r="G716" s="30"/>
      <c r="H716" s="30"/>
      <c r="I716" s="30"/>
      <c r="J716" s="30"/>
      <c r="K716" s="31">
        <v>1.000</v>
      </c>
      <c r="L716" s="32">
        <f ca="1">ROUND(193.61,2)</f>
        <v>0</v>
      </c>
      <c r="M716" s="32">
        <f ca="1">ROUND(K716*L716,2)</f>
        <v>0</v>
      </c>
    </row>
    <row r="717" spans="1:13" ht="24.36" thickBot="1" customHeight="1">
      <c r="A717" s="8" t="s">
        <v>2322</v>
      </c>
      <c r="B717" s="8" t="s">
        <v>2323</v>
      </c>
      <c r="C717" s="8" t="s">
        <v>2324</v>
      </c>
      <c r="D717" s="30" t="s">
        <v>2325</v>
      </c>
      <c r="E717" s="30"/>
      <c r="F717" s="30"/>
      <c r="G717" s="30"/>
      <c r="H717" s="30"/>
      <c r="I717" s="30"/>
      <c r="J717" s="30"/>
      <c r="K717" s="31">
        <v>1.000</v>
      </c>
      <c r="L717" s="32">
        <f ca="1">ROUND(41.17,2)</f>
        <v>0</v>
      </c>
      <c r="M717" s="32">
        <f ca="1">ROUND(K717*L717,2)</f>
        <v>0</v>
      </c>
    </row>
    <row r="718" spans="1:13" ht="15.12" thickBot="1" customHeight="1">
      <c r="A718" s="8" t="s">
        <v>2326</v>
      </c>
      <c r="B718" s="8" t="s">
        <v>2327</v>
      </c>
      <c r="C718" s="8" t="s">
        <v>2328</v>
      </c>
      <c r="D718" s="30" t="s">
        <v>2329</v>
      </c>
      <c r="E718" s="30"/>
      <c r="F718" s="30"/>
      <c r="G718" s="30"/>
      <c r="H718" s="30"/>
      <c r="I718" s="30"/>
      <c r="J718" s="30"/>
      <c r="K718" s="31">
        <v>2.000</v>
      </c>
      <c r="L718" s="32">
        <f ca="1">ROUND(1.48,2)</f>
        <v>0</v>
      </c>
      <c r="M718" s="32">
        <f ca="1">ROUND(K718*L718,2)</f>
        <v>0</v>
      </c>
    </row>
    <row r="719" spans="1:13" ht="15.12" thickBot="1" customHeight="1">
      <c r="A719" s="8" t="s">
        <v>2330</v>
      </c>
      <c r="B719" s="8" t="s">
        <v>2331</v>
      </c>
      <c r="C719" s="8" t="s">
        <v>2332</v>
      </c>
      <c r="D719" s="30" t="s">
        <v>2333</v>
      </c>
      <c r="E719" s="30"/>
      <c r="F719" s="30"/>
      <c r="G719" s="30"/>
      <c r="H719" s="30"/>
      <c r="I719" s="30"/>
      <c r="J719" s="30"/>
      <c r="K719" s="31">
        <v>2.110</v>
      </c>
      <c r="L719" s="32">
        <f ca="1">ROUND(27.24,2)</f>
        <v>0</v>
      </c>
      <c r="M719" s="32">
        <f ca="1">ROUND(K719*L719,2)</f>
        <v>0</v>
      </c>
    </row>
    <row r="720" spans="1:13" ht="15.12" thickBot="1" customHeight="1">
      <c r="A720" s="8" t="s">
        <v>2334</v>
      </c>
      <c r="B720" s="8" t="s">
        <v>2335</v>
      </c>
      <c r="C720" s="8" t="s">
        <v>2336</v>
      </c>
      <c r="D720" s="30" t="s">
        <v>2337</v>
      </c>
      <c r="E720" s="30"/>
      <c r="F720" s="30"/>
      <c r="G720" s="30"/>
      <c r="H720" s="30"/>
      <c r="I720" s="30"/>
      <c r="J720" s="30"/>
      <c r="K720" s="31">
        <v>1.601</v>
      </c>
      <c r="L720" s="32">
        <f ca="1">ROUND(23.25,2)</f>
        <v>0</v>
      </c>
      <c r="M720" s="32">
        <f ca="1">ROUND(K720*L720,2)</f>
        <v>0</v>
      </c>
    </row>
    <row r="721" spans="1:13" ht="15.12" thickBot="1" customHeight="1">
      <c r="A721" s="8" t="s">
        <v>2338</v>
      </c>
      <c r="B721" s="8"/>
      <c r="C721" s="8" t="s">
        <v>2339</v>
      </c>
      <c r="D721" s="30" t="s">
        <v>2340</v>
      </c>
      <c r="E721" s="30"/>
      <c r="F721" s="30"/>
      <c r="G721" s="30"/>
      <c r="H721" s="30"/>
      <c r="I721" s="30"/>
      <c r="J721" s="30"/>
      <c r="K721" s="31">
        <v>2.000</v>
      </c>
      <c r="L721" s="32">
        <f ca="1">ROUND(1000.46,2)</f>
        <v>0</v>
      </c>
      <c r="M721" s="32">
        <f ca="1">ROUND((K721*L721)/100,2)</f>
        <v>0</v>
      </c>
    </row>
    <row r="722" spans="1:13" ht="15.48" thickBot="1" customHeight="1">
      <c r="A722" s="34"/>
      <c r="B722" s="34"/>
      <c r="C722" s="34"/>
      <c r="D722" s="35" t="s">
        <v>2341</v>
      </c>
      <c r="E722" s="34"/>
      <c r="F722" s="34"/>
      <c r="G722" s="34"/>
      <c r="H722" s="34"/>
      <c r="I722" s="34"/>
      <c r="J722" s="34"/>
      <c r="K722" s="37">
        <v>1.000</v>
      </c>
      <c r="L722" s="38">
        <f ca="1">ROUND((M712+M713+M714+M715+M716+M717+M718+M719+M720+M721)*(1+M2/100),2)</f>
        <v>0</v>
      </c>
      <c r="M722" s="38">
        <f ca="1">ROUND(K722*L722,2)</f>
        <v>0</v>
      </c>
    </row>
    <row r="723" spans="1:13" ht="15.48" thickBot="1" customHeight="1">
      <c r="A723" s="39" t="s">
        <v>2342</v>
      </c>
      <c r="B723" s="40" t="s">
        <v>2343</v>
      </c>
      <c r="C723" s="40" t="s">
        <v>2344</v>
      </c>
      <c r="D723" s="41" t="s">
        <v>2345</v>
      </c>
      <c r="E723" s="41"/>
      <c r="F723" s="41"/>
      <c r="G723" s="41"/>
      <c r="H723" s="41"/>
      <c r="I723" s="41"/>
      <c r="J723" s="41"/>
      <c r="K723" s="42">
        <f ca="1">ROUND(3.00,2)</f>
        <v>0</v>
      </c>
      <c r="L723" s="43">
        <f ca="1">L731</f>
        <v>0</v>
      </c>
      <c r="M723" s="43">
        <f ca="1">ROUND(K723*L723,2)</f>
        <v>0</v>
      </c>
    </row>
    <row r="724" spans="1:13" ht="67.56" thickBot="1" customHeight="1">
      <c r="A724" s="33"/>
      <c r="B724" s="33"/>
      <c r="C724" s="33"/>
      <c r="D724" s="30" t="s">
        <v>2346</v>
      </c>
      <c r="E724" s="30"/>
      <c r="F724" s="30"/>
      <c r="G724" s="30"/>
      <c r="H724" s="30"/>
      <c r="I724" s="30"/>
      <c r="J724" s="30"/>
      <c r="K724" s="30"/>
      <c r="L724" s="30"/>
      <c r="M724" s="30"/>
    </row>
    <row r="725" spans="1:13" ht="21.36" thickBot="1" customHeight="1">
      <c r="A725" s="8" t="s">
        <v>2347</v>
      </c>
      <c r="B725" s="8" t="s">
        <v>2348</v>
      </c>
      <c r="C725" s="8" t="s">
        <v>2349</v>
      </c>
      <c r="D725" s="30" t="s">
        <v>2350</v>
      </c>
      <c r="E725" s="30"/>
      <c r="F725" s="30"/>
      <c r="G725" s="30"/>
      <c r="H725" s="30"/>
      <c r="I725" s="30"/>
      <c r="J725" s="30"/>
      <c r="K725" s="31">
        <v>1.000</v>
      </c>
      <c r="L725" s="32">
        <f ca="1">ROUND(11.25,2)</f>
        <v>0</v>
      </c>
      <c r="M725" s="32">
        <f ca="1">ROUND(K725*L725,2)</f>
        <v>0</v>
      </c>
    </row>
    <row r="726" spans="1:13" ht="21.36" thickBot="1" customHeight="1">
      <c r="A726" s="8" t="s">
        <v>2351</v>
      </c>
      <c r="B726" s="8" t="s">
        <v>2352</v>
      </c>
      <c r="C726" s="8" t="s">
        <v>2353</v>
      </c>
      <c r="D726" s="30" t="s">
        <v>2354</v>
      </c>
      <c r="E726" s="30"/>
      <c r="F726" s="30"/>
      <c r="G726" s="30"/>
      <c r="H726" s="30"/>
      <c r="I726" s="30"/>
      <c r="J726" s="30"/>
      <c r="K726" s="31">
        <v>1.000</v>
      </c>
      <c r="L726" s="32">
        <f ca="1">ROUND(28.08,2)</f>
        <v>0</v>
      </c>
      <c r="M726" s="32">
        <f ca="1">ROUND(K726*L726,2)</f>
        <v>0</v>
      </c>
    </row>
    <row r="727" spans="1:13" ht="15.12" thickBot="1" customHeight="1">
      <c r="A727" s="8" t="s">
        <v>2355</v>
      </c>
      <c r="B727" s="8" t="s">
        <v>2356</v>
      </c>
      <c r="C727" s="8" t="s">
        <v>2357</v>
      </c>
      <c r="D727" s="30" t="s">
        <v>2358</v>
      </c>
      <c r="E727" s="30"/>
      <c r="F727" s="30"/>
      <c r="G727" s="30"/>
      <c r="H727" s="30"/>
      <c r="I727" s="30"/>
      <c r="J727" s="30"/>
      <c r="K727" s="31">
        <v>0.442</v>
      </c>
      <c r="L727" s="32">
        <f ca="1">ROUND(11.50,2)</f>
        <v>0</v>
      </c>
      <c r="M727" s="32">
        <f ca="1">ROUND(K727*L727,2)</f>
        <v>0</v>
      </c>
    </row>
    <row r="728" spans="1:13" ht="15.12" thickBot="1" customHeight="1">
      <c r="A728" s="8" t="s">
        <v>2359</v>
      </c>
      <c r="B728" s="8" t="s">
        <v>2360</v>
      </c>
      <c r="C728" s="8" t="s">
        <v>2361</v>
      </c>
      <c r="D728" s="30" t="s">
        <v>2362</v>
      </c>
      <c r="E728" s="30"/>
      <c r="F728" s="30"/>
      <c r="G728" s="30"/>
      <c r="H728" s="30"/>
      <c r="I728" s="30"/>
      <c r="J728" s="30"/>
      <c r="K728" s="31">
        <v>0.541</v>
      </c>
      <c r="L728" s="32">
        <f ca="1">ROUND(26.38,2)</f>
        <v>0</v>
      </c>
      <c r="M728" s="32">
        <f ca="1">ROUND(K728*L728,2)</f>
        <v>0</v>
      </c>
    </row>
    <row r="729" spans="1:13" ht="15.12" thickBot="1" customHeight="1">
      <c r="A729" s="8" t="s">
        <v>2363</v>
      </c>
      <c r="B729" s="8" t="s">
        <v>2364</v>
      </c>
      <c r="C729" s="8" t="s">
        <v>2365</v>
      </c>
      <c r="D729" s="30" t="s">
        <v>2366</v>
      </c>
      <c r="E729" s="30"/>
      <c r="F729" s="30"/>
      <c r="G729" s="30"/>
      <c r="H729" s="30"/>
      <c r="I729" s="30"/>
      <c r="J729" s="30"/>
      <c r="K729" s="31">
        <v>1.110</v>
      </c>
      <c r="L729" s="32">
        <f ca="1">ROUND(23.30,2)</f>
        <v>0</v>
      </c>
      <c r="M729" s="32">
        <f ca="1">ROUND(K729*L729,2)</f>
        <v>0</v>
      </c>
    </row>
    <row r="730" spans="1:13" ht="15.12" thickBot="1" customHeight="1">
      <c r="A730" s="8" t="s">
        <v>2367</v>
      </c>
      <c r="B730" s="8"/>
      <c r="C730" s="8" t="s">
        <v>2368</v>
      </c>
      <c r="D730" s="30" t="s">
        <v>2369</v>
      </c>
      <c r="E730" s="30"/>
      <c r="F730" s="30"/>
      <c r="G730" s="30"/>
      <c r="H730" s="30"/>
      <c r="I730" s="30"/>
      <c r="J730" s="30"/>
      <c r="K730" s="31">
        <v>2.000</v>
      </c>
      <c r="L730" s="32">
        <f ca="1">ROUND(84.54,2)</f>
        <v>0</v>
      </c>
      <c r="M730" s="32">
        <f ca="1">ROUND((K730*L730)/100,2)</f>
        <v>0</v>
      </c>
    </row>
    <row r="731" spans="1:13" ht="15.48" thickBot="1" customHeight="1">
      <c r="A731" s="34"/>
      <c r="B731" s="34"/>
      <c r="C731" s="34"/>
      <c r="D731" s="35" t="s">
        <v>2370</v>
      </c>
      <c r="E731" s="34"/>
      <c r="F731" s="34"/>
      <c r="G731" s="34"/>
      <c r="H731" s="34"/>
      <c r="I731" s="34"/>
      <c r="J731" s="34"/>
      <c r="K731" s="37">
        <v>3.000</v>
      </c>
      <c r="L731" s="38">
        <f ca="1">ROUND((M725+M726+M727+M728+M729+M730)*(1+M2/100),2)</f>
        <v>0</v>
      </c>
      <c r="M731" s="38">
        <f ca="1">ROUND(K731*L731,2)</f>
        <v>0</v>
      </c>
    </row>
    <row r="732" spans="1:13" ht="15.48" thickBot="1" customHeight="1">
      <c r="A732" s="39" t="s">
        <v>2371</v>
      </c>
      <c r="B732" s="40" t="s">
        <v>2372</v>
      </c>
      <c r="C732" s="40" t="s">
        <v>2373</v>
      </c>
      <c r="D732" s="41" t="s">
        <v>2374</v>
      </c>
      <c r="E732" s="41"/>
      <c r="F732" s="41"/>
      <c r="G732" s="41"/>
      <c r="H732" s="41"/>
      <c r="I732" s="41"/>
      <c r="J732" s="41"/>
      <c r="K732" s="42">
        <f ca="1">ROUND(155.64,2)</f>
        <v>0</v>
      </c>
      <c r="L732" s="43">
        <f ca="1">L738</f>
        <v>0</v>
      </c>
      <c r="M732" s="43">
        <f ca="1">ROUND(K732*L732,2)</f>
        <v>0</v>
      </c>
    </row>
    <row r="733" spans="1:13" ht="58.32" thickBot="1" customHeight="1">
      <c r="A733" s="33"/>
      <c r="B733" s="33"/>
      <c r="C733" s="33"/>
      <c r="D733" s="30" t="s">
        <v>2375</v>
      </c>
      <c r="E733" s="30"/>
      <c r="F733" s="30"/>
      <c r="G733" s="30"/>
      <c r="H733" s="30"/>
      <c r="I733" s="30"/>
      <c r="J733" s="30"/>
      <c r="K733" s="30"/>
      <c r="L733" s="30"/>
      <c r="M733" s="30"/>
    </row>
    <row r="734" spans="1:13" ht="39.84" thickBot="1" customHeight="1">
      <c r="A734" s="8" t="s">
        <v>2376</v>
      </c>
      <c r="B734" s="8" t="s">
        <v>2377</v>
      </c>
      <c r="C734" s="8" t="s">
        <v>2378</v>
      </c>
      <c r="D734" s="30" t="s">
        <v>2379</v>
      </c>
      <c r="E734" s="30"/>
      <c r="F734" s="30"/>
      <c r="G734" s="30"/>
      <c r="H734" s="30"/>
      <c r="I734" s="30"/>
      <c r="J734" s="30"/>
      <c r="K734" s="31">
        <v>1.000</v>
      </c>
      <c r="L734" s="32">
        <f ca="1">ROUND(6.81,2)</f>
        <v>0</v>
      </c>
      <c r="M734" s="32">
        <f ca="1">ROUND(K734*L734,2)</f>
        <v>0</v>
      </c>
    </row>
    <row r="735" spans="1:13" ht="15.12" thickBot="1" customHeight="1">
      <c r="A735" s="8" t="s">
        <v>2380</v>
      </c>
      <c r="B735" s="8" t="s">
        <v>2381</v>
      </c>
      <c r="C735" s="8" t="s">
        <v>2382</v>
      </c>
      <c r="D735" s="30" t="s">
        <v>2383</v>
      </c>
      <c r="E735" s="30"/>
      <c r="F735" s="30"/>
      <c r="G735" s="30"/>
      <c r="H735" s="30"/>
      <c r="I735" s="30"/>
      <c r="J735" s="30"/>
      <c r="K735" s="31">
        <v>0.043</v>
      </c>
      <c r="L735" s="32">
        <f ca="1">ROUND(27.24,2)</f>
        <v>0</v>
      </c>
      <c r="M735" s="32">
        <f ca="1">ROUND(K735*L735,2)</f>
        <v>0</v>
      </c>
    </row>
    <row r="736" spans="1:13" ht="15.12" thickBot="1" customHeight="1">
      <c r="A736" s="8" t="s">
        <v>2384</v>
      </c>
      <c r="B736" s="8" t="s">
        <v>2385</v>
      </c>
      <c r="C736" s="8" t="s">
        <v>2386</v>
      </c>
      <c r="D736" s="30" t="s">
        <v>2387</v>
      </c>
      <c r="E736" s="30"/>
      <c r="F736" s="30"/>
      <c r="G736" s="30"/>
      <c r="H736" s="30"/>
      <c r="I736" s="30"/>
      <c r="J736" s="30"/>
      <c r="K736" s="31">
        <v>0.043</v>
      </c>
      <c r="L736" s="32">
        <f ca="1">ROUND(23.25,2)</f>
        <v>0</v>
      </c>
      <c r="M736" s="32">
        <f ca="1">ROUND(K736*L736,2)</f>
        <v>0</v>
      </c>
    </row>
    <row r="737" spans="1:13" ht="15.12" thickBot="1" customHeight="1">
      <c r="A737" s="8" t="s">
        <v>2388</v>
      </c>
      <c r="B737" s="8"/>
      <c r="C737" s="8" t="s">
        <v>2389</v>
      </c>
      <c r="D737" s="30" t="s">
        <v>2390</v>
      </c>
      <c r="E737" s="30"/>
      <c r="F737" s="30"/>
      <c r="G737" s="30"/>
      <c r="H737" s="30"/>
      <c r="I737" s="30"/>
      <c r="J737" s="30"/>
      <c r="K737" s="31">
        <v>2.000</v>
      </c>
      <c r="L737" s="32">
        <f ca="1">ROUND(8.98,2)</f>
        <v>0</v>
      </c>
      <c r="M737" s="32">
        <f ca="1">ROUND((K737*L737)/100,2)</f>
        <v>0</v>
      </c>
    </row>
    <row r="738" spans="1:13" ht="15.48" thickBot="1" customHeight="1">
      <c r="A738" s="34"/>
      <c r="B738" s="34"/>
      <c r="C738" s="34"/>
      <c r="D738" s="35" t="s">
        <v>2391</v>
      </c>
      <c r="E738" s="34"/>
      <c r="F738" s="34"/>
      <c r="G738" s="34"/>
      <c r="H738" s="34"/>
      <c r="I738" s="34"/>
      <c r="J738" s="34"/>
      <c r="K738" s="37">
        <v>155.640</v>
      </c>
      <c r="L738" s="38">
        <f ca="1">ROUND((M734+M735+M736+M737)*(1+M2/100),2)</f>
        <v>0</v>
      </c>
      <c r="M738" s="38">
        <f ca="1">ROUND(K738*L738,2)</f>
        <v>0</v>
      </c>
    </row>
    <row r="739" spans="1:13" ht="21.36" thickBot="1" customHeight="1">
      <c r="A739" s="39" t="s">
        <v>2392</v>
      </c>
      <c r="B739" s="40" t="s">
        <v>2393</v>
      </c>
      <c r="C739" s="40" t="s">
        <v>2394</v>
      </c>
      <c r="D739" s="41" t="s">
        <v>2395</v>
      </c>
      <c r="E739" s="41"/>
      <c r="F739" s="41"/>
      <c r="G739" s="41"/>
      <c r="H739" s="41"/>
      <c r="I739" s="41"/>
      <c r="J739" s="41"/>
      <c r="K739" s="42">
        <f ca="1">ROUND(1.00,2)</f>
        <v>0</v>
      </c>
      <c r="L739" s="43">
        <f ca="1">ROUND(1351.00*(1+M2/100),2)</f>
        <v>0</v>
      </c>
      <c r="M739" s="43">
        <f ca="1">ROUND(K739*L739,2)</f>
        <v>0</v>
      </c>
    </row>
    <row r="740" spans="1:13" ht="326.28" thickBot="1" customHeight="1">
      <c r="A740" s="33"/>
      <c r="B740" s="33"/>
      <c r="C740" s="33"/>
      <c r="D740" s="30" t="s">
        <v>2396</v>
      </c>
      <c r="E740" s="30"/>
      <c r="F740" s="30"/>
      <c r="G740" s="30"/>
      <c r="H740" s="30"/>
      <c r="I740" s="30"/>
      <c r="J740" s="30"/>
      <c r="K740" s="30"/>
      <c r="L740" s="30"/>
      <c r="M740" s="30"/>
    </row>
    <row r="741" spans="1:13" ht="15.48" thickBot="1" customHeight="1">
      <c r="A741" s="34"/>
      <c r="B741" s="34"/>
      <c r="C741" s="34"/>
      <c r="D741" s="63" t="s">
        <v>2397</v>
      </c>
      <c r="E741" s="64"/>
      <c r="F741" s="64"/>
      <c r="G741" s="64"/>
      <c r="H741" s="64"/>
      <c r="I741" s="64"/>
      <c r="J741" s="64"/>
      <c r="K741" s="64"/>
      <c r="L741" s="65">
        <f ca="1">M666+M672+M689+M699+M710+M723+M732+M739</f>
        <v>0</v>
      </c>
      <c r="M741" s="65">
        <f ca="1">ROUND(L741,2)</f>
        <v>0</v>
      </c>
    </row>
    <row r="742" spans="1:13" ht="15.48" thickBot="1" customHeight="1">
      <c r="A742" s="48" t="s">
        <v>2398</v>
      </c>
      <c r="B742" s="48" t="s">
        <v>2399</v>
      </c>
      <c r="C742" s="49"/>
      <c r="D742" s="50" t="s">
        <v>2400</v>
      </c>
      <c r="E742" s="50"/>
      <c r="F742" s="50"/>
      <c r="G742" s="50"/>
      <c r="H742" s="50"/>
      <c r="I742" s="50"/>
      <c r="J742" s="50"/>
      <c r="K742" s="49"/>
      <c r="L742" s="51">
        <f ca="1">L793</f>
        <v>0</v>
      </c>
      <c r="M742" s="51">
        <f ca="1">ROUND(L742,2)</f>
        <v>0</v>
      </c>
    </row>
    <row r="743" spans="1:13" ht="15.48" thickBot="1" customHeight="1">
      <c r="A743" s="15" t="s">
        <v>2401</v>
      </c>
      <c r="B743" s="8" t="s">
        <v>2402</v>
      </c>
      <c r="C743" s="8" t="s">
        <v>2403</v>
      </c>
      <c r="D743" s="30" t="s">
        <v>2404</v>
      </c>
      <c r="E743" s="30"/>
      <c r="F743" s="30"/>
      <c r="G743" s="30"/>
      <c r="H743" s="30"/>
      <c r="I743" s="30"/>
      <c r="J743" s="30"/>
      <c r="K743" s="31">
        <f ca="1">ROUND(200.00,2)</f>
        <v>0</v>
      </c>
      <c r="L743" s="32">
        <f ca="1">L749</f>
        <v>0</v>
      </c>
      <c r="M743" s="32">
        <f ca="1">ROUND(K743*L743,2)</f>
        <v>0</v>
      </c>
    </row>
    <row r="744" spans="1:13" ht="58.32" thickBot="1" customHeight="1">
      <c r="A744" s="33"/>
      <c r="B744" s="33"/>
      <c r="C744" s="33"/>
      <c r="D744" s="30" t="s">
        <v>2405</v>
      </c>
      <c r="E744" s="30"/>
      <c r="F744" s="30"/>
      <c r="G744" s="30"/>
      <c r="H744" s="30"/>
      <c r="I744" s="30"/>
      <c r="J744" s="30"/>
      <c r="K744" s="30"/>
      <c r="L744" s="30"/>
      <c r="M744" s="30"/>
    </row>
    <row r="745" spans="1:13" ht="39.84" thickBot="1" customHeight="1">
      <c r="A745" s="8" t="s">
        <v>2406</v>
      </c>
      <c r="B745" s="8" t="s">
        <v>2407</v>
      </c>
      <c r="C745" s="8" t="s">
        <v>2408</v>
      </c>
      <c r="D745" s="30" t="s">
        <v>2409</v>
      </c>
      <c r="E745" s="30"/>
      <c r="F745" s="30"/>
      <c r="G745" s="30"/>
      <c r="H745" s="30"/>
      <c r="I745" s="30"/>
      <c r="J745" s="30"/>
      <c r="K745" s="31">
        <v>1.000</v>
      </c>
      <c r="L745" s="32">
        <f ca="1">ROUND(1.43,2)</f>
        <v>0</v>
      </c>
      <c r="M745" s="32">
        <f ca="1">ROUND(K745*L745,2)</f>
        <v>0</v>
      </c>
    </row>
    <row r="746" spans="1:13" ht="15.12" thickBot="1" customHeight="1">
      <c r="A746" s="8" t="s">
        <v>2410</v>
      </c>
      <c r="B746" s="8" t="s">
        <v>2411</v>
      </c>
      <c r="C746" s="8" t="s">
        <v>2412</v>
      </c>
      <c r="D746" s="30" t="s">
        <v>2413</v>
      </c>
      <c r="E746" s="30"/>
      <c r="F746" s="30"/>
      <c r="G746" s="30"/>
      <c r="H746" s="30"/>
      <c r="I746" s="30"/>
      <c r="J746" s="30"/>
      <c r="K746" s="31">
        <v>0.016</v>
      </c>
      <c r="L746" s="32">
        <f ca="1">ROUND(27.24,2)</f>
        <v>0</v>
      </c>
      <c r="M746" s="32">
        <f ca="1">ROUND(K746*L746,2)</f>
        <v>0</v>
      </c>
    </row>
    <row r="747" spans="1:13" ht="15.12" thickBot="1" customHeight="1">
      <c r="A747" s="8" t="s">
        <v>2414</v>
      </c>
      <c r="B747" s="8" t="s">
        <v>2415</v>
      </c>
      <c r="C747" s="8" t="s">
        <v>2416</v>
      </c>
      <c r="D747" s="30" t="s">
        <v>2417</v>
      </c>
      <c r="E747" s="30"/>
      <c r="F747" s="30"/>
      <c r="G747" s="30"/>
      <c r="H747" s="30"/>
      <c r="I747" s="30"/>
      <c r="J747" s="30"/>
      <c r="K747" s="31">
        <v>0.016</v>
      </c>
      <c r="L747" s="32">
        <f ca="1">ROUND(23.25,2)</f>
        <v>0</v>
      </c>
      <c r="M747" s="32">
        <f ca="1">ROUND(K747*L747,2)</f>
        <v>0</v>
      </c>
    </row>
    <row r="748" spans="1:13" ht="15.12" thickBot="1" customHeight="1">
      <c r="A748" s="8" t="s">
        <v>2418</v>
      </c>
      <c r="B748" s="8"/>
      <c r="C748" s="8" t="s">
        <v>2419</v>
      </c>
      <c r="D748" s="30" t="s">
        <v>2420</v>
      </c>
      <c r="E748" s="30"/>
      <c r="F748" s="30"/>
      <c r="G748" s="30"/>
      <c r="H748" s="30"/>
      <c r="I748" s="30"/>
      <c r="J748" s="30"/>
      <c r="K748" s="31">
        <v>2.000</v>
      </c>
      <c r="L748" s="32">
        <f ca="1">ROUND(2.24,2)</f>
        <v>0</v>
      </c>
      <c r="M748" s="32">
        <f ca="1">ROUND((K748*L748)/100,2)</f>
        <v>0</v>
      </c>
    </row>
    <row r="749" spans="1:13" ht="15.48" thickBot="1" customHeight="1">
      <c r="A749" s="34"/>
      <c r="B749" s="34"/>
      <c r="C749" s="34"/>
      <c r="D749" s="35" t="s">
        <v>2421</v>
      </c>
      <c r="E749" s="34"/>
      <c r="F749" s="34"/>
      <c r="G749" s="34"/>
      <c r="H749" s="34"/>
      <c r="I749" s="34"/>
      <c r="J749" s="34"/>
      <c r="K749" s="37">
        <v>200.000</v>
      </c>
      <c r="L749" s="38">
        <f ca="1">ROUND((M745+M746+M747+M748)*(1+M2/100),2)</f>
        <v>0</v>
      </c>
      <c r="M749" s="38">
        <f ca="1">ROUND(K749*L749,2)</f>
        <v>0</v>
      </c>
    </row>
    <row r="750" spans="1:13" ht="15.48" thickBot="1" customHeight="1">
      <c r="A750" s="39" t="s">
        <v>2422</v>
      </c>
      <c r="B750" s="40" t="s">
        <v>2423</v>
      </c>
      <c r="C750" s="40" t="s">
        <v>2424</v>
      </c>
      <c r="D750" s="41" t="s">
        <v>2425</v>
      </c>
      <c r="E750" s="41"/>
      <c r="F750" s="41"/>
      <c r="G750" s="41"/>
      <c r="H750" s="41"/>
      <c r="I750" s="41"/>
      <c r="J750" s="41"/>
      <c r="K750" s="42">
        <f ca="1">ROUND(100.00,2)</f>
        <v>0</v>
      </c>
      <c r="L750" s="43">
        <f ca="1">L756</f>
        <v>0</v>
      </c>
      <c r="M750" s="43">
        <f ca="1">ROUND(K750*L750,2)</f>
        <v>0</v>
      </c>
    </row>
    <row r="751" spans="1:13" ht="86.04" thickBot="1" customHeight="1">
      <c r="A751" s="33"/>
      <c r="B751" s="33"/>
      <c r="C751" s="33"/>
      <c r="D751" s="30" t="s">
        <v>2426</v>
      </c>
      <c r="E751" s="30"/>
      <c r="F751" s="30"/>
      <c r="G751" s="30"/>
      <c r="H751" s="30"/>
      <c r="I751" s="30"/>
      <c r="J751" s="30"/>
      <c r="K751" s="30"/>
      <c r="L751" s="30"/>
      <c r="M751" s="30"/>
    </row>
    <row r="752" spans="1:13" ht="21.36" thickBot="1" customHeight="1">
      <c r="A752" s="8" t="s">
        <v>2427</v>
      </c>
      <c r="B752" s="8" t="s">
        <v>2428</v>
      </c>
      <c r="C752" s="8" t="s">
        <v>2429</v>
      </c>
      <c r="D752" s="30" t="s">
        <v>2430</v>
      </c>
      <c r="E752" s="30"/>
      <c r="F752" s="30"/>
      <c r="G752" s="30"/>
      <c r="H752" s="30"/>
      <c r="I752" s="30"/>
      <c r="J752" s="30"/>
      <c r="K752" s="31">
        <v>1.000</v>
      </c>
      <c r="L752" s="32">
        <f ca="1">ROUND(5.50,2)</f>
        <v>0</v>
      </c>
      <c r="M752" s="32">
        <f ca="1">ROUND(K752*L752,2)</f>
        <v>0</v>
      </c>
    </row>
    <row r="753" spans="1:13" ht="15.12" thickBot="1" customHeight="1">
      <c r="A753" s="8" t="s">
        <v>2431</v>
      </c>
      <c r="B753" s="8" t="s">
        <v>2432</v>
      </c>
      <c r="C753" s="8" t="s">
        <v>2433</v>
      </c>
      <c r="D753" s="30" t="s">
        <v>2434</v>
      </c>
      <c r="E753" s="30"/>
      <c r="F753" s="30"/>
      <c r="G753" s="30"/>
      <c r="H753" s="30"/>
      <c r="I753" s="30"/>
      <c r="J753" s="30"/>
      <c r="K753" s="31">
        <v>0.016</v>
      </c>
      <c r="L753" s="32">
        <f ca="1">ROUND(27.24,2)</f>
        <v>0</v>
      </c>
      <c r="M753" s="32">
        <f ca="1">ROUND(K753*L753,2)</f>
        <v>0</v>
      </c>
    </row>
    <row r="754" spans="1:13" ht="15.12" thickBot="1" customHeight="1">
      <c r="A754" s="8" t="s">
        <v>2435</v>
      </c>
      <c r="B754" s="8" t="s">
        <v>2436</v>
      </c>
      <c r="C754" s="8" t="s">
        <v>2437</v>
      </c>
      <c r="D754" s="30" t="s">
        <v>2438</v>
      </c>
      <c r="E754" s="30"/>
      <c r="F754" s="30"/>
      <c r="G754" s="30"/>
      <c r="H754" s="30"/>
      <c r="I754" s="30"/>
      <c r="J754" s="30"/>
      <c r="K754" s="31">
        <v>0.016</v>
      </c>
      <c r="L754" s="32">
        <f ca="1">ROUND(23.25,2)</f>
        <v>0</v>
      </c>
      <c r="M754" s="32">
        <f ca="1">ROUND(K754*L754,2)</f>
        <v>0</v>
      </c>
    </row>
    <row r="755" spans="1:13" ht="15.12" thickBot="1" customHeight="1">
      <c r="A755" s="8" t="s">
        <v>2439</v>
      </c>
      <c r="B755" s="8"/>
      <c r="C755" s="8" t="s">
        <v>2440</v>
      </c>
      <c r="D755" s="30" t="s">
        <v>2441</v>
      </c>
      <c r="E755" s="30"/>
      <c r="F755" s="30"/>
      <c r="G755" s="30"/>
      <c r="H755" s="30"/>
      <c r="I755" s="30"/>
      <c r="J755" s="30"/>
      <c r="K755" s="31">
        <v>2.000</v>
      </c>
      <c r="L755" s="32">
        <f ca="1">ROUND(6.31,2)</f>
        <v>0</v>
      </c>
      <c r="M755" s="32">
        <f ca="1">ROUND((K755*L755)/100,2)</f>
        <v>0</v>
      </c>
    </row>
    <row r="756" spans="1:13" ht="15.48" thickBot="1" customHeight="1">
      <c r="A756" s="34"/>
      <c r="B756" s="34"/>
      <c r="C756" s="34"/>
      <c r="D756" s="35" t="s">
        <v>2442</v>
      </c>
      <c r="E756" s="34"/>
      <c r="F756" s="34"/>
      <c r="G756" s="34"/>
      <c r="H756" s="34"/>
      <c r="I756" s="34"/>
      <c r="J756" s="34"/>
      <c r="K756" s="37">
        <v>100.000</v>
      </c>
      <c r="L756" s="38">
        <f ca="1">ROUND((M752+M753+M754+M755)*(1+M2/100),2)</f>
        <v>0</v>
      </c>
      <c r="M756" s="38">
        <f ca="1">ROUND(K756*L756,2)</f>
        <v>0</v>
      </c>
    </row>
    <row r="757" spans="1:13" ht="15.48" thickBot="1" customHeight="1">
      <c r="A757" s="39" t="s">
        <v>2443</v>
      </c>
      <c r="B757" s="40" t="s">
        <v>2444</v>
      </c>
      <c r="C757" s="40" t="s">
        <v>2445</v>
      </c>
      <c r="D757" s="41" t="s">
        <v>2446</v>
      </c>
      <c r="E757" s="41"/>
      <c r="F757" s="41"/>
      <c r="G757" s="41"/>
      <c r="H757" s="41"/>
      <c r="I757" s="41"/>
      <c r="J757" s="41"/>
      <c r="K757" s="42">
        <f ca="1">ROUND(1.00,2)</f>
        <v>0</v>
      </c>
      <c r="L757" s="43">
        <f ca="1">L764</f>
        <v>0</v>
      </c>
      <c r="M757" s="43">
        <f ca="1">ROUND(K757*L757,2)</f>
        <v>0</v>
      </c>
    </row>
    <row r="758" spans="1:13" ht="58.32" thickBot="1" customHeight="1">
      <c r="A758" s="33"/>
      <c r="B758" s="33"/>
      <c r="C758" s="33"/>
      <c r="D758" s="30" t="s">
        <v>2447</v>
      </c>
      <c r="E758" s="30"/>
      <c r="F758" s="30"/>
      <c r="G758" s="30"/>
      <c r="H758" s="30"/>
      <c r="I758" s="30"/>
      <c r="J758" s="30"/>
      <c r="K758" s="30"/>
      <c r="L758" s="30"/>
      <c r="M758" s="30"/>
    </row>
    <row r="759" spans="1:13" ht="21.36" thickBot="1" customHeight="1">
      <c r="A759" s="8" t="s">
        <v>2448</v>
      </c>
      <c r="B759" s="8" t="s">
        <v>2449</v>
      </c>
      <c r="C759" s="8" t="s">
        <v>2450</v>
      </c>
      <c r="D759" s="30" t="s">
        <v>2451</v>
      </c>
      <c r="E759" s="30"/>
      <c r="F759" s="30"/>
      <c r="G759" s="30"/>
      <c r="H759" s="30"/>
      <c r="I759" s="30"/>
      <c r="J759" s="30"/>
      <c r="K759" s="31">
        <v>1.000</v>
      </c>
      <c r="L759" s="32">
        <f ca="1">ROUND(98.00,2)</f>
        <v>0</v>
      </c>
      <c r="M759" s="32">
        <f ca="1">ROUND(K759*L759,2)</f>
        <v>0</v>
      </c>
    </row>
    <row r="760" spans="1:13" ht="39.84" thickBot="1" customHeight="1">
      <c r="A760" s="8" t="s">
        <v>2452</v>
      </c>
      <c r="B760" s="8" t="s">
        <v>2453</v>
      </c>
      <c r="C760" s="8" t="s">
        <v>2454</v>
      </c>
      <c r="D760" s="30" t="s">
        <v>2455</v>
      </c>
      <c r="E760" s="30"/>
      <c r="F760" s="30"/>
      <c r="G760" s="30"/>
      <c r="H760" s="30"/>
      <c r="I760" s="30"/>
      <c r="J760" s="30"/>
      <c r="K760" s="31">
        <v>1.000</v>
      </c>
      <c r="L760" s="32">
        <f ca="1">ROUND(6.23,2)</f>
        <v>0</v>
      </c>
      <c r="M760" s="32">
        <f ca="1">ROUND(K760*L760,2)</f>
        <v>0</v>
      </c>
    </row>
    <row r="761" spans="1:13" ht="15.12" thickBot="1" customHeight="1">
      <c r="A761" s="8" t="s">
        <v>2456</v>
      </c>
      <c r="B761" s="8" t="s">
        <v>2457</v>
      </c>
      <c r="C761" s="8" t="s">
        <v>2458</v>
      </c>
      <c r="D761" s="30" t="s">
        <v>2459</v>
      </c>
      <c r="E761" s="30"/>
      <c r="F761" s="30"/>
      <c r="G761" s="30"/>
      <c r="H761" s="30"/>
      <c r="I761" s="30"/>
      <c r="J761" s="30"/>
      <c r="K761" s="31">
        <v>0.216</v>
      </c>
      <c r="L761" s="32">
        <f ca="1">ROUND(27.24,2)</f>
        <v>0</v>
      </c>
      <c r="M761" s="32">
        <f ca="1">ROUND(K761*L761,2)</f>
        <v>0</v>
      </c>
    </row>
    <row r="762" spans="1:13" ht="15.12" thickBot="1" customHeight="1">
      <c r="A762" s="8" t="s">
        <v>2460</v>
      </c>
      <c r="B762" s="8" t="s">
        <v>2461</v>
      </c>
      <c r="C762" s="8" t="s">
        <v>2462</v>
      </c>
      <c r="D762" s="30" t="s">
        <v>2463</v>
      </c>
      <c r="E762" s="30"/>
      <c r="F762" s="30"/>
      <c r="G762" s="30"/>
      <c r="H762" s="30"/>
      <c r="I762" s="30"/>
      <c r="J762" s="30"/>
      <c r="K762" s="31">
        <v>0.216</v>
      </c>
      <c r="L762" s="32">
        <f ca="1">ROUND(23.25,2)</f>
        <v>0</v>
      </c>
      <c r="M762" s="32">
        <f ca="1">ROUND(K762*L762,2)</f>
        <v>0</v>
      </c>
    </row>
    <row r="763" spans="1:13" ht="15.12" thickBot="1" customHeight="1">
      <c r="A763" s="8" t="s">
        <v>2464</v>
      </c>
      <c r="B763" s="8"/>
      <c r="C763" s="8" t="s">
        <v>2465</v>
      </c>
      <c r="D763" s="30" t="s">
        <v>2466</v>
      </c>
      <c r="E763" s="30"/>
      <c r="F763" s="30"/>
      <c r="G763" s="30"/>
      <c r="H763" s="30"/>
      <c r="I763" s="30"/>
      <c r="J763" s="30"/>
      <c r="K763" s="31">
        <v>2.000</v>
      </c>
      <c r="L763" s="32">
        <f ca="1">ROUND(115.13,2)</f>
        <v>0</v>
      </c>
      <c r="M763" s="32">
        <f ca="1">ROUND((K763*L763)/100,2)</f>
        <v>0</v>
      </c>
    </row>
    <row r="764" spans="1:13" ht="15.48" thickBot="1" customHeight="1">
      <c r="A764" s="34"/>
      <c r="B764" s="34"/>
      <c r="C764" s="34"/>
      <c r="D764" s="35" t="s">
        <v>2467</v>
      </c>
      <c r="E764" s="34"/>
      <c r="F764" s="34"/>
      <c r="G764" s="34"/>
      <c r="H764" s="34"/>
      <c r="I764" s="34"/>
      <c r="J764" s="34"/>
      <c r="K764" s="37">
        <v>1.000</v>
      </c>
      <c r="L764" s="38">
        <f ca="1">ROUND((M759+M760+M761+M762+M763)*(1+M2/100),2)</f>
        <v>0</v>
      </c>
      <c r="M764" s="38">
        <f ca="1">ROUND(K764*L764,2)</f>
        <v>0</v>
      </c>
    </row>
    <row r="765" spans="1:13" ht="15.48" thickBot="1" customHeight="1">
      <c r="A765" s="39" t="s">
        <v>2468</v>
      </c>
      <c r="B765" s="40" t="s">
        <v>2469</v>
      </c>
      <c r="C765" s="40" t="s">
        <v>2470</v>
      </c>
      <c r="D765" s="41" t="s">
        <v>2471</v>
      </c>
      <c r="E765" s="41"/>
      <c r="F765" s="41"/>
      <c r="G765" s="41"/>
      <c r="H765" s="41"/>
      <c r="I765" s="41"/>
      <c r="J765" s="41"/>
      <c r="K765" s="42">
        <f ca="1">ROUND(64.70,2)</f>
        <v>0</v>
      </c>
      <c r="L765" s="43">
        <f ca="1">L778</f>
        <v>0</v>
      </c>
      <c r="M765" s="43">
        <f ca="1">ROUND(K765*L765,2)</f>
        <v>0</v>
      </c>
    </row>
    <row r="766" spans="1:13" ht="86.04" thickBot="1" customHeight="1">
      <c r="A766" s="33"/>
      <c r="B766" s="33"/>
      <c r="C766" s="33"/>
      <c r="D766" s="30" t="s">
        <v>2472</v>
      </c>
      <c r="E766" s="30"/>
      <c r="F766" s="30"/>
      <c r="G766" s="30"/>
      <c r="H766" s="30"/>
      <c r="I766" s="30"/>
      <c r="J766" s="30"/>
      <c r="K766" s="30"/>
      <c r="L766" s="30"/>
      <c r="M766" s="30"/>
    </row>
    <row r="767" spans="1:13" ht="15.12" thickBot="1" customHeight="1">
      <c r="A767" s="8" t="s">
        <v>2473</v>
      </c>
      <c r="B767" s="8" t="s">
        <v>2474</v>
      </c>
      <c r="C767" s="8" t="s">
        <v>2475</v>
      </c>
      <c r="D767" s="30" t="s">
        <v>2476</v>
      </c>
      <c r="E767" s="30"/>
      <c r="F767" s="30"/>
      <c r="G767" s="30"/>
      <c r="H767" s="30"/>
      <c r="I767" s="30"/>
      <c r="J767" s="30"/>
      <c r="K767" s="31">
        <v>0.061</v>
      </c>
      <c r="L767" s="32">
        <f ca="1">ROUND(14.30,2)</f>
        <v>0</v>
      </c>
      <c r="M767" s="32">
        <f ca="1">ROUND(K767*L767,2)</f>
        <v>0</v>
      </c>
    </row>
    <row r="768" spans="1:13" ht="39.84" thickBot="1" customHeight="1">
      <c r="A768" s="8" t="s">
        <v>2477</v>
      </c>
      <c r="B768" s="8" t="s">
        <v>2478</v>
      </c>
      <c r="C768" s="8" t="s">
        <v>2479</v>
      </c>
      <c r="D768" s="30" t="s">
        <v>2480</v>
      </c>
      <c r="E768" s="30"/>
      <c r="F768" s="30"/>
      <c r="G768" s="30"/>
      <c r="H768" s="30"/>
      <c r="I768" s="30"/>
      <c r="J768" s="30"/>
      <c r="K768" s="31">
        <v>1.000</v>
      </c>
      <c r="L768" s="32">
        <f ca="1">ROUND(3.79,2)</f>
        <v>0</v>
      </c>
      <c r="M768" s="32">
        <f ca="1">ROUND(K768*L768,2)</f>
        <v>0</v>
      </c>
    </row>
    <row r="769" spans="1:13" ht="21.36" thickBot="1" customHeight="1">
      <c r="A769" s="8" t="s">
        <v>2481</v>
      </c>
      <c r="B769" s="8" t="s">
        <v>2482</v>
      </c>
      <c r="C769" s="8" t="s">
        <v>2483</v>
      </c>
      <c r="D769" s="30" t="s">
        <v>2484</v>
      </c>
      <c r="E769" s="30"/>
      <c r="F769" s="30"/>
      <c r="G769" s="30"/>
      <c r="H769" s="30"/>
      <c r="I769" s="30"/>
      <c r="J769" s="30"/>
      <c r="K769" s="31">
        <v>1.000</v>
      </c>
      <c r="L769" s="32">
        <f ca="1">ROUND(0.25,2)</f>
        <v>0</v>
      </c>
      <c r="M769" s="32">
        <f ca="1">ROUND(K769*L769,2)</f>
        <v>0</v>
      </c>
    </row>
    <row r="770" spans="1:13" ht="15.12" thickBot="1" customHeight="1">
      <c r="A770" s="8" t="s">
        <v>2485</v>
      </c>
      <c r="B770" s="8" t="s">
        <v>2486</v>
      </c>
      <c r="C770" s="8" t="s">
        <v>2487</v>
      </c>
      <c r="D770" s="30" t="s">
        <v>2488</v>
      </c>
      <c r="E770" s="30"/>
      <c r="F770" s="30"/>
      <c r="G770" s="30"/>
      <c r="H770" s="30"/>
      <c r="I770" s="30"/>
      <c r="J770" s="30"/>
      <c r="K770" s="31">
        <v>0.006</v>
      </c>
      <c r="L770" s="32">
        <f ca="1">ROUND(10.38,2)</f>
        <v>0</v>
      </c>
      <c r="M770" s="32">
        <f ca="1">ROUND(K770*L770,2)</f>
        <v>0</v>
      </c>
    </row>
    <row r="771" spans="1:13" ht="15.12" thickBot="1" customHeight="1">
      <c r="A771" s="8" t="s">
        <v>2489</v>
      </c>
      <c r="B771" s="8" t="s">
        <v>2490</v>
      </c>
      <c r="C771" s="8" t="s">
        <v>2491</v>
      </c>
      <c r="D771" s="30" t="s">
        <v>2492</v>
      </c>
      <c r="E771" s="30"/>
      <c r="F771" s="30"/>
      <c r="G771" s="30"/>
      <c r="H771" s="30"/>
      <c r="I771" s="30"/>
      <c r="J771" s="30"/>
      <c r="K771" s="31">
        <v>0.047</v>
      </c>
      <c r="L771" s="32">
        <f ca="1">ROUND(3.92,2)</f>
        <v>0</v>
      </c>
      <c r="M771" s="32">
        <f ca="1">ROUND(K771*L771,2)</f>
        <v>0</v>
      </c>
    </row>
    <row r="772" spans="1:13" ht="15.12" thickBot="1" customHeight="1">
      <c r="A772" s="8" t="s">
        <v>2493</v>
      </c>
      <c r="B772" s="8" t="s">
        <v>2494</v>
      </c>
      <c r="C772" s="8" t="s">
        <v>2495</v>
      </c>
      <c r="D772" s="30" t="s">
        <v>2496</v>
      </c>
      <c r="E772" s="30"/>
      <c r="F772" s="30"/>
      <c r="G772" s="30"/>
      <c r="H772" s="30"/>
      <c r="I772" s="30"/>
      <c r="J772" s="30"/>
      <c r="K772" s="31">
        <v>0.001</v>
      </c>
      <c r="L772" s="32">
        <f ca="1">ROUND(118.90,2)</f>
        <v>0</v>
      </c>
      <c r="M772" s="32">
        <f ca="1">ROUND(K772*L772,2)</f>
        <v>0</v>
      </c>
    </row>
    <row r="773" spans="1:13" ht="15.12" thickBot="1" customHeight="1">
      <c r="A773" s="8" t="s">
        <v>2497</v>
      </c>
      <c r="B773" s="8" t="s">
        <v>2498</v>
      </c>
      <c r="C773" s="8" t="s">
        <v>2499</v>
      </c>
      <c r="D773" s="30" t="s">
        <v>2500</v>
      </c>
      <c r="E773" s="30"/>
      <c r="F773" s="30"/>
      <c r="G773" s="30"/>
      <c r="H773" s="30"/>
      <c r="I773" s="30"/>
      <c r="J773" s="30"/>
      <c r="K773" s="31">
        <v>0.050</v>
      </c>
      <c r="L773" s="32">
        <f ca="1">ROUND(26.38,2)</f>
        <v>0</v>
      </c>
      <c r="M773" s="32">
        <f ca="1">ROUND(K773*L773,2)</f>
        <v>0</v>
      </c>
    </row>
    <row r="774" spans="1:13" ht="15.12" thickBot="1" customHeight="1">
      <c r="A774" s="8" t="s">
        <v>2501</v>
      </c>
      <c r="B774" s="8" t="s">
        <v>2502</v>
      </c>
      <c r="C774" s="8" t="s">
        <v>2503</v>
      </c>
      <c r="D774" s="30" t="s">
        <v>2504</v>
      </c>
      <c r="E774" s="30"/>
      <c r="F774" s="30"/>
      <c r="G774" s="30"/>
      <c r="H774" s="30"/>
      <c r="I774" s="30"/>
      <c r="J774" s="30"/>
      <c r="K774" s="31">
        <v>0.050</v>
      </c>
      <c r="L774" s="32">
        <f ca="1">ROUND(20.97,2)</f>
        <v>0</v>
      </c>
      <c r="M774" s="32">
        <f ca="1">ROUND(K774*L774,2)</f>
        <v>0</v>
      </c>
    </row>
    <row r="775" spans="1:13" ht="15.12" thickBot="1" customHeight="1">
      <c r="A775" s="8" t="s">
        <v>2505</v>
      </c>
      <c r="B775" s="8" t="s">
        <v>2506</v>
      </c>
      <c r="C775" s="8" t="s">
        <v>2507</v>
      </c>
      <c r="D775" s="30" t="s">
        <v>2508</v>
      </c>
      <c r="E775" s="30"/>
      <c r="F775" s="30"/>
      <c r="G775" s="30"/>
      <c r="H775" s="30"/>
      <c r="I775" s="30"/>
      <c r="J775" s="30"/>
      <c r="K775" s="31">
        <v>0.027</v>
      </c>
      <c r="L775" s="32">
        <f ca="1">ROUND(27.24,2)</f>
        <v>0</v>
      </c>
      <c r="M775" s="32">
        <f ca="1">ROUND(K775*L775,2)</f>
        <v>0</v>
      </c>
    </row>
    <row r="776" spans="1:13" ht="15.12" thickBot="1" customHeight="1">
      <c r="A776" s="8" t="s">
        <v>2509</v>
      </c>
      <c r="B776" s="8" t="s">
        <v>2510</v>
      </c>
      <c r="C776" s="8" t="s">
        <v>2511</v>
      </c>
      <c r="D776" s="30" t="s">
        <v>2512</v>
      </c>
      <c r="E776" s="30"/>
      <c r="F776" s="30"/>
      <c r="G776" s="30"/>
      <c r="H776" s="30"/>
      <c r="I776" s="30"/>
      <c r="J776" s="30"/>
      <c r="K776" s="31">
        <v>0.022</v>
      </c>
      <c r="L776" s="32">
        <f ca="1">ROUND(23.25,2)</f>
        <v>0</v>
      </c>
      <c r="M776" s="32">
        <f ca="1">ROUND(K776*L776,2)</f>
        <v>0</v>
      </c>
    </row>
    <row r="777" spans="1:13" ht="15.12" thickBot="1" customHeight="1">
      <c r="A777" s="8" t="s">
        <v>2513</v>
      </c>
      <c r="B777" s="8"/>
      <c r="C777" s="8" t="s">
        <v>2514</v>
      </c>
      <c r="D777" s="30" t="s">
        <v>2515</v>
      </c>
      <c r="E777" s="30"/>
      <c r="F777" s="30"/>
      <c r="G777" s="30"/>
      <c r="H777" s="30"/>
      <c r="I777" s="30"/>
      <c r="J777" s="30"/>
      <c r="K777" s="31">
        <v>2.000</v>
      </c>
      <c r="L777" s="32">
        <f ca="1">ROUND(8.89,2)</f>
        <v>0</v>
      </c>
      <c r="M777" s="32">
        <f ca="1">ROUND((K777*L777)/100,2)</f>
        <v>0</v>
      </c>
    </row>
    <row r="778" spans="1:13" ht="15.48" thickBot="1" customHeight="1">
      <c r="A778" s="34"/>
      <c r="B778" s="34"/>
      <c r="C778" s="34"/>
      <c r="D778" s="35" t="s">
        <v>2516</v>
      </c>
      <c r="E778" s="34"/>
      <c r="F778" s="34"/>
      <c r="G778" s="34"/>
      <c r="H778" s="34"/>
      <c r="I778" s="34"/>
      <c r="J778" s="34"/>
      <c r="K778" s="37">
        <v>64.700</v>
      </c>
      <c r="L778" s="38">
        <f ca="1">ROUND((M767+M768+M769+M770+M771+M772+M773+M774+M775+M776+M777)*(1+M2/100),2)</f>
        <v>0</v>
      </c>
      <c r="M778" s="38">
        <f ca="1">ROUND(K778*L778,2)</f>
        <v>0</v>
      </c>
    </row>
    <row r="779" spans="1:13" ht="15.48" thickBot="1" customHeight="1">
      <c r="A779" s="39" t="s">
        <v>2517</v>
      </c>
      <c r="B779" s="40" t="s">
        <v>2518</v>
      </c>
      <c r="C779" s="40" t="s">
        <v>2519</v>
      </c>
      <c r="D779" s="41" t="s">
        <v>2520</v>
      </c>
      <c r="E779" s="41"/>
      <c r="F779" s="41"/>
      <c r="G779" s="41"/>
      <c r="H779" s="41"/>
      <c r="I779" s="41"/>
      <c r="J779" s="41"/>
      <c r="K779" s="42">
        <f ca="1">ROUND(10.00,2)</f>
        <v>0</v>
      </c>
      <c r="L779" s="43">
        <f ca="1">L792</f>
        <v>0</v>
      </c>
      <c r="M779" s="43">
        <f ca="1">ROUND(K779*L779,2)</f>
        <v>0</v>
      </c>
    </row>
    <row r="780" spans="1:13" ht="86.04" thickBot="1" customHeight="1">
      <c r="A780" s="33"/>
      <c r="B780" s="33"/>
      <c r="C780" s="33"/>
      <c r="D780" s="30" t="s">
        <v>2521</v>
      </c>
      <c r="E780" s="30"/>
      <c r="F780" s="30"/>
      <c r="G780" s="30"/>
      <c r="H780" s="30"/>
      <c r="I780" s="30"/>
      <c r="J780" s="30"/>
      <c r="K780" s="30"/>
      <c r="L780" s="30"/>
      <c r="M780" s="30"/>
    </row>
    <row r="781" spans="1:13" ht="15.12" thickBot="1" customHeight="1">
      <c r="A781" s="8" t="s">
        <v>2522</v>
      </c>
      <c r="B781" s="8" t="s">
        <v>2523</v>
      </c>
      <c r="C781" s="8" t="s">
        <v>2524</v>
      </c>
      <c r="D781" s="30" t="s">
        <v>2525</v>
      </c>
      <c r="E781" s="30"/>
      <c r="F781" s="30"/>
      <c r="G781" s="30"/>
      <c r="H781" s="30"/>
      <c r="I781" s="30"/>
      <c r="J781" s="30"/>
      <c r="K781" s="31">
        <v>0.061</v>
      </c>
      <c r="L781" s="32">
        <f ca="1">ROUND(14.30,2)</f>
        <v>0</v>
      </c>
      <c r="M781" s="32">
        <f ca="1">ROUND(K781*L781,2)</f>
        <v>0</v>
      </c>
    </row>
    <row r="782" spans="1:13" ht="39.84" thickBot="1" customHeight="1">
      <c r="A782" s="8" t="s">
        <v>2526</v>
      </c>
      <c r="B782" s="8" t="s">
        <v>2527</v>
      </c>
      <c r="C782" s="8" t="s">
        <v>2528</v>
      </c>
      <c r="D782" s="30" t="s">
        <v>2529</v>
      </c>
      <c r="E782" s="30"/>
      <c r="F782" s="30"/>
      <c r="G782" s="30"/>
      <c r="H782" s="30"/>
      <c r="I782" s="30"/>
      <c r="J782" s="30"/>
      <c r="K782" s="31">
        <v>1.000</v>
      </c>
      <c r="L782" s="32">
        <f ca="1">ROUND(3.79,2)</f>
        <v>0</v>
      </c>
      <c r="M782" s="32">
        <f ca="1">ROUND(K782*L782,2)</f>
        <v>0</v>
      </c>
    </row>
    <row r="783" spans="1:13" ht="21.36" thickBot="1" customHeight="1">
      <c r="A783" s="8" t="s">
        <v>2530</v>
      </c>
      <c r="B783" s="8" t="s">
        <v>2531</v>
      </c>
      <c r="C783" s="8" t="s">
        <v>2532</v>
      </c>
      <c r="D783" s="30" t="s">
        <v>2533</v>
      </c>
      <c r="E783" s="30"/>
      <c r="F783" s="30"/>
      <c r="G783" s="30"/>
      <c r="H783" s="30"/>
      <c r="I783" s="30"/>
      <c r="J783" s="30"/>
      <c r="K783" s="31">
        <v>1.000</v>
      </c>
      <c r="L783" s="32">
        <f ca="1">ROUND(0.25,2)</f>
        <v>0</v>
      </c>
      <c r="M783" s="32">
        <f ca="1">ROUND(K783*L783,2)</f>
        <v>0</v>
      </c>
    </row>
    <row r="784" spans="1:13" ht="15.12" thickBot="1" customHeight="1">
      <c r="A784" s="8" t="s">
        <v>2534</v>
      </c>
      <c r="B784" s="8" t="s">
        <v>2535</v>
      </c>
      <c r="C784" s="8" t="s">
        <v>2536</v>
      </c>
      <c r="D784" s="30" t="s">
        <v>2537</v>
      </c>
      <c r="E784" s="30"/>
      <c r="F784" s="30"/>
      <c r="G784" s="30"/>
      <c r="H784" s="30"/>
      <c r="I784" s="30"/>
      <c r="J784" s="30"/>
      <c r="K784" s="31">
        <v>0.006</v>
      </c>
      <c r="L784" s="32">
        <f ca="1">ROUND(10.38,2)</f>
        <v>0</v>
      </c>
      <c r="M784" s="32">
        <f ca="1">ROUND(K784*L784,2)</f>
        <v>0</v>
      </c>
    </row>
    <row r="785" spans="1:13" ht="15.12" thickBot="1" customHeight="1">
      <c r="A785" s="8" t="s">
        <v>2538</v>
      </c>
      <c r="B785" s="8" t="s">
        <v>2539</v>
      </c>
      <c r="C785" s="8" t="s">
        <v>2540</v>
      </c>
      <c r="D785" s="30" t="s">
        <v>2541</v>
      </c>
      <c r="E785" s="30"/>
      <c r="F785" s="30"/>
      <c r="G785" s="30"/>
      <c r="H785" s="30"/>
      <c r="I785" s="30"/>
      <c r="J785" s="30"/>
      <c r="K785" s="31">
        <v>0.047</v>
      </c>
      <c r="L785" s="32">
        <f ca="1">ROUND(3.92,2)</f>
        <v>0</v>
      </c>
      <c r="M785" s="32">
        <f ca="1">ROUND(K785*L785,2)</f>
        <v>0</v>
      </c>
    </row>
    <row r="786" spans="1:13" ht="15.12" thickBot="1" customHeight="1">
      <c r="A786" s="8" t="s">
        <v>2542</v>
      </c>
      <c r="B786" s="8" t="s">
        <v>2543</v>
      </c>
      <c r="C786" s="8" t="s">
        <v>2544</v>
      </c>
      <c r="D786" s="30" t="s">
        <v>2545</v>
      </c>
      <c r="E786" s="30"/>
      <c r="F786" s="30"/>
      <c r="G786" s="30"/>
      <c r="H786" s="30"/>
      <c r="I786" s="30"/>
      <c r="J786" s="30"/>
      <c r="K786" s="31">
        <v>0.001</v>
      </c>
      <c r="L786" s="32">
        <f ca="1">ROUND(118.90,2)</f>
        <v>0</v>
      </c>
      <c r="M786" s="32">
        <f ca="1">ROUND(K786*L786,2)</f>
        <v>0</v>
      </c>
    </row>
    <row r="787" spans="1:13" ht="15.12" thickBot="1" customHeight="1">
      <c r="A787" s="8" t="s">
        <v>2546</v>
      </c>
      <c r="B787" s="8" t="s">
        <v>2547</v>
      </c>
      <c r="C787" s="8" t="s">
        <v>2548</v>
      </c>
      <c r="D787" s="30" t="s">
        <v>2549</v>
      </c>
      <c r="E787" s="30"/>
      <c r="F787" s="30"/>
      <c r="G787" s="30"/>
      <c r="H787" s="30"/>
      <c r="I787" s="30"/>
      <c r="J787" s="30"/>
      <c r="K787" s="31">
        <v>0.050</v>
      </c>
      <c r="L787" s="32">
        <f ca="1">ROUND(26.38,2)</f>
        <v>0</v>
      </c>
      <c r="M787" s="32">
        <f ca="1">ROUND(K787*L787,2)</f>
        <v>0</v>
      </c>
    </row>
    <row r="788" spans="1:13" ht="15.12" thickBot="1" customHeight="1">
      <c r="A788" s="8" t="s">
        <v>2550</v>
      </c>
      <c r="B788" s="8" t="s">
        <v>2551</v>
      </c>
      <c r="C788" s="8" t="s">
        <v>2552</v>
      </c>
      <c r="D788" s="30" t="s">
        <v>2553</v>
      </c>
      <c r="E788" s="30"/>
      <c r="F788" s="30"/>
      <c r="G788" s="30"/>
      <c r="H788" s="30"/>
      <c r="I788" s="30"/>
      <c r="J788" s="30"/>
      <c r="K788" s="31">
        <v>0.050</v>
      </c>
      <c r="L788" s="32">
        <f ca="1">ROUND(20.97,2)</f>
        <v>0</v>
      </c>
      <c r="M788" s="32">
        <f ca="1">ROUND(K788*L788,2)</f>
        <v>0</v>
      </c>
    </row>
    <row r="789" spans="1:13" ht="15.12" thickBot="1" customHeight="1">
      <c r="A789" s="8" t="s">
        <v>2554</v>
      </c>
      <c r="B789" s="8" t="s">
        <v>2555</v>
      </c>
      <c r="C789" s="8" t="s">
        <v>2556</v>
      </c>
      <c r="D789" s="30" t="s">
        <v>2557</v>
      </c>
      <c r="E789" s="30"/>
      <c r="F789" s="30"/>
      <c r="G789" s="30"/>
      <c r="H789" s="30"/>
      <c r="I789" s="30"/>
      <c r="J789" s="30"/>
      <c r="K789" s="31">
        <v>0.027</v>
      </c>
      <c r="L789" s="32">
        <f ca="1">ROUND(27.24,2)</f>
        <v>0</v>
      </c>
      <c r="M789" s="32">
        <f ca="1">ROUND(K789*L789,2)</f>
        <v>0</v>
      </c>
    </row>
    <row r="790" spans="1:13" ht="15.12" thickBot="1" customHeight="1">
      <c r="A790" s="8" t="s">
        <v>2558</v>
      </c>
      <c r="B790" s="8" t="s">
        <v>2559</v>
      </c>
      <c r="C790" s="8" t="s">
        <v>2560</v>
      </c>
      <c r="D790" s="30" t="s">
        <v>2561</v>
      </c>
      <c r="E790" s="30"/>
      <c r="F790" s="30"/>
      <c r="G790" s="30"/>
      <c r="H790" s="30"/>
      <c r="I790" s="30"/>
      <c r="J790" s="30"/>
      <c r="K790" s="31">
        <v>0.022</v>
      </c>
      <c r="L790" s="32">
        <f ca="1">ROUND(23.25,2)</f>
        <v>0</v>
      </c>
      <c r="M790" s="32">
        <f ca="1">ROUND(K790*L790,2)</f>
        <v>0</v>
      </c>
    </row>
    <row r="791" spans="1:13" ht="15.12" thickBot="1" customHeight="1">
      <c r="A791" s="8" t="s">
        <v>2562</v>
      </c>
      <c r="B791" s="8"/>
      <c r="C791" s="8" t="s">
        <v>2563</v>
      </c>
      <c r="D791" s="30" t="s">
        <v>2564</v>
      </c>
      <c r="E791" s="30"/>
      <c r="F791" s="30"/>
      <c r="G791" s="30"/>
      <c r="H791" s="30"/>
      <c r="I791" s="30"/>
      <c r="J791" s="30"/>
      <c r="K791" s="31">
        <v>2.000</v>
      </c>
      <c r="L791" s="32">
        <f ca="1">ROUND(8.89,2)</f>
        <v>0</v>
      </c>
      <c r="M791" s="32">
        <f ca="1">ROUND((K791*L791)/100,2)</f>
        <v>0</v>
      </c>
    </row>
    <row r="792" spans="1:13" ht="15.48" thickBot="1" customHeight="1">
      <c r="A792" s="34"/>
      <c r="B792" s="34"/>
      <c r="C792" s="34"/>
      <c r="D792" s="35" t="s">
        <v>2565</v>
      </c>
      <c r="E792" s="34"/>
      <c r="F792" s="34"/>
      <c r="G792" s="34"/>
      <c r="H792" s="34"/>
      <c r="I792" s="34"/>
      <c r="J792" s="34"/>
      <c r="K792" s="37">
        <v>10.000</v>
      </c>
      <c r="L792" s="38">
        <f ca="1">ROUND((M781+M782+M783+M784+M785+M786+M787+M788+M789+M790+M791)*(1+M2/100),2)</f>
        <v>0</v>
      </c>
      <c r="M792" s="38">
        <f ca="1">ROUND(K792*L792,2)</f>
        <v>0</v>
      </c>
    </row>
    <row r="793" spans="1:13" ht="15.48" thickBot="1" customHeight="1">
      <c r="A793" s="44"/>
      <c r="B793" s="44"/>
      <c r="C793" s="44"/>
      <c r="D793" s="45" t="s">
        <v>2566</v>
      </c>
      <c r="E793" s="46"/>
      <c r="F793" s="46"/>
      <c r="G793" s="46"/>
      <c r="H793" s="46"/>
      <c r="I793" s="46"/>
      <c r="J793" s="46"/>
      <c r="K793" s="46"/>
      <c r="L793" s="47">
        <f ca="1">M743+M750+M757+M765+M779</f>
        <v>0</v>
      </c>
      <c r="M793" s="47">
        <f ca="1">ROUND(L793,2)</f>
        <v>0</v>
      </c>
    </row>
    <row r="794" spans="1:13" ht="15.48" thickBot="1" customHeight="1">
      <c r="A794" s="44"/>
      <c r="B794" s="44"/>
      <c r="C794" s="44"/>
      <c r="D794" s="66" t="s">
        <v>2567</v>
      </c>
      <c r="E794" s="67"/>
      <c r="F794" s="67"/>
      <c r="G794" s="67"/>
      <c r="H794" s="67"/>
      <c r="I794" s="67"/>
      <c r="J794" s="67"/>
      <c r="K794" s="67"/>
      <c r="L794" s="68">
        <f ca="1">M654+M664+M741+M793</f>
        <v>0</v>
      </c>
      <c r="M794" s="68">
        <f ca="1">ROUND(L794,2)</f>
        <v>0</v>
      </c>
    </row>
    <row r="795" spans="1:13" ht="15.48" thickBot="1" customHeight="1">
      <c r="A795" s="69" t="s">
        <v>2568</v>
      </c>
      <c r="B795" s="69" t="s">
        <v>2569</v>
      </c>
      <c r="C795" s="70"/>
      <c r="D795" s="71" t="s">
        <v>2570</v>
      </c>
      <c r="E795" s="71"/>
      <c r="F795" s="71"/>
      <c r="G795" s="71"/>
      <c r="H795" s="71"/>
      <c r="I795" s="71"/>
      <c r="J795" s="71"/>
      <c r="K795" s="70"/>
      <c r="L795" s="72">
        <f ca="1">L885</f>
        <v>0</v>
      </c>
      <c r="M795" s="72">
        <f ca="1">ROUND(L795,2)</f>
        <v>0</v>
      </c>
    </row>
    <row r="796" spans="1:13" ht="15.48" thickBot="1" customHeight="1">
      <c r="A796" s="26" t="s">
        <v>2571</v>
      </c>
      <c r="B796" s="26" t="s">
        <v>2572</v>
      </c>
      <c r="C796" s="27"/>
      <c r="D796" s="28" t="s">
        <v>2573</v>
      </c>
      <c r="E796" s="28"/>
      <c r="F796" s="28"/>
      <c r="G796" s="28"/>
      <c r="H796" s="28"/>
      <c r="I796" s="28"/>
      <c r="J796" s="28"/>
      <c r="K796" s="27"/>
      <c r="L796" s="29">
        <f ca="1">L874</f>
        <v>0</v>
      </c>
      <c r="M796" s="29">
        <f ca="1">ROUND(L796,2)</f>
        <v>0</v>
      </c>
    </row>
    <row r="797" spans="1:13" ht="25.08" thickBot="1" customHeight="1">
      <c r="A797" s="15" t="s">
        <v>2574</v>
      </c>
      <c r="B797" s="8" t="s">
        <v>2575</v>
      </c>
      <c r="C797" s="8" t="s">
        <v>2576</v>
      </c>
      <c r="D797" s="30" t="s">
        <v>2577</v>
      </c>
      <c r="E797" s="30"/>
      <c r="F797" s="30"/>
      <c r="G797" s="30"/>
      <c r="H797" s="30"/>
      <c r="I797" s="30"/>
      <c r="J797" s="30"/>
      <c r="K797" s="31">
        <f ca="1">ROUND(1.00,2)</f>
        <v>0</v>
      </c>
      <c r="L797" s="32">
        <f ca="1">L802</f>
        <v>0</v>
      </c>
      <c r="M797" s="32">
        <f ca="1">ROUND(K797*L797,2)</f>
        <v>0</v>
      </c>
    </row>
    <row r="798" spans="1:13" ht="39.84" thickBot="1" customHeight="1">
      <c r="A798" s="33"/>
      <c r="B798" s="33"/>
      <c r="C798" s="33"/>
      <c r="D798" s="30" t="s">
        <v>2578</v>
      </c>
      <c r="E798" s="30"/>
      <c r="F798" s="30"/>
      <c r="G798" s="30"/>
      <c r="H798" s="30"/>
      <c r="I798" s="30"/>
      <c r="J798" s="30"/>
      <c r="K798" s="30"/>
      <c r="L798" s="30"/>
      <c r="M798" s="30"/>
    </row>
    <row r="799" spans="1:13" ht="49.08" thickBot="1" customHeight="1">
      <c r="A799" s="8" t="s">
        <v>2579</v>
      </c>
      <c r="B799" s="8" t="s">
        <v>2580</v>
      </c>
      <c r="C799" s="8" t="s">
        <v>2581</v>
      </c>
      <c r="D799" s="30" t="s">
        <v>2582</v>
      </c>
      <c r="E799" s="30"/>
      <c r="F799" s="30"/>
      <c r="G799" s="30"/>
      <c r="H799" s="30"/>
      <c r="I799" s="30"/>
      <c r="J799" s="30"/>
      <c r="K799" s="31">
        <v>1.000</v>
      </c>
      <c r="L799" s="32">
        <f ca="1">ROUND(3039.00,2)</f>
        <v>0</v>
      </c>
      <c r="M799" s="32">
        <f ca="1">ROUND(K799*L799,2)</f>
        <v>0</v>
      </c>
    </row>
    <row r="800" spans="1:13" ht="15.12" thickBot="1" customHeight="1">
      <c r="A800" s="8" t="s">
        <v>2583</v>
      </c>
      <c r="B800" s="8" t="s">
        <v>2584</v>
      </c>
      <c r="C800" s="8" t="s">
        <v>2585</v>
      </c>
      <c r="D800" s="30" t="s">
        <v>2586</v>
      </c>
      <c r="E800" s="30"/>
      <c r="F800" s="30"/>
      <c r="G800" s="30"/>
      <c r="H800" s="30"/>
      <c r="I800" s="30"/>
      <c r="J800" s="30"/>
      <c r="K800" s="31">
        <v>3.000</v>
      </c>
      <c r="L800" s="32">
        <f ca="1">ROUND(23.25,2)</f>
        <v>0</v>
      </c>
      <c r="M800" s="32">
        <f ca="1">ROUND(K800*L800,2)</f>
        <v>0</v>
      </c>
    </row>
    <row r="801" spans="1:13" ht="15.12" thickBot="1" customHeight="1">
      <c r="A801" s="8" t="s">
        <v>2587</v>
      </c>
      <c r="B801" s="8" t="s">
        <v>2588</v>
      </c>
      <c r="C801" s="8" t="s">
        <v>2589</v>
      </c>
      <c r="D801" s="30" t="s">
        <v>2590</v>
      </c>
      <c r="E801" s="30"/>
      <c r="F801" s="30"/>
      <c r="G801" s="30"/>
      <c r="H801" s="30"/>
      <c r="I801" s="30"/>
      <c r="J801" s="30"/>
      <c r="K801" s="31">
        <v>3.000</v>
      </c>
      <c r="L801" s="32">
        <f ca="1">ROUND(27.24,2)</f>
        <v>0</v>
      </c>
      <c r="M801" s="32">
        <f ca="1">ROUND(K801*L801,2)</f>
        <v>0</v>
      </c>
    </row>
    <row r="802" spans="1:13" ht="15.48" thickBot="1" customHeight="1">
      <c r="A802" s="34"/>
      <c r="B802" s="34"/>
      <c r="C802" s="34"/>
      <c r="D802" s="35" t="s">
        <v>2591</v>
      </c>
      <c r="E802" s="34"/>
      <c r="F802" s="34"/>
      <c r="G802" s="34"/>
      <c r="H802" s="34"/>
      <c r="I802" s="34"/>
      <c r="J802" s="34"/>
      <c r="K802" s="37">
        <v>1.000</v>
      </c>
      <c r="L802" s="38">
        <f ca="1">ROUND((M799+M800+M801)*(1+M2/100),2)</f>
        <v>0</v>
      </c>
      <c r="M802" s="38">
        <f ca="1">ROUND(K802*L802,2)</f>
        <v>0</v>
      </c>
    </row>
    <row r="803" spans="1:13" ht="49.08" thickBot="1" customHeight="1">
      <c r="A803" s="39" t="s">
        <v>2592</v>
      </c>
      <c r="B803" s="40" t="s">
        <v>2593</v>
      </c>
      <c r="C803" s="40" t="s">
        <v>2594</v>
      </c>
      <c r="D803" s="41" t="s">
        <v>2595</v>
      </c>
      <c r="E803" s="41"/>
      <c r="F803" s="41"/>
      <c r="G803" s="41"/>
      <c r="H803" s="41"/>
      <c r="I803" s="41"/>
      <c r="J803" s="41"/>
      <c r="K803" s="42">
        <f ca="1">SUM(K806:K806)</f>
        <v>0</v>
      </c>
      <c r="L803" s="43">
        <f ca="1">L818</f>
        <v>0</v>
      </c>
      <c r="M803" s="43">
        <f ca="1">ROUND(K803*L803,2)</f>
        <v>0</v>
      </c>
    </row>
    <row r="804" spans="1:13" ht="86.04" thickBot="1" customHeight="1">
      <c r="A804" s="33"/>
      <c r="B804" s="33"/>
      <c r="C804" s="33"/>
      <c r="D804" s="30" t="s">
        <v>2596</v>
      </c>
      <c r="E804" s="30"/>
      <c r="F804" s="30"/>
      <c r="G804" s="30"/>
      <c r="H804" s="30"/>
      <c r="I804" s="30"/>
      <c r="J804" s="30"/>
      <c r="K804" s="30"/>
      <c r="L804" s="30"/>
      <c r="M804" s="30"/>
    </row>
    <row r="805" spans="1:13" ht="15.12" thickBot="1" customHeight="1">
      <c r="A805" s="33"/>
      <c r="B805" s="33"/>
      <c r="C805" s="33"/>
      <c r="D805" s="33"/>
      <c r="E805" s="52"/>
      <c r="F805" s="54" t="s">
        <v>2597</v>
      </c>
      <c r="G805" s="54" t="s">
        <v>2598</v>
      </c>
      <c r="H805" s="54" t="s">
        <v>2599</v>
      </c>
      <c r="I805" s="54" t="s">
        <v>2600</v>
      </c>
      <c r="J805" s="54" t="s">
        <v>2601</v>
      </c>
      <c r="K805" s="54" t="s">
        <v>2602</v>
      </c>
      <c r="L805" s="33"/>
      <c r="M805" s="33"/>
    </row>
    <row r="806" spans="1:13" ht="30.60" thickBot="1" customHeight="1">
      <c r="A806" s="33"/>
      <c r="B806" s="33"/>
      <c r="C806" s="33"/>
      <c r="D806" s="55"/>
      <c r="E806" s="56" t="s">
        <v>2603</v>
      </c>
      <c r="F806" s="57">
        <v>1</v>
      </c>
      <c r="G806" s="58">
        <v>85.000</v>
      </c>
      <c r="H806" s="58"/>
      <c r="I806" s="58"/>
      <c r="J806" s="60">
        <f ca="1">ROUND(F806*G806,3)</f>
        <v>0</v>
      </c>
      <c r="K806" s="62">
        <f ca="1">SUM(J806:J806)</f>
        <v>0</v>
      </c>
      <c r="L806" s="33"/>
      <c r="M806" s="33"/>
    </row>
    <row r="807" spans="1:13" ht="15.12" thickBot="1" customHeight="1">
      <c r="A807" s="8" t="s">
        <v>2604</v>
      </c>
      <c r="B807" s="8" t="s">
        <v>2605</v>
      </c>
      <c r="C807" s="8" t="s">
        <v>2606</v>
      </c>
      <c r="D807" s="30" t="s">
        <v>2607</v>
      </c>
      <c r="E807" s="30"/>
      <c r="F807" s="30"/>
      <c r="G807" s="30"/>
      <c r="H807" s="30"/>
      <c r="I807" s="30"/>
      <c r="J807" s="30"/>
      <c r="K807" s="31">
        <v>0.061</v>
      </c>
      <c r="L807" s="32">
        <f ca="1">ROUND(14.30,2)</f>
        <v>0</v>
      </c>
      <c r="M807" s="32">
        <f ca="1">ROUND(K807*L807,2)</f>
        <v>0</v>
      </c>
    </row>
    <row r="808" spans="1:13" ht="39.84" thickBot="1" customHeight="1">
      <c r="A808" s="8" t="s">
        <v>2608</v>
      </c>
      <c r="B808" s="8" t="s">
        <v>2609</v>
      </c>
      <c r="C808" s="8" t="s">
        <v>2610</v>
      </c>
      <c r="D808" s="30" t="s">
        <v>2611</v>
      </c>
      <c r="E808" s="30"/>
      <c r="F808" s="30"/>
      <c r="G808" s="30"/>
      <c r="H808" s="30"/>
      <c r="I808" s="30"/>
      <c r="J808" s="30"/>
      <c r="K808" s="31">
        <v>1.000</v>
      </c>
      <c r="L808" s="32">
        <f ca="1">ROUND(3.79,2)</f>
        <v>0</v>
      </c>
      <c r="M808" s="32">
        <f ca="1">ROUND(K808*L808,2)</f>
        <v>0</v>
      </c>
    </row>
    <row r="809" spans="1:13" ht="21.36" thickBot="1" customHeight="1">
      <c r="A809" s="8" t="s">
        <v>2612</v>
      </c>
      <c r="B809" s="8" t="s">
        <v>2613</v>
      </c>
      <c r="C809" s="8" t="s">
        <v>2614</v>
      </c>
      <c r="D809" s="30" t="s">
        <v>2615</v>
      </c>
      <c r="E809" s="30"/>
      <c r="F809" s="30"/>
      <c r="G809" s="30"/>
      <c r="H809" s="30"/>
      <c r="I809" s="30"/>
      <c r="J809" s="30"/>
      <c r="K809" s="31">
        <v>1.000</v>
      </c>
      <c r="L809" s="32">
        <f ca="1">ROUND(0.25,2)</f>
        <v>0</v>
      </c>
      <c r="M809" s="32">
        <f ca="1">ROUND(K809*L809,2)</f>
        <v>0</v>
      </c>
    </row>
    <row r="810" spans="1:13" ht="15.12" thickBot="1" customHeight="1">
      <c r="A810" s="8" t="s">
        <v>2616</v>
      </c>
      <c r="B810" s="8" t="s">
        <v>2617</v>
      </c>
      <c r="C810" s="8" t="s">
        <v>2618</v>
      </c>
      <c r="D810" s="30" t="s">
        <v>2619</v>
      </c>
      <c r="E810" s="30"/>
      <c r="F810" s="30"/>
      <c r="G810" s="30"/>
      <c r="H810" s="30"/>
      <c r="I810" s="30"/>
      <c r="J810" s="30"/>
      <c r="K810" s="31">
        <v>0.006</v>
      </c>
      <c r="L810" s="32">
        <f ca="1">ROUND(10.38,2)</f>
        <v>0</v>
      </c>
      <c r="M810" s="32">
        <f ca="1">ROUND(K810*L810,2)</f>
        <v>0</v>
      </c>
    </row>
    <row r="811" spans="1:13" ht="15.12" thickBot="1" customHeight="1">
      <c r="A811" s="8" t="s">
        <v>2620</v>
      </c>
      <c r="B811" s="8" t="s">
        <v>2621</v>
      </c>
      <c r="C811" s="8" t="s">
        <v>2622</v>
      </c>
      <c r="D811" s="30" t="s">
        <v>2623</v>
      </c>
      <c r="E811" s="30"/>
      <c r="F811" s="30"/>
      <c r="G811" s="30"/>
      <c r="H811" s="30"/>
      <c r="I811" s="30"/>
      <c r="J811" s="30"/>
      <c r="K811" s="31">
        <v>0.047</v>
      </c>
      <c r="L811" s="32">
        <f ca="1">ROUND(3.92,2)</f>
        <v>0</v>
      </c>
      <c r="M811" s="32">
        <f ca="1">ROUND(K811*L811,2)</f>
        <v>0</v>
      </c>
    </row>
    <row r="812" spans="1:13" ht="15.12" thickBot="1" customHeight="1">
      <c r="A812" s="8" t="s">
        <v>2624</v>
      </c>
      <c r="B812" s="8" t="s">
        <v>2625</v>
      </c>
      <c r="C812" s="8" t="s">
        <v>2626</v>
      </c>
      <c r="D812" s="30" t="s">
        <v>2627</v>
      </c>
      <c r="E812" s="30"/>
      <c r="F812" s="30"/>
      <c r="G812" s="30"/>
      <c r="H812" s="30"/>
      <c r="I812" s="30"/>
      <c r="J812" s="30"/>
      <c r="K812" s="31">
        <v>0.001</v>
      </c>
      <c r="L812" s="32">
        <f ca="1">ROUND(118.90,2)</f>
        <v>0</v>
      </c>
      <c r="M812" s="32">
        <f ca="1">ROUND(K812*L812,2)</f>
        <v>0</v>
      </c>
    </row>
    <row r="813" spans="1:13" ht="15.12" thickBot="1" customHeight="1">
      <c r="A813" s="8" t="s">
        <v>2628</v>
      </c>
      <c r="B813" s="8" t="s">
        <v>2629</v>
      </c>
      <c r="C813" s="8" t="s">
        <v>2630</v>
      </c>
      <c r="D813" s="30" t="s">
        <v>2631</v>
      </c>
      <c r="E813" s="30"/>
      <c r="F813" s="30"/>
      <c r="G813" s="30"/>
      <c r="H813" s="30"/>
      <c r="I813" s="30"/>
      <c r="J813" s="30"/>
      <c r="K813" s="31">
        <v>0.050</v>
      </c>
      <c r="L813" s="32">
        <f ca="1">ROUND(26.38,2)</f>
        <v>0</v>
      </c>
      <c r="M813" s="32">
        <f ca="1">ROUND(K813*L813,2)</f>
        <v>0</v>
      </c>
    </row>
    <row r="814" spans="1:13" ht="15.12" thickBot="1" customHeight="1">
      <c r="A814" s="8" t="s">
        <v>2632</v>
      </c>
      <c r="B814" s="8" t="s">
        <v>2633</v>
      </c>
      <c r="C814" s="8" t="s">
        <v>2634</v>
      </c>
      <c r="D814" s="30" t="s">
        <v>2635</v>
      </c>
      <c r="E814" s="30"/>
      <c r="F814" s="30"/>
      <c r="G814" s="30"/>
      <c r="H814" s="30"/>
      <c r="I814" s="30"/>
      <c r="J814" s="30"/>
      <c r="K814" s="31">
        <v>0.050</v>
      </c>
      <c r="L814" s="32">
        <f ca="1">ROUND(20.97,2)</f>
        <v>0</v>
      </c>
      <c r="M814" s="32">
        <f ca="1">ROUND(K814*L814,2)</f>
        <v>0</v>
      </c>
    </row>
    <row r="815" spans="1:13" ht="15.12" thickBot="1" customHeight="1">
      <c r="A815" s="8" t="s">
        <v>2636</v>
      </c>
      <c r="B815" s="8" t="s">
        <v>2637</v>
      </c>
      <c r="C815" s="8" t="s">
        <v>2638</v>
      </c>
      <c r="D815" s="30" t="s">
        <v>2639</v>
      </c>
      <c r="E815" s="30"/>
      <c r="F815" s="30"/>
      <c r="G815" s="30"/>
      <c r="H815" s="30"/>
      <c r="I815" s="30"/>
      <c r="J815" s="30"/>
      <c r="K815" s="31">
        <v>0.027</v>
      </c>
      <c r="L815" s="32">
        <f ca="1">ROUND(27.24,2)</f>
        <v>0</v>
      </c>
      <c r="M815" s="32">
        <f ca="1">ROUND(K815*L815,2)</f>
        <v>0</v>
      </c>
    </row>
    <row r="816" spans="1:13" ht="15.12" thickBot="1" customHeight="1">
      <c r="A816" s="8" t="s">
        <v>2640</v>
      </c>
      <c r="B816" s="8" t="s">
        <v>2641</v>
      </c>
      <c r="C816" s="8" t="s">
        <v>2642</v>
      </c>
      <c r="D816" s="30" t="s">
        <v>2643</v>
      </c>
      <c r="E816" s="30"/>
      <c r="F816" s="30"/>
      <c r="G816" s="30"/>
      <c r="H816" s="30"/>
      <c r="I816" s="30"/>
      <c r="J816" s="30"/>
      <c r="K816" s="31">
        <v>0.022</v>
      </c>
      <c r="L816" s="32">
        <f ca="1">ROUND(23.25,2)</f>
        <v>0</v>
      </c>
      <c r="M816" s="32">
        <f ca="1">ROUND(K816*L816,2)</f>
        <v>0</v>
      </c>
    </row>
    <row r="817" spans="1:13" ht="15.12" thickBot="1" customHeight="1">
      <c r="A817" s="8" t="s">
        <v>2644</v>
      </c>
      <c r="B817" s="8"/>
      <c r="C817" s="8" t="s">
        <v>2645</v>
      </c>
      <c r="D817" s="30" t="s">
        <v>2646</v>
      </c>
      <c r="E817" s="30"/>
      <c r="F817" s="30"/>
      <c r="G817" s="30"/>
      <c r="H817" s="30"/>
      <c r="I817" s="30"/>
      <c r="J817" s="30"/>
      <c r="K817" s="31">
        <v>2.000</v>
      </c>
      <c r="L817" s="32">
        <f ca="1">ROUND(8.89,2)</f>
        <v>0</v>
      </c>
      <c r="M817" s="32">
        <f ca="1">ROUND((K817*L817)/100,2)</f>
        <v>0</v>
      </c>
    </row>
    <row r="818" spans="1:13" ht="15.48" thickBot="1" customHeight="1">
      <c r="A818" s="34"/>
      <c r="B818" s="34"/>
      <c r="C818" s="34"/>
      <c r="D818" s="35" t="s">
        <v>2647</v>
      </c>
      <c r="E818" s="34"/>
      <c r="F818" s="34"/>
      <c r="G818" s="34"/>
      <c r="H818" s="34"/>
      <c r="I818" s="34"/>
      <c r="J818" s="34"/>
      <c r="K818" s="37">
        <v>85.000</v>
      </c>
      <c r="L818" s="38">
        <f ca="1">ROUND((M807+M808+M809+M810+M811+M812+M813+M814+M815+M816+M817)*(1+M2/100),2)</f>
        <v>0</v>
      </c>
      <c r="M818" s="38">
        <f ca="1">ROUND(K818*L818,2)</f>
        <v>0</v>
      </c>
    </row>
    <row r="819" spans="1:13" ht="30.60" thickBot="1" customHeight="1">
      <c r="A819" s="39" t="s">
        <v>2648</v>
      </c>
      <c r="B819" s="40" t="s">
        <v>2649</v>
      </c>
      <c r="C819" s="40" t="s">
        <v>2650</v>
      </c>
      <c r="D819" s="41" t="s">
        <v>2651</v>
      </c>
      <c r="E819" s="41"/>
      <c r="F819" s="41"/>
      <c r="G819" s="41"/>
      <c r="H819" s="41"/>
      <c r="I819" s="41"/>
      <c r="J819" s="41"/>
      <c r="K819" s="42">
        <f ca="1">SUM(K822:K822)</f>
        <v>0</v>
      </c>
      <c r="L819" s="43">
        <f ca="1">L827</f>
        <v>0</v>
      </c>
      <c r="M819" s="43">
        <f ca="1">ROUND(K819*L819,2)</f>
        <v>0</v>
      </c>
    </row>
    <row r="820" spans="1:13" ht="49.08" thickBot="1" customHeight="1">
      <c r="A820" s="33"/>
      <c r="B820" s="33"/>
      <c r="C820" s="33"/>
      <c r="D820" s="30" t="s">
        <v>2652</v>
      </c>
      <c r="E820" s="30"/>
      <c r="F820" s="30"/>
      <c r="G820" s="30"/>
      <c r="H820" s="30"/>
      <c r="I820" s="30"/>
      <c r="J820" s="30"/>
      <c r="K820" s="30"/>
      <c r="L820" s="30"/>
      <c r="M820" s="30"/>
    </row>
    <row r="821" spans="1:13" ht="15.12" thickBot="1" customHeight="1">
      <c r="A821" s="33"/>
      <c r="B821" s="33"/>
      <c r="C821" s="33"/>
      <c r="D821" s="33"/>
      <c r="E821" s="52"/>
      <c r="F821" s="54" t="s">
        <v>2653</v>
      </c>
      <c r="G821" s="54" t="s">
        <v>2654</v>
      </c>
      <c r="H821" s="54" t="s">
        <v>2655</v>
      </c>
      <c r="I821" s="54" t="s">
        <v>2656</v>
      </c>
      <c r="J821" s="54" t="s">
        <v>2657</v>
      </c>
      <c r="K821" s="54" t="s">
        <v>2658</v>
      </c>
      <c r="L821" s="33"/>
      <c r="M821" s="33"/>
    </row>
    <row r="822" spans="1:13" ht="30.60" thickBot="1" customHeight="1">
      <c r="A822" s="33"/>
      <c r="B822" s="33"/>
      <c r="C822" s="33"/>
      <c r="D822" s="55"/>
      <c r="E822" s="56" t="s">
        <v>2659</v>
      </c>
      <c r="F822" s="57">
        <v>1</v>
      </c>
      <c r="G822" s="58">
        <v>4.000</v>
      </c>
      <c r="H822" s="58"/>
      <c r="I822" s="58"/>
      <c r="J822" s="60">
        <f ca="1">ROUND(F822*G822,3)</f>
        <v>0</v>
      </c>
      <c r="K822" s="62">
        <f ca="1">SUM(J822:J822)</f>
        <v>0</v>
      </c>
      <c r="L822" s="33"/>
      <c r="M822" s="33"/>
    </row>
    <row r="823" spans="1:13" ht="58.32" thickBot="1" customHeight="1">
      <c r="A823" s="8" t="s">
        <v>2660</v>
      </c>
      <c r="B823" s="8" t="s">
        <v>2661</v>
      </c>
      <c r="C823" s="8" t="s">
        <v>2662</v>
      </c>
      <c r="D823" s="30" t="s">
        <v>2663</v>
      </c>
      <c r="E823" s="30"/>
      <c r="F823" s="30"/>
      <c r="G823" s="30"/>
      <c r="H823" s="30"/>
      <c r="I823" s="30"/>
      <c r="J823" s="30"/>
      <c r="K823" s="31">
        <v>1.000</v>
      </c>
      <c r="L823" s="32">
        <f ca="1">ROUND(5.23,2)</f>
        <v>0</v>
      </c>
      <c r="M823" s="32">
        <f ca="1">ROUND(K823*L823,2)</f>
        <v>0</v>
      </c>
    </row>
    <row r="824" spans="1:13" ht="15.12" thickBot="1" customHeight="1">
      <c r="A824" s="8" t="s">
        <v>2664</v>
      </c>
      <c r="B824" s="8" t="s">
        <v>2665</v>
      </c>
      <c r="C824" s="8" t="s">
        <v>2666</v>
      </c>
      <c r="D824" s="30" t="s">
        <v>2667</v>
      </c>
      <c r="E824" s="30"/>
      <c r="F824" s="30"/>
      <c r="G824" s="30"/>
      <c r="H824" s="30"/>
      <c r="I824" s="30"/>
      <c r="J824" s="30"/>
      <c r="K824" s="31">
        <v>0.043</v>
      </c>
      <c r="L824" s="32">
        <f ca="1">ROUND(27.24,2)</f>
        <v>0</v>
      </c>
      <c r="M824" s="32">
        <f ca="1">ROUND(K824*L824,2)</f>
        <v>0</v>
      </c>
    </row>
    <row r="825" spans="1:13" ht="15.12" thickBot="1" customHeight="1">
      <c r="A825" s="8" t="s">
        <v>2668</v>
      </c>
      <c r="B825" s="8" t="s">
        <v>2669</v>
      </c>
      <c r="C825" s="8" t="s">
        <v>2670</v>
      </c>
      <c r="D825" s="30" t="s">
        <v>2671</v>
      </c>
      <c r="E825" s="30"/>
      <c r="F825" s="30"/>
      <c r="G825" s="30"/>
      <c r="H825" s="30"/>
      <c r="I825" s="30"/>
      <c r="J825" s="30"/>
      <c r="K825" s="31">
        <v>0.054</v>
      </c>
      <c r="L825" s="32">
        <f ca="1">ROUND(23.25,2)</f>
        <v>0</v>
      </c>
      <c r="M825" s="32">
        <f ca="1">ROUND(K825*L825,2)</f>
        <v>0</v>
      </c>
    </row>
    <row r="826" spans="1:13" ht="15.12" thickBot="1" customHeight="1">
      <c r="A826" s="8" t="s">
        <v>2672</v>
      </c>
      <c r="B826" s="8"/>
      <c r="C826" s="8" t="s">
        <v>2673</v>
      </c>
      <c r="D826" s="30" t="s">
        <v>2674</v>
      </c>
      <c r="E826" s="30"/>
      <c r="F826" s="30"/>
      <c r="G826" s="30"/>
      <c r="H826" s="30"/>
      <c r="I826" s="30"/>
      <c r="J826" s="30"/>
      <c r="K826" s="31">
        <v>2.000</v>
      </c>
      <c r="L826" s="32">
        <f ca="1">ROUND(7.66,2)</f>
        <v>0</v>
      </c>
      <c r="M826" s="32">
        <f ca="1">ROUND((K826*L826)/100,2)</f>
        <v>0</v>
      </c>
    </row>
    <row r="827" spans="1:13" ht="15.48" thickBot="1" customHeight="1">
      <c r="A827" s="34"/>
      <c r="B827" s="34"/>
      <c r="C827" s="34"/>
      <c r="D827" s="35" t="s">
        <v>2675</v>
      </c>
      <c r="E827" s="34"/>
      <c r="F827" s="34"/>
      <c r="G827" s="34"/>
      <c r="H827" s="34"/>
      <c r="I827" s="34"/>
      <c r="J827" s="34"/>
      <c r="K827" s="37">
        <v>4.000</v>
      </c>
      <c r="L827" s="38">
        <f ca="1">ROUND((M823+M824+M825+M826)*(1+M2/100),2)</f>
        <v>0</v>
      </c>
      <c r="M827" s="38">
        <f ca="1">ROUND(K827*L827,2)</f>
        <v>0</v>
      </c>
    </row>
    <row r="828" spans="1:13" ht="39.84" thickBot="1" customHeight="1">
      <c r="A828" s="39" t="s">
        <v>2676</v>
      </c>
      <c r="B828" s="40" t="s">
        <v>2677</v>
      </c>
      <c r="C828" s="40" t="s">
        <v>2678</v>
      </c>
      <c r="D828" s="41" t="s">
        <v>2679</v>
      </c>
      <c r="E828" s="41"/>
      <c r="F828" s="41"/>
      <c r="G828" s="41"/>
      <c r="H828" s="41"/>
      <c r="I828" s="41"/>
      <c r="J828" s="41"/>
      <c r="K828" s="42">
        <f ca="1">SUM(K831:K831)</f>
        <v>0</v>
      </c>
      <c r="L828" s="43">
        <f ca="1">L836</f>
        <v>0</v>
      </c>
      <c r="M828" s="43">
        <f ca="1">ROUND(K828*L828,2)</f>
        <v>0</v>
      </c>
    </row>
    <row r="829" spans="1:13" ht="58.32" thickBot="1" customHeight="1">
      <c r="A829" s="33"/>
      <c r="B829" s="33"/>
      <c r="C829" s="33"/>
      <c r="D829" s="30" t="s">
        <v>2680</v>
      </c>
      <c r="E829" s="30"/>
      <c r="F829" s="30"/>
      <c r="G829" s="30"/>
      <c r="H829" s="30"/>
      <c r="I829" s="30"/>
      <c r="J829" s="30"/>
      <c r="K829" s="30"/>
      <c r="L829" s="30"/>
      <c r="M829" s="30"/>
    </row>
    <row r="830" spans="1:13" ht="15.12" thickBot="1" customHeight="1">
      <c r="A830" s="33"/>
      <c r="B830" s="33"/>
      <c r="C830" s="33"/>
      <c r="D830" s="33"/>
      <c r="E830" s="52"/>
      <c r="F830" s="54" t="s">
        <v>2681</v>
      </c>
      <c r="G830" s="54" t="s">
        <v>2682</v>
      </c>
      <c r="H830" s="54" t="s">
        <v>2683</v>
      </c>
      <c r="I830" s="54" t="s">
        <v>2684</v>
      </c>
      <c r="J830" s="54" t="s">
        <v>2685</v>
      </c>
      <c r="K830" s="54" t="s">
        <v>2686</v>
      </c>
      <c r="L830" s="33"/>
      <c r="M830" s="33"/>
    </row>
    <row r="831" spans="1:13" ht="30.60" thickBot="1" customHeight="1">
      <c r="A831" s="33"/>
      <c r="B831" s="33"/>
      <c r="C831" s="33"/>
      <c r="D831" s="55"/>
      <c r="E831" s="56" t="s">
        <v>2687</v>
      </c>
      <c r="F831" s="57">
        <v>1</v>
      </c>
      <c r="G831" s="58">
        <v>35.910</v>
      </c>
      <c r="H831" s="58"/>
      <c r="I831" s="58"/>
      <c r="J831" s="60">
        <f ca="1">ROUND(F831*G831,3)</f>
        <v>0</v>
      </c>
      <c r="K831" s="62">
        <f ca="1">SUM(J831:J831)</f>
        <v>0</v>
      </c>
      <c r="L831" s="33"/>
      <c r="M831" s="33"/>
    </row>
    <row r="832" spans="1:13" ht="39.84" thickBot="1" customHeight="1">
      <c r="A832" s="8" t="s">
        <v>2688</v>
      </c>
      <c r="B832" s="8" t="s">
        <v>2689</v>
      </c>
      <c r="C832" s="8" t="s">
        <v>2690</v>
      </c>
      <c r="D832" s="30" t="s">
        <v>2691</v>
      </c>
      <c r="E832" s="30"/>
      <c r="F832" s="30"/>
      <c r="G832" s="30"/>
      <c r="H832" s="30"/>
      <c r="I832" s="30"/>
      <c r="J832" s="30"/>
      <c r="K832" s="31">
        <v>1.000</v>
      </c>
      <c r="L832" s="32">
        <f ca="1">ROUND(6.81,2)</f>
        <v>0</v>
      </c>
      <c r="M832" s="32">
        <f ca="1">ROUND(K832*L832,2)</f>
        <v>0</v>
      </c>
    </row>
    <row r="833" spans="1:13" ht="15.12" thickBot="1" customHeight="1">
      <c r="A833" s="8" t="s">
        <v>2692</v>
      </c>
      <c r="B833" s="8" t="s">
        <v>2693</v>
      </c>
      <c r="C833" s="8" t="s">
        <v>2694</v>
      </c>
      <c r="D833" s="30" t="s">
        <v>2695</v>
      </c>
      <c r="E833" s="30"/>
      <c r="F833" s="30"/>
      <c r="G833" s="30"/>
      <c r="H833" s="30"/>
      <c r="I833" s="30"/>
      <c r="J833" s="30"/>
      <c r="K833" s="31">
        <v>0.043</v>
      </c>
      <c r="L833" s="32">
        <f ca="1">ROUND(27.24,2)</f>
        <v>0</v>
      </c>
      <c r="M833" s="32">
        <f ca="1">ROUND(K833*L833,2)</f>
        <v>0</v>
      </c>
    </row>
    <row r="834" spans="1:13" ht="15.12" thickBot="1" customHeight="1">
      <c r="A834" s="8" t="s">
        <v>2696</v>
      </c>
      <c r="B834" s="8" t="s">
        <v>2697</v>
      </c>
      <c r="C834" s="8" t="s">
        <v>2698</v>
      </c>
      <c r="D834" s="30" t="s">
        <v>2699</v>
      </c>
      <c r="E834" s="30"/>
      <c r="F834" s="30"/>
      <c r="G834" s="30"/>
      <c r="H834" s="30"/>
      <c r="I834" s="30"/>
      <c r="J834" s="30"/>
      <c r="K834" s="31">
        <v>0.043</v>
      </c>
      <c r="L834" s="32">
        <f ca="1">ROUND(23.25,2)</f>
        <v>0</v>
      </c>
      <c r="M834" s="32">
        <f ca="1">ROUND(K834*L834,2)</f>
        <v>0</v>
      </c>
    </row>
    <row r="835" spans="1:13" ht="15.12" thickBot="1" customHeight="1">
      <c r="A835" s="8" t="s">
        <v>2700</v>
      </c>
      <c r="B835" s="8"/>
      <c r="C835" s="8" t="s">
        <v>2701</v>
      </c>
      <c r="D835" s="30" t="s">
        <v>2702</v>
      </c>
      <c r="E835" s="30"/>
      <c r="F835" s="30"/>
      <c r="G835" s="30"/>
      <c r="H835" s="30"/>
      <c r="I835" s="30"/>
      <c r="J835" s="30"/>
      <c r="K835" s="31">
        <v>2.000</v>
      </c>
      <c r="L835" s="32">
        <f ca="1">ROUND(8.98,2)</f>
        <v>0</v>
      </c>
      <c r="M835" s="32">
        <f ca="1">ROUND((K835*L835)/100,2)</f>
        <v>0</v>
      </c>
    </row>
    <row r="836" spans="1:13" ht="15.48" thickBot="1" customHeight="1">
      <c r="A836" s="34"/>
      <c r="B836" s="34"/>
      <c r="C836" s="34"/>
      <c r="D836" s="35" t="s">
        <v>2703</v>
      </c>
      <c r="E836" s="34"/>
      <c r="F836" s="34"/>
      <c r="G836" s="34"/>
      <c r="H836" s="34"/>
      <c r="I836" s="34"/>
      <c r="J836" s="34"/>
      <c r="K836" s="37">
        <v>35.910</v>
      </c>
      <c r="L836" s="38">
        <f ca="1">ROUND((M832+M833+M834+M835)*(1+M2/100),2)</f>
        <v>0</v>
      </c>
      <c r="M836" s="38">
        <f ca="1">ROUND(K836*L836,2)</f>
        <v>0</v>
      </c>
    </row>
    <row r="837" spans="1:13" ht="15.48" thickBot="1" customHeight="1">
      <c r="A837" s="39" t="s">
        <v>2704</v>
      </c>
      <c r="B837" s="40" t="s">
        <v>2705</v>
      </c>
      <c r="C837" s="40" t="s">
        <v>2706</v>
      </c>
      <c r="D837" s="41" t="s">
        <v>2707</v>
      </c>
      <c r="E837" s="41"/>
      <c r="F837" s="41"/>
      <c r="G837" s="41"/>
      <c r="H837" s="41"/>
      <c r="I837" s="41"/>
      <c r="J837" s="41"/>
      <c r="K837" s="42">
        <f ca="1">ROUND(1.00,2)</f>
        <v>0</v>
      </c>
      <c r="L837" s="43">
        <f ca="1">L850</f>
        <v>0</v>
      </c>
      <c r="M837" s="43">
        <f ca="1">ROUND(K837*L837,2)</f>
        <v>0</v>
      </c>
    </row>
    <row r="838" spans="1:13" ht="67.56" thickBot="1" customHeight="1">
      <c r="A838" s="33"/>
      <c r="B838" s="33"/>
      <c r="C838" s="33"/>
      <c r="D838" s="30" t="s">
        <v>2708</v>
      </c>
      <c r="E838" s="30"/>
      <c r="F838" s="30"/>
      <c r="G838" s="30"/>
      <c r="H838" s="30"/>
      <c r="I838" s="30"/>
      <c r="J838" s="30"/>
      <c r="K838" s="30"/>
      <c r="L838" s="30"/>
      <c r="M838" s="30"/>
    </row>
    <row r="839" spans="1:13" ht="39.84" thickBot="1" customHeight="1">
      <c r="A839" s="8" t="s">
        <v>2709</v>
      </c>
      <c r="B839" s="8" t="s">
        <v>2710</v>
      </c>
      <c r="C839" s="8" t="s">
        <v>2711</v>
      </c>
      <c r="D839" s="30" t="s">
        <v>2712</v>
      </c>
      <c r="E839" s="30"/>
      <c r="F839" s="30"/>
      <c r="G839" s="30"/>
      <c r="H839" s="30"/>
      <c r="I839" s="30"/>
      <c r="J839" s="30"/>
      <c r="K839" s="31">
        <v>1.000</v>
      </c>
      <c r="L839" s="32">
        <f ca="1">ROUND(24.77,2)</f>
        <v>0</v>
      </c>
      <c r="M839" s="32">
        <f ca="1">ROUND(K839*L839,2)</f>
        <v>0</v>
      </c>
    </row>
    <row r="840" spans="1:13" ht="24.36" thickBot="1" customHeight="1">
      <c r="A840" s="8" t="s">
        <v>2713</v>
      </c>
      <c r="B840" s="8" t="s">
        <v>2714</v>
      </c>
      <c r="C840" s="8" t="s">
        <v>2715</v>
      </c>
      <c r="D840" s="30" t="s">
        <v>2716</v>
      </c>
      <c r="E840" s="30"/>
      <c r="F840" s="30"/>
      <c r="G840" s="30"/>
      <c r="H840" s="30"/>
      <c r="I840" s="30"/>
      <c r="J840" s="30"/>
      <c r="K840" s="31">
        <v>1.000</v>
      </c>
      <c r="L840" s="32">
        <f ca="1">ROUND(101.40,2)</f>
        <v>0</v>
      </c>
      <c r="M840" s="32">
        <f ca="1">ROUND(K840*L840,2)</f>
        <v>0</v>
      </c>
    </row>
    <row r="841" spans="1:13" ht="24.36" thickBot="1" customHeight="1">
      <c r="A841" s="8" t="s">
        <v>2717</v>
      </c>
      <c r="B841" s="8" t="s">
        <v>2718</v>
      </c>
      <c r="C841" s="8" t="s">
        <v>2719</v>
      </c>
      <c r="D841" s="30" t="s">
        <v>2720</v>
      </c>
      <c r="E841" s="30"/>
      <c r="F841" s="30"/>
      <c r="G841" s="30"/>
      <c r="H841" s="30"/>
      <c r="I841" s="30"/>
      <c r="J841" s="30"/>
      <c r="K841" s="31">
        <v>1.000</v>
      </c>
      <c r="L841" s="32">
        <f ca="1">ROUND(138.84,2)</f>
        <v>0</v>
      </c>
      <c r="M841" s="32">
        <f ca="1">ROUND(K841*L841,2)</f>
        <v>0</v>
      </c>
    </row>
    <row r="842" spans="1:13" ht="24.36" thickBot="1" customHeight="1">
      <c r="A842" s="8" t="s">
        <v>2721</v>
      </c>
      <c r="B842" s="8" t="s">
        <v>2722</v>
      </c>
      <c r="C842" s="8" t="s">
        <v>2723</v>
      </c>
      <c r="D842" s="30" t="s">
        <v>2724</v>
      </c>
      <c r="E842" s="30"/>
      <c r="F842" s="30"/>
      <c r="G842" s="30"/>
      <c r="H842" s="30"/>
      <c r="I842" s="30"/>
      <c r="J842" s="30"/>
      <c r="K842" s="31">
        <v>1.000</v>
      </c>
      <c r="L842" s="32">
        <f ca="1">ROUND(260.00,2)</f>
        <v>0</v>
      </c>
      <c r="M842" s="32">
        <f ca="1">ROUND(K842*L842,2)</f>
        <v>0</v>
      </c>
    </row>
    <row r="843" spans="1:13" ht="24.36" thickBot="1" customHeight="1">
      <c r="A843" s="8" t="s">
        <v>2725</v>
      </c>
      <c r="B843" s="8" t="s">
        <v>2726</v>
      </c>
      <c r="C843" s="8" t="s">
        <v>2727</v>
      </c>
      <c r="D843" s="30" t="s">
        <v>2728</v>
      </c>
      <c r="E843" s="30"/>
      <c r="F843" s="30"/>
      <c r="G843" s="30"/>
      <c r="H843" s="30"/>
      <c r="I843" s="30"/>
      <c r="J843" s="30"/>
      <c r="K843" s="31">
        <v>1.000</v>
      </c>
      <c r="L843" s="32">
        <f ca="1">ROUND(101.40,2)</f>
        <v>0</v>
      </c>
      <c r="M843" s="32">
        <f ca="1">ROUND(K843*L843,2)</f>
        <v>0</v>
      </c>
    </row>
    <row r="844" spans="1:13" ht="24.36" thickBot="1" customHeight="1">
      <c r="A844" s="8" t="s">
        <v>2729</v>
      </c>
      <c r="B844" s="8" t="s">
        <v>2730</v>
      </c>
      <c r="C844" s="8" t="s">
        <v>2731</v>
      </c>
      <c r="D844" s="30" t="s">
        <v>2732</v>
      </c>
      <c r="E844" s="30"/>
      <c r="F844" s="30"/>
      <c r="G844" s="30"/>
      <c r="H844" s="30"/>
      <c r="I844" s="30"/>
      <c r="J844" s="30"/>
      <c r="K844" s="31">
        <v>1.000</v>
      </c>
      <c r="L844" s="32">
        <f ca="1">ROUND(41.17,2)</f>
        <v>0</v>
      </c>
      <c r="M844" s="32">
        <f ca="1">ROUND(K844*L844,2)</f>
        <v>0</v>
      </c>
    </row>
    <row r="845" spans="1:13" ht="15.12" thickBot="1" customHeight="1">
      <c r="A845" s="8" t="s">
        <v>2733</v>
      </c>
      <c r="B845" s="8" t="s">
        <v>2734</v>
      </c>
      <c r="C845" s="8" t="s">
        <v>2735</v>
      </c>
      <c r="D845" s="30" t="s">
        <v>2736</v>
      </c>
      <c r="E845" s="30"/>
      <c r="F845" s="30"/>
      <c r="G845" s="30"/>
      <c r="H845" s="30"/>
      <c r="I845" s="30"/>
      <c r="J845" s="30"/>
      <c r="K845" s="31">
        <v>1.000</v>
      </c>
      <c r="L845" s="32">
        <f ca="1">ROUND(87.10,2)</f>
        <v>0</v>
      </c>
      <c r="M845" s="32">
        <f ca="1">ROUND(K845*L845,2)</f>
        <v>0</v>
      </c>
    </row>
    <row r="846" spans="1:13" ht="15.12" thickBot="1" customHeight="1">
      <c r="A846" s="8" t="s">
        <v>2737</v>
      </c>
      <c r="B846" s="8" t="s">
        <v>2738</v>
      </c>
      <c r="C846" s="8" t="s">
        <v>2739</v>
      </c>
      <c r="D846" s="30" t="s">
        <v>2740</v>
      </c>
      <c r="E846" s="30"/>
      <c r="F846" s="30"/>
      <c r="G846" s="30"/>
      <c r="H846" s="30"/>
      <c r="I846" s="30"/>
      <c r="J846" s="30"/>
      <c r="K846" s="31">
        <v>1.000</v>
      </c>
      <c r="L846" s="32">
        <f ca="1">ROUND(1.48,2)</f>
        <v>0</v>
      </c>
      <c r="M846" s="32">
        <f ca="1">ROUND(K846*L846,2)</f>
        <v>0</v>
      </c>
    </row>
    <row r="847" spans="1:13" ht="15.12" thickBot="1" customHeight="1">
      <c r="A847" s="8" t="s">
        <v>2741</v>
      </c>
      <c r="B847" s="8" t="s">
        <v>2742</v>
      </c>
      <c r="C847" s="8" t="s">
        <v>2743</v>
      </c>
      <c r="D847" s="30" t="s">
        <v>2744</v>
      </c>
      <c r="E847" s="30"/>
      <c r="F847" s="30"/>
      <c r="G847" s="30"/>
      <c r="H847" s="30"/>
      <c r="I847" s="30"/>
      <c r="J847" s="30"/>
      <c r="K847" s="31">
        <v>1.515</v>
      </c>
      <c r="L847" s="32">
        <f ca="1">ROUND(27.24,2)</f>
        <v>0</v>
      </c>
      <c r="M847" s="32">
        <f ca="1">ROUND(K847*L847,2)</f>
        <v>0</v>
      </c>
    </row>
    <row r="848" spans="1:13" ht="15.12" thickBot="1" customHeight="1">
      <c r="A848" s="8" t="s">
        <v>2745</v>
      </c>
      <c r="B848" s="8" t="s">
        <v>2746</v>
      </c>
      <c r="C848" s="8" t="s">
        <v>2747</v>
      </c>
      <c r="D848" s="30" t="s">
        <v>2748</v>
      </c>
      <c r="E848" s="30"/>
      <c r="F848" s="30"/>
      <c r="G848" s="30"/>
      <c r="H848" s="30"/>
      <c r="I848" s="30"/>
      <c r="J848" s="30"/>
      <c r="K848" s="31">
        <v>1.168</v>
      </c>
      <c r="L848" s="32">
        <f ca="1">ROUND(23.25,2)</f>
        <v>0</v>
      </c>
      <c r="M848" s="32">
        <f ca="1">ROUND(K848*L848,2)</f>
        <v>0</v>
      </c>
    </row>
    <row r="849" spans="1:13" ht="15.12" thickBot="1" customHeight="1">
      <c r="A849" s="8" t="s">
        <v>2749</v>
      </c>
      <c r="B849" s="8"/>
      <c r="C849" s="8" t="s">
        <v>2750</v>
      </c>
      <c r="D849" s="30" t="s">
        <v>2751</v>
      </c>
      <c r="E849" s="30"/>
      <c r="F849" s="30"/>
      <c r="G849" s="30"/>
      <c r="H849" s="30"/>
      <c r="I849" s="30"/>
      <c r="J849" s="30"/>
      <c r="K849" s="31">
        <v>2.000</v>
      </c>
      <c r="L849" s="32">
        <f ca="1">ROUND(824.59,2)</f>
        <v>0</v>
      </c>
      <c r="M849" s="32">
        <f ca="1">ROUND((K849*L849)/100,2)</f>
        <v>0</v>
      </c>
    </row>
    <row r="850" spans="1:13" ht="15.48" thickBot="1" customHeight="1">
      <c r="A850" s="34"/>
      <c r="B850" s="34"/>
      <c r="C850" s="34"/>
      <c r="D850" s="35" t="s">
        <v>2752</v>
      </c>
      <c r="E850" s="34"/>
      <c r="F850" s="34"/>
      <c r="G850" s="34"/>
      <c r="H850" s="34"/>
      <c r="I850" s="34"/>
      <c r="J850" s="34"/>
      <c r="K850" s="37">
        <v>1.000</v>
      </c>
      <c r="L850" s="38">
        <f ca="1">ROUND((M839+M840+M841+M842+M843+M844+M845+M846+M847+M848+M849)*(1+M2/100),2)</f>
        <v>0</v>
      </c>
      <c r="M850" s="38">
        <f ca="1">ROUND(K850*L850,2)</f>
        <v>0</v>
      </c>
    </row>
    <row r="851" spans="1:13" ht="15.48" thickBot="1" customHeight="1">
      <c r="A851" s="39" t="s">
        <v>2753</v>
      </c>
      <c r="B851" s="40" t="s">
        <v>2754</v>
      </c>
      <c r="C851" s="40" t="s">
        <v>2755</v>
      </c>
      <c r="D851" s="41" t="s">
        <v>2756</v>
      </c>
      <c r="E851" s="41"/>
      <c r="F851" s="41"/>
      <c r="G851" s="41"/>
      <c r="H851" s="41"/>
      <c r="I851" s="41"/>
      <c r="J851" s="41"/>
      <c r="K851" s="42">
        <f ca="1">ROUND(35.91,2)</f>
        <v>0</v>
      </c>
      <c r="L851" s="43">
        <f ca="1">L857</f>
        <v>0</v>
      </c>
      <c r="M851" s="43">
        <f ca="1">ROUND(K851*L851,2)</f>
        <v>0</v>
      </c>
    </row>
    <row r="852" spans="1:13" ht="58.32" thickBot="1" customHeight="1">
      <c r="A852" s="33"/>
      <c r="B852" s="33"/>
      <c r="C852" s="33"/>
      <c r="D852" s="30" t="s">
        <v>2757</v>
      </c>
      <c r="E852" s="30"/>
      <c r="F852" s="30"/>
      <c r="G852" s="30"/>
      <c r="H852" s="30"/>
      <c r="I852" s="30"/>
      <c r="J852" s="30"/>
      <c r="K852" s="30"/>
      <c r="L852" s="30"/>
      <c r="M852" s="30"/>
    </row>
    <row r="853" spans="1:13" ht="39.84" thickBot="1" customHeight="1">
      <c r="A853" s="8" t="s">
        <v>2758</v>
      </c>
      <c r="B853" s="8" t="s">
        <v>2759</v>
      </c>
      <c r="C853" s="8" t="s">
        <v>2760</v>
      </c>
      <c r="D853" s="30" t="s">
        <v>2761</v>
      </c>
      <c r="E853" s="30"/>
      <c r="F853" s="30"/>
      <c r="G853" s="30"/>
      <c r="H853" s="30"/>
      <c r="I853" s="30"/>
      <c r="J853" s="30"/>
      <c r="K853" s="31">
        <v>1.000</v>
      </c>
      <c r="L853" s="32">
        <f ca="1">ROUND(4.31,2)</f>
        <v>0</v>
      </c>
      <c r="M853" s="32">
        <f ca="1">ROUND(K853*L853,2)</f>
        <v>0</v>
      </c>
    </row>
    <row r="854" spans="1:13" ht="15.12" thickBot="1" customHeight="1">
      <c r="A854" s="8" t="s">
        <v>2762</v>
      </c>
      <c r="B854" s="8" t="s">
        <v>2763</v>
      </c>
      <c r="C854" s="8" t="s">
        <v>2764</v>
      </c>
      <c r="D854" s="30" t="s">
        <v>2765</v>
      </c>
      <c r="E854" s="30"/>
      <c r="F854" s="30"/>
      <c r="G854" s="30"/>
      <c r="H854" s="30"/>
      <c r="I854" s="30"/>
      <c r="J854" s="30"/>
      <c r="K854" s="31">
        <v>0.043</v>
      </c>
      <c r="L854" s="32">
        <f ca="1">ROUND(27.24,2)</f>
        <v>0</v>
      </c>
      <c r="M854" s="32">
        <f ca="1">ROUND(K854*L854,2)</f>
        <v>0</v>
      </c>
    </row>
    <row r="855" spans="1:13" ht="15.12" thickBot="1" customHeight="1">
      <c r="A855" s="8" t="s">
        <v>2766</v>
      </c>
      <c r="B855" s="8" t="s">
        <v>2767</v>
      </c>
      <c r="C855" s="8" t="s">
        <v>2768</v>
      </c>
      <c r="D855" s="30" t="s">
        <v>2769</v>
      </c>
      <c r="E855" s="30"/>
      <c r="F855" s="30"/>
      <c r="G855" s="30"/>
      <c r="H855" s="30"/>
      <c r="I855" s="30"/>
      <c r="J855" s="30"/>
      <c r="K855" s="31">
        <v>0.043</v>
      </c>
      <c r="L855" s="32">
        <f ca="1">ROUND(23.25,2)</f>
        <v>0</v>
      </c>
      <c r="M855" s="32">
        <f ca="1">ROUND(K855*L855,2)</f>
        <v>0</v>
      </c>
    </row>
    <row r="856" spans="1:13" ht="15.12" thickBot="1" customHeight="1">
      <c r="A856" s="8" t="s">
        <v>2770</v>
      </c>
      <c r="B856" s="8"/>
      <c r="C856" s="8" t="s">
        <v>2771</v>
      </c>
      <c r="D856" s="30" t="s">
        <v>2772</v>
      </c>
      <c r="E856" s="30"/>
      <c r="F856" s="30"/>
      <c r="G856" s="30"/>
      <c r="H856" s="30"/>
      <c r="I856" s="30"/>
      <c r="J856" s="30"/>
      <c r="K856" s="31">
        <v>2.000</v>
      </c>
      <c r="L856" s="32">
        <f ca="1">ROUND(6.48,2)</f>
        <v>0</v>
      </c>
      <c r="M856" s="32">
        <f ca="1">ROUND((K856*L856)/100,2)</f>
        <v>0</v>
      </c>
    </row>
    <row r="857" spans="1:13" ht="15.48" thickBot="1" customHeight="1">
      <c r="A857" s="34"/>
      <c r="B857" s="34"/>
      <c r="C857" s="34"/>
      <c r="D857" s="35" t="s">
        <v>2773</v>
      </c>
      <c r="E857" s="34"/>
      <c r="F857" s="34"/>
      <c r="G857" s="34"/>
      <c r="H857" s="34"/>
      <c r="I857" s="34"/>
      <c r="J857" s="34"/>
      <c r="K857" s="37">
        <v>35.910</v>
      </c>
      <c r="L857" s="38">
        <f ca="1">ROUND((M853+M854+M855+M856)*(1+M2/100),2)</f>
        <v>0</v>
      </c>
      <c r="M857" s="38">
        <f ca="1">ROUND(K857*L857,2)</f>
        <v>0</v>
      </c>
    </row>
    <row r="858" spans="1:13" ht="15.48" thickBot="1" customHeight="1">
      <c r="A858" s="39" t="s">
        <v>2774</v>
      </c>
      <c r="B858" s="40" t="s">
        <v>2775</v>
      </c>
      <c r="C858" s="40" t="s">
        <v>2776</v>
      </c>
      <c r="D858" s="41" t="s">
        <v>2777</v>
      </c>
      <c r="E858" s="41"/>
      <c r="F858" s="41"/>
      <c r="G858" s="41"/>
      <c r="H858" s="41"/>
      <c r="I858" s="41"/>
      <c r="J858" s="41"/>
      <c r="K858" s="42">
        <f ca="1">ROUND(35.91,2)</f>
        <v>0</v>
      </c>
      <c r="L858" s="43">
        <f ca="1">L864</f>
        <v>0</v>
      </c>
      <c r="M858" s="43">
        <f ca="1">ROUND(K858*L858,2)</f>
        <v>0</v>
      </c>
    </row>
    <row r="859" spans="1:13" ht="58.32" thickBot="1" customHeight="1">
      <c r="A859" s="33"/>
      <c r="B859" s="33"/>
      <c r="C859" s="33"/>
      <c r="D859" s="30" t="s">
        <v>2778</v>
      </c>
      <c r="E859" s="30"/>
      <c r="F859" s="30"/>
      <c r="G859" s="30"/>
      <c r="H859" s="30"/>
      <c r="I859" s="30"/>
      <c r="J859" s="30"/>
      <c r="K859" s="30"/>
      <c r="L859" s="30"/>
      <c r="M859" s="30"/>
    </row>
    <row r="860" spans="1:13" ht="39.84" thickBot="1" customHeight="1">
      <c r="A860" s="8" t="s">
        <v>2779</v>
      </c>
      <c r="B860" s="8" t="s">
        <v>2780</v>
      </c>
      <c r="C860" s="8" t="s">
        <v>2781</v>
      </c>
      <c r="D860" s="30" t="s">
        <v>2782</v>
      </c>
      <c r="E860" s="30"/>
      <c r="F860" s="30"/>
      <c r="G860" s="30"/>
      <c r="H860" s="30"/>
      <c r="I860" s="30"/>
      <c r="J860" s="30"/>
      <c r="K860" s="31">
        <v>1.000</v>
      </c>
      <c r="L860" s="32">
        <f ca="1">ROUND(1.43,2)</f>
        <v>0</v>
      </c>
      <c r="M860" s="32">
        <f ca="1">ROUND(K860*L860,2)</f>
        <v>0</v>
      </c>
    </row>
    <row r="861" spans="1:13" ht="15.12" thickBot="1" customHeight="1">
      <c r="A861" s="8" t="s">
        <v>2783</v>
      </c>
      <c r="B861" s="8" t="s">
        <v>2784</v>
      </c>
      <c r="C861" s="8" t="s">
        <v>2785</v>
      </c>
      <c r="D861" s="30" t="s">
        <v>2786</v>
      </c>
      <c r="E861" s="30"/>
      <c r="F861" s="30"/>
      <c r="G861" s="30"/>
      <c r="H861" s="30"/>
      <c r="I861" s="30"/>
      <c r="J861" s="30"/>
      <c r="K861" s="31">
        <v>0.016</v>
      </c>
      <c r="L861" s="32">
        <f ca="1">ROUND(27.24,2)</f>
        <v>0</v>
      </c>
      <c r="M861" s="32">
        <f ca="1">ROUND(K861*L861,2)</f>
        <v>0</v>
      </c>
    </row>
    <row r="862" spans="1:13" ht="15.12" thickBot="1" customHeight="1">
      <c r="A862" s="8" t="s">
        <v>2787</v>
      </c>
      <c r="B862" s="8" t="s">
        <v>2788</v>
      </c>
      <c r="C862" s="8" t="s">
        <v>2789</v>
      </c>
      <c r="D862" s="30" t="s">
        <v>2790</v>
      </c>
      <c r="E862" s="30"/>
      <c r="F862" s="30"/>
      <c r="G862" s="30"/>
      <c r="H862" s="30"/>
      <c r="I862" s="30"/>
      <c r="J862" s="30"/>
      <c r="K862" s="31">
        <v>0.016</v>
      </c>
      <c r="L862" s="32">
        <f ca="1">ROUND(23.25,2)</f>
        <v>0</v>
      </c>
      <c r="M862" s="32">
        <f ca="1">ROUND(K862*L862,2)</f>
        <v>0</v>
      </c>
    </row>
    <row r="863" spans="1:13" ht="15.12" thickBot="1" customHeight="1">
      <c r="A863" s="8" t="s">
        <v>2791</v>
      </c>
      <c r="B863" s="8"/>
      <c r="C863" s="8" t="s">
        <v>2792</v>
      </c>
      <c r="D863" s="30" t="s">
        <v>2793</v>
      </c>
      <c r="E863" s="30"/>
      <c r="F863" s="30"/>
      <c r="G863" s="30"/>
      <c r="H863" s="30"/>
      <c r="I863" s="30"/>
      <c r="J863" s="30"/>
      <c r="K863" s="31">
        <v>2.000</v>
      </c>
      <c r="L863" s="32">
        <f ca="1">ROUND(2.24,2)</f>
        <v>0</v>
      </c>
      <c r="M863" s="32">
        <f ca="1">ROUND((K863*L863)/100,2)</f>
        <v>0</v>
      </c>
    </row>
    <row r="864" spans="1:13" ht="15.48" thickBot="1" customHeight="1">
      <c r="A864" s="34"/>
      <c r="B864" s="34"/>
      <c r="C864" s="34"/>
      <c r="D864" s="35" t="s">
        <v>2794</v>
      </c>
      <c r="E864" s="34"/>
      <c r="F864" s="34"/>
      <c r="G864" s="34"/>
      <c r="H864" s="34"/>
      <c r="I864" s="34"/>
      <c r="J864" s="34"/>
      <c r="K864" s="37">
        <v>35.910</v>
      </c>
      <c r="L864" s="38">
        <f ca="1">ROUND((M860+M861+M862+M863)*(1+M2/100),2)</f>
        <v>0</v>
      </c>
      <c r="M864" s="38">
        <f ca="1">ROUND(K864*L864,2)</f>
        <v>0</v>
      </c>
    </row>
    <row r="865" spans="1:13" ht="15.48" thickBot="1" customHeight="1">
      <c r="A865" s="39" t="s">
        <v>2795</v>
      </c>
      <c r="B865" s="40" t="s">
        <v>2796</v>
      </c>
      <c r="C865" s="40" t="s">
        <v>2797</v>
      </c>
      <c r="D865" s="41" t="s">
        <v>2798</v>
      </c>
      <c r="E865" s="41"/>
      <c r="F865" s="41"/>
      <c r="G865" s="41"/>
      <c r="H865" s="41"/>
      <c r="I865" s="41"/>
      <c r="J865" s="41"/>
      <c r="K865" s="42">
        <f ca="1">ROUND(2.00,2)</f>
        <v>0</v>
      </c>
      <c r="L865" s="43">
        <f ca="1">L873</f>
        <v>0</v>
      </c>
      <c r="M865" s="43">
        <f ca="1">ROUND(K865*L865,2)</f>
        <v>0</v>
      </c>
    </row>
    <row r="866" spans="1:13" ht="67.56" thickBot="1" customHeight="1">
      <c r="A866" s="33"/>
      <c r="B866" s="33"/>
      <c r="C866" s="33"/>
      <c r="D866" s="30" t="s">
        <v>2799</v>
      </c>
      <c r="E866" s="30"/>
      <c r="F866" s="30"/>
      <c r="G866" s="30"/>
      <c r="H866" s="30"/>
      <c r="I866" s="30"/>
      <c r="J866" s="30"/>
      <c r="K866" s="30"/>
      <c r="L866" s="30"/>
      <c r="M866" s="30"/>
    </row>
    <row r="867" spans="1:13" ht="21.36" thickBot="1" customHeight="1">
      <c r="A867" s="8" t="s">
        <v>2800</v>
      </c>
      <c r="B867" s="8" t="s">
        <v>2801</v>
      </c>
      <c r="C867" s="8" t="s">
        <v>2802</v>
      </c>
      <c r="D867" s="30" t="s">
        <v>2803</v>
      </c>
      <c r="E867" s="30"/>
      <c r="F867" s="30"/>
      <c r="G867" s="30"/>
      <c r="H867" s="30"/>
      <c r="I867" s="30"/>
      <c r="J867" s="30"/>
      <c r="K867" s="31">
        <v>1.000</v>
      </c>
      <c r="L867" s="32">
        <f ca="1">ROUND(11.25,2)</f>
        <v>0</v>
      </c>
      <c r="M867" s="32">
        <f ca="1">ROUND(K867*L867,2)</f>
        <v>0</v>
      </c>
    </row>
    <row r="868" spans="1:13" ht="21.36" thickBot="1" customHeight="1">
      <c r="A868" s="8" t="s">
        <v>2804</v>
      </c>
      <c r="B868" s="8" t="s">
        <v>2805</v>
      </c>
      <c r="C868" s="8" t="s">
        <v>2806</v>
      </c>
      <c r="D868" s="30" t="s">
        <v>2807</v>
      </c>
      <c r="E868" s="30"/>
      <c r="F868" s="30"/>
      <c r="G868" s="30"/>
      <c r="H868" s="30"/>
      <c r="I868" s="30"/>
      <c r="J868" s="30"/>
      <c r="K868" s="31">
        <v>1.000</v>
      </c>
      <c r="L868" s="32">
        <f ca="1">ROUND(28.08,2)</f>
        <v>0</v>
      </c>
      <c r="M868" s="32">
        <f ca="1">ROUND(K868*L868,2)</f>
        <v>0</v>
      </c>
    </row>
    <row r="869" spans="1:13" ht="15.12" thickBot="1" customHeight="1">
      <c r="A869" s="8" t="s">
        <v>2808</v>
      </c>
      <c r="B869" s="8" t="s">
        <v>2809</v>
      </c>
      <c r="C869" s="8" t="s">
        <v>2810</v>
      </c>
      <c r="D869" s="30" t="s">
        <v>2811</v>
      </c>
      <c r="E869" s="30"/>
      <c r="F869" s="30"/>
      <c r="G869" s="30"/>
      <c r="H869" s="30"/>
      <c r="I869" s="30"/>
      <c r="J869" s="30"/>
      <c r="K869" s="31">
        <v>0.442</v>
      </c>
      <c r="L869" s="32">
        <f ca="1">ROUND(11.50,2)</f>
        <v>0</v>
      </c>
      <c r="M869" s="32">
        <f ca="1">ROUND(K869*L869,2)</f>
        <v>0</v>
      </c>
    </row>
    <row r="870" spans="1:13" ht="15.12" thickBot="1" customHeight="1">
      <c r="A870" s="8" t="s">
        <v>2812</v>
      </c>
      <c r="B870" s="8" t="s">
        <v>2813</v>
      </c>
      <c r="C870" s="8" t="s">
        <v>2814</v>
      </c>
      <c r="D870" s="30" t="s">
        <v>2815</v>
      </c>
      <c r="E870" s="30"/>
      <c r="F870" s="30"/>
      <c r="G870" s="30"/>
      <c r="H870" s="30"/>
      <c r="I870" s="30"/>
      <c r="J870" s="30"/>
      <c r="K870" s="31">
        <v>0.541</v>
      </c>
      <c r="L870" s="32">
        <f ca="1">ROUND(26.38,2)</f>
        <v>0</v>
      </c>
      <c r="M870" s="32">
        <f ca="1">ROUND(K870*L870,2)</f>
        <v>0</v>
      </c>
    </row>
    <row r="871" spans="1:13" ht="15.12" thickBot="1" customHeight="1">
      <c r="A871" s="8" t="s">
        <v>2816</v>
      </c>
      <c r="B871" s="8" t="s">
        <v>2817</v>
      </c>
      <c r="C871" s="8" t="s">
        <v>2818</v>
      </c>
      <c r="D871" s="30" t="s">
        <v>2819</v>
      </c>
      <c r="E871" s="30"/>
      <c r="F871" s="30"/>
      <c r="G871" s="30"/>
      <c r="H871" s="30"/>
      <c r="I871" s="30"/>
      <c r="J871" s="30"/>
      <c r="K871" s="31">
        <v>1.110</v>
      </c>
      <c r="L871" s="32">
        <f ca="1">ROUND(23.30,2)</f>
        <v>0</v>
      </c>
      <c r="M871" s="32">
        <f ca="1">ROUND(K871*L871,2)</f>
        <v>0</v>
      </c>
    </row>
    <row r="872" spans="1:13" ht="15.12" thickBot="1" customHeight="1">
      <c r="A872" s="8" t="s">
        <v>2820</v>
      </c>
      <c r="B872" s="8"/>
      <c r="C872" s="8" t="s">
        <v>2821</v>
      </c>
      <c r="D872" s="30" t="s">
        <v>2822</v>
      </c>
      <c r="E872" s="30"/>
      <c r="F872" s="30"/>
      <c r="G872" s="30"/>
      <c r="H872" s="30"/>
      <c r="I872" s="30"/>
      <c r="J872" s="30"/>
      <c r="K872" s="31">
        <v>2.000</v>
      </c>
      <c r="L872" s="32">
        <f ca="1">ROUND(84.54,2)</f>
        <v>0</v>
      </c>
      <c r="M872" s="32">
        <f ca="1">ROUND((K872*L872)/100,2)</f>
        <v>0</v>
      </c>
    </row>
    <row r="873" spans="1:13" ht="15.48" thickBot="1" customHeight="1">
      <c r="A873" s="34"/>
      <c r="B873" s="34"/>
      <c r="C873" s="34"/>
      <c r="D873" s="35" t="s">
        <v>2823</v>
      </c>
      <c r="E873" s="34"/>
      <c r="F873" s="34"/>
      <c r="G873" s="34"/>
      <c r="H873" s="34"/>
      <c r="I873" s="34"/>
      <c r="J873" s="34"/>
      <c r="K873" s="37">
        <v>2.000</v>
      </c>
      <c r="L873" s="38">
        <f ca="1">ROUND((M867+M868+M869+M870+M871+M872)*(1+M2/100),2)</f>
        <v>0</v>
      </c>
      <c r="M873" s="38">
        <f ca="1">ROUND(K873*L873,2)</f>
        <v>0</v>
      </c>
    </row>
    <row r="874" spans="1:13" ht="15.48" thickBot="1" customHeight="1">
      <c r="A874" s="44"/>
      <c r="B874" s="44"/>
      <c r="C874" s="44"/>
      <c r="D874" s="45" t="s">
        <v>2824</v>
      </c>
      <c r="E874" s="46"/>
      <c r="F874" s="46"/>
      <c r="G874" s="46"/>
      <c r="H874" s="46"/>
      <c r="I874" s="46"/>
      <c r="J874" s="46"/>
      <c r="K874" s="46"/>
      <c r="L874" s="47">
        <f ca="1">M797+M803+M819+M828+M837+M851+M858+M865</f>
        <v>0</v>
      </c>
      <c r="M874" s="47">
        <f ca="1">ROUND(L874,2)</f>
        <v>0</v>
      </c>
    </row>
    <row r="875" spans="1:13" ht="15.48" thickBot="1" customHeight="1">
      <c r="A875" s="48" t="s">
        <v>2825</v>
      </c>
      <c r="B875" s="48" t="s">
        <v>2826</v>
      </c>
      <c r="C875" s="49"/>
      <c r="D875" s="50" t="s">
        <v>2827</v>
      </c>
      <c r="E875" s="50"/>
      <c r="F875" s="50"/>
      <c r="G875" s="50"/>
      <c r="H875" s="50"/>
      <c r="I875" s="50"/>
      <c r="J875" s="50"/>
      <c r="K875" s="49"/>
      <c r="L875" s="51">
        <f ca="1">L884</f>
        <v>0</v>
      </c>
      <c r="M875" s="51">
        <f ca="1">ROUND(L875,2)</f>
        <v>0</v>
      </c>
    </row>
    <row r="876" spans="1:13" ht="15.48" thickBot="1" customHeight="1">
      <c r="A876" s="15" t="s">
        <v>2828</v>
      </c>
      <c r="B876" s="8" t="s">
        <v>2829</v>
      </c>
      <c r="C876" s="8" t="s">
        <v>2830</v>
      </c>
      <c r="D876" s="30" t="s">
        <v>2831</v>
      </c>
      <c r="E876" s="30"/>
      <c r="F876" s="30"/>
      <c r="G876" s="30"/>
      <c r="H876" s="30"/>
      <c r="I876" s="30"/>
      <c r="J876" s="30"/>
      <c r="K876" s="31">
        <f ca="1">ROUND(1.00,2)</f>
        <v>0</v>
      </c>
      <c r="L876" s="32">
        <f ca="1">L883</f>
        <v>0</v>
      </c>
      <c r="M876" s="32">
        <f ca="1">ROUND(K876*L876,2)</f>
        <v>0</v>
      </c>
    </row>
    <row r="877" spans="1:13" ht="30.60" thickBot="1" customHeight="1">
      <c r="A877" s="33"/>
      <c r="B877" s="33"/>
      <c r="C877" s="33"/>
      <c r="D877" s="30" t="s">
        <v>2832</v>
      </c>
      <c r="E877" s="30"/>
      <c r="F877" s="30"/>
      <c r="G877" s="30"/>
      <c r="H877" s="30"/>
      <c r="I877" s="30"/>
      <c r="J877" s="30"/>
      <c r="K877" s="30"/>
      <c r="L877" s="30"/>
      <c r="M877" s="30"/>
    </row>
    <row r="878" spans="1:13" ht="39.84" thickBot="1" customHeight="1">
      <c r="A878" s="8" t="s">
        <v>2833</v>
      </c>
      <c r="B878" s="8" t="s">
        <v>2834</v>
      </c>
      <c r="C878" s="8" t="s">
        <v>2835</v>
      </c>
      <c r="D878" s="30" t="s">
        <v>2836</v>
      </c>
      <c r="E878" s="30"/>
      <c r="F878" s="30"/>
      <c r="G878" s="30"/>
      <c r="H878" s="30"/>
      <c r="I878" s="30"/>
      <c r="J878" s="30"/>
      <c r="K878" s="31">
        <v>1.000</v>
      </c>
      <c r="L878" s="32">
        <f ca="1">ROUND(636.30,2)</f>
        <v>0</v>
      </c>
      <c r="M878" s="32">
        <f ca="1">ROUND(K878*L878,2)</f>
        <v>0</v>
      </c>
    </row>
    <row r="879" spans="1:13" ht="15.12" thickBot="1" customHeight="1">
      <c r="A879" s="8" t="s">
        <v>2837</v>
      </c>
      <c r="B879" s="8" t="s">
        <v>2838</v>
      </c>
      <c r="C879" s="8" t="s">
        <v>2839</v>
      </c>
      <c r="D879" s="30" t="s">
        <v>2840</v>
      </c>
      <c r="E879" s="30"/>
      <c r="F879" s="30"/>
      <c r="G879" s="30"/>
      <c r="H879" s="30"/>
      <c r="I879" s="30"/>
      <c r="J879" s="30"/>
      <c r="K879" s="31">
        <v>1.000</v>
      </c>
      <c r="L879" s="32">
        <f ca="1">ROUND(0.50,2)</f>
        <v>0</v>
      </c>
      <c r="M879" s="32">
        <f ca="1">ROUND(K879*L879,2)</f>
        <v>0</v>
      </c>
    </row>
    <row r="880" spans="1:13" ht="15.12" thickBot="1" customHeight="1">
      <c r="A880" s="8" t="s">
        <v>2841</v>
      </c>
      <c r="B880" s="8" t="s">
        <v>2842</v>
      </c>
      <c r="C880" s="8" t="s">
        <v>2843</v>
      </c>
      <c r="D880" s="30" t="s">
        <v>2844</v>
      </c>
      <c r="E880" s="30"/>
      <c r="F880" s="30"/>
      <c r="G880" s="30"/>
      <c r="H880" s="30"/>
      <c r="I880" s="30"/>
      <c r="J880" s="30"/>
      <c r="K880" s="31">
        <v>0.250</v>
      </c>
      <c r="L880" s="32">
        <f ca="1">ROUND(27.24,2)</f>
        <v>0</v>
      </c>
      <c r="M880" s="32">
        <f ca="1">ROUND(K880*L880,2)</f>
        <v>0</v>
      </c>
    </row>
    <row r="881" spans="1:13" ht="15.12" thickBot="1" customHeight="1">
      <c r="A881" s="8" t="s">
        <v>2845</v>
      </c>
      <c r="B881" s="8" t="s">
        <v>2846</v>
      </c>
      <c r="C881" s="8" t="s">
        <v>2847</v>
      </c>
      <c r="D881" s="30" t="s">
        <v>2848</v>
      </c>
      <c r="E881" s="30"/>
      <c r="F881" s="30"/>
      <c r="G881" s="30"/>
      <c r="H881" s="30"/>
      <c r="I881" s="30"/>
      <c r="J881" s="30"/>
      <c r="K881" s="31">
        <v>0.250</v>
      </c>
      <c r="L881" s="32">
        <f ca="1">ROUND(23.25,2)</f>
        <v>0</v>
      </c>
      <c r="M881" s="32">
        <f ca="1">ROUND(K881*L881,2)</f>
        <v>0</v>
      </c>
    </row>
    <row r="882" spans="1:13" ht="15.12" thickBot="1" customHeight="1">
      <c r="A882" s="8" t="s">
        <v>2849</v>
      </c>
      <c r="B882" s="8"/>
      <c r="C882" s="8" t="s">
        <v>2850</v>
      </c>
      <c r="D882" s="30" t="s">
        <v>2851</v>
      </c>
      <c r="E882" s="30"/>
      <c r="F882" s="30"/>
      <c r="G882" s="30"/>
      <c r="H882" s="30"/>
      <c r="I882" s="30"/>
      <c r="J882" s="30"/>
      <c r="K882" s="31">
        <v>2.000</v>
      </c>
      <c r="L882" s="32">
        <f ca="1">ROUND(649.42,2)</f>
        <v>0</v>
      </c>
      <c r="M882" s="32">
        <f ca="1">ROUND((K882*L882)/100,2)</f>
        <v>0</v>
      </c>
    </row>
    <row r="883" spans="1:13" ht="15.48" thickBot="1" customHeight="1">
      <c r="A883" s="34"/>
      <c r="B883" s="34"/>
      <c r="C883" s="34"/>
      <c r="D883" s="35" t="s">
        <v>2852</v>
      </c>
      <c r="E883" s="34"/>
      <c r="F883" s="34"/>
      <c r="G883" s="34"/>
      <c r="H883" s="34"/>
      <c r="I883" s="34"/>
      <c r="J883" s="34"/>
      <c r="K883" s="37">
        <v>1.000</v>
      </c>
      <c r="L883" s="38">
        <f ca="1">ROUND((M878+M879+M880+M881+M882)*(1+M2/100),2)</f>
        <v>0</v>
      </c>
      <c r="M883" s="38">
        <f ca="1">ROUND(K883*L883,2)</f>
        <v>0</v>
      </c>
    </row>
    <row r="884" spans="1:13" ht="15.48" thickBot="1" customHeight="1">
      <c r="A884" s="44"/>
      <c r="B884" s="44"/>
      <c r="C884" s="44"/>
      <c r="D884" s="45" t="s">
        <v>2853</v>
      </c>
      <c r="E884" s="46"/>
      <c r="F884" s="46"/>
      <c r="G884" s="46"/>
      <c r="H884" s="46"/>
      <c r="I884" s="46"/>
      <c r="J884" s="46"/>
      <c r="K884" s="46"/>
      <c r="L884" s="47">
        <f ca="1">M876</f>
        <v>0</v>
      </c>
      <c r="M884" s="47">
        <f ca="1">ROUND(L884,2)</f>
        <v>0</v>
      </c>
    </row>
    <row r="885" spans="1:13" ht="15.48" thickBot="1" customHeight="1">
      <c r="A885" s="44"/>
      <c r="B885" s="44"/>
      <c r="C885" s="44"/>
      <c r="D885" s="66" t="s">
        <v>2854</v>
      </c>
      <c r="E885" s="67"/>
      <c r="F885" s="67"/>
      <c r="G885" s="67"/>
      <c r="H885" s="67"/>
      <c r="I885" s="67"/>
      <c r="J885" s="67"/>
      <c r="K885" s="67"/>
      <c r="L885" s="68">
        <f ca="1">M874+M884</f>
        <v>0</v>
      </c>
      <c r="M885" s="68">
        <f ca="1">ROUND(L885,2)</f>
        <v>0</v>
      </c>
    </row>
    <row r="886" spans="1:13" ht="25.08" thickBot="1" customHeight="1">
      <c r="A886" s="44"/>
      <c r="B886" s="44"/>
      <c r="C886" s="44"/>
      <c r="D886" s="74" t="s">
        <v>2855</v>
      </c>
      <c r="E886" s="75"/>
      <c r="F886" s="75"/>
      <c r="G886" s="75"/>
      <c r="H886" s="75"/>
      <c r="I886" s="75"/>
      <c r="J886" s="75"/>
      <c r="K886" s="75"/>
      <c r="L886" s="76">
        <f ca="1">M309+M611+M794+M885</f>
        <v>0</v>
      </c>
      <c r="M886" s="76">
        <f ca="1">ROUND(L886,2)</f>
        <v>0</v>
      </c>
    </row>
  </sheetData>
  <mergeCells count="742">
    <mergeCell ref="B1:M1"/>
    <mergeCell ref="A2:C2"/>
    <mergeCell ref="D4:J4"/>
    <mergeCell ref="D5:J5"/>
    <mergeCell ref="D6:J6"/>
    <mergeCell ref="D7:J7"/>
    <mergeCell ref="D8:M8"/>
    <mergeCell ref="D9:J9"/>
    <mergeCell ref="D10:J10"/>
    <mergeCell ref="D11:J11"/>
    <mergeCell ref="D12:J12"/>
    <mergeCell ref="D14:J14"/>
    <mergeCell ref="D15:M15"/>
    <mergeCell ref="D16:J16"/>
    <mergeCell ref="D17:J17"/>
    <mergeCell ref="D18:J18"/>
    <mergeCell ref="D19:J19"/>
    <mergeCell ref="D21:J21"/>
    <mergeCell ref="D22:M22"/>
    <mergeCell ref="D23:J23"/>
    <mergeCell ref="D24:J24"/>
    <mergeCell ref="D25:J25"/>
    <mergeCell ref="D26:J26"/>
    <mergeCell ref="D27:J27"/>
    <mergeCell ref="D29:J29"/>
    <mergeCell ref="D30:M30"/>
    <mergeCell ref="D31:J31"/>
    <mergeCell ref="D32:J32"/>
    <mergeCell ref="D33:J33"/>
    <mergeCell ref="D34:J34"/>
    <mergeCell ref="D35:J35"/>
    <mergeCell ref="D36:J36"/>
    <mergeCell ref="D38:J38"/>
    <mergeCell ref="D39:M39"/>
    <mergeCell ref="D40:J40"/>
    <mergeCell ref="D41:J41"/>
    <mergeCell ref="D42:J42"/>
    <mergeCell ref="D43:J43"/>
    <mergeCell ref="D44:J44"/>
    <mergeCell ref="D45:J45"/>
    <mergeCell ref="D47:J47"/>
    <mergeCell ref="D48:M48"/>
    <mergeCell ref="D49:J49"/>
    <mergeCell ref="D50:J50"/>
    <mergeCell ref="D51:J51"/>
    <mergeCell ref="D52:J52"/>
    <mergeCell ref="D53:J53"/>
    <mergeCell ref="D54:J54"/>
    <mergeCell ref="D55:J55"/>
    <mergeCell ref="D58:J58"/>
    <mergeCell ref="D59:J59"/>
    <mergeCell ref="D60:M60"/>
    <mergeCell ref="D61:J61"/>
    <mergeCell ref="D62:J62"/>
    <mergeCell ref="D63:J63"/>
    <mergeCell ref="D65:J65"/>
    <mergeCell ref="D66:M66"/>
    <mergeCell ref="D69:J69"/>
    <mergeCell ref="D70:J70"/>
    <mergeCell ref="D71:J71"/>
    <mergeCell ref="D72:J72"/>
    <mergeCell ref="D74:J74"/>
    <mergeCell ref="D75:M75"/>
    <mergeCell ref="D78:J78"/>
    <mergeCell ref="D79:J79"/>
    <mergeCell ref="D80:J80"/>
    <mergeCell ref="D81:J81"/>
    <mergeCell ref="D83:J83"/>
    <mergeCell ref="D84:M84"/>
    <mergeCell ref="D87:J87"/>
    <mergeCell ref="D88:J88"/>
    <mergeCell ref="D89:J89"/>
    <mergeCell ref="D90:J90"/>
    <mergeCell ref="D92:J92"/>
    <mergeCell ref="D93:M93"/>
    <mergeCell ref="D96:J96"/>
    <mergeCell ref="D97:J97"/>
    <mergeCell ref="D98:J98"/>
    <mergeCell ref="D99:J99"/>
    <mergeCell ref="D101:J101"/>
    <mergeCell ref="D102:M102"/>
    <mergeCell ref="D103:J103"/>
    <mergeCell ref="D104:J104"/>
    <mergeCell ref="D105:J105"/>
    <mergeCell ref="D106:J106"/>
    <mergeCell ref="D108:J108"/>
    <mergeCell ref="D109:M109"/>
    <mergeCell ref="D110:J110"/>
    <mergeCell ref="D111:J111"/>
    <mergeCell ref="D112:J112"/>
    <mergeCell ref="D113:J113"/>
    <mergeCell ref="D115:J115"/>
    <mergeCell ref="D116:M116"/>
    <mergeCell ref="D119:J119"/>
    <mergeCell ref="D120:J120"/>
    <mergeCell ref="D121:J121"/>
    <mergeCell ref="D122:J122"/>
    <mergeCell ref="D123:J123"/>
    <mergeCell ref="D124:J124"/>
    <mergeCell ref="D125:J125"/>
    <mergeCell ref="D126:J126"/>
    <mergeCell ref="D127:J127"/>
    <mergeCell ref="D128:J128"/>
    <mergeCell ref="D129:J129"/>
    <mergeCell ref="D130:J130"/>
    <mergeCell ref="D131:J131"/>
    <mergeCell ref="D132:J132"/>
    <mergeCell ref="D133:J133"/>
    <mergeCell ref="D134:J134"/>
    <mergeCell ref="D135:J135"/>
    <mergeCell ref="D136:J136"/>
    <mergeCell ref="D138:J138"/>
    <mergeCell ref="D139:M139"/>
    <mergeCell ref="D142:J142"/>
    <mergeCell ref="D143:J143"/>
    <mergeCell ref="D144:J144"/>
    <mergeCell ref="D145:J145"/>
    <mergeCell ref="D146:J146"/>
    <mergeCell ref="D147:J147"/>
    <mergeCell ref="D148:J148"/>
    <mergeCell ref="D149:J149"/>
    <mergeCell ref="D150:J150"/>
    <mergeCell ref="D151:J151"/>
    <mergeCell ref="D152:J152"/>
    <mergeCell ref="D153:J153"/>
    <mergeCell ref="D154:J154"/>
    <mergeCell ref="D156:J156"/>
    <mergeCell ref="D157:M157"/>
    <mergeCell ref="D160:J160"/>
    <mergeCell ref="D161:J161"/>
    <mergeCell ref="D162:J162"/>
    <mergeCell ref="D163:J163"/>
    <mergeCell ref="D164:J164"/>
    <mergeCell ref="D165:J165"/>
    <mergeCell ref="D166:J166"/>
    <mergeCell ref="D167:J167"/>
    <mergeCell ref="D168:J168"/>
    <mergeCell ref="D169:J169"/>
    <mergeCell ref="D170:J170"/>
    <mergeCell ref="D172:J172"/>
    <mergeCell ref="D173:M173"/>
    <mergeCell ref="D174:J174"/>
    <mergeCell ref="D175:J175"/>
    <mergeCell ref="D176:J176"/>
    <mergeCell ref="D177:J177"/>
    <mergeCell ref="D178:J178"/>
    <mergeCell ref="D179:J179"/>
    <mergeCell ref="D180:J180"/>
    <mergeCell ref="D181:J181"/>
    <mergeCell ref="D182:J182"/>
    <mergeCell ref="D183:J183"/>
    <mergeCell ref="D184:J184"/>
    <mergeCell ref="D186:J186"/>
    <mergeCell ref="D187:M187"/>
    <mergeCell ref="D188:J188"/>
    <mergeCell ref="D189:J189"/>
    <mergeCell ref="D190:J190"/>
    <mergeCell ref="D191:J191"/>
    <mergeCell ref="D192:J192"/>
    <mergeCell ref="D193:J193"/>
    <mergeCell ref="D194:J194"/>
    <mergeCell ref="D195:J195"/>
    <mergeCell ref="D196:J196"/>
    <mergeCell ref="D197:J197"/>
    <mergeCell ref="D198:J198"/>
    <mergeCell ref="D200:J200"/>
    <mergeCell ref="D201:M201"/>
    <mergeCell ref="D202:J202"/>
    <mergeCell ref="D203:J203"/>
    <mergeCell ref="D204:J204"/>
    <mergeCell ref="D205:J205"/>
    <mergeCell ref="D206:J206"/>
    <mergeCell ref="D207:J207"/>
    <mergeCell ref="D208:J208"/>
    <mergeCell ref="D209:J209"/>
    <mergeCell ref="D210:J210"/>
    <mergeCell ref="D211:J211"/>
    <mergeCell ref="D212:J212"/>
    <mergeCell ref="D214:J214"/>
    <mergeCell ref="D215:M215"/>
    <mergeCell ref="D216:J216"/>
    <mergeCell ref="D217:J217"/>
    <mergeCell ref="D218:J218"/>
    <mergeCell ref="D219:J219"/>
    <mergeCell ref="D220:J220"/>
    <mergeCell ref="D221:J221"/>
    <mergeCell ref="D222:J222"/>
    <mergeCell ref="D223:J223"/>
    <mergeCell ref="D224:J224"/>
    <mergeCell ref="D225:J225"/>
    <mergeCell ref="D226:J226"/>
    <mergeCell ref="D228:J228"/>
    <mergeCell ref="D229:M229"/>
    <mergeCell ref="D230:J230"/>
    <mergeCell ref="D231:J231"/>
    <mergeCell ref="D232:J232"/>
    <mergeCell ref="D233:J233"/>
    <mergeCell ref="D234:J234"/>
    <mergeCell ref="D235:J235"/>
    <mergeCell ref="D237:J237"/>
    <mergeCell ref="D238:M238"/>
    <mergeCell ref="D240:J240"/>
    <mergeCell ref="D241:J241"/>
    <mergeCell ref="D242:M242"/>
    <mergeCell ref="D244:J244"/>
    <mergeCell ref="D245:J245"/>
    <mergeCell ref="D246:M246"/>
    <mergeCell ref="D247:J247"/>
    <mergeCell ref="D248:J248"/>
    <mergeCell ref="D249:J249"/>
    <mergeCell ref="D250:J250"/>
    <mergeCell ref="D252:J252"/>
    <mergeCell ref="D253:M253"/>
    <mergeCell ref="D254:J254"/>
    <mergeCell ref="D255:J255"/>
    <mergeCell ref="D256:J256"/>
    <mergeCell ref="D257:J257"/>
    <mergeCell ref="D259:J259"/>
    <mergeCell ref="D260:M260"/>
    <mergeCell ref="D261:J261"/>
    <mergeCell ref="D262:J262"/>
    <mergeCell ref="D263:J263"/>
    <mergeCell ref="D264:J264"/>
    <mergeCell ref="D266:J266"/>
    <mergeCell ref="D267:M267"/>
    <mergeCell ref="D268:J268"/>
    <mergeCell ref="D269:J269"/>
    <mergeCell ref="D270:J270"/>
    <mergeCell ref="D271:J271"/>
    <mergeCell ref="D272:J272"/>
    <mergeCell ref="D273:J273"/>
    <mergeCell ref="D274:J274"/>
    <mergeCell ref="D275:J275"/>
    <mergeCell ref="D276:J276"/>
    <mergeCell ref="D277:J277"/>
    <mergeCell ref="D278:J278"/>
    <mergeCell ref="D280:J280"/>
    <mergeCell ref="D281:M281"/>
    <mergeCell ref="D282:J282"/>
    <mergeCell ref="D283:J283"/>
    <mergeCell ref="D284:J284"/>
    <mergeCell ref="D285:J285"/>
    <mergeCell ref="D286:J286"/>
    <mergeCell ref="D287:J287"/>
    <mergeCell ref="D288:J288"/>
    <mergeCell ref="D289:J289"/>
    <mergeCell ref="D290:J290"/>
    <mergeCell ref="D291:J291"/>
    <mergeCell ref="D292:J292"/>
    <mergeCell ref="D294:J294"/>
    <mergeCell ref="D295:M295"/>
    <mergeCell ref="D296:J296"/>
    <mergeCell ref="D297:J297"/>
    <mergeCell ref="D298:J298"/>
    <mergeCell ref="D299:J299"/>
    <mergeCell ref="D300:J300"/>
    <mergeCell ref="D302:J302"/>
    <mergeCell ref="D303:M303"/>
    <mergeCell ref="D304:J304"/>
    <mergeCell ref="D305:J305"/>
    <mergeCell ref="D306:J306"/>
    <mergeCell ref="D310:J310"/>
    <mergeCell ref="D311:J311"/>
    <mergeCell ref="D312:J312"/>
    <mergeCell ref="D313:M313"/>
    <mergeCell ref="D314:J314"/>
    <mergeCell ref="D315:J315"/>
    <mergeCell ref="D316:J316"/>
    <mergeCell ref="D317:J317"/>
    <mergeCell ref="D319:J319"/>
    <mergeCell ref="D320:M320"/>
    <mergeCell ref="D321:J321"/>
    <mergeCell ref="D322:J322"/>
    <mergeCell ref="D323:J323"/>
    <mergeCell ref="D324:J324"/>
    <mergeCell ref="D326:J326"/>
    <mergeCell ref="D327:M327"/>
    <mergeCell ref="D328:J328"/>
    <mergeCell ref="D329:J329"/>
    <mergeCell ref="D330:J330"/>
    <mergeCell ref="D331:J331"/>
    <mergeCell ref="D332:J332"/>
    <mergeCell ref="D334:J334"/>
    <mergeCell ref="D335:M335"/>
    <mergeCell ref="D336:J336"/>
    <mergeCell ref="D337:J337"/>
    <mergeCell ref="D338:J338"/>
    <mergeCell ref="D339:J339"/>
    <mergeCell ref="D340:J340"/>
    <mergeCell ref="D341:J341"/>
    <mergeCell ref="D343:J343"/>
    <mergeCell ref="D344:M344"/>
    <mergeCell ref="D345:J345"/>
    <mergeCell ref="D346:J346"/>
    <mergeCell ref="D347:J347"/>
    <mergeCell ref="D348:J348"/>
    <mergeCell ref="D349:J349"/>
    <mergeCell ref="D350:J350"/>
    <mergeCell ref="D352:J352"/>
    <mergeCell ref="D353:M353"/>
    <mergeCell ref="D354:J354"/>
    <mergeCell ref="D355:J355"/>
    <mergeCell ref="D356:J356"/>
    <mergeCell ref="D357:J357"/>
    <mergeCell ref="D358:J358"/>
    <mergeCell ref="D359:J359"/>
    <mergeCell ref="D360:J360"/>
    <mergeCell ref="D363:J363"/>
    <mergeCell ref="D364:J364"/>
    <mergeCell ref="D365:M365"/>
    <mergeCell ref="D366:J366"/>
    <mergeCell ref="D367:J367"/>
    <mergeCell ref="D368:J368"/>
    <mergeCell ref="D370:J370"/>
    <mergeCell ref="D371:M371"/>
    <mergeCell ref="D374:J374"/>
    <mergeCell ref="D375:J375"/>
    <mergeCell ref="D376:J376"/>
    <mergeCell ref="D377:J377"/>
    <mergeCell ref="D378:J378"/>
    <mergeCell ref="D379:J379"/>
    <mergeCell ref="D380:J380"/>
    <mergeCell ref="D381:J381"/>
    <mergeCell ref="D382:J382"/>
    <mergeCell ref="D383:J383"/>
    <mergeCell ref="D384:J384"/>
    <mergeCell ref="D385:J385"/>
    <mergeCell ref="D386:J386"/>
    <mergeCell ref="D387:J387"/>
    <mergeCell ref="D388:J388"/>
    <mergeCell ref="D389:J389"/>
    <mergeCell ref="D390:J390"/>
    <mergeCell ref="D391:J391"/>
    <mergeCell ref="D393:J393"/>
    <mergeCell ref="D394:M394"/>
    <mergeCell ref="D397:J397"/>
    <mergeCell ref="D398:J398"/>
    <mergeCell ref="D399:J399"/>
    <mergeCell ref="D400:J400"/>
    <mergeCell ref="D401:J401"/>
    <mergeCell ref="D402:J402"/>
    <mergeCell ref="D403:J403"/>
    <mergeCell ref="D404:J404"/>
    <mergeCell ref="D405:J405"/>
    <mergeCell ref="D406:J406"/>
    <mergeCell ref="D407:J407"/>
    <mergeCell ref="D408:J408"/>
    <mergeCell ref="D409:J409"/>
    <mergeCell ref="D411:J411"/>
    <mergeCell ref="D412:M412"/>
    <mergeCell ref="D413:J413"/>
    <mergeCell ref="D414:M414"/>
    <mergeCell ref="D418:J418"/>
    <mergeCell ref="D419:J419"/>
    <mergeCell ref="D420:J420"/>
    <mergeCell ref="D421:J421"/>
    <mergeCell ref="D423:J423"/>
    <mergeCell ref="D424:M424"/>
    <mergeCell ref="D427:J427"/>
    <mergeCell ref="D428:J428"/>
    <mergeCell ref="D429:J429"/>
    <mergeCell ref="D430:J430"/>
    <mergeCell ref="D432:J432"/>
    <mergeCell ref="D433:M433"/>
    <mergeCell ref="D436:J436"/>
    <mergeCell ref="D437:J437"/>
    <mergeCell ref="D438:J438"/>
    <mergeCell ref="D439:J439"/>
    <mergeCell ref="D441:J441"/>
    <mergeCell ref="D442:M442"/>
    <mergeCell ref="D443:J443"/>
    <mergeCell ref="D444:J444"/>
    <mergeCell ref="D445:J445"/>
    <mergeCell ref="D446:J446"/>
    <mergeCell ref="D448:J448"/>
    <mergeCell ref="D449:M449"/>
    <mergeCell ref="D450:J450"/>
    <mergeCell ref="D451:J451"/>
    <mergeCell ref="D452:J452"/>
    <mergeCell ref="D453:J453"/>
    <mergeCell ref="D455:J455"/>
    <mergeCell ref="D456:M456"/>
    <mergeCell ref="D459:J459"/>
    <mergeCell ref="D460:J460"/>
    <mergeCell ref="D461:J461"/>
    <mergeCell ref="D462:J462"/>
    <mergeCell ref="D464:J464"/>
    <mergeCell ref="D465:M465"/>
    <mergeCell ref="D468:J468"/>
    <mergeCell ref="D469:J469"/>
    <mergeCell ref="D470:J470"/>
    <mergeCell ref="D471:J471"/>
    <mergeCell ref="D472:J472"/>
    <mergeCell ref="D473:J473"/>
    <mergeCell ref="D474:J474"/>
    <mergeCell ref="D475:J475"/>
    <mergeCell ref="D476:J476"/>
    <mergeCell ref="D477:J477"/>
    <mergeCell ref="D478:J478"/>
    <mergeCell ref="D480:J480"/>
    <mergeCell ref="D481:M481"/>
    <mergeCell ref="D482:J482"/>
    <mergeCell ref="D483:J483"/>
    <mergeCell ref="D484:J484"/>
    <mergeCell ref="D485:J485"/>
    <mergeCell ref="D486:J486"/>
    <mergeCell ref="D487:J487"/>
    <mergeCell ref="D488:J488"/>
    <mergeCell ref="D489:J489"/>
    <mergeCell ref="D490:J490"/>
    <mergeCell ref="D491:J491"/>
    <mergeCell ref="D492:J492"/>
    <mergeCell ref="D494:J494"/>
    <mergeCell ref="D495:M495"/>
    <mergeCell ref="D496:J496"/>
    <mergeCell ref="D497:J497"/>
    <mergeCell ref="D498:J498"/>
    <mergeCell ref="D499:J499"/>
    <mergeCell ref="D500:J500"/>
    <mergeCell ref="D501:J501"/>
    <mergeCell ref="D502:J502"/>
    <mergeCell ref="D503:J503"/>
    <mergeCell ref="D504:J504"/>
    <mergeCell ref="D505:J505"/>
    <mergeCell ref="D506:J506"/>
    <mergeCell ref="D508:J508"/>
    <mergeCell ref="D509:M509"/>
    <mergeCell ref="D510:J510"/>
    <mergeCell ref="D511:J511"/>
    <mergeCell ref="D512:J512"/>
    <mergeCell ref="D513:J513"/>
    <mergeCell ref="D514:J514"/>
    <mergeCell ref="D515:J515"/>
    <mergeCell ref="D516:J516"/>
    <mergeCell ref="D517:J517"/>
    <mergeCell ref="D518:J518"/>
    <mergeCell ref="D519:J519"/>
    <mergeCell ref="D520:J520"/>
    <mergeCell ref="D522:J522"/>
    <mergeCell ref="D523:M523"/>
    <mergeCell ref="D524:J524"/>
    <mergeCell ref="D525:J525"/>
    <mergeCell ref="D526:J526"/>
    <mergeCell ref="D527:J527"/>
    <mergeCell ref="D528:J528"/>
    <mergeCell ref="D529:J529"/>
    <mergeCell ref="D530:J530"/>
    <mergeCell ref="D531:J531"/>
    <mergeCell ref="D532:J532"/>
    <mergeCell ref="D533:J533"/>
    <mergeCell ref="D534:J534"/>
    <mergeCell ref="D536:J536"/>
    <mergeCell ref="D537:M537"/>
    <mergeCell ref="D539:J539"/>
    <mergeCell ref="D540:J540"/>
    <mergeCell ref="D541:M541"/>
    <mergeCell ref="D545:J545"/>
    <mergeCell ref="D546:J546"/>
    <mergeCell ref="D547:M547"/>
    <mergeCell ref="D548:J548"/>
    <mergeCell ref="D549:J549"/>
    <mergeCell ref="D550:J550"/>
    <mergeCell ref="D551:J551"/>
    <mergeCell ref="D553:J553"/>
    <mergeCell ref="D554:M554"/>
    <mergeCell ref="D555:J555"/>
    <mergeCell ref="D556:J556"/>
    <mergeCell ref="D557:J557"/>
    <mergeCell ref="D558:J558"/>
    <mergeCell ref="D560:J560"/>
    <mergeCell ref="D561:M561"/>
    <mergeCell ref="D562:J562"/>
    <mergeCell ref="D563:J563"/>
    <mergeCell ref="D564:J564"/>
    <mergeCell ref="D565:J565"/>
    <mergeCell ref="D566:J566"/>
    <mergeCell ref="D568:J568"/>
    <mergeCell ref="D569:M569"/>
    <mergeCell ref="D570:J570"/>
    <mergeCell ref="D571:J571"/>
    <mergeCell ref="D572:J572"/>
    <mergeCell ref="D573:J573"/>
    <mergeCell ref="D574:J574"/>
    <mergeCell ref="D575:J575"/>
    <mergeCell ref="D576:J576"/>
    <mergeCell ref="D577:J577"/>
    <mergeCell ref="D578:J578"/>
    <mergeCell ref="D579:J579"/>
    <mergeCell ref="D580:J580"/>
    <mergeCell ref="D582:J582"/>
    <mergeCell ref="D583:M583"/>
    <mergeCell ref="D584:J584"/>
    <mergeCell ref="D585:J585"/>
    <mergeCell ref="D586:J586"/>
    <mergeCell ref="D587:J587"/>
    <mergeCell ref="D588:J588"/>
    <mergeCell ref="D589:J589"/>
    <mergeCell ref="D590:J590"/>
    <mergeCell ref="D591:J591"/>
    <mergeCell ref="D592:J592"/>
    <mergeCell ref="D593:J593"/>
    <mergeCell ref="D594:J594"/>
    <mergeCell ref="D596:J596"/>
    <mergeCell ref="D597:M597"/>
    <mergeCell ref="D598:J598"/>
    <mergeCell ref="D599:J599"/>
    <mergeCell ref="D600:J600"/>
    <mergeCell ref="D601:J601"/>
    <mergeCell ref="D602:J602"/>
    <mergeCell ref="D603:J603"/>
    <mergeCell ref="D604:J604"/>
    <mergeCell ref="D605:J605"/>
    <mergeCell ref="D606:J606"/>
    <mergeCell ref="D607:J607"/>
    <mergeCell ref="D608:J608"/>
    <mergeCell ref="D612:J612"/>
    <mergeCell ref="D613:J613"/>
    <mergeCell ref="D614:J614"/>
    <mergeCell ref="D615:M615"/>
    <mergeCell ref="D616:J616"/>
    <mergeCell ref="D617:J617"/>
    <mergeCell ref="D618:J618"/>
    <mergeCell ref="D619:J619"/>
    <mergeCell ref="D621:J621"/>
    <mergeCell ref="D622:M622"/>
    <mergeCell ref="D623:J623"/>
    <mergeCell ref="D624:J624"/>
    <mergeCell ref="D625:J625"/>
    <mergeCell ref="D626:J626"/>
    <mergeCell ref="D628:J628"/>
    <mergeCell ref="D629:M629"/>
    <mergeCell ref="D630:J630"/>
    <mergeCell ref="D631:J631"/>
    <mergeCell ref="D632:J632"/>
    <mergeCell ref="D633:J633"/>
    <mergeCell ref="D634:J634"/>
    <mergeCell ref="D636:J636"/>
    <mergeCell ref="D637:M637"/>
    <mergeCell ref="D638:J638"/>
    <mergeCell ref="D639:J639"/>
    <mergeCell ref="D640:J640"/>
    <mergeCell ref="D641:J641"/>
    <mergeCell ref="D642:J642"/>
    <mergeCell ref="D643:J643"/>
    <mergeCell ref="D645:J645"/>
    <mergeCell ref="D646:M646"/>
    <mergeCell ref="D647:J647"/>
    <mergeCell ref="D648:J648"/>
    <mergeCell ref="D649:J649"/>
    <mergeCell ref="D650:J650"/>
    <mergeCell ref="D651:J651"/>
    <mergeCell ref="D652:J652"/>
    <mergeCell ref="D655:J655"/>
    <mergeCell ref="D656:J656"/>
    <mergeCell ref="D657:M657"/>
    <mergeCell ref="D658:J658"/>
    <mergeCell ref="D659:J659"/>
    <mergeCell ref="D660:J660"/>
    <mergeCell ref="D661:J661"/>
    <mergeCell ref="D662:J662"/>
    <mergeCell ref="D665:J665"/>
    <mergeCell ref="D666:J666"/>
    <mergeCell ref="D667:M667"/>
    <mergeCell ref="D668:J668"/>
    <mergeCell ref="D669:J669"/>
    <mergeCell ref="D670:J670"/>
    <mergeCell ref="D672:J672"/>
    <mergeCell ref="D673:M673"/>
    <mergeCell ref="D677:J677"/>
    <mergeCell ref="D678:J678"/>
    <mergeCell ref="D679:J679"/>
    <mergeCell ref="D680:J680"/>
    <mergeCell ref="D681:J681"/>
    <mergeCell ref="D682:J682"/>
    <mergeCell ref="D683:J683"/>
    <mergeCell ref="D684:J684"/>
    <mergeCell ref="D685:J685"/>
    <mergeCell ref="D686:J686"/>
    <mergeCell ref="D687:J687"/>
    <mergeCell ref="D689:J689"/>
    <mergeCell ref="D690:M690"/>
    <mergeCell ref="D694:J694"/>
    <mergeCell ref="D695:J695"/>
    <mergeCell ref="D696:J696"/>
    <mergeCell ref="D697:J697"/>
    <mergeCell ref="D699:J699"/>
    <mergeCell ref="D700:M700"/>
    <mergeCell ref="D701:J701"/>
    <mergeCell ref="D702:J702"/>
    <mergeCell ref="D703:J703"/>
    <mergeCell ref="D704:J704"/>
    <mergeCell ref="D705:J705"/>
    <mergeCell ref="D706:J706"/>
    <mergeCell ref="D707:J707"/>
    <mergeCell ref="D708:J708"/>
    <mergeCell ref="D710:J710"/>
    <mergeCell ref="D711:M711"/>
    <mergeCell ref="D712:J712"/>
    <mergeCell ref="D713:J713"/>
    <mergeCell ref="D714:J714"/>
    <mergeCell ref="D715:J715"/>
    <mergeCell ref="D716:J716"/>
    <mergeCell ref="D717:J717"/>
    <mergeCell ref="D718:J718"/>
    <mergeCell ref="D719:J719"/>
    <mergeCell ref="D720:J720"/>
    <mergeCell ref="D721:J721"/>
    <mergeCell ref="D723:J723"/>
    <mergeCell ref="D724:M724"/>
    <mergeCell ref="D725:J725"/>
    <mergeCell ref="D726:J726"/>
    <mergeCell ref="D727:J727"/>
    <mergeCell ref="D728:J728"/>
    <mergeCell ref="D729:J729"/>
    <mergeCell ref="D730:J730"/>
    <mergeCell ref="D732:J732"/>
    <mergeCell ref="D733:M733"/>
    <mergeCell ref="D734:J734"/>
    <mergeCell ref="D735:J735"/>
    <mergeCell ref="D736:J736"/>
    <mergeCell ref="D737:J737"/>
    <mergeCell ref="D739:J739"/>
    <mergeCell ref="D740:M740"/>
    <mergeCell ref="D742:J742"/>
    <mergeCell ref="D743:J743"/>
    <mergeCell ref="D744:M744"/>
    <mergeCell ref="D745:J745"/>
    <mergeCell ref="D746:J746"/>
    <mergeCell ref="D747:J747"/>
    <mergeCell ref="D748:J748"/>
    <mergeCell ref="D750:J750"/>
    <mergeCell ref="D751:M751"/>
    <mergeCell ref="D752:J752"/>
    <mergeCell ref="D753:J753"/>
    <mergeCell ref="D754:J754"/>
    <mergeCell ref="D755:J755"/>
    <mergeCell ref="D757:J757"/>
    <mergeCell ref="D758:M758"/>
    <mergeCell ref="D759:J759"/>
    <mergeCell ref="D760:J760"/>
    <mergeCell ref="D761:J761"/>
    <mergeCell ref="D762:J762"/>
    <mergeCell ref="D763:J763"/>
    <mergeCell ref="D765:J765"/>
    <mergeCell ref="D766:M766"/>
    <mergeCell ref="D767:J767"/>
    <mergeCell ref="D768:J768"/>
    <mergeCell ref="D769:J769"/>
    <mergeCell ref="D770:J770"/>
    <mergeCell ref="D771:J771"/>
    <mergeCell ref="D772:J772"/>
    <mergeCell ref="D773:J773"/>
    <mergeCell ref="D774:J774"/>
    <mergeCell ref="D775:J775"/>
    <mergeCell ref="D776:J776"/>
    <mergeCell ref="D777:J777"/>
    <mergeCell ref="D779:J779"/>
    <mergeCell ref="D780:M780"/>
    <mergeCell ref="D781:J781"/>
    <mergeCell ref="D782:J782"/>
    <mergeCell ref="D783:J783"/>
    <mergeCell ref="D784:J784"/>
    <mergeCell ref="D785:J785"/>
    <mergeCell ref="D786:J786"/>
    <mergeCell ref="D787:J787"/>
    <mergeCell ref="D788:J788"/>
    <mergeCell ref="D789:J789"/>
    <mergeCell ref="D790:J790"/>
    <mergeCell ref="D791:J791"/>
    <mergeCell ref="D795:J795"/>
    <mergeCell ref="D796:J796"/>
    <mergeCell ref="D797:J797"/>
    <mergeCell ref="D798:M798"/>
    <mergeCell ref="D799:J799"/>
    <mergeCell ref="D800:J800"/>
    <mergeCell ref="D801:J801"/>
    <mergeCell ref="D803:J803"/>
    <mergeCell ref="D804:M804"/>
    <mergeCell ref="D807:J807"/>
    <mergeCell ref="D808:J808"/>
    <mergeCell ref="D809:J809"/>
    <mergeCell ref="D810:J810"/>
    <mergeCell ref="D811:J811"/>
    <mergeCell ref="D812:J812"/>
    <mergeCell ref="D813:J813"/>
    <mergeCell ref="D814:J814"/>
    <mergeCell ref="D815:J815"/>
    <mergeCell ref="D816:J816"/>
    <mergeCell ref="D817:J817"/>
    <mergeCell ref="D819:J819"/>
    <mergeCell ref="D820:M820"/>
    <mergeCell ref="D823:J823"/>
    <mergeCell ref="D824:J824"/>
    <mergeCell ref="D825:J825"/>
    <mergeCell ref="D826:J826"/>
    <mergeCell ref="D828:J828"/>
    <mergeCell ref="D829:M829"/>
    <mergeCell ref="D832:J832"/>
    <mergeCell ref="D833:J833"/>
    <mergeCell ref="D834:J834"/>
    <mergeCell ref="D835:J835"/>
    <mergeCell ref="D837:J837"/>
    <mergeCell ref="D838:M838"/>
    <mergeCell ref="D839:J839"/>
    <mergeCell ref="D840:J840"/>
    <mergeCell ref="D841:J841"/>
    <mergeCell ref="D842:J842"/>
    <mergeCell ref="D843:J843"/>
    <mergeCell ref="D844:J844"/>
    <mergeCell ref="D845:J845"/>
    <mergeCell ref="D846:J846"/>
    <mergeCell ref="D847:J847"/>
    <mergeCell ref="D848:J848"/>
    <mergeCell ref="D849:J849"/>
    <mergeCell ref="D851:J851"/>
    <mergeCell ref="D852:M852"/>
    <mergeCell ref="D853:J853"/>
    <mergeCell ref="D854:J854"/>
    <mergeCell ref="D855:J855"/>
    <mergeCell ref="D856:J856"/>
    <mergeCell ref="D858:J858"/>
    <mergeCell ref="D859:M859"/>
    <mergeCell ref="D860:J860"/>
    <mergeCell ref="D861:J861"/>
    <mergeCell ref="D862:J862"/>
    <mergeCell ref="D863:J863"/>
    <mergeCell ref="D865:J865"/>
    <mergeCell ref="D866:M866"/>
    <mergeCell ref="D867:J867"/>
    <mergeCell ref="D868:J868"/>
    <mergeCell ref="D869:J869"/>
    <mergeCell ref="D870:J870"/>
    <mergeCell ref="D871:J871"/>
    <mergeCell ref="D872:J872"/>
    <mergeCell ref="D875:J875"/>
    <mergeCell ref="D876:J876"/>
    <mergeCell ref="D877:M877"/>
    <mergeCell ref="D878:J878"/>
    <mergeCell ref="D879:J879"/>
    <mergeCell ref="D880:J880"/>
    <mergeCell ref="D881:J881"/>
    <mergeCell ref="D882:J882"/>
  </mergeCells>
  <pageMargins left="0.620079" right="0.472441" top="0.472441" bottom="0.472441" header="0.0" footer="0.0"/>
  <pageSetup paperSize="9" orientation="landscape"/>
  <rowBreaks count="2" manualBreakCount="2">
    <brk id="0" max="16383" man="1"/>
    <brk id="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FF07117BD4554E84E361BA4085705B" ma:contentTypeVersion="12" ma:contentTypeDescription="Crear nuevo documento." ma:contentTypeScope="" ma:versionID="232ba25a8fccc48f5ab6007a3b8791fc">
  <xsd:schema xmlns:xsd="http://www.w3.org/2001/XMLSchema" xmlns:xs="http://www.w3.org/2001/XMLSchema" xmlns:p="http://schemas.microsoft.com/office/2006/metadata/properties" xmlns:ns2="568191d0-d435-4ecf-a655-4eb194066908" xmlns:ns3="4533fe98-637b-41e3-b4e5-192b01abd74a" targetNamespace="http://schemas.microsoft.com/office/2006/metadata/properties" ma:root="true" ma:fieldsID="fef20192dd7b34d963c94282918bd07c" ns2:_="" ns3:_="">
    <xsd:import namespace="568191d0-d435-4ecf-a655-4eb194066908"/>
    <xsd:import namespace="4533fe98-637b-41e3-b4e5-192b01abd7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8191d0-d435-4ecf-a655-4eb1940669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b67b547-ee38-46e8-9337-86456358d8c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33fe98-637b-41e3-b4e5-192b01abd74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6a153b-6ed1-440a-bbec-6502a16d4004}" ma:internalName="TaxCatchAll" ma:showField="CatchAllData" ma:web="4533fe98-637b-41e3-b4e5-192b01abd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33fe98-637b-41e3-b4e5-192b01abd74a" xsi:nil="true"/>
    <lcf76f155ced4ddcb4097134ff3c332f xmlns="568191d0-d435-4ecf-a655-4eb1940669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89D2C9-A895-47CF-8422-BE6750A340E3}"/>
</file>

<file path=customXml/itemProps2.xml><?xml version="1.0" encoding="utf-8"?>
<ds:datastoreItem xmlns:ds="http://schemas.openxmlformats.org/officeDocument/2006/customXml" ds:itemID="{D3A91C25-C921-492A-8C9A-B3658F9E6E61}"/>
</file>

<file path=customXml/itemProps3.xml><?xml version="1.0" encoding="utf-8"?>
<ds:datastoreItem xmlns:ds="http://schemas.openxmlformats.org/officeDocument/2006/customXml" ds:itemID="{EC17BD62-AF6B-4E31-95B8-5038432423AF}"/>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0x01010071FF07117BD4554E84E361BA4085705B</vt:lpwstr>
  </property>
  <property fmtid="{D5CDD505-2E9C-101B-9397-08002B2CF9AE}" pid="3" name="MediaServiceImageTags">
    <vt:lpwstr/>
  </property>
</Properties>
</file>