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10823_AEC\17989_DPIER\COMU_PREVENCIO\ME00134_PROJECTES_AMBITS\Projecte LIFE EWWR\4. ACCIONS\2026\Budget\ARC 2026 330 Assegurances\"/>
    </mc:Choice>
  </mc:AlternateContent>
  <xr:revisionPtr revIDLastSave="0" documentId="13_ncr:1_{8F5E53A7-52E6-4A11-B7EB-4D0FD0280DF5}" xr6:coauthVersionLast="47" xr6:coauthVersionMax="47" xr10:uidLastSave="{00000000-0000-0000-0000-000000000000}"/>
  <bookViews>
    <workbookView xWindow="-110" yWindow="-110" windowWidth="19420" windowHeight="10300" firstSheet="5" activeTab="5" xr2:uid="{00000000-000D-0000-FFFF-FFFF00000000}"/>
  </bookViews>
  <sheets>
    <sheet name="Ingressos21" sheetId="11" state="hidden" r:id="rId1"/>
    <sheet name="Despeses21" sheetId="7" state="hidden" r:id="rId2"/>
    <sheet name="Proveidors21" sheetId="4" state="hidden" r:id="rId3"/>
    <sheet name="Estoc 19" sheetId="6" state="hidden" r:id="rId4"/>
    <sheet name="Despeses15" sheetId="2" state="hidden" r:id="rId5"/>
    <sheet name="Annex 1" sheetId="15" r:id="rId6"/>
  </sheets>
  <externalReferences>
    <externalReference r:id="rId7"/>
  </externalReferences>
  <definedNames>
    <definedName name="_xlnm._FilterDatabase" localSheetId="1" hidden="1">Despeses21!$A$2:$AH$32</definedName>
    <definedName name="_ftn1" localSheetId="0">Ingressos21!$B$12</definedName>
    <definedName name="_ftnref1" localSheetId="0">Ingressos21!$B$10</definedName>
    <definedName name="_xlnm.Print_Area" localSheetId="5">'Annex 1'!$A$1:$F$6</definedName>
    <definedName name="_xlnm.Print_Area" localSheetId="1">Despeses21!$A$1:$AH$33</definedName>
    <definedName name="_xlnm.Print_Area" localSheetId="3">'Estoc 19'!$A$1:$AM$39</definedName>
    <definedName name="_xlnm.Print_Area" localSheetId="0">Ingressos21!$B$1:$V$13</definedName>
    <definedName name="_xlnm.Print_Area" localSheetId="2">Proveidors21!$A$1:$AL$57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" i="11" l="1"/>
  <c r="H20" i="7" l="1"/>
  <c r="J20" i="7" s="1"/>
  <c r="H13" i="7"/>
  <c r="J13" i="7" s="1"/>
  <c r="J14" i="7"/>
  <c r="I20" i="7"/>
  <c r="I13" i="7"/>
  <c r="O7" i="11" l="1"/>
  <c r="J11" i="11" l="1"/>
  <c r="M15" i="7"/>
  <c r="N15" i="7" s="1"/>
  <c r="N38" i="7" s="1"/>
  <c r="M18" i="11" s="1"/>
  <c r="N27" i="7"/>
  <c r="N23" i="7"/>
  <c r="G14" i="7"/>
  <c r="G13" i="7"/>
  <c r="N25" i="7"/>
  <c r="E13" i="4"/>
  <c r="F38" i="4"/>
  <c r="E9" i="4" s="1"/>
  <c r="F37" i="4"/>
  <c r="N3" i="7"/>
  <c r="I15" i="11"/>
  <c r="O3" i="11" l="1"/>
  <c r="O4" i="11"/>
  <c r="O5" i="11"/>
  <c r="K6" i="11"/>
  <c r="O6" i="11"/>
  <c r="P6" i="11"/>
  <c r="S6" i="11" s="1"/>
  <c r="S11" i="11" s="1"/>
  <c r="Q6" i="11"/>
  <c r="Q11" i="11" s="1"/>
  <c r="P7" i="11"/>
  <c r="S7" i="11" s="1"/>
  <c r="T7" i="11" s="1"/>
  <c r="U7" i="11" s="1"/>
  <c r="Q7" i="11"/>
  <c r="R7" i="11"/>
  <c r="K9" i="11"/>
  <c r="P9" i="11"/>
  <c r="S9" i="11" s="1"/>
  <c r="Q9" i="11"/>
  <c r="R9" i="11"/>
  <c r="T9" i="11" s="1"/>
  <c r="U9" i="11" s="1"/>
  <c r="K10" i="11"/>
  <c r="L10" i="11"/>
  <c r="L11" i="11" s="1"/>
  <c r="O10" i="11"/>
  <c r="U10" i="11" s="1"/>
  <c r="P10" i="11"/>
  <c r="Q10" i="11"/>
  <c r="F11" i="11"/>
  <c r="G11" i="11"/>
  <c r="H11" i="11"/>
  <c r="H15" i="11" s="1"/>
  <c r="J15" i="11"/>
  <c r="N11" i="11"/>
  <c r="O11" i="11"/>
  <c r="P11" i="11"/>
  <c r="I13" i="11"/>
  <c r="K11" i="11" l="1"/>
  <c r="J13" i="11"/>
  <c r="G13" i="11"/>
  <c r="G15" i="11"/>
  <c r="K13" i="11"/>
  <c r="K15" i="11"/>
  <c r="F13" i="11"/>
  <c r="F15" i="11"/>
  <c r="L13" i="11"/>
  <c r="L15" i="11"/>
  <c r="H13" i="11"/>
  <c r="F36" i="4"/>
  <c r="G36" i="4"/>
  <c r="F35" i="4"/>
  <c r="G35" i="4"/>
  <c r="L42" i="7" l="1"/>
  <c r="M41" i="7" s="1"/>
  <c r="N41" i="7" s="1"/>
  <c r="M10" i="7" l="1"/>
  <c r="L24" i="7"/>
  <c r="G24" i="7"/>
  <c r="N24" i="7"/>
  <c r="G19" i="7"/>
  <c r="M19" i="7" s="1"/>
  <c r="L20" i="7"/>
  <c r="L19" i="7"/>
  <c r="M8" i="7"/>
  <c r="N8" i="7" s="1"/>
  <c r="M6" i="7"/>
  <c r="L3" i="7"/>
  <c r="F22" i="7"/>
  <c r="G22" i="7" s="1"/>
  <c r="M13" i="7"/>
  <c r="M14" i="7"/>
  <c r="L14" i="7"/>
  <c r="L10" i="7"/>
  <c r="L6" i="7"/>
  <c r="F8" i="7"/>
  <c r="L8" i="7" s="1"/>
  <c r="F11" i="7"/>
  <c r="L11" i="7" s="1"/>
  <c r="M20" i="7"/>
  <c r="F20" i="7"/>
  <c r="N6" i="7" l="1"/>
  <c r="Q22" i="7" l="1"/>
  <c r="O22" i="7"/>
  <c r="O19" i="7" s="1"/>
  <c r="P20" i="7"/>
  <c r="Q20" i="7" s="1"/>
  <c r="Q19" i="7"/>
  <c r="Q21" i="7" s="1"/>
  <c r="P21" i="7" s="1"/>
  <c r="Q16" i="7"/>
  <c r="P14" i="7"/>
  <c r="Q14" i="7" s="1"/>
  <c r="P13" i="7"/>
  <c r="Q13" i="7" s="1"/>
  <c r="Q11" i="7"/>
  <c r="P10" i="7"/>
  <c r="Q10" i="7" s="1"/>
  <c r="O6" i="7"/>
  <c r="Q3" i="7"/>
  <c r="F6" i="4" l="1"/>
  <c r="F7" i="4"/>
  <c r="F8" i="4"/>
  <c r="F9" i="4"/>
  <c r="F11" i="4"/>
  <c r="F12" i="4"/>
  <c r="F13" i="4"/>
  <c r="F39" i="4"/>
  <c r="F40" i="4"/>
  <c r="E64" i="4"/>
  <c r="E63" i="4"/>
  <c r="E5" i="4"/>
  <c r="F5" i="4" s="1"/>
  <c r="B13" i="4"/>
  <c r="B11" i="4"/>
  <c r="B10" i="4"/>
  <c r="B9" i="4"/>
  <c r="B4" i="4"/>
  <c r="F14" i="4"/>
  <c r="E14" i="4" s="1"/>
  <c r="B14" i="4"/>
  <c r="B6" i="4"/>
  <c r="B5" i="4"/>
  <c r="B3" i="4"/>
  <c r="F34" i="4" l="1"/>
  <c r="E44" i="4"/>
  <c r="F44" i="4" s="1"/>
  <c r="E3" i="4" s="1"/>
  <c r="F3" i="4" s="1"/>
  <c r="E26" i="4"/>
  <c r="E33" i="4"/>
  <c r="F33" i="4" s="1"/>
  <c r="E4" i="4" s="1"/>
  <c r="F4" i="4" s="1"/>
  <c r="E62" i="4"/>
  <c r="E48" i="4"/>
  <c r="E27" i="4"/>
  <c r="N19" i="7"/>
  <c r="N16" i="7"/>
  <c r="N11" i="7"/>
  <c r="N21" i="7" l="1"/>
  <c r="M21" i="7" s="1"/>
  <c r="E10" i="4"/>
  <c r="F10" i="4" s="1"/>
  <c r="N20" i="7"/>
  <c r="N14" i="7"/>
  <c r="T11" i="7"/>
  <c r="N13" i="7" l="1"/>
  <c r="N36" i="7" s="1"/>
  <c r="M17" i="11" s="1"/>
  <c r="E21" i="7"/>
  <c r="S22" i="7"/>
  <c r="T22" i="7" s="1"/>
  <c r="S19" i="7"/>
  <c r="AJ26" i="4" l="1"/>
  <c r="AK26" i="4" s="1"/>
  <c r="T16" i="7" l="1"/>
  <c r="F9" i="7"/>
  <c r="L13" i="7"/>
  <c r="AK34" i="4"/>
  <c r="AJ33" i="4"/>
  <c r="AK33" i="4" s="1"/>
  <c r="G15" i="7" l="1"/>
  <c r="G31" i="7" s="1"/>
  <c r="AJ48" i="4" l="1"/>
  <c r="AK48" i="4" s="1"/>
  <c r="G32" i="7"/>
  <c r="F12" i="7"/>
  <c r="AJ61" i="4"/>
  <c r="AK61" i="4" s="1"/>
  <c r="AL61" i="4" s="1"/>
  <c r="AJ62" i="4"/>
  <c r="AK62" i="4" s="1"/>
  <c r="R22" i="7"/>
  <c r="R19" i="7" s="1"/>
  <c r="S20" i="7"/>
  <c r="AL28" i="4"/>
  <c r="AL29" i="4"/>
  <c r="AL30" i="4"/>
  <c r="AL31" i="4"/>
  <c r="AL32" i="4"/>
  <c r="AL33" i="4"/>
  <c r="AL41" i="4"/>
  <c r="AL42" i="4"/>
  <c r="AL43" i="4"/>
  <c r="AL45" i="4"/>
  <c r="AL46" i="4"/>
  <c r="AL47" i="4"/>
  <c r="AL49" i="4"/>
  <c r="AL50" i="4"/>
  <c r="AL51" i="4"/>
  <c r="AL52" i="4"/>
  <c r="AL55" i="4"/>
  <c r="AL56" i="4"/>
  <c r="AL57" i="4"/>
  <c r="R8" i="7"/>
  <c r="R6" i="7"/>
  <c r="AJ40" i="4"/>
  <c r="R11" i="7"/>
  <c r="AJ27" i="4"/>
  <c r="R20" i="7"/>
  <c r="S14" i="7"/>
  <c r="AJ44" i="4"/>
  <c r="T20" i="7" l="1"/>
  <c r="O20" i="7"/>
  <c r="AK27" i="4"/>
  <c r="AK44" i="4"/>
  <c r="AL44" i="4" s="1"/>
  <c r="AL48" i="4"/>
  <c r="O9" i="7" s="1"/>
  <c r="AL34" i="4"/>
  <c r="T14" i="7" s="1"/>
  <c r="R9" i="7"/>
  <c r="R13" i="7"/>
  <c r="T13" i="7" l="1"/>
  <c r="O13" i="7"/>
  <c r="AP3" i="4"/>
  <c r="AO3" i="4" s="1"/>
  <c r="S13" i="7"/>
  <c r="AL26" i="4"/>
  <c r="O11" i="7" s="1"/>
  <c r="Y5" i="7"/>
  <c r="AM4" i="6"/>
  <c r="AM5" i="6"/>
  <c r="AM6" i="6"/>
  <c r="AM7" i="6"/>
  <c r="AM8" i="6"/>
  <c r="AM9" i="6"/>
  <c r="AM10" i="6"/>
  <c r="AM11" i="6"/>
  <c r="AM3" i="6"/>
  <c r="AL4" i="6"/>
  <c r="AL5" i="6"/>
  <c r="AL6" i="6"/>
  <c r="AL7" i="6"/>
  <c r="AL8" i="6"/>
  <c r="AL9" i="6"/>
  <c r="AL10" i="6"/>
  <c r="AL11" i="6"/>
  <c r="AL3" i="6"/>
  <c r="AL14" i="4"/>
  <c r="AL11" i="4"/>
  <c r="AL10" i="4"/>
  <c r="AL5" i="4"/>
  <c r="AL4" i="4"/>
  <c r="AL3" i="4"/>
  <c r="AP5" i="4"/>
  <c r="AO5" i="4" s="1"/>
  <c r="AP10" i="4"/>
  <c r="AO10" i="4" s="1"/>
  <c r="AO12" i="4"/>
  <c r="AN9" i="4"/>
  <c r="AO8" i="4"/>
  <c r="AO7" i="4"/>
  <c r="AO6" i="4"/>
  <c r="AL6" i="4"/>
  <c r="T19" i="7"/>
  <c r="T21" i="7" s="1"/>
  <c r="S21" i="7" s="1"/>
  <c r="AI62" i="4"/>
  <c r="AI61" i="4"/>
  <c r="AK58" i="4"/>
  <c r="AL58" i="4" s="1"/>
  <c r="AK54" i="4"/>
  <c r="AK53" i="4"/>
  <c r="AL53" i="4" s="1"/>
  <c r="AK40" i="4"/>
  <c r="AG22" i="4"/>
  <c r="AG26" i="4"/>
  <c r="AG28" i="4"/>
  <c r="AG29" i="4"/>
  <c r="AG30" i="4"/>
  <c r="AG33" i="4"/>
  <c r="AG42" i="4"/>
  <c r="AG43" i="4"/>
  <c r="AG49" i="4"/>
  <c r="AG53" i="4"/>
  <c r="AG59" i="4"/>
  <c r="AG60" i="4"/>
  <c r="AI30" i="4"/>
  <c r="AI40" i="4"/>
  <c r="AI53" i="4"/>
  <c r="AI58" i="4"/>
  <c r="AI59" i="4"/>
  <c r="T10" i="7"/>
  <c r="X6" i="7"/>
  <c r="AP9" i="4" l="1"/>
  <c r="AO9" i="4" s="1"/>
  <c r="AL40" i="4"/>
  <c r="AL54" i="4"/>
  <c r="S8" i="7"/>
  <c r="S5" i="7" s="1"/>
  <c r="T5" i="7" s="1"/>
  <c r="AP14" i="4"/>
  <c r="AO14" i="4" s="1"/>
  <c r="AL27" i="4"/>
  <c r="AL62" i="4"/>
  <c r="AP11" i="4"/>
  <c r="AO11" i="4" s="1"/>
  <c r="AP4" i="4"/>
  <c r="AO4" i="4" s="1"/>
  <c r="T8" i="7" l="1"/>
  <c r="O8" i="7"/>
  <c r="AO15" i="4"/>
  <c r="AP15" i="4"/>
  <c r="W23" i="7" l="1"/>
  <c r="W15" i="7" l="1"/>
  <c r="V15" i="7" l="1"/>
  <c r="AJ8" i="6" l="1"/>
  <c r="Y22" i="7"/>
  <c r="Z26" i="7" s="1"/>
  <c r="Z13" i="7"/>
  <c r="Z15" i="7"/>
  <c r="AG58" i="4" s="1"/>
  <c r="Y15" i="7"/>
  <c r="AG40" i="4" l="1"/>
  <c r="AG34" i="4"/>
  <c r="AJ9" i="6"/>
  <c r="AJ10" i="6"/>
  <c r="AJ11" i="6"/>
  <c r="AJ5" i="6"/>
  <c r="AJ4" i="6"/>
  <c r="AJ3" i="6"/>
  <c r="AI7" i="6"/>
  <c r="AI9" i="6"/>
  <c r="AI10" i="6"/>
  <c r="AI11" i="6"/>
  <c r="AI8" i="6"/>
  <c r="AI4" i="6"/>
  <c r="AI5" i="6"/>
  <c r="AI6" i="6"/>
  <c r="AI3" i="6"/>
  <c r="AH10" i="6"/>
  <c r="AH3" i="6" l="1"/>
  <c r="AG3" i="6" s="1"/>
  <c r="AH4" i="6"/>
  <c r="AG4" i="6" s="1"/>
  <c r="AH33" i="4" s="1"/>
  <c r="AH9" i="6"/>
  <c r="AH11" i="6"/>
  <c r="AH5" i="6"/>
  <c r="AH8" i="6"/>
  <c r="AI33" i="4" l="1"/>
  <c r="AH43" i="4"/>
  <c r="AI43" i="4" s="1"/>
  <c r="AH44" i="4"/>
  <c r="E12" i="7"/>
  <c r="E11" i="7"/>
  <c r="E14" i="7"/>
  <c r="E13" i="7"/>
  <c r="E6" i="7"/>
  <c r="E20" i="7"/>
  <c r="W10" i="7"/>
  <c r="AF59" i="4"/>
  <c r="E10" i="7"/>
  <c r="AI9" i="4"/>
  <c r="AJ7" i="4"/>
  <c r="AJ8" i="4"/>
  <c r="AJ12" i="4"/>
  <c r="AD7" i="4"/>
  <c r="AD8" i="4"/>
  <c r="AG6" i="6"/>
  <c r="AG8" i="6"/>
  <c r="AH27" i="4" s="1"/>
  <c r="AI27" i="4" s="1"/>
  <c r="AG9" i="6"/>
  <c r="AG10" i="6"/>
  <c r="AH34" i="4" s="1"/>
  <c r="AI34" i="4" s="1"/>
  <c r="AG11" i="6"/>
  <c r="AH54" i="4" s="1"/>
  <c r="AF3" i="6"/>
  <c r="AD10" i="6"/>
  <c r="W7" i="7"/>
  <c r="AI44" i="4" l="1"/>
  <c r="AI54" i="4"/>
  <c r="V10" i="7"/>
  <c r="AD9" i="4"/>
  <c r="AD10" i="4"/>
  <c r="U14" i="7"/>
  <c r="U8" i="7"/>
  <c r="AD11" i="4"/>
  <c r="AD14" i="4"/>
  <c r="AG7" i="6"/>
  <c r="AH48" i="4" s="1"/>
  <c r="AG5" i="6"/>
  <c r="AH26" i="4" s="1"/>
  <c r="AI48" i="4" l="1"/>
  <c r="L9" i="7"/>
  <c r="AI26" i="4"/>
  <c r="U12" i="7"/>
  <c r="AK11" i="4"/>
  <c r="AJ11" i="4" s="1"/>
  <c r="W8" i="7"/>
  <c r="AD6" i="4"/>
  <c r="AG6" i="4" s="1"/>
  <c r="AD5" i="4"/>
  <c r="AG5" i="4" s="1"/>
  <c r="U11" i="7"/>
  <c r="AD3" i="4"/>
  <c r="AG3" i="4" s="1"/>
  <c r="U13" i="7"/>
  <c r="AD4" i="4"/>
  <c r="AG4" i="4" s="1"/>
  <c r="U20" i="7"/>
  <c r="AK3" i="4" l="1"/>
  <c r="AJ3" i="4" s="1"/>
  <c r="W6" i="7"/>
  <c r="AK9" i="4"/>
  <c r="AJ9" i="4" s="1"/>
  <c r="W13" i="7" l="1"/>
  <c r="T6" i="7"/>
  <c r="AK5" i="4"/>
  <c r="AJ5" i="4" s="1"/>
  <c r="T33" i="7" l="1"/>
  <c r="S6" i="7"/>
  <c r="T31" i="7"/>
  <c r="T32" i="7" s="1"/>
  <c r="AK14" i="4"/>
  <c r="AJ14" i="4" s="1"/>
  <c r="S33" i="7" l="1"/>
  <c r="S31" i="7"/>
  <c r="W12" i="7"/>
  <c r="AK10" i="4"/>
  <c r="AJ10" i="4" s="1"/>
  <c r="AK4" i="4"/>
  <c r="AJ4" i="4" s="1"/>
  <c r="Z12" i="7" l="1"/>
  <c r="Y12" i="7" s="1"/>
  <c r="V12" i="7" l="1"/>
  <c r="AK6" i="4"/>
  <c r="AK15" i="4" l="1"/>
  <c r="AG23" i="6" s="1"/>
  <c r="AG22" i="6" s="1"/>
  <c r="AJ6" i="4"/>
  <c r="W9" i="7"/>
  <c r="W11" i="7"/>
  <c r="W14" i="7"/>
  <c r="W20" i="7"/>
  <c r="AJ15" i="4" l="1"/>
  <c r="AF23" i="6" s="1"/>
  <c r="AF22" i="6" s="1"/>
  <c r="Y13" i="7"/>
  <c r="Y32" i="7" s="1"/>
  <c r="B13" i="7"/>
  <c r="V13" i="7"/>
  <c r="AB11" i="4"/>
  <c r="AA11" i="4" s="1"/>
  <c r="Y11" i="4"/>
  <c r="AG10" i="4"/>
  <c r="AG11" i="4"/>
  <c r="AG14" i="4"/>
  <c r="V18" i="7"/>
  <c r="W19" i="7" s="1"/>
  <c r="V6" i="7"/>
  <c r="V14" i="7"/>
  <c r="V20" i="7"/>
  <c r="AB3" i="4"/>
  <c r="V7" i="7"/>
  <c r="V11" i="7"/>
  <c r="V29" i="7"/>
  <c r="V8" i="7"/>
  <c r="B20" i="7" l="1"/>
  <c r="B14" i="7"/>
  <c r="B11" i="7"/>
  <c r="B9" i="7"/>
  <c r="B28" i="7"/>
  <c r="B6" i="7"/>
  <c r="B7" i="7"/>
  <c r="B8" i="7"/>
  <c r="AF8" i="6"/>
  <c r="AF4" i="6"/>
  <c r="Z32" i="7" l="1"/>
  <c r="V9" i="7" l="1"/>
  <c r="W3" i="7" l="1"/>
  <c r="A17" i="2"/>
  <c r="G16" i="2"/>
  <c r="I16" i="2" s="1"/>
  <c r="A16" i="2"/>
  <c r="F15" i="2"/>
  <c r="E15" i="2"/>
  <c r="F14" i="2"/>
  <c r="A14" i="2"/>
  <c r="G13" i="2"/>
  <c r="I13" i="2" s="1"/>
  <c r="F13" i="2"/>
  <c r="D13" i="2"/>
  <c r="A13" i="2"/>
  <c r="G12" i="2"/>
  <c r="I12" i="2" s="1"/>
  <c r="F12" i="2"/>
  <c r="D12" i="2"/>
  <c r="A12" i="2"/>
  <c r="F11" i="2"/>
  <c r="D11" i="2"/>
  <c r="A11" i="2"/>
  <c r="G9" i="2"/>
  <c r="G10" i="2" s="1"/>
  <c r="G7" i="2"/>
  <c r="G8" i="2" s="1"/>
  <c r="I8" i="2" s="1"/>
  <c r="G6" i="2"/>
  <c r="I6" i="2" s="1"/>
  <c r="E4" i="2"/>
  <c r="E19" i="2" s="1"/>
  <c r="P17" i="6"/>
  <c r="T6" i="6" s="1"/>
  <c r="Q12" i="6"/>
  <c r="L12" i="6"/>
  <c r="F12" i="6"/>
  <c r="D12" i="6"/>
  <c r="AA10" i="6"/>
  <c r="W10" i="6"/>
  <c r="X10" i="6" s="1"/>
  <c r="Y10" i="6" s="1"/>
  <c r="L10" i="6"/>
  <c r="H10" i="6"/>
  <c r="I10" i="6" s="1"/>
  <c r="F10" i="6"/>
  <c r="D10" i="6"/>
  <c r="AA9" i="6"/>
  <c r="W9" i="6"/>
  <c r="X9" i="6" s="1"/>
  <c r="Y9" i="6" s="1"/>
  <c r="K9" i="6"/>
  <c r="Q9" i="6" s="1"/>
  <c r="H9" i="6"/>
  <c r="I9" i="6" s="1"/>
  <c r="J9" i="6" s="1"/>
  <c r="F9" i="6"/>
  <c r="D9" i="6"/>
  <c r="L9" i="6" s="1"/>
  <c r="AA8" i="6"/>
  <c r="Y8" i="6"/>
  <c r="X8" i="6"/>
  <c r="M8" i="6"/>
  <c r="I8" i="6"/>
  <c r="K8" i="6" s="1"/>
  <c r="G8" i="6"/>
  <c r="F8" i="6"/>
  <c r="E8" i="6"/>
  <c r="D8" i="6"/>
  <c r="L8" i="6" s="1"/>
  <c r="X7" i="6"/>
  <c r="Q7" i="6"/>
  <c r="H7" i="6"/>
  <c r="F7" i="6"/>
  <c r="D7" i="6"/>
  <c r="AA6" i="6"/>
  <c r="Y6" i="6"/>
  <c r="X6" i="6"/>
  <c r="K6" i="6"/>
  <c r="U6" i="4" s="1"/>
  <c r="J6" i="6"/>
  <c r="H6" i="6"/>
  <c r="F6" i="6"/>
  <c r="D6" i="6"/>
  <c r="AA5" i="6"/>
  <c r="Y5" i="6"/>
  <c r="W5" i="6"/>
  <c r="X5" i="6" s="1"/>
  <c r="Q5" i="6"/>
  <c r="H5" i="6"/>
  <c r="I5" i="6" s="1"/>
  <c r="F5" i="6"/>
  <c r="D5" i="6"/>
  <c r="L5" i="6" s="1"/>
  <c r="AA4" i="6"/>
  <c r="Y4" i="6"/>
  <c r="W4" i="6"/>
  <c r="X4" i="6" s="1"/>
  <c r="M4" i="6"/>
  <c r="G4" i="6"/>
  <c r="H4" i="6" s="1"/>
  <c r="I4" i="6" s="1"/>
  <c r="D4" i="6"/>
  <c r="L4" i="6" s="1"/>
  <c r="AA3" i="6"/>
  <c r="Y3" i="6"/>
  <c r="W3" i="6"/>
  <c r="X3" i="6" s="1"/>
  <c r="G3" i="6"/>
  <c r="H3" i="6" s="1"/>
  <c r="I3" i="6" s="1"/>
  <c r="D3" i="6"/>
  <c r="L3" i="6" s="1"/>
  <c r="M40" i="4"/>
  <c r="G15" i="2" s="1"/>
  <c r="I15" i="2" s="1"/>
  <c r="J40" i="4"/>
  <c r="J32" i="4"/>
  <c r="J31" i="4"/>
  <c r="J30" i="4"/>
  <c r="M30" i="4" s="1"/>
  <c r="M26" i="4"/>
  <c r="G14" i="2" s="1"/>
  <c r="I14" i="2" s="1"/>
  <c r="J26" i="4"/>
  <c r="M25" i="4"/>
  <c r="M24" i="4"/>
  <c r="J24" i="4"/>
  <c r="J23" i="4"/>
  <c r="M21" i="4"/>
  <c r="J20" i="4"/>
  <c r="M20" i="4" s="1"/>
  <c r="J19" i="4"/>
  <c r="M19" i="4" s="1"/>
  <c r="T15" i="4"/>
  <c r="AA14" i="4"/>
  <c r="AB14" i="4" s="1"/>
  <c r="K14" i="4"/>
  <c r="AA10" i="4"/>
  <c r="AB10" i="4" s="1"/>
  <c r="AB9" i="4"/>
  <c r="T9" i="4"/>
  <c r="O9" i="4"/>
  <c r="G17" i="2" s="1"/>
  <c r="I17" i="2" s="1"/>
  <c r="U8" i="4"/>
  <c r="T8" i="4"/>
  <c r="J8" i="4"/>
  <c r="I8" i="4"/>
  <c r="H8" i="4"/>
  <c r="T7" i="4"/>
  <c r="P7" i="4"/>
  <c r="N7" i="4"/>
  <c r="H7" i="4"/>
  <c r="AA6" i="4"/>
  <c r="AB6" i="4" s="1"/>
  <c r="T6" i="4"/>
  <c r="O6" i="4"/>
  <c r="H6" i="4"/>
  <c r="AB5" i="4"/>
  <c r="U5" i="4"/>
  <c r="T5" i="4"/>
  <c r="H5" i="4"/>
  <c r="AA4" i="4"/>
  <c r="AB4" i="4" s="1"/>
  <c r="T4" i="4"/>
  <c r="P4" i="4"/>
  <c r="H4" i="4"/>
  <c r="AA3" i="4"/>
  <c r="T3" i="4"/>
  <c r="P3" i="4"/>
  <c r="O3" i="4" l="1"/>
  <c r="G11" i="2" s="1"/>
  <c r="I11" i="2" s="1"/>
  <c r="I9" i="2"/>
  <c r="I10" i="2" s="1"/>
  <c r="O8" i="4"/>
  <c r="O10" i="4" s="1"/>
  <c r="T10" i="4"/>
  <c r="W31" i="7"/>
  <c r="V5" i="7"/>
  <c r="W32" i="7"/>
  <c r="F4" i="6"/>
  <c r="L6" i="6"/>
  <c r="J8" i="6"/>
  <c r="AB15" i="4"/>
  <c r="J5" i="6"/>
  <c r="K5" i="6"/>
  <c r="K3" i="6"/>
  <c r="J3" i="6"/>
  <c r="J4" i="6"/>
  <c r="K4" i="6"/>
  <c r="Q8" i="6"/>
  <c r="U7" i="4"/>
  <c r="J10" i="6"/>
  <c r="K10" i="6"/>
  <c r="F3" i="6"/>
  <c r="G18" i="2" l="1"/>
  <c r="G19" i="2" s="1"/>
  <c r="V31" i="7"/>
  <c r="V32" i="7"/>
  <c r="I18" i="2"/>
  <c r="I19" i="2" s="1"/>
  <c r="U9" i="4"/>
  <c r="Q10" i="6"/>
  <c r="N4" i="6"/>
  <c r="U4" i="4" s="1"/>
  <c r="Q4" i="6"/>
  <c r="Q3" i="6"/>
  <c r="U3" i="4"/>
  <c r="U10" i="4" l="1"/>
  <c r="F15" i="4" l="1"/>
  <c r="E15" i="4"/>
  <c r="M22" i="7"/>
  <c r="N10" i="7"/>
  <c r="N37" i="7" l="1"/>
  <c r="M19" i="11" s="1"/>
  <c r="N31" i="7"/>
  <c r="L22" i="7"/>
  <c r="L26" i="7" s="1"/>
  <c r="M26" i="7" s="1"/>
  <c r="N26" i="7" s="1"/>
  <c r="N22" i="7"/>
  <c r="N32" i="7" l="1"/>
  <c r="N35" i="7"/>
  <c r="M31" i="7"/>
  <c r="R6" i="11"/>
  <c r="M16" i="11" l="1"/>
  <c r="N39" i="7"/>
  <c r="T6" i="11"/>
  <c r="R11" i="11"/>
  <c r="M21" i="11" l="1"/>
  <c r="T11" i="11"/>
  <c r="U6" i="11"/>
  <c r="U11" i="11" s="1"/>
  <c r="M10" i="11" l="1"/>
  <c r="M11" i="11" s="1"/>
  <c r="M13" i="11" l="1"/>
  <c r="M15" i="11"/>
  <c r="N20" i="11" l="1"/>
  <c r="N18" i="11"/>
  <c r="N17" i="11"/>
  <c r="N19" i="11"/>
  <c r="N16" i="11"/>
  <c r="N21" i="11"/>
  <c r="J19" i="11" l="1"/>
  <c r="I19" i="11"/>
  <c r="F19" i="11"/>
  <c r="L19" i="11"/>
  <c r="H19" i="11"/>
  <c r="K19" i="11"/>
  <c r="G19" i="11"/>
  <c r="L21" i="11"/>
  <c r="K21" i="11"/>
  <c r="F21" i="11"/>
  <c r="H21" i="11"/>
  <c r="I21" i="11"/>
  <c r="G21" i="11"/>
  <c r="J21" i="11"/>
  <c r="K16" i="11"/>
  <c r="L16" i="11"/>
  <c r="J16" i="11"/>
  <c r="F16" i="11"/>
  <c r="G16" i="11"/>
  <c r="I16" i="11"/>
  <c r="H16" i="11"/>
  <c r="J17" i="11"/>
  <c r="F17" i="11"/>
  <c r="G17" i="11"/>
  <c r="I17" i="11"/>
  <c r="L17" i="11"/>
  <c r="K17" i="11"/>
  <c r="H17" i="11"/>
  <c r="F18" i="11"/>
  <c r="G18" i="11"/>
  <c r="H18" i="11"/>
  <c r="K18" i="11"/>
  <c r="J18" i="11"/>
  <c r="I18" i="11"/>
  <c r="L18" i="11"/>
  <c r="I20" i="11"/>
  <c r="J20" i="11"/>
  <c r="L20" i="11"/>
  <c r="H20" i="11"/>
  <c r="F20" i="11"/>
  <c r="K20" i="11"/>
  <c r="G20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Padros Tremoleda, Mireia</author>
  </authors>
  <commentList>
    <comment ref="H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En teoria eren 3,000 + IVA</t>
        </r>
      </text>
    </comment>
    <comment ref="I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van aprovar donació de 3000+IVA=3.630</t>
        </r>
      </text>
    </comment>
    <comment ref="J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Aprovat 2420 iva inclòs</t>
        </r>
      </text>
    </comment>
    <comment ref="G10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No inclou despesa premsa, assumit x presidencia.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Padros Tremoleda, Mireia</author>
  </authors>
  <commentList>
    <comment ref="G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any passat vam posar 250 unitats 1200€</t>
        </r>
      </text>
    </comment>
    <comment ref="O11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podria ser 20 o 5 guants reutilitzables enlloc de 2 i del suport d'Habitats, i dels guants d'un sol ús.</t>
        </r>
      </text>
    </comment>
    <comment ref="R11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podria ser 20 o 5 guants reutilitzables enlloc de 2 i del suport d'Habitats, i dels guants d'un sol ús.</t>
        </r>
      </text>
    </comment>
    <comment ref="U11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Bosses de 10 guants</t>
        </r>
      </text>
    </comment>
    <comment ref="Z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Cost final fou 2359,5. Cost unitari 0,6+IVA i clixe 150+IVA</t>
        </r>
      </text>
    </comment>
    <comment ref="Y14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0,27€ bandera + clixe 2017 400€ (+ IVA)</t>
        </r>
      </text>
    </comment>
    <comment ref="G15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Proposen acció educativa 295€ sense contemplar caracterització. </t>
        </r>
      </text>
    </comment>
    <comment ref="P19" authorId="0" shapeId="0" xr:uid="{00000000-0006-0000-0100-000008000000}">
      <text>
        <r>
          <rPr>
            <b/>
            <sz val="9"/>
            <color indexed="81"/>
            <rFont val="Tahoma"/>
            <charset val="1"/>
          </rPr>
          <t>Padros Tremoleda, Mireia:</t>
        </r>
        <r>
          <rPr>
            <sz val="9"/>
            <color indexed="81"/>
            <rFont val="Tahoma"/>
            <charset val="1"/>
          </rPr>
          <t xml:space="preserve">
Han incrementat cost enviament. Enlloc de 4 i pico, s'ha doblat a 9 Amb MRW. Dau s'ha rentat les mans. Cost manipulació ok: 4,84*300 </t>
        </r>
      </text>
    </comment>
    <comment ref="S19" authorId="0" shapeId="0" xr:uid="{00000000-0006-0000-0100-000009000000}">
      <text>
        <r>
          <rPr>
            <b/>
            <sz val="9"/>
            <color indexed="81"/>
            <rFont val="Tahoma"/>
            <charset val="1"/>
          </rPr>
          <t>Padros Tremoleda, Mireia:</t>
        </r>
        <r>
          <rPr>
            <sz val="9"/>
            <color indexed="81"/>
            <rFont val="Tahoma"/>
            <charset val="1"/>
          </rPr>
          <t xml:space="preserve">
Han incrementat cost enviament. Enlloc de 4 i pico, s'ha doblat a 9 Amb MRW. Dau s'ha rentat les mans. Cost manipulació ok: 4,84*300 </t>
        </r>
      </text>
    </comment>
    <comment ref="Y20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0,30€ sac +120€ clixe 
(+ IVA)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Padros Tremoleda, Mireia</author>
    <author>Prevencio1</author>
    <author>Prevencio4</author>
  </authors>
  <commentList>
    <comment ref="U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considerant el stock que tenim.</t>
        </r>
      </text>
    </comment>
    <comment ref="H3" authorId="1" shapeId="0" xr:uid="{00000000-0006-0000-0200-000002000000}">
      <text>
        <r>
          <rPr>
            <b/>
            <sz val="8"/>
            <color indexed="81"/>
            <rFont val="Tahoma"/>
            <family val="2"/>
          </rPr>
          <t>Prevencio1:</t>
        </r>
        <r>
          <rPr>
            <sz val="8"/>
            <color indexed="81"/>
            <rFont val="Tahoma"/>
            <family val="2"/>
          </rPr>
          <t xml:space="preserve">
demanda només de 1000 unitats (la resta ja estaven a disposició de l'ARC per un ecàrrec anterior)
</t>
        </r>
      </text>
    </comment>
    <comment ref="O3" authorId="1" shapeId="0" xr:uid="{00000000-0006-0000-0200-000003000000}">
      <text>
        <r>
          <rPr>
            <b/>
            <sz val="8"/>
            <color indexed="81"/>
            <rFont val="Tahoma"/>
            <family val="2"/>
          </rPr>
          <t>Prevencio1: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+120euros de clixé d'impressió</t>
        </r>
      </text>
    </comment>
    <comment ref="X3" authorId="2" shapeId="0" xr:uid="{00000000-0006-0000-0200-000004000000}">
      <text>
        <r>
          <rPr>
            <b/>
            <sz val="9"/>
            <color indexed="81"/>
            <rFont val="Tahoma"/>
            <family val="2"/>
          </rPr>
          <t>Prevencio4:</t>
        </r>
        <r>
          <rPr>
            <sz val="9"/>
            <color indexed="81"/>
            <rFont val="Tahoma"/>
            <family val="2"/>
          </rPr>
          <t xml:space="preserve">
20 boses x pack =4000
15 bosses x pack = 3000
</t>
        </r>
      </text>
    </comment>
    <comment ref="T4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Té un stock màxim i final de 3900 sacs. I si comptem nou clitxe 37,45</t>
        </r>
      </text>
    </comment>
    <comment ref="U4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Té un stock màxim i final de 3900 sacs. I si comptem nou clitxe 37,45</t>
        </r>
      </text>
    </comment>
    <comment ref="K7" authorId="1" shapeId="0" xr:uid="{00000000-0006-0000-0200-000007000000}">
      <text>
        <r>
          <rPr>
            <b/>
            <sz val="8"/>
            <color indexed="81"/>
            <rFont val="Tahoma"/>
            <family val="2"/>
          </rPr>
          <t>Prevencio1:</t>
        </r>
        <r>
          <rPr>
            <sz val="8"/>
            <color indexed="81"/>
            <rFont val="Tahoma"/>
            <family val="2"/>
          </rPr>
          <t xml:space="preserve">
aprox
</t>
        </r>
      </text>
    </comment>
    <comment ref="T7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Validar preu! Pq 1,64 era per 1000 unitats. 
Preu per 300 es 1,99445</t>
        </r>
      </text>
    </comment>
    <comment ref="H8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comanda 2013: 1.000 unitats</t>
        </r>
      </text>
    </comment>
    <comment ref="U8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Ens han baixat el preu respecte 2015!</t>
        </r>
      </text>
    </comment>
    <comment ref="X9" authorId="2" shapeId="0" xr:uid="{00000000-0006-0000-0200-00000B000000}">
      <text>
        <r>
          <rPr>
            <b/>
            <sz val="9"/>
            <color indexed="81"/>
            <rFont val="Tahoma"/>
            <family val="2"/>
          </rPr>
          <t>Prevencio4:</t>
        </r>
        <r>
          <rPr>
            <sz val="9"/>
            <color indexed="81"/>
            <rFont val="Tahoma"/>
            <family val="2"/>
          </rPr>
          <t xml:space="preserve">
15 caixes de 12
</t>
        </r>
      </text>
    </comment>
    <comment ref="B11" authorId="0" shapeId="0" xr:uid="{00000000-0006-0000-0200-00000C000000}">
      <text>
        <r>
          <rPr>
            <b/>
            <sz val="9"/>
            <color indexed="81"/>
            <rFont val="Tahoma"/>
            <charset val="1"/>
          </rPr>
          <t>Padros Tremoleda, Mireia:</t>
        </r>
        <r>
          <rPr>
            <sz val="9"/>
            <color indexed="81"/>
            <rFont val="Tahoma"/>
            <charset val="1"/>
          </rPr>
          <t xml:space="preserve">
2 poster, seguretat amb el plec de comunicaicó La Vola i un de mesures prevenció. </t>
        </r>
      </text>
    </comment>
    <comment ref="B13" authorId="0" shapeId="0" xr:uid="{00000000-0006-0000-0200-00000D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18 paquets dins 20 caixes dins a raó 12,35*paquet</t>
        </r>
      </text>
    </comment>
    <comment ref="M20" authorId="0" shapeId="0" xr:uid="{00000000-0006-0000-0200-00000E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Té un stock màxim i final de 3900 sacs. I si comptem nou clitxe 37,45</t>
        </r>
      </text>
    </comment>
    <comment ref="O20" authorId="1" shapeId="0" xr:uid="{00000000-0006-0000-0200-00000F000000}">
      <text>
        <r>
          <rPr>
            <b/>
            <sz val="8"/>
            <color indexed="81"/>
            <rFont val="Tahoma"/>
            <family val="2"/>
          </rPr>
          <t>Prevencio1: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enviament 1 bossa inclou 19 bosses (facilitar distribució)</t>
        </r>
      </text>
    </comment>
    <comment ref="M24" authorId="0" shapeId="0" xr:uid="{00000000-0006-0000-0200-000010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En realitat ens ho deixaven per 580Euros. Significa un 28% descompte</t>
        </r>
      </text>
    </comment>
    <comment ref="F26" authorId="0" shapeId="0" xr:uid="{00000000-0006-0000-0200-000011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2019: baixat preu a 0,80.
2018i Mantenen preu a 0,88x unitat + IVA (reclamat segons ell cost normal és 1,44), i ens han tret el cost de transport 7,90+IVA</t>
        </r>
      </text>
    </comment>
    <comment ref="N26" authorId="1" shapeId="0" xr:uid="{00000000-0006-0000-0200-000012000000}">
      <text>
        <r>
          <rPr>
            <b/>
            <sz val="8"/>
            <color indexed="81"/>
            <rFont val="Tahoma"/>
            <family val="2"/>
          </rPr>
          <t>Prevencio1:</t>
        </r>
        <r>
          <rPr>
            <sz val="8"/>
            <color indexed="81"/>
            <rFont val="Tahoma"/>
            <family val="2"/>
          </rPr>
          <t xml:space="preserve">
30% més de gruix que els guants convencionals (evitar que es trenquin)
</t>
        </r>
      </text>
    </comment>
    <comment ref="AG26" authorId="0" shapeId="0" xr:uid="{00000000-0006-0000-0200-000013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inclou transport 7,90+IVA</t>
        </r>
      </text>
    </comment>
    <comment ref="AI26" authorId="0" shapeId="0" xr:uid="{00000000-0006-0000-0200-000014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Mantenen preu a 0,88x unitat + IVA (reclamat segons ell cost normal és 1,44), i ens han tret el cost de transport 7,90+IVA</t>
        </r>
      </text>
    </comment>
    <comment ref="AK26" authorId="0" shapeId="0" xr:uid="{00000000-0006-0000-0200-000015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2019: baixat preu a 0,80.
2018i Mantenen preu a 0,88x unitat + IVA (reclamat segons ell cost normal és 1,44), i ens han tret el cost de transport 7,90+IVA</t>
        </r>
      </text>
    </comment>
    <comment ref="F27" authorId="0" shapeId="0" xr:uid="{00000000-0006-0000-0200-000016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cost gorres 0,63, cost estampat 0,23 i cost clitxe 20 (part del fotolit que no s'aprofita de l'any passat) i cost transport 9€ inclòs.</t>
        </r>
      </text>
    </comment>
    <comment ref="AG27" authorId="0" shapeId="0" xr:uid="{00000000-0006-0000-0200-000017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Preu no s'entén en teoria havien de ser 475,53€ (iva inclós): 
400*0,63 gorra, 400*0,23 impressió de cadascuna, 40 clixe i 9 de transport.</t>
        </r>
      </text>
    </comment>
    <comment ref="AI27" authorId="0" shapeId="0" xr:uid="{00000000-0006-0000-0200-000018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cost gorres 0,63, cost estampat 0,23 i cost clitxe 20 (part del fotolit que no s'aprofita de l'any passat) i cost transport 9€ inclòs.</t>
        </r>
      </text>
    </comment>
    <comment ref="AK27" authorId="0" shapeId="0" xr:uid="{00000000-0006-0000-0200-000019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cost gorres 0,63, cost estampat 0,23 i cost clitxe 20 (part del fotolit que no s'aprofita de l'any passat) i cost transport 9€ inclòs.</t>
        </r>
      </text>
    </comment>
    <comment ref="M32" authorId="1" shapeId="0" xr:uid="{00000000-0006-0000-0200-00001A000000}">
      <text>
        <r>
          <rPr>
            <b/>
            <sz val="8"/>
            <color indexed="81"/>
            <rFont val="Tahoma"/>
            <family val="2"/>
          </rPr>
          <t>Prevencio1:</t>
        </r>
        <r>
          <rPr>
            <sz val="8"/>
            <color indexed="81"/>
            <rFont val="Tahoma"/>
            <family val="2"/>
          </rPr>
          <t xml:space="preserve">
caríssim!!!</t>
        </r>
      </text>
    </comment>
    <comment ref="F33" authorId="0" shapeId="0" xr:uid="{00000000-0006-0000-0200-00001B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2019 manté preus: 0,30€ + IVA Unitat + cost del clixe (+ IVA) 
2017 clitxe fou 120, 2018 estimat clixe per 36,87. Clitxe final 2018: 32€
2019 noves bosses similars a les 2015 són 0,49+IVA ja marcades i empaquetades a 19+1. Preu clixe no hi és pq no canvia el fotolit</t>
        </r>
      </text>
    </comment>
    <comment ref="AI33" authorId="0" shapeId="0" xr:uid="{00000000-0006-0000-0200-00001C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0,30€ + IVA Unitat + cost del clixe (+ IVA) 
2017 clitxe fou 120, 2018 estimat clixe per 36,87. Clitxe final 2018: 32€</t>
        </r>
      </text>
    </comment>
    <comment ref="AK33" authorId="0" shapeId="0" xr:uid="{00000000-0006-0000-0200-00001D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2019 manté preus: 0,30€ + IVA Unitat + cost del clixe (+ IVA) 
2017 clitxe fou 120, 2018 estimat clixe per 36,87. Clitxe final 2018: 32€
2019 noves bosses similars a les 2015 són 0,49+IVA ja marcades i empaquetades a 19+1. Preu clixe no hi és pq no canvia el fotolit</t>
        </r>
      </text>
    </comment>
    <comment ref="F34" authorId="0" shapeId="0" xr:uid="{00000000-0006-0000-0200-00001E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2019: increment preu a 0,43€ impres a una cara o 0,50 si imprès a dues cares+ IVA unitat. + preu Clixe. 
2018: 0,27€+ IVA Unitat + clixe estimat cost. El 2017 clixe fou 400€ (+ IVA), el 2018 pressupostat per 73,35 + IVA
 2018: Clitxe´final és 57,01 €</t>
        </r>
      </text>
    </comment>
    <comment ref="AI34" authorId="0" shapeId="0" xr:uid="{00000000-0006-0000-0200-00001F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0,27€+ IVA Unitat + clixe estimat cost. El 2017 clixe fou 400€ (+ IVA), el 2018 pressupostat per 73,35 + IVA
 2018: Clitxe´final és 57,01 €</t>
        </r>
      </text>
    </comment>
    <comment ref="AK34" authorId="0" shapeId="0" xr:uid="{00000000-0006-0000-0200-000020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2019: increment preu a 0,43€ impres a una cara o 0,50 si imprès a dues cares+ IVA unitat. + preu Clixe. 
2018: 0,27€+ IVA Unitat + clixe estimat cost. El 2017 clixe fou 400€ (+ IVA), el 2018 pressupostat per 73,35 + IVA
 2018: Clitxe´final és 57,01 €</t>
        </r>
      </text>
    </comment>
    <comment ref="M40" authorId="1" shapeId="0" xr:uid="{00000000-0006-0000-0200-000021000000}">
      <text>
        <r>
          <rPr>
            <b/>
            <sz val="8"/>
            <color indexed="81"/>
            <rFont val="Tahoma"/>
            <family val="2"/>
          </rPr>
          <t>Prevencio1: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Office Depot (proveïdor ARC)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43" authorId="0" shapeId="0" xr:uid="{00000000-0006-0000-0200-000022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Confirmar cost clixe i bosses. 2017 el Cost unitari 0,6+IVA i clixe 150+IVA. El 2018 primer era 0,85 finalment fou 0,75 embossat o 0,60 sense embossar. </t>
        </r>
      </text>
    </comment>
    <comment ref="AG43" authorId="0" shapeId="0" xr:uid="{00000000-0006-0000-0200-000023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cost unitari:
2013: 0,63€ x 2000 sacs;
2014: 0,47€x1000 sacs
2015: 0,47x3000
2016: 0,55x3000
2017: 0,60x3000</t>
        </r>
      </text>
    </comment>
    <comment ref="AI43" authorId="0" shapeId="0" xr:uid="{00000000-0006-0000-0200-000024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Confirmar cost clixe i bosses. 2017 el Cost unitari 0,6+IVA i clixe 150+IVA. El 2018 primer era 0,85 finalment fou 0,75 embossat o 0,60 sense embossar. </t>
        </r>
      </text>
    </comment>
    <comment ref="AK43" authorId="0" shapeId="0" xr:uid="{00000000-0006-0000-0200-000025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Confirmar cost clixe i bosses. 2017 el Cost unitari 0,6+IVA i clixe 150+IVA. El 2018 primer era 0,85 finalment fou 0,75 embossat o 0,60 sense embossar. </t>
        </r>
      </text>
    </comment>
    <comment ref="F44" authorId="0" shapeId="0" xr:uid="{00000000-0006-0000-0200-000026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2019: Manté peu a 0,51+IVA + clixe
2018: Canvi clitxe pressupostat en 90, real 241,35 </t>
        </r>
      </text>
    </comment>
    <comment ref="AI44" authorId="0" shapeId="0" xr:uid="{00000000-0006-0000-0200-000027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Canvi clitxe pressupostat en 90, real 241,35 </t>
        </r>
      </text>
    </comment>
    <comment ref="AK44" authorId="0" shapeId="0" xr:uid="{00000000-0006-0000-0200-000028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2019: Manté peu a 0,51+IVA + clixe
2018: Canvi clitxe pressupostat en 90, real 241,35 </t>
        </r>
      </text>
    </comment>
    <comment ref="F48" authorId="0" shapeId="0" xr:uid="{00000000-0006-0000-0200-000029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Apliquen 7% descompte, Cost unitari 3,88. Amb descompte 3,608</t>
        </r>
      </text>
    </comment>
    <comment ref="AG48" authorId="0" shapeId="0" xr:uid="{00000000-0006-0000-0200-00002A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Cost unitari 3,81, però apliquen un 4% descompte així resta a 3,66€/caixa</t>
        </r>
      </text>
    </comment>
    <comment ref="AI48" authorId="0" shapeId="0" xr:uid="{00000000-0006-0000-0200-00002B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Apliquen 7% descompte, Cost unitari 3,88. Amb descompte 3,608</t>
        </r>
      </text>
    </comment>
    <comment ref="AK48" authorId="0" shapeId="0" xr:uid="{00000000-0006-0000-0200-00002C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Apliquen 7% descompte, Cost unitari 3,88. Amb descompte 3,608</t>
        </r>
      </text>
    </comment>
    <comment ref="AI58" authorId="0" shapeId="0" xr:uid="{00000000-0006-0000-0200-00002D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inclou modificacions del video promocional 2018 y escoles</t>
        </r>
      </text>
    </comment>
    <comment ref="AK58" authorId="0" shapeId="0" xr:uid="{00000000-0006-0000-0200-00002E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inclou modificacions del video promocional 2018 y escoles</t>
        </r>
      </text>
    </comment>
    <comment ref="F59" authorId="0" shapeId="0" xr:uid="{00000000-0006-0000-0200-00002F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5000 FOU 200CAIXES; 25€/ENVIAMENT</t>
        </r>
      </text>
    </comment>
    <comment ref="AI59" authorId="0" shapeId="0" xr:uid="{00000000-0006-0000-0200-000030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5000 FOU 200CAIXES; 25€/ENVIAMENT</t>
        </r>
      </text>
    </comment>
    <comment ref="AK59" authorId="0" shapeId="0" xr:uid="{00000000-0006-0000-0200-000031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5000 FOU 200CAIXES; 25€/ENVIAMENT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Prevencio4</author>
    <author>Padros Tremoleda, Mireia</author>
  </authors>
  <commentList>
    <comment ref="AA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Prevencio4:</t>
        </r>
        <r>
          <rPr>
            <sz val="9"/>
            <color indexed="81"/>
            <rFont val="Tahoma"/>
            <family val="2"/>
          </rPr>
          <t xml:space="preserve">
20 sacs x pack = 4000 sacs
15 sacs x pack =3000 sacs</t>
        </r>
      </text>
    </comment>
    <comment ref="AA6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Prevencio4:</t>
        </r>
        <r>
          <rPr>
            <sz val="9"/>
            <color indexed="81"/>
            <rFont val="Tahoma"/>
            <family val="2"/>
          </rPr>
          <t xml:space="preserve">
150-30packs per nens
</t>
        </r>
      </text>
    </comment>
    <comment ref="AA7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Prevencio4:</t>
        </r>
        <r>
          <rPr>
            <sz val="9"/>
            <color indexed="81"/>
            <rFont val="Tahoma"/>
            <family val="2"/>
          </rPr>
          <t xml:space="preserve">
30 packs per nens</t>
        </r>
      </text>
    </comment>
    <comment ref="C8" authorId="1" shapeId="0" xr:uid="{00000000-0006-0000-0300-000004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Stock del 2013</t>
        </r>
      </text>
    </comment>
    <comment ref="F8" authorId="1" shapeId="0" xr:uid="{00000000-0006-0000-0300-000005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Dada prové del full de càlcul de lliurament de material EWWR2015</t>
        </r>
      </text>
    </comment>
    <comment ref="H8" authorId="1" shapeId="0" xr:uid="{00000000-0006-0000-0300-000006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Decidir si donem 1 o 2 armilles x organitzador</t>
        </r>
      </text>
    </comment>
    <comment ref="J8" authorId="1" shapeId="0" xr:uid="{00000000-0006-0000-0300-000007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si fessim 2 armilles x organitzador aleshores seria 200</t>
        </r>
      </text>
    </comment>
    <comment ref="AB8" authorId="0" shapeId="0" xr:uid="{00000000-0006-0000-0300-000008000000}">
      <text>
        <r>
          <rPr>
            <b/>
            <sz val="9"/>
            <color indexed="81"/>
            <rFont val="Tahoma"/>
            <family val="2"/>
          </rPr>
          <t>Prevencio4:</t>
        </r>
        <r>
          <rPr>
            <sz val="9"/>
            <color indexed="81"/>
            <rFont val="Tahoma"/>
            <family val="2"/>
          </rPr>
          <t xml:space="preserve">
Gorres
</t>
        </r>
      </text>
    </comment>
    <comment ref="AJ8" authorId="1" shapeId="0" xr:uid="{00000000-0006-0000-0300-000009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20 gorres de més per organització</t>
        </r>
      </text>
    </comment>
    <comment ref="K9" authorId="1" shapeId="0" xr:uid="{00000000-0006-0000-0300-00000A000000}">
      <text>
        <r>
          <rPr>
            <b/>
            <sz val="9"/>
            <color indexed="81"/>
            <rFont val="Tahoma"/>
            <family val="2"/>
          </rPr>
          <t>Padros Tremoleda, Mireia:</t>
        </r>
        <r>
          <rPr>
            <sz val="9"/>
            <color indexed="81"/>
            <rFont val="Tahoma"/>
            <family val="2"/>
          </rPr>
          <t xml:space="preserve">
Necessitem 340 però les caixes només són de 12 rotuladors. Raó per la qual hem de sol.licitar 29 caixes. Sobrant 8 rotuladors.</t>
        </r>
      </text>
    </comment>
    <comment ref="AA9" authorId="0" shapeId="0" xr:uid="{00000000-0006-0000-0300-00000B000000}">
      <text>
        <r>
          <rPr>
            <b/>
            <sz val="9"/>
            <color indexed="81"/>
            <rFont val="Tahoma"/>
            <family val="2"/>
          </rPr>
          <t>Prevencio4:</t>
        </r>
        <r>
          <rPr>
            <sz val="9"/>
            <color indexed="81"/>
            <rFont val="Tahoma"/>
            <family val="2"/>
          </rPr>
          <t xml:space="preserve">
33 caixes de 12
Necessitem 390, sobren 6
</t>
        </r>
      </text>
    </comment>
    <comment ref="AD10" authorId="0" shapeId="0" xr:uid="{00000000-0006-0000-0300-00000C000000}">
      <text>
        <r>
          <rPr>
            <b/>
            <sz val="9"/>
            <color indexed="81"/>
            <rFont val="Tahoma"/>
            <family val="2"/>
          </rPr>
          <t>Prevencio4:</t>
        </r>
        <r>
          <rPr>
            <sz val="9"/>
            <color indexed="81"/>
            <rFont val="Tahoma"/>
            <family val="2"/>
          </rPr>
          <t xml:space="preserve">
97 banderes ARC
31 banderes EU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Padros Tremoleda, Mireia</author>
  </authors>
  <commentList>
    <comment ref="E4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Padros Tremoleda, Mireia:</t>
        </r>
        <r>
          <rPr>
            <sz val="8"/>
            <color indexed="81"/>
            <rFont val="Tahoma"/>
            <family val="2"/>
          </rPr>
          <t xml:space="preserve">
15xenviament</t>
        </r>
      </text>
    </comment>
    <comment ref="E15" authorId="0" shapeId="0" xr:uid="{00000000-0006-0000-0400-000002000000}">
      <text>
        <r>
          <rPr>
            <b/>
            <sz val="8"/>
            <color indexed="81"/>
            <rFont val="Tahoma"/>
            <family val="2"/>
          </rPr>
          <t>Padros Tremoleda, Mireia:</t>
        </r>
        <r>
          <rPr>
            <sz val="8"/>
            <color indexed="81"/>
            <rFont val="Tahoma"/>
            <family val="2"/>
          </rPr>
          <t xml:space="preserve">
Office Depot 0,53 - Altres a 1,5e</t>
        </r>
      </text>
    </comment>
  </commentList>
</comments>
</file>

<file path=xl/sharedStrings.xml><?xml version="1.0" encoding="utf-8"?>
<sst xmlns="http://schemas.openxmlformats.org/spreadsheetml/2006/main" count="1069" uniqueCount="600">
  <si>
    <t>sin IVA</t>
  </si>
  <si>
    <t>con Iva</t>
  </si>
  <si>
    <t>DESPESA sense IVA</t>
  </si>
  <si>
    <t>Patrocinador</t>
  </si>
  <si>
    <t>Dades Facturació</t>
  </si>
  <si>
    <t>Contacte</t>
  </si>
  <si>
    <t>Concepte</t>
  </si>
  <si>
    <t xml:space="preserve">Aportación </t>
  </si>
  <si>
    <t>Aportación (IVA inc)</t>
  </si>
  <si>
    <t>Sol.licitat 2022
(500 acciones)</t>
  </si>
  <si>
    <t>Asistencia</t>
  </si>
  <si>
    <t>Prensa</t>
  </si>
  <si>
    <t>Material i Filmació</t>
  </si>
  <si>
    <t xml:space="preserve">Total </t>
  </si>
  <si>
    <t>+ IVA</t>
  </si>
  <si>
    <t>Diferencia</t>
  </si>
  <si>
    <t>ECOEMBES</t>
  </si>
  <si>
    <t>ECOEMBALAJES ESPAÑA SA
Paseo de la Castellana, 83-85. Planta 11
28046 MADRID
CIF: A81601700
CONCEPTE: CAMPANYA LETS CLEAN UP EUROPE 2017
ATT. SUSANA REVUELTA
s.revuelta1@ecoembes.com
Primer han d'entrar el proveidor. Enviar a la Irene / Jordi Piex</t>
  </si>
  <si>
    <t xml:space="preserve">Jorge Serrano
Juan M. Alonso De Velasco j.alonsodevelasco@ecoembes.com
Antonio Barron a.barron@ecoembes.com </t>
  </si>
  <si>
    <t>Difusión en medios de comunicación, materiales y asistencia técnica</t>
  </si>
  <si>
    <t>10000€ pagat a l'ARC</t>
  </si>
  <si>
    <t>10000+IVA, 12100€  a proveidors</t>
  </si>
  <si>
    <t>15000+IVA (Real: 17879,61€)</t>
  </si>
  <si>
    <t>15000+IVA (Real: 18093,51€)</t>
  </si>
  <si>
    <t>NOVES EMPRESES</t>
  </si>
  <si>
    <t>PAISAJE LIMPIO</t>
  </si>
  <si>
    <t>ASOCIACIÓN PAISAJE LIMPIO
C/ Santa Brígida, 19-1ºB
28220 MAJADAHONDA – MADRID
CIF: G84188812
CONCEPTE: CAMPANYA LETS CLEAN UP EUROPE 2017
info@paisajelimpio.com; comunicacion@paisajelimpio.com</t>
  </si>
  <si>
    <t xml:space="preserve">Inés de la Paz info@paisajelimpio.com 
Teresa Martínez teresa@cicloplast.com </t>
  </si>
  <si>
    <t>5.000+IVA, 5647€</t>
  </si>
  <si>
    <t>5.929+IVA, 6094€</t>
  </si>
  <si>
    <t>2777+IVA, 3630€</t>
  </si>
  <si>
    <t>2800,95+IVA, 3.389,15€</t>
  </si>
  <si>
    <t>ECOVIDRIO</t>
  </si>
  <si>
    <t xml:space="preserve">ECOVIDRIO
CIF G81312001
c/Miguel Ángel 23, - 5ª Planta
28010 Madrid 
Tel. 914119056
http://www.ecovidrio.es  
la política de pago de Ecovidrio es a 60 días </t>
  </si>
  <si>
    <t xml:space="preserve">Sandra Anguiano 
Responsable de Asuntos Públicos y Relaciones Institucionales sandra.anguiano@Ecovidrio.es
</t>
  </si>
  <si>
    <t>5.000+IVA, 5656€</t>
  </si>
  <si>
    <t>6.678+IVA, 7000€</t>
  </si>
  <si>
    <t>7500+IVA, 7881€</t>
  </si>
  <si>
    <t>7536+IVA, 8261€</t>
  </si>
  <si>
    <t>10.000+IVA, 11.260€</t>
  </si>
  <si>
    <t>CICLOPLAST</t>
  </si>
  <si>
    <t xml:space="preserve">CICLOPLAST
CIF – A81587511
Rafael Salgado, 11 -1º dcha.
Madrid 28036
Contacto: Susana de la Hoz
Responsable de Administración. Cicloplast 
susana@cicloplast.com
Telf.: 915717606
www.cicloplast.com
</t>
  </si>
  <si>
    <t>Mayca Bernardo Colina 
Responsable de Comunicación. Cicloplast . 
Rafael Salgado, 11 -1º dcha.
Madrid 28036
Tlf: 915717606 682637749
mayca@cicloplast.com
www.cicloplast.com</t>
  </si>
  <si>
    <t>2000+IVA, 2141€</t>
  </si>
  <si>
    <t>2087+IVA, 2525€</t>
  </si>
  <si>
    <t>Representació Comissió Europea a Barcelona</t>
  </si>
  <si>
    <t>Bosses</t>
  </si>
  <si>
    <t>DIPUTACIÓ DE BARCELONA</t>
  </si>
  <si>
    <t>Enric Coll i Gonzalo Luna</t>
  </si>
  <si>
    <t>Materiales</t>
  </si>
  <si>
    <t>3500€ IVA incl.</t>
  </si>
  <si>
    <t>3500+IVA, 3684€ IVA.</t>
  </si>
  <si>
    <t xml:space="preserve">2945+IVA, 3563€ </t>
  </si>
  <si>
    <t>2920+IVA, 3533€</t>
  </si>
  <si>
    <t>3019+IVA, 3,653€</t>
  </si>
  <si>
    <t>Tallers x AAPP</t>
  </si>
  <si>
    <t>ARC</t>
  </si>
  <si>
    <t>Sense despeses de personal incloses</t>
  </si>
  <si>
    <t>Asistencia técnica, difusión en medios de comunicación, materiales y  filmaciones.</t>
  </si>
  <si>
    <t>9.440€ IVA incl.</t>
  </si>
  <si>
    <t>19.949€ IVA incl.</t>
  </si>
  <si>
    <t>55.573€ IVA incl.</t>
  </si>
  <si>
    <t>52.546€ IVA incl.</t>
  </si>
  <si>
    <t>2519+IVA, 3.048€</t>
  </si>
  <si>
    <t>TOTAL</t>
  </si>
  <si>
    <t>Accions amb material</t>
  </si>
  <si>
    <t>Preu x acció</t>
  </si>
  <si>
    <t>LCUE</t>
  </si>
  <si>
    <t>Logistica</t>
  </si>
  <si>
    <t>Material</t>
  </si>
  <si>
    <t>A. Tecnica</t>
  </si>
  <si>
    <t xml:space="preserve">Difusió </t>
  </si>
  <si>
    <t>Personal</t>
  </si>
  <si>
    <t>Total</t>
  </si>
  <si>
    <t>UCM (sense personal totes entitats)</t>
  </si>
  <si>
    <t>Proposta Patrocinadors</t>
  </si>
  <si>
    <t>Pressupost Sol.licitat 2022: 500 accions</t>
  </si>
  <si>
    <t>Pressupost Sol.licitat 2021: 350 accions</t>
  </si>
  <si>
    <t>Pressupost Sol.licitat 2020: 300 accions</t>
  </si>
  <si>
    <t>Pressupost Sol.licitat 2019: 300 accions</t>
  </si>
  <si>
    <t>Pressupost sol.licitat 2018 x 250 accions</t>
  </si>
  <si>
    <t>2017 Despesa x 200 accions</t>
  </si>
  <si>
    <t>Proveedor</t>
  </si>
  <si>
    <t>Empresa seleccionada</t>
  </si>
  <si>
    <t>Concept</t>
  </si>
  <si>
    <t>Tipologia</t>
  </si>
  <si>
    <t>Proveidor</t>
  </si>
  <si>
    <t xml:space="preserve">Unitats </t>
  </si>
  <si>
    <t>Cost (IVA incl.)</t>
  </si>
  <si>
    <t>Units</t>
  </si>
  <si>
    <t>Sin IVA</t>
  </si>
  <si>
    <t>IVA incl.</t>
  </si>
  <si>
    <t>PATROCINI</t>
  </si>
  <si>
    <t>Sense IVA</t>
  </si>
  <si>
    <t>amb IVA</t>
  </si>
  <si>
    <t>sin iva</t>
  </si>
  <si>
    <t>Empresa del sector</t>
  </si>
  <si>
    <t>Media Pro</t>
  </si>
  <si>
    <t>Emmagatzematge 138 paquets i enviament 3 (gen a maig)</t>
  </si>
  <si>
    <t>TransCarson</t>
  </si>
  <si>
    <t>arc</t>
  </si>
  <si>
    <t>ARC presidencia</t>
  </si>
  <si>
    <t>Difusión en medios de comunicación- prensa local</t>
  </si>
  <si>
    <t>Difusión</t>
  </si>
  <si>
    <t>Empresa sector</t>
  </si>
  <si>
    <t xml:space="preserve">PAISAJE </t>
  </si>
  <si>
    <t>PAISAJE I ECOEMBES</t>
  </si>
  <si>
    <t>ecovidrio i ecoembes</t>
  </si>
  <si>
    <t>Difusión en medios de comunicación- xarxes socials</t>
  </si>
  <si>
    <t>1 rotulador para marcar residuo en los sacos i caixes de cartó</t>
  </si>
  <si>
    <t>21 cajas de 12 (252 retoladors)</t>
  </si>
  <si>
    <t>CICLOPLAST (15 cajas de 12)</t>
  </si>
  <si>
    <t xml:space="preserve">PAISAJE  </t>
  </si>
  <si>
    <t>Adhesiu Roll-up 300x300mm, Roll Up...</t>
  </si>
  <si>
    <t>Póster A3 normes de seguridad papel ext. Mate 250g + materiales (roll Up...)</t>
  </si>
  <si>
    <t>Guantes protectores participantes (un sol uso)</t>
  </si>
  <si>
    <t>200 Talla L
50 talla S</t>
  </si>
  <si>
    <t>DIBA</t>
  </si>
  <si>
    <t>ECOVIDRIO (170 cajas Talla L y 30 cajas S)</t>
  </si>
  <si>
    <t>Zeba Produccions</t>
  </si>
  <si>
    <t>Elaboració 2 videos resum+promocional, 2 pindolas</t>
  </si>
  <si>
    <t>Filmación</t>
  </si>
  <si>
    <t>ecovidrio</t>
  </si>
  <si>
    <t>Guantes protectores Organizadores (reutilizables)</t>
  </si>
  <si>
    <t>Grupakbcn</t>
  </si>
  <si>
    <t>2 Gorras para identificar los organizadores</t>
  </si>
  <si>
    <t>bolsas grandes de rafia para la recogida selectiva</t>
  </si>
  <si>
    <t>Pancarta/Bandera</t>
  </si>
  <si>
    <t>ASSOCIACIÓ HABITATS o similar</t>
  </si>
  <si>
    <t>Estela  Anglada</t>
  </si>
  <si>
    <t>Suport en la caracterització i acció educativa UCM</t>
  </si>
  <si>
    <t>A.Técnica</t>
  </si>
  <si>
    <t>Fundesplai i DrapArt</t>
  </si>
  <si>
    <t>3582€ ARC</t>
  </si>
  <si>
    <t>ARC 875; Cicloplast 1328</t>
  </si>
  <si>
    <t>Suport en la caracterització i acció educativa</t>
  </si>
  <si>
    <t>POLYTECHS</t>
  </si>
  <si>
    <t>ARC Dept Comunicació</t>
  </si>
  <si>
    <t>Promoció xarxes socials</t>
  </si>
  <si>
    <t>ARC Comunicació</t>
  </si>
  <si>
    <t xml:space="preserve">Empaquetament </t>
  </si>
  <si>
    <t>CIRE</t>
  </si>
  <si>
    <t>Bolsas individuales con asa de rafia reutilizables</t>
  </si>
  <si>
    <t>Bolsas individuales con asa de rafia reutilizables2</t>
  </si>
  <si>
    <t>Enviament material (manipulació i transport)</t>
  </si>
  <si>
    <t>ECOVIDRIO ARC</t>
  </si>
  <si>
    <t>PAISAJE</t>
  </si>
  <si>
    <t>12 bàscules digitals UCM</t>
  </si>
  <si>
    <t>Comercial - Flintec' &lt;comercial@flintec.es&gt;</t>
  </si>
  <si>
    <t>Emmagatzematge material i recollida Brians (Maig a nov.)</t>
  </si>
  <si>
    <t>Arc</t>
  </si>
  <si>
    <t>Pescadors</t>
  </si>
  <si>
    <t>Bolsas individuales de retales de redes de pesca (playas)</t>
  </si>
  <si>
    <t>2 Chalecos identificar a los organizadores</t>
  </si>
  <si>
    <t>MOKOM</t>
  </si>
  <si>
    <t>Punt de llibre bosses bescadors (opció 3 - paper 300g)</t>
  </si>
  <si>
    <t>B-Barcino</t>
  </si>
  <si>
    <t>Manual</t>
  </si>
  <si>
    <t>Total Sin IVA</t>
  </si>
  <si>
    <t>350 accions</t>
  </si>
  <si>
    <t>300 accions</t>
  </si>
  <si>
    <t>Total Con IVA</t>
  </si>
  <si>
    <t>Cost unitari</t>
  </si>
  <si>
    <t>250 acciones</t>
  </si>
  <si>
    <t>Films</t>
  </si>
  <si>
    <t>2021 (estimació 350 Accions)</t>
  </si>
  <si>
    <r>
      <rPr>
        <b/>
        <sz val="16"/>
        <rFont val="Calibri"/>
        <family val="2"/>
        <scheme val="minor"/>
      </rPr>
      <t>2014</t>
    </r>
    <r>
      <rPr>
        <sz val="16"/>
        <rFont val="Calibri"/>
        <family val="2"/>
        <scheme val="minor"/>
      </rPr>
      <t xml:space="preserve"> (100 entitats previstes)</t>
    </r>
  </si>
  <si>
    <r>
      <rPr>
        <b/>
        <sz val="16"/>
        <rFont val="Calibri"/>
        <family val="2"/>
        <scheme val="minor"/>
      </rPr>
      <t>2015</t>
    </r>
    <r>
      <rPr>
        <sz val="16"/>
        <rFont val="Calibri"/>
        <family val="2"/>
        <scheme val="minor"/>
      </rPr>
      <t xml:space="preserve"> (150 entitats previstes)</t>
    </r>
  </si>
  <si>
    <t>2016 (200 previstes)</t>
  </si>
  <si>
    <t>Stock 09/02/17</t>
  </si>
  <si>
    <t>2017 (200 previstes)</t>
  </si>
  <si>
    <t>2018 (250 Accions)</t>
  </si>
  <si>
    <t>2019 (estimació 300 Accions)</t>
  </si>
  <si>
    <t xml:space="preserve">Material </t>
  </si>
  <si>
    <t>Unitats</t>
  </si>
  <si>
    <t>proveïdor</t>
  </si>
  <si>
    <t>contacte proveïdor</t>
  </si>
  <si>
    <t>sense IVA</t>
  </si>
  <si>
    <t xml:space="preserve">IVA inclos </t>
  </si>
  <si>
    <t>Encàrrec / lliurament / Facturació</t>
  </si>
  <si>
    <t>quantitat enviada</t>
  </si>
  <si>
    <t>pressupost (€) iva incl.</t>
  </si>
  <si>
    <t xml:space="preserve">quantitat </t>
  </si>
  <si>
    <t>Stock</t>
  </si>
  <si>
    <t>Quantitat 150 accions</t>
  </si>
  <si>
    <t>pressupost (€) iva incl. 150 accions</t>
  </si>
  <si>
    <t xml:space="preserve">pressupost iva incl. 200 accions </t>
  </si>
  <si>
    <t>Data límit x 30 març</t>
  </si>
  <si>
    <t>Quantitat 200 accions</t>
  </si>
  <si>
    <t>pressupost sense IVA</t>
  </si>
  <si>
    <t xml:space="preserve">pressupost IVA inclos </t>
  </si>
  <si>
    <t>Stock 12/01/18</t>
  </si>
  <si>
    <t>Petició Unitats</t>
  </si>
  <si>
    <t>Total packs</t>
  </si>
  <si>
    <t>Unit x pack</t>
  </si>
  <si>
    <t>250 ACCIONS</t>
  </si>
  <si>
    <t>pressupost (€) sense IVA</t>
  </si>
  <si>
    <t>Bosses grans 120x75 cm</t>
  </si>
  <si>
    <t>multisac</t>
  </si>
  <si>
    <t>Marta Aguilar</t>
  </si>
  <si>
    <t>2500 (1000)</t>
  </si>
  <si>
    <t>sacos hidalgo</t>
  </si>
  <si>
    <t>info@sacoshidalgo.com 937841933</t>
  </si>
  <si>
    <t xml:space="preserve">Enric Lopez </t>
  </si>
  <si>
    <t>220 LCUE; 21 UCM</t>
  </si>
  <si>
    <t>10 (1+9)</t>
  </si>
  <si>
    <t>Bosses individuals nansa</t>
  </si>
  <si>
    <t>multisac@multisac.es 932233308</t>
  </si>
  <si>
    <t>25 (1+24)</t>
  </si>
  <si>
    <t>Guants reutilitzables (parell)</t>
  </si>
  <si>
    <t>gili industrial</t>
  </si>
  <si>
    <t xml:space="preserve">Roger Gili </t>
  </si>
  <si>
    <t>93 770 51 70</t>
  </si>
  <si>
    <t xml:space="preserve">Roger Gili 
GILI Ferreteria Industrial - c/ Can Noguera, 4 nau 38
08630 - Abrera - 
Telf: 93 770 51 70 - ext 4031 - 692 621 420
Fax: 93 770 27 71
www.giliindustrial.com 
</t>
  </si>
  <si>
    <t>2 parells</t>
  </si>
  <si>
    <t>Pack guants un sol ús nitril (100 unitats)</t>
  </si>
  <si>
    <t>Planas</t>
  </si>
  <si>
    <t>Mar</t>
  </si>
  <si>
    <t>comercial gummi SA</t>
  </si>
  <si>
    <t xml:space="preserve">gummi@comercialgummi.com                                       932643999                                                                                                                                                            </t>
  </si>
  <si>
    <t>6 L +22 S</t>
  </si>
  <si>
    <t>1 caixa T L/S</t>
  </si>
  <si>
    <t>Adhesius bosses</t>
  </si>
  <si>
    <t>242 caixes</t>
  </si>
  <si>
    <t>Arts Grafiques orient</t>
  </si>
  <si>
    <t>?</t>
  </si>
  <si>
    <t>Icaria</t>
  </si>
  <si>
    <t>stock</t>
  </si>
  <si>
    <t xml:space="preserve">Armilles </t>
  </si>
  <si>
    <t>243 caixes</t>
  </si>
  <si>
    <t>Rosa Mª Pedrero</t>
  </si>
  <si>
    <t>Office Depot</t>
  </si>
  <si>
    <t xml:space="preserve">Maripaz Llobera [mailto:maripaz.llobera@officedepot.com] </t>
  </si>
  <si>
    <t>Retolador permanent</t>
  </si>
  <si>
    <t>Lyreco</t>
  </si>
  <si>
    <t>Miquel Julian</t>
  </si>
  <si>
    <t>21 caixes de 12 (252)</t>
  </si>
  <si>
    <t>23 caixes de 12 (252)</t>
  </si>
  <si>
    <t>Banderola</t>
  </si>
  <si>
    <t>Material x</t>
  </si>
  <si>
    <t xml:space="preserve">Pòsters </t>
  </si>
  <si>
    <t>Comunicació ARC</t>
  </si>
  <si>
    <t>Neus i Maria ARC</t>
  </si>
  <si>
    <t>27 accions</t>
  </si>
  <si>
    <t>Carles Moreno</t>
  </si>
  <si>
    <t>Mokom</t>
  </si>
  <si>
    <t>Carles</t>
  </si>
  <si>
    <t>Bosses de pesca</t>
  </si>
  <si>
    <t>Caixes de cartró</t>
  </si>
  <si>
    <t>Gorres</t>
  </si>
  <si>
    <t>Grupokbcn</t>
  </si>
  <si>
    <t>Daniel Martin</t>
  </si>
  <si>
    <t>Potencialment es realitzarien...</t>
  </si>
  <si>
    <t>2 gorres</t>
  </si>
  <si>
    <t>200 accions</t>
  </si>
  <si>
    <t>compta amb stock actual</t>
  </si>
  <si>
    <t>Recerca Proveidors</t>
  </si>
  <si>
    <t>Descripció</t>
  </si>
  <si>
    <t>e-mail</t>
  </si>
  <si>
    <t>Brut 20</t>
  </si>
  <si>
    <t>Dades contacte</t>
  </si>
  <si>
    <t>contacte</t>
  </si>
  <si>
    <t xml:space="preserve"> iva incl.</t>
  </si>
  <si>
    <t>caract.</t>
  </si>
  <si>
    <t xml:space="preserve">disseny </t>
  </si>
  <si>
    <t>data límit</t>
  </si>
  <si>
    <t>entrega</t>
  </si>
  <si>
    <t>Unit.</t>
  </si>
  <si>
    <t>Preu 2017</t>
  </si>
  <si>
    <t>Preu18</t>
  </si>
  <si>
    <t>Preu 2019</t>
  </si>
  <si>
    <t>Armando Alvarez</t>
  </si>
  <si>
    <t>Sacs petits</t>
  </si>
  <si>
    <t>'grupo@armandoalvarez.com'</t>
  </si>
  <si>
    <t xml:space="preserve">info@sacoshidalgo.com Enric Lopez
DEPARTAMENTO DE VENTAS
E-mail: enric@sacoshidalgo.com Mvl. +34 608032389 Skype: enric.sacoshidalgo
------------------------------------------------------------------------------------------------------------------------------------
Office: SACOS HIDALGO S.L., Miño 21 Nave C. 08223 Terrassa (Barcelona) – SPAIN. 
Warehouse:  Nave 27 Pol. Ind. El tortuguer (Can Prat). 08691 Monistrol de Montserrat (Barcelona) – SPAIN.  
Web: www.sacoshidalgo.com  Ph. +34 937841933 Fax. +34 937892627  
</t>
  </si>
  <si>
    <t>correu</t>
  </si>
  <si>
    <t>pendent</t>
  </si>
  <si>
    <t>15 dies</t>
  </si>
  <si>
    <t>N/C</t>
  </si>
  <si>
    <t>Bagherra</t>
  </si>
  <si>
    <t>Bosses plàstic</t>
  </si>
  <si>
    <t>'contact@bagherra.eu'</t>
  </si>
  <si>
    <t>SI</t>
  </si>
  <si>
    <t>10 dies</t>
  </si>
  <si>
    <t>Bolcast</t>
  </si>
  <si>
    <t>'plastic@bolcast.com'</t>
  </si>
  <si>
    <t>-</t>
  </si>
  <si>
    <t xml:space="preserve">2 dies </t>
  </si>
  <si>
    <t>Bolsalea</t>
  </si>
  <si>
    <t>'info@bolsalea.com'</t>
  </si>
  <si>
    <t>Difont Comunicació</t>
  </si>
  <si>
    <t>'info@difontcomunicacio.com'</t>
  </si>
  <si>
    <t>sense pols</t>
  </si>
  <si>
    <t>info@tplanas.com</t>
  </si>
  <si>
    <t>gruix 3,5 (sense pols)</t>
  </si>
  <si>
    <t>3-10 dies</t>
  </si>
  <si>
    <t>No-teixit</t>
  </si>
  <si>
    <t>Exporegalos</t>
  </si>
  <si>
    <t>patricia.exporegalos@gmail.com</t>
  </si>
  <si>
    <t>gruix 6,0</t>
  </si>
  <si>
    <t>6,9€/u - 4% descompte</t>
  </si>
  <si>
    <t>No tenen</t>
  </si>
  <si>
    <t>Gili Industrial</t>
  </si>
  <si>
    <t>Guants reut.</t>
  </si>
  <si>
    <t xml:space="preserve">Guants JUBA GGTEKE 04 GUANTES talla L/9. </t>
  </si>
  <si>
    <t>comptabilitat@giliindustrial.com'</t>
  </si>
  <si>
    <t xml:space="preserve">Roger Gili. GILI Ferreteria Industrial - c/ Can Noguera, 4 nau 38. 08630 - Abrera - Telf: 93 770 51 70 - ext 4031 - 692 621 420 www.giliindustrial.com 
</t>
  </si>
  <si>
    <t>gruix 4,6 (sense pols)</t>
  </si>
  <si>
    <t>5,13€/u - 29%</t>
  </si>
  <si>
    <t>Grupak bcn</t>
  </si>
  <si>
    <t>Gorras</t>
  </si>
  <si>
    <t>500,00 Gorra Sport Verde S/T; Impressi¾ 1 tinta; CLICHES repetició, Transport</t>
  </si>
  <si>
    <t>info@grupakbcn.com'</t>
  </si>
  <si>
    <t>comercial@icariagraficas.com</t>
  </si>
  <si>
    <t>stock 1000 a 1,6€</t>
  </si>
  <si>
    <t>Grupok bcn</t>
  </si>
  <si>
    <t>Bandera</t>
  </si>
  <si>
    <t>'info@grupakbcn.com'</t>
  </si>
  <si>
    <t>Nivell Publicitari</t>
  </si>
  <si>
    <t xml:space="preserve">93 451 79 61 </t>
  </si>
  <si>
    <t>teixit de poliester imprés digitalment per sublimació</t>
  </si>
  <si>
    <t>Artyplan</t>
  </si>
  <si>
    <t>vaguilar@artyplan.com</t>
  </si>
  <si>
    <t>lona microperforada</t>
  </si>
  <si>
    <t xml:space="preserve"> 8 dies</t>
  </si>
  <si>
    <t>Icariagraficas</t>
  </si>
  <si>
    <t>Armilles</t>
  </si>
  <si>
    <t>Armilles verds serigrafiades a 1 tinta (Blanca) a 2 posicions.diferent estampació a cada banda. Entregades a granel a la direcció del client.</t>
  </si>
  <si>
    <t>'produccio@icariagraficas.com'</t>
  </si>
  <si>
    <t>Sacos Hidalgo</t>
  </si>
  <si>
    <t>info@sacoshidalgo.com</t>
  </si>
  <si>
    <t>impressió 60x60 en material de l'estil del sac</t>
  </si>
  <si>
    <t>2 dies</t>
  </si>
  <si>
    <t>De mano</t>
  </si>
  <si>
    <t>Ilerafitex</t>
  </si>
  <si>
    <t>'ilerafitex@ilerafitex.com'</t>
  </si>
  <si>
    <t>Marc Martí</t>
  </si>
  <si>
    <t>93 485 3006</t>
  </si>
  <si>
    <t>sobre PVC reforçat i sense acabats</t>
  </si>
  <si>
    <t>Multisac</t>
  </si>
  <si>
    <t>SACO LAMINADO TRANSP 40+(2X10)X60 TROQUEL. marcados 1 cara, 1  tinta y ensacados de 20 ( 19+1)</t>
  </si>
  <si>
    <t>'marta@multisac.es'</t>
  </si>
  <si>
    <t>BANDEROLAS DE RAFIA PP LAMINADA 80X100 CM MARCADOS 1 CARA 3 COLORES</t>
  </si>
  <si>
    <t>Bolseta</t>
  </si>
  <si>
    <t xml:space="preserve">Bossa recollida </t>
  </si>
  <si>
    <t>Irene Toro</t>
  </si>
  <si>
    <t>Bossa recollida x subaquàtica</t>
  </si>
  <si>
    <t>LYRECO ESPAÑA, S.A.</t>
  </si>
  <si>
    <t>caixes cartró</t>
  </si>
  <si>
    <t>PK25 CAJAS CARTON C/ SIMPLE 500X335X250</t>
  </si>
  <si>
    <t>Via Miquel Julián ARC</t>
  </si>
  <si>
    <t>Retoladors</t>
  </si>
  <si>
    <t>MARC PIZARRA BCA BIC 1741 1,5MM NGO</t>
  </si>
  <si>
    <t>Paquet 20 caixes mides 427*304*200 (justet)</t>
  </si>
  <si>
    <t>marcador punta conca Negre Bic Velleda no permanent. (abans era: Marcador permanente Niceday PBM1.5 punta cónica negro (Categoria 2563441)</t>
  </si>
  <si>
    <t>Office Depot (comanda Miquel ARC)</t>
  </si>
  <si>
    <t xml:space="preserve">Office Depot De: Maripaz Llobera [mailto:maripaz.llobera@officedepot.com] </t>
  </si>
  <si>
    <t>proveïdor ARC</t>
  </si>
  <si>
    <t>1 dia</t>
  </si>
  <si>
    <t>Publi pack calafell</t>
  </si>
  <si>
    <t>'info@publipackcalafell.com'</t>
  </si>
  <si>
    <t>'enric@sacoshidalgo.com'</t>
  </si>
  <si>
    <t>info@bolsalea.com</t>
  </si>
  <si>
    <t>Sacs Grans</t>
  </si>
  <si>
    <t xml:space="preserve">Código Producto 775125 Tipo: SACO RAFIA ESTANDAR Medidas 75X125 PRESENTACIÓN - 9 SACOS + 1 SACO (204 PAQUETES) </t>
  </si>
  <si>
    <t>enric@sacoshidalgo.com'</t>
  </si>
  <si>
    <t>Valldeperas</t>
  </si>
  <si>
    <t>PACKAGING@VALLDEPERAS.COM</t>
  </si>
  <si>
    <t>Article 1524: SACO RAFIA 75X125 CMS. BO marcados 1 cara 2 colores
ensacados de 9 unidades</t>
  </si>
  <si>
    <t>marta@multisac.es'</t>
  </si>
  <si>
    <t>Satucesa</t>
  </si>
  <si>
    <t>'info@satucesa.es'</t>
  </si>
  <si>
    <t>Sinycon</t>
  </si>
  <si>
    <t>gift@sinycon.com</t>
  </si>
  <si>
    <t>Silvalac</t>
  </si>
  <si>
    <t>'info@silvalac.com'</t>
  </si>
  <si>
    <t>'gift@sinycon.com'</t>
  </si>
  <si>
    <t>Tplanas</t>
  </si>
  <si>
    <t>Guants nitril</t>
  </si>
  <si>
    <t>Guants d'un sol ús gruix 4,6 sense pols: Guantes de nitrilo extra 4.6 azul sin polvo- 100u Talla:L (model M007310L) 200 paquets; Guantes de nitrilo extra 4.6 azul sin polvo- 100u Talla:S (model M007310S) 50 paquets.</t>
  </si>
  <si>
    <t>info@tplanas.com'</t>
  </si>
  <si>
    <t>'PACKAGING@VALLDEPERAS.COM'</t>
  </si>
  <si>
    <t>Adhesiu Roll-up 300x300mm</t>
  </si>
  <si>
    <t>'Jose Rubio' &lt;jrubio@artyplan.com&gt;</t>
  </si>
  <si>
    <t>Disseny adhesiu Roll-up</t>
  </si>
  <si>
    <t>1 banderola</t>
  </si>
  <si>
    <t>Etiquetes pescadors lona PVC 80x100mm</t>
  </si>
  <si>
    <t>Jose Rubio' &lt;jrubio@artyplan.com&gt;</t>
  </si>
  <si>
    <t>2 retoladors permanents</t>
  </si>
  <si>
    <t>carles@mokom.es</t>
  </si>
  <si>
    <t>material</t>
  </si>
  <si>
    <t>2 armilles pels organitzadors</t>
  </si>
  <si>
    <t>Póster normes de seguretat</t>
  </si>
  <si>
    <t>1 pack de 100 guants d'un sol ús</t>
  </si>
  <si>
    <t>Punt de llibre lona</t>
  </si>
  <si>
    <t>2 parells de guants reutilitzables</t>
  </si>
  <si>
    <t>Punt de llibre plastificat</t>
  </si>
  <si>
    <t>20 bosses individuals amb nansa</t>
  </si>
  <si>
    <t>Punt de llibre paper 300g</t>
  </si>
  <si>
    <t>20 sacs grans per indicar tipologia de residu</t>
  </si>
  <si>
    <t>ZEBA</t>
  </si>
  <si>
    <t xml:space="preserve">video promocional i resum edició </t>
  </si>
  <si>
    <t>Sergi Sala</t>
  </si>
  <si>
    <t>ASSOCIACIÓ HABITATS</t>
  </si>
  <si>
    <t>Distribució packs (transport, material i manipulació)</t>
  </si>
  <si>
    <t>Habitats</t>
  </si>
  <si>
    <t>Assitencia tècnica</t>
  </si>
  <si>
    <t>DAU</t>
  </si>
  <si>
    <t xml:space="preserve">Manipulació 4,94xpaquet+Enviament estimat caixa 10kg a 4,28€regional. </t>
  </si>
  <si>
    <t>Grup Asproseat</t>
  </si>
  <si>
    <t xml:space="preserve">Manipulació 4,12 + Enviament. estimat caixa 10kg a 4,28€regional. </t>
  </si>
  <si>
    <t>Empaquetat</t>
  </si>
  <si>
    <t>Empaquetat caixes</t>
  </si>
  <si>
    <t>Via Josep</t>
  </si>
  <si>
    <t>CORREUS POSTAL</t>
  </si>
  <si>
    <t>Enviament</t>
  </si>
  <si>
    <t>Enviament caixes</t>
  </si>
  <si>
    <t xml:space="preserve">1 Pack </t>
  </si>
  <si>
    <t>ECUD '15</t>
  </si>
  <si>
    <t>Stock 03/06/15</t>
  </si>
  <si>
    <t>EWWR '15</t>
  </si>
  <si>
    <t>Stock 19/02/16</t>
  </si>
  <si>
    <t>Packs potencials</t>
  </si>
  <si>
    <t>Sobren</t>
  </si>
  <si>
    <t xml:space="preserve">Encarregar x 150 </t>
  </si>
  <si>
    <t>Encarregar x 200</t>
  </si>
  <si>
    <t>Reuse ECUD15</t>
  </si>
  <si>
    <t>Increments: DIBA, ARC+MEDI</t>
  </si>
  <si>
    <t>Albarà</t>
  </si>
  <si>
    <t>Mat. Rebut</t>
  </si>
  <si>
    <t>Envia ARC 1</t>
  </si>
  <si>
    <t>Envia ARC 2</t>
  </si>
  <si>
    <t>Sobra</t>
  </si>
  <si>
    <t>Retornat ECUD 2016</t>
  </si>
  <si>
    <t>Stock 07/09/2016</t>
  </si>
  <si>
    <t>EWWR'16</t>
  </si>
  <si>
    <t xml:space="preserve">Packs </t>
  </si>
  <si>
    <t>Comanda x 200</t>
  </si>
  <si>
    <t>Demanat 01/03/2017</t>
  </si>
  <si>
    <t>Enviar a Habitats</t>
  </si>
  <si>
    <t>Stock 02/08/17</t>
  </si>
  <si>
    <t>Stock 10/01/18</t>
  </si>
  <si>
    <t>UCM</t>
  </si>
  <si>
    <t>1 Pack</t>
  </si>
  <si>
    <t>PACKS</t>
  </si>
  <si>
    <t>EWWR18</t>
  </si>
  <si>
    <t>6 Trams: 3x6</t>
  </si>
  <si>
    <t>Barcelona</t>
  </si>
  <si>
    <t>Rebut ok 18/03/2016</t>
  </si>
  <si>
    <t>16 packs</t>
  </si>
  <si>
    <t>16 packs + 10 individuals</t>
  </si>
  <si>
    <t>570 (57p)</t>
  </si>
  <si>
    <t>Bosses individuals amb nansa 40x40x15 cm</t>
  </si>
  <si>
    <t xml:space="preserve">Paquet DIBA tindrà 3 packs complets + 90 bosses extres de mà individual. Les restants repartides per tres grups d'escoles
</t>
  </si>
  <si>
    <t>1180 (59p)</t>
  </si>
  <si>
    <t>Guants reutilitzables (parell) protecció</t>
  </si>
  <si>
    <t>Sobren 4 parells guants</t>
  </si>
  <si>
    <t>Rebut ok 15/03/2016</t>
  </si>
  <si>
    <t>Paquest ARC tindrà 1 pack complet + 20  bosses de mà individual extres.</t>
  </si>
  <si>
    <t>1 parell</t>
  </si>
  <si>
    <t>32 guants</t>
  </si>
  <si>
    <t>30 parelles (15 packs)</t>
  </si>
  <si>
    <t>500 parells</t>
  </si>
  <si>
    <t>Guants nitril Talla L - 1 ús (100 guant/c)</t>
  </si>
  <si>
    <t>Rebut ok 21/03/2016</t>
  </si>
  <si>
    <t>15 packs</t>
  </si>
  <si>
    <t xml:space="preserve">14 packs </t>
  </si>
  <si>
    <t>200 caixes</t>
  </si>
  <si>
    <t>Guants nitril Talla S - 1 ús (100 guant/c)</t>
  </si>
  <si>
    <t>Enviar ARC</t>
  </si>
  <si>
    <t>2  Packs</t>
  </si>
  <si>
    <t xml:space="preserve">2 packs </t>
  </si>
  <si>
    <t>50 caixes</t>
  </si>
  <si>
    <t>Gorres organitzador</t>
  </si>
  <si>
    <t xml:space="preserve">Rebut OK </t>
  </si>
  <si>
    <t>28 + 5</t>
  </si>
  <si>
    <t>5 caract</t>
  </si>
  <si>
    <t>2 armilles</t>
  </si>
  <si>
    <t>Sobren 8 rotuladors</t>
  </si>
  <si>
    <t>Rebut OK 10/03/2016</t>
  </si>
  <si>
    <t>30 packs</t>
  </si>
  <si>
    <t>20 retoladors</t>
  </si>
  <si>
    <t>36 retoladors (3*12)</t>
  </si>
  <si>
    <t>21 packs de 12</t>
  </si>
  <si>
    <t>Banderola/Pancarta 80*100</t>
  </si>
  <si>
    <t>48 (17 CAT i 31 AICA)</t>
  </si>
  <si>
    <t>48: 17 CAT + 31 AICA</t>
  </si>
  <si>
    <t>Poster recomanacions seguretat</t>
  </si>
  <si>
    <t>Balances</t>
  </si>
  <si>
    <t>3 balances</t>
  </si>
  <si>
    <t>2 magatzem</t>
  </si>
  <si>
    <t>Orgànica caracteritzacions</t>
  </si>
  <si>
    <t>227 packs</t>
  </si>
  <si>
    <t>18 packs</t>
  </si>
  <si>
    <t>6 packs</t>
  </si>
  <si>
    <t>Packs</t>
  </si>
  <si>
    <t>Paquet de ERQ</t>
  </si>
  <si>
    <t>magatzem</t>
  </si>
  <si>
    <t>Xapes petites</t>
  </si>
  <si>
    <t>Distribució 117 Packs</t>
  </si>
  <si>
    <t>Distribució 34 accions</t>
  </si>
  <si>
    <t>Potencial 27 packs</t>
  </si>
  <si>
    <t>Enviaments</t>
  </si>
  <si>
    <t>Paquet de ARC 2014</t>
  </si>
  <si>
    <t>Xapes mitjanes</t>
  </si>
  <si>
    <t>114 Accions</t>
  </si>
  <si>
    <t>6 Packs ECUD</t>
  </si>
  <si>
    <t>22 accions de nens</t>
  </si>
  <si>
    <t>Paquet de ARC 2015</t>
  </si>
  <si>
    <t>Despatx AV</t>
  </si>
  <si>
    <r>
      <t xml:space="preserve">17 ECUD (16 + 1 ERC) </t>
    </r>
    <r>
      <rPr>
        <sz val="11"/>
        <color theme="1"/>
        <rFont val="Calibri"/>
        <family val="2"/>
        <scheme val="minor"/>
      </rPr>
      <t>sense Armilles</t>
    </r>
  </si>
  <si>
    <t>Xapes grans</t>
  </si>
  <si>
    <t>1 ARC x auditoria</t>
  </si>
  <si>
    <t>28 Packs PTD</t>
  </si>
  <si>
    <t>Paquet de ARC 2016</t>
  </si>
  <si>
    <t>2 x nens</t>
  </si>
  <si>
    <t>1 DIBA - Consorci Miralpeix</t>
  </si>
  <si>
    <t>Paquet de CEC</t>
  </si>
  <si>
    <t>Enviat Miralpeix EWWR2016 25/09</t>
  </si>
  <si>
    <t xml:space="preserve">1 Extra? </t>
  </si>
  <si>
    <t>Disponible x 17 packs.</t>
  </si>
  <si>
    <t>46 Accions de nens</t>
  </si>
  <si>
    <t>Pack LCUE 2020</t>
  </si>
  <si>
    <t>Pack 2015 i 2016</t>
  </si>
  <si>
    <t xml:space="preserve">Altre Material Magatzem </t>
  </si>
  <si>
    <t>+IVA</t>
  </si>
  <si>
    <t>1 banderola indicació kg recollits</t>
  </si>
  <si>
    <t>1 retolador no permanent</t>
  </si>
  <si>
    <t>Gots Campanya Envàs</t>
  </si>
  <si>
    <t>48 gots (8 caixes * 6)</t>
  </si>
  <si>
    <t>total Cost</t>
  </si>
  <si>
    <t>5 parells de guants reutilitzables</t>
  </si>
  <si>
    <t>Banderes + suports</t>
  </si>
  <si>
    <t>1 LIFE + 1 ESP</t>
  </si>
  <si>
    <t>20 bosses individuals amb nansa (1 bossa conté 19)</t>
  </si>
  <si>
    <t>Banderes tela EWWR</t>
  </si>
  <si>
    <t xml:space="preserve">4 Tela x penjar fil pescar </t>
  </si>
  <si>
    <t>1 Pòster recomanacions de seguretat (format A3)</t>
  </si>
  <si>
    <t>Roll ups</t>
  </si>
  <si>
    <t xml:space="preserve">30 (21 magatzem i 9 dalt) </t>
  </si>
  <si>
    <t>10 sacs grans per indicar tipologia de residu (1 sac conté 9)</t>
  </si>
  <si>
    <t>Ecommerç</t>
  </si>
  <si>
    <t>19 Packs (22 adh Banc Aliments i 19 poster Prod.Immediat.)</t>
  </si>
  <si>
    <t>1 Carta Director, fitxa resultats i mesures correctives/preventives</t>
  </si>
  <si>
    <t>Caixa Taller Llibreta Reutilitzable.</t>
  </si>
  <si>
    <t>Concepto</t>
  </si>
  <si>
    <t>Unitats inicials 200 accions</t>
  </si>
  <si>
    <t>Coste inicial previst (+IVA) 200 unitats</t>
  </si>
  <si>
    <t>Unidades 150 acciones</t>
  </si>
  <si>
    <t>Coste final 
150 Unidades</t>
  </si>
  <si>
    <t>Pagament 2015</t>
  </si>
  <si>
    <t>Asistencia tecnica evaluación y seguimiento de actuaciones, distribución packs y 5 caracterizaciones</t>
  </si>
  <si>
    <t>TÉCNICA</t>
  </si>
  <si>
    <t>50% PAISAJE LIMPIO
50% ECOVIDRIO</t>
  </si>
  <si>
    <t>5150 €
5150 €</t>
  </si>
  <si>
    <t>Caracterizaciones</t>
  </si>
  <si>
    <t>Distribución 200 packs</t>
  </si>
  <si>
    <t>Seguro de las acciones</t>
  </si>
  <si>
    <t>No cubierto</t>
  </si>
  <si>
    <t>Subtotal Asistencia Técnica</t>
  </si>
  <si>
    <t>Difusión en medios de comunicación</t>
  </si>
  <si>
    <t>DIFUSIÓN</t>
  </si>
  <si>
    <t>20% ECOVIDRIO
80% ECOEMBES</t>
  </si>
  <si>
    <t>1850 €
12100 €</t>
  </si>
  <si>
    <t>Subtotal Asistencia Difusión</t>
  </si>
  <si>
    <t>Produccions Zeba</t>
  </si>
  <si>
    <t>4 Filmación</t>
  </si>
  <si>
    <t>MATERIAL</t>
  </si>
  <si>
    <t>3 + 1</t>
  </si>
  <si>
    <t>Subtotal Asistencia Filmación</t>
  </si>
  <si>
    <t>20 bolsas grandes con etiquetas de recogida selectiva</t>
  </si>
  <si>
    <t xml:space="preserve">20 Bolsas individuales con asa rafia reutilizables </t>
  </si>
  <si>
    <t>2 Guantes protectores Organizadores (reutilizables)</t>
  </si>
  <si>
    <t>100 Guantes protectores participantes 
(un solo uso)</t>
  </si>
  <si>
    <t>Office depot (comanda via Miquel però indicar que emetre la factura a un altre)</t>
  </si>
  <si>
    <t>2 Rotuladores</t>
  </si>
  <si>
    <t>1 Roll up</t>
  </si>
  <si>
    <t>1 Bandera</t>
  </si>
  <si>
    <t>Subtotal Asistencia Material</t>
  </si>
  <si>
    <t>Annex 1 del Plec Tècnic: Pressupost per la contractació d'assegurances del Let's Clean Up Europe!</t>
  </si>
  <si>
    <t>Expedient: ARC 2026 330</t>
  </si>
  <si>
    <t>Preu unitari</t>
  </si>
  <si>
    <t>IVA</t>
  </si>
  <si>
    <t>Preu (Iva inclòs)</t>
  </si>
  <si>
    <t>Assegurança individual</t>
  </si>
  <si>
    <t>Desglossament del Pressupost:</t>
  </si>
  <si>
    <t>N º grup detall del grup:</t>
  </si>
  <si>
    <t>Activitat: Voluntariat Let's Clean Up Europe</t>
  </si>
  <si>
    <t>Garanties i sumes assegurades per persona:</t>
  </si>
  <si>
    <t>Defunció accidental:  7000</t>
  </si>
  <si>
    <t>Invalidesa permanent segons barem, fins a: 12.000 €</t>
  </si>
  <si>
    <t>Despeses sanitàries: il·limitada, 12 mesos màxim.</t>
  </si>
  <si>
    <t>Primes anuals màximes.</t>
  </si>
  <si>
    <t xml:space="preserve">Prima neta per persona assegurada: €  </t>
  </si>
  <si>
    <t>* Exempció de l'IVA (art. 20.16ª llei de l'IVA: Aquest contracte està exempt d’IVA, de conformitat amb l’article 20 punt 16 de la Llei 37/1992, de 28 de desembre, de l’Impost sobre el Valor Afegit. A tots els efectes, s’entén que les ofertes presentades pels licitadors comprenen no només el preu del contracte sinó també les despeses de gestió interna de l’assegurador i tots els recàrrecs (com el del Consorci de Compensació d’Assegurances), impostos legalment repercutibles i tributs que fossin d’aplicació.) </t>
  </si>
  <si>
    <t>No aplica*</t>
  </si>
  <si>
    <t>Numero de persones assegurades:</t>
  </si>
  <si>
    <t>(preu unitari)</t>
  </si>
  <si>
    <t>(Resultat de multiplicar el nº persones, pel preu unitari per persona)</t>
  </si>
  <si>
    <t xml:space="preserve">Prima neta del grup: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</si>
</sst>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&quot;€&quot;"/>
    <numFmt numFmtId="166" formatCode="#,##0.0\ &quot;€&quot;"/>
    <numFmt numFmtId="167" formatCode="_-* #,##0.00\ [$€-403]_-;\-* #,##0.00\ [$€-403]_-;_-* &quot;-&quot;??\ [$€-403]_-;_-@_-"/>
    <numFmt numFmtId="168" formatCode="_-* #,##0\ _€_-;\-* #,##0\ _€_-;_-* &quot;-&quot;??\ _€_-;_-@_-"/>
    <numFmt numFmtId="169" formatCode="#,##0\ &quot;€&quot;"/>
  </numFmts>
  <fonts count="54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sz val="10"/>
      <color rgb="FF000000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b/>
      <sz val="12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u/>
      <sz val="1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8"/>
      <color rgb="FFFF000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color rgb="FFFFFFFF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sz val="8"/>
      <color rgb="FF000000"/>
      <name val="Calibri"/>
      <family val="2"/>
    </font>
    <font>
      <b/>
      <sz val="8"/>
      <color theme="0" tint="-0.499984740745262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sz val="8"/>
      <color theme="0" tint="-0.249977111117893"/>
      <name val="Calibri"/>
      <family val="2"/>
    </font>
    <font>
      <strike/>
      <sz val="11"/>
      <color rgb="FFFF0000"/>
      <name val="Calibri"/>
      <family val="2"/>
      <scheme val="minor"/>
    </font>
    <font>
      <sz val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0" tint="-0.499984740745262"/>
      <name val="Calibri"/>
      <family val="2"/>
      <scheme val="minor"/>
    </font>
    <font>
      <strike/>
      <sz val="1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8"/>
      <name val="Calibri"/>
      <family val="2"/>
    </font>
    <font>
      <b/>
      <sz val="11"/>
      <color theme="1"/>
      <name val="Calibri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9BBB5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52">
    <border>
      <left/>
      <right/>
      <top/>
      <bottom/>
      <diagonal/>
    </border>
    <border>
      <left style="medium">
        <color rgb="FF9BBB59"/>
      </left>
      <right/>
      <top style="medium">
        <color rgb="FF9BBB59"/>
      </top>
      <bottom/>
      <diagonal/>
    </border>
    <border>
      <left/>
      <right/>
      <top style="medium">
        <color rgb="FF9BBB59"/>
      </top>
      <bottom/>
      <diagonal/>
    </border>
    <border>
      <left/>
      <right/>
      <top style="medium">
        <color rgb="FF9BBB59"/>
      </top>
      <bottom style="medium">
        <color rgb="FF9BBB59"/>
      </bottom>
      <diagonal/>
    </border>
    <border>
      <left/>
      <right/>
      <top/>
      <bottom style="medium">
        <color rgb="FF9BBB59"/>
      </bottom>
      <diagonal/>
    </border>
    <border>
      <left style="medium">
        <color rgb="FF9BBB59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6" tint="0.39997558519241921"/>
      </left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92D050"/>
      </top>
      <bottom style="medium">
        <color rgb="FF92D050"/>
      </bottom>
      <diagonal/>
    </border>
    <border>
      <left/>
      <right/>
      <top/>
      <bottom style="medium">
        <color rgb="FF92D050"/>
      </bottom>
      <diagonal/>
    </border>
    <border>
      <left/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/>
      <right style="medium">
        <color rgb="FF92D050"/>
      </right>
      <top/>
      <bottom style="medium">
        <color rgb="FF92D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9" tint="0.59999389629810485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9BBB59"/>
      </left>
      <right/>
      <top style="medium">
        <color rgb="FF9BBB59"/>
      </top>
      <bottom style="medium">
        <color rgb="FF92D050"/>
      </bottom>
      <diagonal/>
    </border>
    <border>
      <left/>
      <right/>
      <top style="medium">
        <color rgb="FF9BBB59"/>
      </top>
      <bottom style="medium">
        <color rgb="FF92D050"/>
      </bottom>
      <diagonal/>
    </border>
    <border>
      <left/>
      <right style="medium">
        <color rgb="FF9BBB59"/>
      </right>
      <top style="medium">
        <color rgb="FF9BBB59"/>
      </top>
      <bottom style="medium">
        <color rgb="FF92D050"/>
      </bottom>
      <diagonal/>
    </border>
    <border>
      <left style="medium">
        <color rgb="FF9BBB59"/>
      </left>
      <right/>
      <top/>
      <bottom style="medium">
        <color rgb="FF92D050"/>
      </bottom>
      <diagonal/>
    </border>
    <border>
      <left style="medium">
        <color rgb="FF9BBB59"/>
      </left>
      <right/>
      <top style="medium">
        <color rgb="FF92D050"/>
      </top>
      <bottom style="medium">
        <color rgb="FF92D050"/>
      </bottom>
      <diagonal/>
    </border>
  </borders>
  <cellStyleXfs count="11">
    <xf numFmtId="0" fontId="0" fillId="0" borderId="0"/>
    <xf numFmtId="0" fontId="11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24" fillId="0" borderId="0"/>
    <xf numFmtId="164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0" fontId="24" fillId="0" borderId="0"/>
    <xf numFmtId="164" fontId="19" fillId="0" borderId="0" applyFont="0" applyFill="0" applyBorder="0" applyAlignment="0" applyProtection="0"/>
    <xf numFmtId="0" fontId="24" fillId="0" borderId="0"/>
  </cellStyleXfs>
  <cellXfs count="4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6" fontId="2" fillId="0" borderId="4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6" fontId="16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6" fontId="2" fillId="0" borderId="0" xfId="0" applyNumberFormat="1" applyFont="1" applyAlignment="1">
      <alignment horizontal="center" vertical="center" wrapText="1"/>
    </xf>
    <xf numFmtId="6" fontId="16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/>
    </xf>
    <xf numFmtId="0" fontId="15" fillId="6" borderId="21" xfId="0" applyFont="1" applyFill="1" applyBorder="1" applyAlignment="1">
      <alignment horizontal="center" vertical="center"/>
    </xf>
    <xf numFmtId="6" fontId="15" fillId="6" borderId="2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6" fontId="1" fillId="2" borderId="0" xfId="0" applyNumberFormat="1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/>
    </xf>
    <xf numFmtId="165" fontId="10" fillId="0" borderId="7" xfId="0" applyNumberFormat="1" applyFont="1" applyBorder="1" applyAlignment="1">
      <alignment horizontal="center" vertical="center" wrapText="1"/>
    </xf>
    <xf numFmtId="6" fontId="16" fillId="0" borderId="4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1" fillId="0" borderId="7" xfId="1" applyFill="1" applyBorder="1" applyAlignment="1">
      <alignment horizontal="center" vertical="top" wrapText="1"/>
    </xf>
    <xf numFmtId="0" fontId="10" fillId="7" borderId="24" xfId="0" applyFont="1" applyFill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10" fillId="9" borderId="7" xfId="0" applyFont="1" applyFill="1" applyBorder="1" applyAlignment="1">
      <alignment horizontal="center" vertical="center" wrapText="1"/>
    </xf>
    <xf numFmtId="0" fontId="10" fillId="7" borderId="16" xfId="0" applyFont="1" applyFill="1" applyBorder="1" applyAlignment="1">
      <alignment horizontal="center" vertical="center" wrapText="1"/>
    </xf>
    <xf numFmtId="0" fontId="22" fillId="0" borderId="0" xfId="0" applyFont="1"/>
    <xf numFmtId="0" fontId="20" fillId="0" borderId="0" xfId="0" applyFont="1"/>
    <xf numFmtId="0" fontId="20" fillId="0" borderId="0" xfId="0" applyFont="1" applyAlignment="1">
      <alignment horizontal="center" vertical="center"/>
    </xf>
    <xf numFmtId="14" fontId="20" fillId="0" borderId="0" xfId="0" applyNumberFormat="1" applyFont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11" borderId="25" xfId="0" applyFill="1" applyBorder="1" applyAlignment="1">
      <alignment horizontal="center" vertical="center"/>
    </xf>
    <xf numFmtId="0" fontId="20" fillId="7" borderId="0" xfId="0" applyFont="1" applyFill="1" applyAlignment="1">
      <alignment horizontal="center" vertical="center"/>
    </xf>
    <xf numFmtId="14" fontId="20" fillId="6" borderId="0" xfId="0" applyNumberFormat="1" applyFont="1" applyFill="1" applyAlignment="1">
      <alignment horizontal="center" vertical="center"/>
    </xf>
    <xf numFmtId="0" fontId="20" fillId="13" borderId="0" xfId="0" applyFont="1" applyFill="1" applyAlignment="1">
      <alignment horizontal="center" vertical="center"/>
    </xf>
    <xf numFmtId="0" fontId="20" fillId="4" borderId="0" xfId="0" applyFont="1" applyFill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/>
    </xf>
    <xf numFmtId="0" fontId="10" fillId="12" borderId="1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12" borderId="9" xfId="0" applyFill="1" applyBorder="1" applyAlignment="1">
      <alignment horizontal="center" vertical="center"/>
    </xf>
    <xf numFmtId="0" fontId="20" fillId="14" borderId="0" xfId="0" applyFont="1" applyFill="1" applyAlignment="1">
      <alignment horizontal="center" vertical="center"/>
    </xf>
    <xf numFmtId="0" fontId="0" fillId="11" borderId="30" xfId="0" applyFill="1" applyBorder="1" applyAlignment="1">
      <alignment horizontal="center" vertical="center"/>
    </xf>
    <xf numFmtId="0" fontId="10" fillId="14" borderId="24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9" fontId="0" fillId="0" borderId="7" xfId="2" applyFont="1" applyBorder="1" applyAlignment="1">
      <alignment horizontal="center" vertical="center"/>
    </xf>
    <xf numFmtId="9" fontId="0" fillId="15" borderId="7" xfId="2" applyFont="1" applyFill="1" applyBorder="1" applyAlignment="1">
      <alignment horizontal="center" vertical="center"/>
    </xf>
    <xf numFmtId="0" fontId="18" fillId="0" borderId="26" xfId="0" applyFont="1" applyBorder="1" applyAlignment="1">
      <alignment horizontal="left" vertical="center" indent="1"/>
    </xf>
    <xf numFmtId="0" fontId="17" fillId="0" borderId="26" xfId="0" applyFont="1" applyBorder="1" applyAlignment="1">
      <alignment horizontal="left" vertical="center" indent="1"/>
    </xf>
    <xf numFmtId="0" fontId="10" fillId="16" borderId="12" xfId="0" applyFont="1" applyFill="1" applyBorder="1" applyAlignment="1">
      <alignment horizontal="center" vertical="center" wrapText="1"/>
    </xf>
    <xf numFmtId="0" fontId="10" fillId="16" borderId="7" xfId="0" applyFont="1" applyFill="1" applyBorder="1" applyAlignment="1">
      <alignment horizontal="center" vertical="center" wrapText="1"/>
    </xf>
    <xf numFmtId="165" fontId="10" fillId="16" borderId="7" xfId="0" applyNumberFormat="1" applyFont="1" applyFill="1" applyBorder="1" applyAlignment="1">
      <alignment horizontal="center" vertical="center" wrapText="1"/>
    </xf>
    <xf numFmtId="166" fontId="0" fillId="0" borderId="7" xfId="0" applyNumberFormat="1" applyBorder="1" applyAlignment="1">
      <alignment horizontal="center" vertical="center"/>
    </xf>
    <xf numFmtId="166" fontId="10" fillId="0" borderId="7" xfId="0" applyNumberFormat="1" applyFont="1" applyBorder="1" applyAlignment="1">
      <alignment horizontal="center" vertical="center" wrapText="1"/>
    </xf>
    <xf numFmtId="166" fontId="10" fillId="0" borderId="12" xfId="0" applyNumberFormat="1" applyFont="1" applyBorder="1" applyAlignment="1">
      <alignment horizontal="center" vertical="center" wrapText="1"/>
    </xf>
    <xf numFmtId="166" fontId="13" fillId="0" borderId="16" xfId="0" applyNumberFormat="1" applyFont="1" applyBorder="1" applyAlignment="1">
      <alignment horizontal="center" vertical="center"/>
    </xf>
    <xf numFmtId="165" fontId="10" fillId="0" borderId="7" xfId="0" applyNumberFormat="1" applyFont="1" applyBorder="1" applyAlignment="1">
      <alignment horizontal="center" vertical="top" wrapText="1"/>
    </xf>
    <xf numFmtId="0" fontId="0" fillId="7" borderId="9" xfId="0" applyFill="1" applyBorder="1" applyAlignment="1">
      <alignment horizontal="center" vertical="center"/>
    </xf>
    <xf numFmtId="0" fontId="27" fillId="0" borderId="26" xfId="0" applyFont="1" applyBorder="1" applyAlignment="1">
      <alignment vertical="top"/>
    </xf>
    <xf numFmtId="0" fontId="6" fillId="7" borderId="9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0" fontId="0" fillId="15" borderId="0" xfId="0" applyFill="1"/>
    <xf numFmtId="0" fontId="27" fillId="0" borderId="26" xfId="0" applyFont="1" applyBorder="1" applyAlignment="1">
      <alignment vertical="top" wrapText="1"/>
    </xf>
    <xf numFmtId="0" fontId="6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0" fillId="17" borderId="8" xfId="0" applyFont="1" applyFill="1" applyBorder="1" applyAlignment="1">
      <alignment horizontal="left" indent="1"/>
    </xf>
    <xf numFmtId="0" fontId="0" fillId="17" borderId="30" xfId="0" applyFill="1" applyBorder="1" applyAlignment="1">
      <alignment horizontal="center" vertical="center"/>
    </xf>
    <xf numFmtId="0" fontId="0" fillId="17" borderId="25" xfId="0" applyFill="1" applyBorder="1" applyAlignment="1">
      <alignment horizontal="center" vertical="center"/>
    </xf>
    <xf numFmtId="14" fontId="20" fillId="0" borderId="0" xfId="0" applyNumberFormat="1" applyFont="1"/>
    <xf numFmtId="0" fontId="20" fillId="18" borderId="0" xfId="0" applyFont="1" applyFill="1"/>
    <xf numFmtId="0" fontId="20" fillId="4" borderId="0" xfId="0" applyFont="1" applyFill="1" applyAlignment="1">
      <alignment horizontal="left" vertical="center"/>
    </xf>
    <xf numFmtId="0" fontId="10" fillId="7" borderId="9" xfId="0" applyFont="1" applyFill="1" applyBorder="1" applyAlignment="1">
      <alignment horizontal="center" vertical="center"/>
    </xf>
    <xf numFmtId="0" fontId="0" fillId="0" borderId="7" xfId="0" applyBorder="1"/>
    <xf numFmtId="166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/>
    </xf>
    <xf numFmtId="165" fontId="10" fillId="0" borderId="0" xfId="0" applyNumberFormat="1" applyFont="1" applyAlignment="1">
      <alignment horizontal="center" vertical="top" wrapText="1"/>
    </xf>
    <xf numFmtId="6" fontId="22" fillId="0" borderId="0" xfId="0" applyNumberFormat="1" applyFont="1" applyAlignment="1">
      <alignment horizontal="center" vertical="center" wrapText="1"/>
    </xf>
    <xf numFmtId="0" fontId="29" fillId="10" borderId="0" xfId="0" applyFont="1" applyFill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6" fontId="28" fillId="0" borderId="4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6" fontId="29" fillId="0" borderId="0" xfId="0" applyNumberFormat="1" applyFont="1" applyAlignment="1">
      <alignment horizontal="center" vertical="center" wrapText="1"/>
    </xf>
    <xf numFmtId="0" fontId="30" fillId="2" borderId="2" xfId="0" applyFont="1" applyFill="1" applyBorder="1" applyAlignment="1">
      <alignment horizontal="right" vertical="center"/>
    </xf>
    <xf numFmtId="0" fontId="33" fillId="2" borderId="2" xfId="0" applyFont="1" applyFill="1" applyBorder="1" applyAlignment="1">
      <alignment vertical="center"/>
    </xf>
    <xf numFmtId="6" fontId="30" fillId="2" borderId="2" xfId="0" applyNumberFormat="1" applyFont="1" applyFill="1" applyBorder="1" applyAlignment="1">
      <alignment horizontal="center" vertical="center"/>
    </xf>
    <xf numFmtId="6" fontId="30" fillId="2" borderId="2" xfId="0" applyNumberFormat="1" applyFont="1" applyFill="1" applyBorder="1" applyAlignment="1">
      <alignment horizontal="center" vertical="center" wrapText="1"/>
    </xf>
    <xf numFmtId="0" fontId="32" fillId="0" borderId="0" xfId="1" applyFont="1" applyAlignment="1">
      <alignment vertical="center"/>
    </xf>
    <xf numFmtId="0" fontId="32" fillId="0" borderId="0" xfId="1" applyFont="1" applyAlignment="1">
      <alignment horizontal="left" vertical="center"/>
    </xf>
    <xf numFmtId="6" fontId="22" fillId="0" borderId="0" xfId="0" applyNumberFormat="1" applyFont="1"/>
    <xf numFmtId="0" fontId="30" fillId="2" borderId="5" xfId="0" applyFont="1" applyFill="1" applyBorder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6" fontId="30" fillId="2" borderId="0" xfId="0" applyNumberFormat="1" applyFont="1" applyFill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6" fontId="29" fillId="0" borderId="4" xfId="0" applyNumberFormat="1" applyFont="1" applyBorder="1" applyAlignment="1">
      <alignment horizontal="center" vertical="center" wrapText="1"/>
    </xf>
    <xf numFmtId="166" fontId="0" fillId="20" borderId="6" xfId="0" applyNumberFormat="1" applyFill="1" applyBorder="1" applyAlignment="1">
      <alignment horizontal="center" vertical="center"/>
    </xf>
    <xf numFmtId="166" fontId="0" fillId="20" borderId="7" xfId="0" applyNumberFormat="1" applyFill="1" applyBorder="1" applyAlignment="1">
      <alignment horizontal="center" vertical="center"/>
    </xf>
    <xf numFmtId="6" fontId="31" fillId="0" borderId="3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9" xfId="0" applyFont="1" applyBorder="1" applyAlignment="1">
      <alignment wrapText="1"/>
    </xf>
    <xf numFmtId="0" fontId="20" fillId="0" borderId="0" xfId="0" applyFont="1" applyAlignment="1">
      <alignment horizontal="center" wrapText="1"/>
    </xf>
    <xf numFmtId="14" fontId="20" fillId="6" borderId="0" xfId="0" applyNumberFormat="1" applyFont="1" applyFill="1" applyAlignment="1">
      <alignment horizontal="center" vertical="center" wrapText="1"/>
    </xf>
    <xf numFmtId="0" fontId="10" fillId="0" borderId="0" xfId="0" applyFont="1"/>
    <xf numFmtId="0" fontId="20" fillId="11" borderId="0" xfId="0" applyFont="1" applyFill="1" applyAlignment="1">
      <alignment horizontal="center" vertical="center" wrapText="1"/>
    </xf>
    <xf numFmtId="0" fontId="31" fillId="0" borderId="0" xfId="0" applyFont="1"/>
    <xf numFmtId="6" fontId="31" fillId="0" borderId="0" xfId="0" applyNumberFormat="1" applyFont="1"/>
    <xf numFmtId="6" fontId="23" fillId="3" borderId="2" xfId="0" applyNumberFormat="1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/>
    </xf>
    <xf numFmtId="0" fontId="30" fillId="2" borderId="0" xfId="0" quotePrefix="1" applyFont="1" applyFill="1" applyAlignment="1">
      <alignment horizontal="center" vertical="center" wrapText="1"/>
    </xf>
    <xf numFmtId="6" fontId="35" fillId="0" borderId="35" xfId="0" applyNumberFormat="1" applyFont="1" applyBorder="1" applyAlignment="1">
      <alignment horizontal="center" vertical="center" wrapText="1"/>
    </xf>
    <xf numFmtId="0" fontId="28" fillId="0" borderId="0" xfId="0" applyFont="1"/>
    <xf numFmtId="0" fontId="34" fillId="0" borderId="0" xfId="0" applyFont="1"/>
    <xf numFmtId="6" fontId="36" fillId="2" borderId="0" xfId="0" applyNumberFormat="1" applyFont="1" applyFill="1" applyAlignment="1">
      <alignment horizontal="center" vertical="center" wrapText="1"/>
    </xf>
    <xf numFmtId="0" fontId="37" fillId="0" borderId="0" xfId="0" applyFont="1"/>
    <xf numFmtId="0" fontId="36" fillId="12" borderId="1" xfId="0" applyFont="1" applyFill="1" applyBorder="1" applyAlignment="1">
      <alignment horizontal="center" vertical="center" wrapText="1"/>
    </xf>
    <xf numFmtId="6" fontId="37" fillId="12" borderId="4" xfId="0" applyNumberFormat="1" applyFont="1" applyFill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6" fontId="34" fillId="12" borderId="4" xfId="0" applyNumberFormat="1" applyFont="1" applyFill="1" applyBorder="1" applyAlignment="1">
      <alignment horizontal="center" vertical="center" wrapText="1"/>
    </xf>
    <xf numFmtId="44" fontId="0" fillId="0" borderId="7" xfId="0" applyNumberForma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0" fillId="0" borderId="31" xfId="0" applyBorder="1"/>
    <xf numFmtId="0" fontId="0" fillId="0" borderId="31" xfId="0" applyBorder="1" applyAlignment="1">
      <alignment horizontal="center"/>
    </xf>
    <xf numFmtId="0" fontId="0" fillId="0" borderId="31" xfId="0" applyBorder="1" applyAlignment="1">
      <alignment horizontal="center" vertical="center"/>
    </xf>
    <xf numFmtId="0" fontId="10" fillId="0" borderId="37" xfId="0" applyFont="1" applyBorder="1" applyAlignment="1">
      <alignment horizontal="center" vertical="center" wrapText="1"/>
    </xf>
    <xf numFmtId="166" fontId="13" fillId="0" borderId="0" xfId="0" applyNumberFormat="1" applyFont="1" applyAlignment="1">
      <alignment horizontal="center" vertical="center"/>
    </xf>
    <xf numFmtId="0" fontId="10" fillId="14" borderId="16" xfId="0" applyFont="1" applyFill="1" applyBorder="1" applyAlignment="1">
      <alignment horizontal="center" vertical="center" wrapText="1"/>
    </xf>
    <xf numFmtId="0" fontId="10" fillId="18" borderId="16" xfId="0" applyFont="1" applyFill="1" applyBorder="1" applyAlignment="1">
      <alignment horizontal="center" vertical="center" wrapText="1"/>
    </xf>
    <xf numFmtId="0" fontId="10" fillId="18" borderId="24" xfId="0" applyFont="1" applyFill="1" applyBorder="1" applyAlignment="1">
      <alignment horizontal="center" vertical="center" wrapText="1"/>
    </xf>
    <xf numFmtId="14" fontId="20" fillId="6" borderId="7" xfId="0" applyNumberFormat="1" applyFont="1" applyFill="1" applyBorder="1" applyAlignment="1">
      <alignment horizontal="center" vertical="center" wrapText="1"/>
    </xf>
    <xf numFmtId="0" fontId="0" fillId="12" borderId="7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6" fontId="38" fillId="0" borderId="7" xfId="0" applyNumberFormat="1" applyFont="1" applyBorder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6" fontId="37" fillId="12" borderId="0" xfId="0" applyNumberFormat="1" applyFont="1" applyFill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5" fontId="10" fillId="0" borderId="22" xfId="0" applyNumberFormat="1" applyFont="1" applyBorder="1" applyAlignment="1">
      <alignment horizontal="center" vertical="top" wrapText="1"/>
    </xf>
    <xf numFmtId="0" fontId="6" fillId="12" borderId="7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5" fontId="6" fillId="0" borderId="16" xfId="0" applyNumberFormat="1" applyFont="1" applyBorder="1" applyAlignment="1">
      <alignment horizontal="center" vertical="center" wrapText="1"/>
    </xf>
    <xf numFmtId="0" fontId="6" fillId="1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27" xfId="0" applyFont="1" applyBorder="1" applyAlignment="1">
      <alignment horizontal="center" vertical="center" wrapText="1"/>
    </xf>
    <xf numFmtId="166" fontId="6" fillId="0" borderId="6" xfId="0" applyNumberFormat="1" applyFont="1" applyBorder="1" applyAlignment="1">
      <alignment horizontal="center" vertical="center"/>
    </xf>
    <xf numFmtId="166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center" vertical="center"/>
    </xf>
    <xf numFmtId="0" fontId="20" fillId="4" borderId="9" xfId="0" applyFont="1" applyFill="1" applyBorder="1" applyAlignment="1">
      <alignment horizontal="center" vertical="center"/>
    </xf>
    <xf numFmtId="0" fontId="20" fillId="12" borderId="9" xfId="0" applyFont="1" applyFill="1" applyBorder="1" applyAlignment="1">
      <alignment horizontal="center" vertical="center"/>
    </xf>
    <xf numFmtId="44" fontId="10" fillId="0" borderId="12" xfId="0" applyNumberFormat="1" applyFont="1" applyBorder="1" applyAlignment="1">
      <alignment horizontal="center" vertical="center" wrapText="1"/>
    </xf>
    <xf numFmtId="44" fontId="0" fillId="0" borderId="0" xfId="0" applyNumberFormat="1"/>
    <xf numFmtId="0" fontId="39" fillId="0" borderId="4" xfId="0" applyFont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/>
    </xf>
    <xf numFmtId="6" fontId="39" fillId="0" borderId="4" xfId="0" applyNumberFormat="1" applyFont="1" applyBorder="1" applyAlignment="1">
      <alignment horizontal="center" vertical="center" wrapText="1"/>
    </xf>
    <xf numFmtId="0" fontId="39" fillId="0" borderId="0" xfId="0" applyFont="1"/>
    <xf numFmtId="0" fontId="40" fillId="0" borderId="4" xfId="0" applyFont="1" applyBorder="1" applyAlignment="1">
      <alignment horizontal="center" vertical="center" wrapText="1"/>
    </xf>
    <xf numFmtId="6" fontId="40" fillId="12" borderId="4" xfId="0" applyNumberFormat="1" applyFont="1" applyFill="1" applyBorder="1" applyAlignment="1">
      <alignment horizontal="center" vertical="center" wrapText="1"/>
    </xf>
    <xf numFmtId="0" fontId="40" fillId="0" borderId="0" xfId="0" applyFont="1"/>
    <xf numFmtId="0" fontId="39" fillId="0" borderId="3" xfId="0" applyFont="1" applyBorder="1" applyAlignment="1">
      <alignment horizontal="center" vertical="center"/>
    </xf>
    <xf numFmtId="6" fontId="39" fillId="0" borderId="3" xfId="0" applyNumberFormat="1" applyFont="1" applyBorder="1" applyAlignment="1">
      <alignment horizontal="center" vertical="center" wrapText="1"/>
    </xf>
    <xf numFmtId="44" fontId="0" fillId="0" borderId="7" xfId="0" applyNumberFormat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7" xfId="0" quotePrefix="1" applyFill="1" applyBorder="1" applyAlignment="1">
      <alignment horizontal="center"/>
    </xf>
    <xf numFmtId="44" fontId="20" fillId="0" borderId="7" xfId="0" applyNumberFormat="1" applyFont="1" applyBorder="1" applyAlignment="1">
      <alignment vertical="center"/>
    </xf>
    <xf numFmtId="0" fontId="0" fillId="12" borderId="9" xfId="0" applyFill="1" applyBorder="1" applyAlignment="1">
      <alignment horizontal="left" vertical="center"/>
    </xf>
    <xf numFmtId="0" fontId="29" fillId="0" borderId="4" xfId="0" quotePrefix="1" applyFont="1" applyBorder="1" applyAlignment="1">
      <alignment horizontal="center" vertical="center" wrapText="1"/>
    </xf>
    <xf numFmtId="44" fontId="6" fillId="0" borderId="12" xfId="0" applyNumberFormat="1" applyFont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/>
    </xf>
    <xf numFmtId="166" fontId="6" fillId="20" borderId="7" xfId="0" applyNumberFormat="1" applyFont="1" applyFill="1" applyBorder="1" applyAlignment="1">
      <alignment horizontal="center" vertical="center"/>
    </xf>
    <xf numFmtId="0" fontId="42" fillId="0" borderId="7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44" fontId="42" fillId="0" borderId="12" xfId="0" applyNumberFormat="1" applyFont="1" applyBorder="1" applyAlignment="1">
      <alignment horizontal="center" vertical="center" wrapText="1"/>
    </xf>
    <xf numFmtId="14" fontId="20" fillId="7" borderId="0" xfId="0" applyNumberFormat="1" applyFont="1" applyFill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14" fontId="20" fillId="18" borderId="0" xfId="0" applyNumberFormat="1" applyFont="1" applyFill="1" applyAlignment="1">
      <alignment horizontal="center" vertical="center" wrapText="1"/>
    </xf>
    <xf numFmtId="0" fontId="20" fillId="18" borderId="0" xfId="0" applyFont="1" applyFill="1" applyAlignment="1">
      <alignment horizontal="center" vertical="center"/>
    </xf>
    <xf numFmtId="0" fontId="35" fillId="0" borderId="32" xfId="0" applyFont="1" applyBorder="1" applyAlignment="1">
      <alignment horizontal="center" vertical="center"/>
    </xf>
    <xf numFmtId="6" fontId="35" fillId="0" borderId="34" xfId="0" applyNumberFormat="1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/>
    </xf>
    <xf numFmtId="6" fontId="41" fillId="0" borderId="34" xfId="0" applyNumberFormat="1" applyFont="1" applyBorder="1" applyAlignment="1">
      <alignment horizontal="center" vertical="center" wrapText="1"/>
    </xf>
    <xf numFmtId="168" fontId="35" fillId="0" borderId="32" xfId="9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168" fontId="10" fillId="18" borderId="16" xfId="9" applyNumberFormat="1" applyFont="1" applyFill="1" applyBorder="1" applyAlignment="1">
      <alignment horizontal="center" vertical="center" wrapText="1"/>
    </xf>
    <xf numFmtId="168" fontId="6" fillId="0" borderId="7" xfId="9" applyNumberFormat="1" applyFont="1" applyBorder="1" applyAlignment="1">
      <alignment horizontal="center" vertical="center" wrapText="1"/>
    </xf>
    <xf numFmtId="168" fontId="42" fillId="0" borderId="7" xfId="9" applyNumberFormat="1" applyFont="1" applyBorder="1" applyAlignment="1">
      <alignment horizontal="center" vertical="center" wrapText="1"/>
    </xf>
    <xf numFmtId="168" fontId="6" fillId="0" borderId="7" xfId="9" applyNumberFormat="1" applyFont="1" applyBorder="1" applyAlignment="1">
      <alignment horizontal="center"/>
    </xf>
    <xf numFmtId="168" fontId="6" fillId="0" borderId="12" xfId="9" applyNumberFormat="1" applyFont="1" applyBorder="1" applyAlignment="1">
      <alignment horizontal="center" vertical="center" wrapText="1"/>
    </xf>
    <xf numFmtId="168" fontId="0" fillId="0" borderId="0" xfId="9" applyNumberFormat="1" applyFont="1" applyAlignment="1">
      <alignment horizontal="center"/>
    </xf>
    <xf numFmtId="0" fontId="43" fillId="0" borderId="32" xfId="0" applyFont="1" applyBorder="1" applyAlignment="1">
      <alignment horizontal="center" vertical="center" wrapText="1"/>
    </xf>
    <xf numFmtId="6" fontId="35" fillId="22" borderId="32" xfId="0" applyNumberFormat="1" applyFont="1" applyFill="1" applyBorder="1" applyAlignment="1">
      <alignment horizontal="center" vertical="center" wrapText="1"/>
    </xf>
    <xf numFmtId="0" fontId="20" fillId="11" borderId="8" xfId="0" applyFont="1" applyFill="1" applyBorder="1" applyAlignment="1">
      <alignment horizontal="center"/>
    </xf>
    <xf numFmtId="0" fontId="20" fillId="11" borderId="25" xfId="0" applyFont="1" applyFill="1" applyBorder="1" applyAlignment="1">
      <alignment horizontal="center"/>
    </xf>
    <xf numFmtId="0" fontId="8" fillId="3" borderId="0" xfId="0" applyFont="1" applyFill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36" fillId="6" borderId="4" xfId="0" applyFont="1" applyFill="1" applyBorder="1" applyAlignment="1">
      <alignment vertical="center"/>
    </xf>
    <xf numFmtId="168" fontId="46" fillId="0" borderId="12" xfId="9" applyNumberFormat="1" applyFont="1" applyFill="1" applyBorder="1" applyAlignment="1">
      <alignment horizontal="center"/>
    </xf>
    <xf numFmtId="0" fontId="46" fillId="0" borderId="6" xfId="0" applyFont="1" applyBorder="1"/>
    <xf numFmtId="44" fontId="46" fillId="0" borderId="6" xfId="7" applyFont="1" applyFill="1" applyBorder="1"/>
    <xf numFmtId="0" fontId="46" fillId="0" borderId="42" xfId="0" applyFont="1" applyBorder="1"/>
    <xf numFmtId="0" fontId="46" fillId="0" borderId="43" xfId="0" applyFont="1" applyBorder="1"/>
    <xf numFmtId="0" fontId="46" fillId="0" borderId="12" xfId="0" applyFont="1" applyBorder="1"/>
    <xf numFmtId="44" fontId="46" fillId="0" borderId="12" xfId="7" applyFont="1" applyFill="1" applyBorder="1"/>
    <xf numFmtId="0" fontId="46" fillId="0" borderId="6" xfId="0" applyFont="1" applyBorder="1" applyAlignment="1">
      <alignment vertical="center"/>
    </xf>
    <xf numFmtId="44" fontId="46" fillId="0" borderId="12" xfId="7" applyFont="1" applyFill="1" applyBorder="1" applyAlignment="1">
      <alignment vertical="center"/>
    </xf>
    <xf numFmtId="8" fontId="46" fillId="0" borderId="12" xfId="0" applyNumberFormat="1" applyFont="1" applyBorder="1"/>
    <xf numFmtId="0" fontId="46" fillId="0" borderId="12" xfId="0" applyFont="1" applyBorder="1" applyAlignment="1">
      <alignment horizontal="center" vertical="center"/>
    </xf>
    <xf numFmtId="44" fontId="46" fillId="0" borderId="12" xfId="7" applyFont="1" applyFill="1" applyBorder="1" applyAlignment="1">
      <alignment horizontal="center" vertical="center"/>
    </xf>
    <xf numFmtId="168" fontId="46" fillId="0" borderId="42" xfId="9" applyNumberFormat="1" applyFont="1" applyFill="1" applyBorder="1" applyAlignment="1">
      <alignment horizontal="center"/>
    </xf>
    <xf numFmtId="0" fontId="46" fillId="0" borderId="43" xfId="0" applyFont="1" applyBorder="1" applyAlignment="1">
      <alignment horizontal="center" vertical="center"/>
    </xf>
    <xf numFmtId="168" fontId="46" fillId="0" borderId="6" xfId="9" applyNumberFormat="1" applyFont="1" applyFill="1" applyBorder="1" applyAlignment="1">
      <alignment horizontal="center"/>
    </xf>
    <xf numFmtId="168" fontId="46" fillId="0" borderId="6" xfId="9" applyNumberFormat="1" applyFont="1" applyFill="1" applyBorder="1" applyAlignment="1">
      <alignment horizontal="center" vertical="center"/>
    </xf>
    <xf numFmtId="0" fontId="46" fillId="0" borderId="4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44" fontId="46" fillId="0" borderId="9" xfId="7" applyFont="1" applyFill="1" applyBorder="1" applyAlignment="1">
      <alignment horizontal="center" vertical="center"/>
    </xf>
    <xf numFmtId="0" fontId="0" fillId="0" borderId="16" xfId="0" applyBorder="1"/>
    <xf numFmtId="44" fontId="0" fillId="0" borderId="7" xfId="7" applyFont="1" applyFill="1" applyBorder="1"/>
    <xf numFmtId="44" fontId="10" fillId="0" borderId="7" xfId="7" applyFont="1" applyFill="1" applyBorder="1"/>
    <xf numFmtId="8" fontId="0" fillId="0" borderId="7" xfId="0" applyNumberFormat="1" applyBorder="1"/>
    <xf numFmtId="0" fontId="36" fillId="2" borderId="0" xfId="0" applyFont="1" applyFill="1" applyAlignment="1">
      <alignment horizontal="center" vertical="center" wrapText="1"/>
    </xf>
    <xf numFmtId="168" fontId="10" fillId="0" borderId="7" xfId="9" applyNumberFormat="1" applyFont="1" applyBorder="1" applyAlignment="1">
      <alignment horizontal="center" vertical="center" wrapText="1"/>
    </xf>
    <xf numFmtId="0" fontId="47" fillId="0" borderId="7" xfId="0" applyFont="1" applyBorder="1" applyAlignment="1">
      <alignment horizontal="center" vertical="center" wrapText="1"/>
    </xf>
    <xf numFmtId="168" fontId="47" fillId="0" borderId="7" xfId="9" applyNumberFormat="1" applyFont="1" applyBorder="1" applyAlignment="1">
      <alignment horizontal="center" vertical="center" wrapText="1"/>
    </xf>
    <xf numFmtId="0" fontId="47" fillId="0" borderId="12" xfId="0" applyFont="1" applyBorder="1" applyAlignment="1">
      <alignment horizontal="center" vertical="center" wrapText="1"/>
    </xf>
    <xf numFmtId="168" fontId="10" fillId="0" borderId="7" xfId="9" applyNumberFormat="1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168" fontId="10" fillId="0" borderId="12" xfId="9" applyNumberFormat="1" applyFont="1" applyBorder="1" applyAlignment="1">
      <alignment horizontal="center" vertical="center" wrapText="1"/>
    </xf>
    <xf numFmtId="166" fontId="10" fillId="0" borderId="7" xfId="0" applyNumberFormat="1" applyFont="1" applyBorder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44" fontId="10" fillId="0" borderId="0" xfId="0" applyNumberFormat="1" applyFont="1"/>
    <xf numFmtId="0" fontId="10" fillId="0" borderId="11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0" fillId="0" borderId="37" xfId="0" applyBorder="1"/>
    <xf numFmtId="168" fontId="0" fillId="0" borderId="0" xfId="9" applyNumberFormat="1" applyFont="1" applyFill="1" applyAlignment="1">
      <alignment horizontal="center"/>
    </xf>
    <xf numFmtId="0" fontId="0" fillId="0" borderId="28" xfId="0" applyBorder="1"/>
    <xf numFmtId="0" fontId="0" fillId="0" borderId="0" xfId="0" applyAlignment="1">
      <alignment vertical="top"/>
    </xf>
    <xf numFmtId="0" fontId="10" fillId="0" borderId="14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166" fontId="0" fillId="0" borderId="16" xfId="0" applyNumberFormat="1" applyBorder="1" applyAlignment="1">
      <alignment horizontal="center" vertical="center"/>
    </xf>
    <xf numFmtId="0" fontId="11" fillId="0" borderId="16" xfId="1" applyFill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14" fontId="0" fillId="0" borderId="16" xfId="0" applyNumberFormat="1" applyBorder="1" applyAlignment="1">
      <alignment horizontal="center" vertical="top" wrapText="1"/>
    </xf>
    <xf numFmtId="0" fontId="0" fillId="0" borderId="39" xfId="0" applyBorder="1" applyAlignment="1">
      <alignment horizontal="center" vertical="top" wrapText="1"/>
    </xf>
    <xf numFmtId="0" fontId="0" fillId="0" borderId="6" xfId="0" applyBorder="1"/>
    <xf numFmtId="0" fontId="10" fillId="0" borderId="12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14" fontId="0" fillId="0" borderId="7" xfId="0" applyNumberForma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26" fillId="0" borderId="7" xfId="1" applyFont="1" applyFill="1" applyBorder="1" applyAlignment="1">
      <alignment horizontal="center" vertical="top" wrapText="1"/>
    </xf>
    <xf numFmtId="14" fontId="10" fillId="0" borderId="7" xfId="0" applyNumberFormat="1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22" fillId="0" borderId="7" xfId="0" applyFont="1" applyBorder="1" applyAlignment="1">
      <alignment vertical="center" wrapText="1"/>
    </xf>
    <xf numFmtId="44" fontId="0" fillId="0" borderId="7" xfId="0" applyNumberFormat="1" applyBorder="1"/>
    <xf numFmtId="0" fontId="12" fillId="0" borderId="0" xfId="0" applyFont="1" applyAlignment="1">
      <alignment horizontal="center" vertical="top"/>
    </xf>
    <xf numFmtId="0" fontId="6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vertical="center"/>
    </xf>
    <xf numFmtId="0" fontId="11" fillId="0" borderId="7" xfId="1" applyFill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4" fontId="0" fillId="0" borderId="7" xfId="7" applyFont="1" applyFill="1" applyBorder="1" applyAlignment="1">
      <alignment vertical="center"/>
    </xf>
    <xf numFmtId="0" fontId="10" fillId="0" borderId="25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165" fontId="10" fillId="0" borderId="22" xfId="0" applyNumberFormat="1" applyFont="1" applyBorder="1" applyAlignment="1">
      <alignment horizontal="center" vertical="center" wrapText="1"/>
    </xf>
    <xf numFmtId="0" fontId="11" fillId="0" borderId="22" xfId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5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10" fillId="0" borderId="22" xfId="0" applyFont="1" applyBorder="1" applyAlignment="1">
      <alignment horizontal="center" vertical="top" wrapText="1"/>
    </xf>
    <xf numFmtId="14" fontId="0" fillId="0" borderId="22" xfId="0" applyNumberFormat="1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14" fontId="0" fillId="0" borderId="0" xfId="0" applyNumberFormat="1" applyAlignment="1">
      <alignment horizontal="center" vertical="top" wrapText="1"/>
    </xf>
    <xf numFmtId="0" fontId="20" fillId="0" borderId="17" xfId="0" applyFont="1" applyBorder="1"/>
    <xf numFmtId="0" fontId="18" fillId="0" borderId="18" xfId="0" applyFont="1" applyBorder="1" applyAlignment="1">
      <alignment vertical="center"/>
    </xf>
    <xf numFmtId="0" fontId="5" fillId="0" borderId="0" xfId="0" applyFont="1"/>
    <xf numFmtId="0" fontId="17" fillId="0" borderId="18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19" xfId="0" applyFont="1" applyBorder="1" applyAlignment="1">
      <alignment vertical="center"/>
    </xf>
    <xf numFmtId="0" fontId="18" fillId="0" borderId="20" xfId="0" applyFont="1" applyBorder="1" applyAlignment="1">
      <alignment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top"/>
    </xf>
    <xf numFmtId="44" fontId="10" fillId="0" borderId="12" xfId="0" applyNumberFormat="1" applyFont="1" applyBorder="1" applyAlignment="1">
      <alignment horizontal="left" vertical="center" wrapText="1"/>
    </xf>
    <xf numFmtId="0" fontId="22" fillId="0" borderId="7" xfId="0" applyFont="1" applyBorder="1" applyAlignment="1">
      <alignment vertical="top" wrapText="1"/>
    </xf>
    <xf numFmtId="0" fontId="10" fillId="5" borderId="46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168" fontId="10" fillId="0" borderId="16" xfId="9" applyNumberFormat="1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44" fontId="10" fillId="0" borderId="29" xfId="0" applyNumberFormat="1" applyFont="1" applyBorder="1" applyAlignment="1">
      <alignment horizontal="center" vertical="center" wrapText="1"/>
    </xf>
    <xf numFmtId="16" fontId="10" fillId="0" borderId="16" xfId="0" applyNumberFormat="1" applyFont="1" applyBorder="1" applyAlignment="1">
      <alignment horizontal="left" vertical="center"/>
    </xf>
    <xf numFmtId="0" fontId="10" fillId="18" borderId="36" xfId="0" applyFont="1" applyFill="1" applyBorder="1" applyAlignment="1">
      <alignment horizontal="center" vertical="center" wrapText="1"/>
    </xf>
    <xf numFmtId="168" fontId="10" fillId="18" borderId="36" xfId="9" applyNumberFormat="1" applyFont="1" applyFill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0" fontId="7" fillId="23" borderId="31" xfId="0" applyFont="1" applyFill="1" applyBorder="1" applyAlignment="1">
      <alignment horizontal="center" vertical="center"/>
    </xf>
    <xf numFmtId="0" fontId="8" fillId="23" borderId="9" xfId="0" applyFont="1" applyFill="1" applyBorder="1" applyAlignment="1">
      <alignment horizontal="center" vertical="center"/>
    </xf>
    <xf numFmtId="0" fontId="7" fillId="23" borderId="45" xfId="0" applyFont="1" applyFill="1" applyBorder="1" applyAlignment="1">
      <alignment horizontal="center" vertical="center"/>
    </xf>
    <xf numFmtId="168" fontId="46" fillId="0" borderId="29" xfId="9" applyNumberFormat="1" applyFont="1" applyFill="1" applyBorder="1" applyAlignment="1">
      <alignment horizontal="center"/>
    </xf>
    <xf numFmtId="0" fontId="7" fillId="23" borderId="20" xfId="0" applyFont="1" applyFill="1" applyBorder="1" applyAlignment="1">
      <alignment horizontal="center" vertical="center"/>
    </xf>
    <xf numFmtId="0" fontId="10" fillId="18" borderId="2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22" fillId="0" borderId="7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top" wrapText="1"/>
    </xf>
    <xf numFmtId="0" fontId="10" fillId="0" borderId="46" xfId="0" applyFont="1" applyBorder="1" applyAlignment="1">
      <alignment horizontal="center" vertical="center" wrapText="1"/>
    </xf>
    <xf numFmtId="14" fontId="0" fillId="0" borderId="22" xfId="0" applyNumberForma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1" fontId="41" fillId="0" borderId="32" xfId="0" applyNumberFormat="1" applyFont="1" applyBorder="1" applyAlignment="1">
      <alignment horizontal="center" vertical="center" wrapText="1"/>
    </xf>
    <xf numFmtId="0" fontId="43" fillId="0" borderId="32" xfId="0" applyFont="1" applyBorder="1" applyAlignment="1">
      <alignment horizontal="center" vertical="center"/>
    </xf>
    <xf numFmtId="169" fontId="43" fillId="0" borderId="33" xfId="0" applyNumberFormat="1" applyFont="1" applyBorder="1" applyAlignment="1">
      <alignment horizontal="center" vertical="center"/>
    </xf>
    <xf numFmtId="169" fontId="43" fillId="0" borderId="32" xfId="0" applyNumberFormat="1" applyFont="1" applyBorder="1" applyAlignment="1">
      <alignment horizontal="center" vertical="center"/>
    </xf>
    <xf numFmtId="169" fontId="43" fillId="0" borderId="32" xfId="0" applyNumberFormat="1" applyFont="1" applyBorder="1" applyAlignment="1">
      <alignment horizontal="center" vertical="center" wrapText="1"/>
    </xf>
    <xf numFmtId="0" fontId="36" fillId="12" borderId="51" xfId="0" applyFont="1" applyFill="1" applyBorder="1" applyAlignment="1">
      <alignment horizontal="center" vertical="center" wrapText="1"/>
    </xf>
    <xf numFmtId="0" fontId="34" fillId="0" borderId="32" xfId="0" applyFont="1" applyBorder="1" applyAlignment="1">
      <alignment horizontal="center" vertical="center"/>
    </xf>
    <xf numFmtId="6" fontId="34" fillId="0" borderId="32" xfId="0" applyNumberFormat="1" applyFont="1" applyBorder="1" applyAlignment="1">
      <alignment horizontal="center" vertical="center" wrapText="1"/>
    </xf>
    <xf numFmtId="167" fontId="34" fillId="0" borderId="32" xfId="0" applyNumberFormat="1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 wrapText="1"/>
    </xf>
    <xf numFmtId="167" fontId="34" fillId="0" borderId="32" xfId="0" applyNumberFormat="1" applyFont="1" applyBorder="1" applyAlignment="1">
      <alignment horizontal="center" vertical="center" wrapText="1"/>
    </xf>
    <xf numFmtId="44" fontId="34" fillId="0" borderId="32" xfId="0" applyNumberFormat="1" applyFont="1" applyBorder="1" applyAlignment="1">
      <alignment horizontal="center" vertical="center" wrapText="1"/>
    </xf>
    <xf numFmtId="6" fontId="30" fillId="2" borderId="32" xfId="0" applyNumberFormat="1" applyFont="1" applyFill="1" applyBorder="1" applyAlignment="1">
      <alignment horizontal="center" vertical="center" wrapText="1"/>
    </xf>
    <xf numFmtId="0" fontId="30" fillId="2" borderId="32" xfId="0" applyFont="1" applyFill="1" applyBorder="1" applyAlignment="1">
      <alignment horizontal="center" vertical="center"/>
    </xf>
    <xf numFmtId="0" fontId="22" fillId="2" borderId="32" xfId="0" applyFont="1" applyFill="1" applyBorder="1" applyAlignment="1">
      <alignment vertical="center"/>
    </xf>
    <xf numFmtId="6" fontId="36" fillId="2" borderId="32" xfId="0" applyNumberFormat="1" applyFont="1" applyFill="1" applyBorder="1" applyAlignment="1">
      <alignment horizontal="center" vertical="center" wrapText="1"/>
    </xf>
    <xf numFmtId="167" fontId="36" fillId="2" borderId="32" xfId="0" applyNumberFormat="1" applyFont="1" applyFill="1" applyBorder="1" applyAlignment="1">
      <alignment horizontal="center" vertical="center" wrapText="1"/>
    </xf>
    <xf numFmtId="0" fontId="22" fillId="0" borderId="32" xfId="0" applyFont="1" applyBorder="1"/>
    <xf numFmtId="0" fontId="29" fillId="0" borderId="32" xfId="0" applyFont="1" applyBorder="1" applyAlignment="1">
      <alignment horizontal="center" vertical="center" wrapText="1"/>
    </xf>
    <xf numFmtId="0" fontId="6" fillId="0" borderId="32" xfId="0" applyFont="1" applyBorder="1"/>
    <xf numFmtId="0" fontId="0" fillId="0" borderId="32" xfId="0" applyBorder="1"/>
    <xf numFmtId="0" fontId="22" fillId="0" borderId="0" xfId="0" applyFont="1" applyAlignment="1">
      <alignment horizontal="center"/>
    </xf>
    <xf numFmtId="6" fontId="22" fillId="0" borderId="0" xfId="0" applyNumberFormat="1" applyFont="1" applyAlignment="1">
      <alignment horizontal="center"/>
    </xf>
    <xf numFmtId="168" fontId="43" fillId="0" borderId="32" xfId="0" applyNumberFormat="1" applyFont="1" applyBorder="1" applyAlignment="1">
      <alignment horizontal="center" vertical="center" wrapText="1"/>
    </xf>
    <xf numFmtId="168" fontId="43" fillId="0" borderId="33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168" fontId="49" fillId="0" borderId="32" xfId="0" applyNumberFormat="1" applyFont="1" applyBorder="1" applyAlignment="1">
      <alignment horizontal="center" vertical="center" wrapText="1"/>
    </xf>
    <xf numFmtId="169" fontId="49" fillId="0" borderId="32" xfId="0" applyNumberFormat="1" applyFont="1" applyBorder="1" applyAlignment="1">
      <alignment horizontal="center" vertical="center" wrapText="1"/>
    </xf>
    <xf numFmtId="9" fontId="0" fillId="0" borderId="0" xfId="2" applyFont="1"/>
    <xf numFmtId="0" fontId="30" fillId="2" borderId="0" xfId="0" applyFont="1" applyFill="1" applyAlignment="1">
      <alignment horizontal="center" vertical="center" wrapText="1"/>
    </xf>
    <xf numFmtId="0" fontId="22" fillId="3" borderId="4" xfId="0" applyFont="1" applyFill="1" applyBorder="1" applyAlignment="1">
      <alignment horizontal="center"/>
    </xf>
    <xf numFmtId="169" fontId="0" fillId="0" borderId="0" xfId="0" applyNumberFormat="1"/>
    <xf numFmtId="9" fontId="22" fillId="0" borderId="0" xfId="2" applyFont="1"/>
    <xf numFmtId="6" fontId="35" fillId="0" borderId="33" xfId="0" applyNumberFormat="1" applyFont="1" applyBorder="1" applyAlignment="1">
      <alignment horizontal="center" vertical="center" wrapText="1"/>
    </xf>
    <xf numFmtId="6" fontId="35" fillId="0" borderId="32" xfId="0" applyNumberFormat="1" applyFont="1" applyBorder="1" applyAlignment="1">
      <alignment horizontal="center" vertical="center" wrapText="1"/>
    </xf>
    <xf numFmtId="6" fontId="41" fillId="0" borderId="32" xfId="0" applyNumberFormat="1" applyFont="1" applyBorder="1" applyAlignment="1">
      <alignment horizontal="center" vertical="center" wrapText="1"/>
    </xf>
    <xf numFmtId="6" fontId="35" fillId="22" borderId="0" xfId="0" applyNumberFormat="1" applyFont="1" applyFill="1" applyAlignment="1">
      <alignment horizontal="center" vertical="center" wrapText="1"/>
    </xf>
    <xf numFmtId="8" fontId="35" fillId="0" borderId="32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50" fillId="0" borderId="0" xfId="0" applyFont="1" applyAlignment="1">
      <alignment horizontal="left" vertical="center"/>
    </xf>
    <xf numFmtId="0" fontId="51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0" fontId="52" fillId="0" borderId="0" xfId="0" applyFont="1" applyAlignment="1">
      <alignment horizontal="left" vertical="center" indent="4"/>
    </xf>
    <xf numFmtId="0" fontId="53" fillId="0" borderId="0" xfId="0" applyFont="1" applyFill="1" applyAlignment="1">
      <alignment horizontal="left" wrapText="1"/>
    </xf>
    <xf numFmtId="0" fontId="23" fillId="13" borderId="0" xfId="0" applyFont="1" applyFill="1" applyAlignment="1">
      <alignment horizontal="center" vertical="center" wrapText="1"/>
    </xf>
    <xf numFmtId="0" fontId="23" fillId="13" borderId="41" xfId="0" applyFont="1" applyFill="1" applyBorder="1" applyAlignment="1">
      <alignment horizontal="center" vertical="center" wrapText="1"/>
    </xf>
    <xf numFmtId="0" fontId="48" fillId="2" borderId="1" xfId="0" applyFont="1" applyFill="1" applyBorder="1" applyAlignment="1">
      <alignment horizontal="center" vertical="center"/>
    </xf>
    <xf numFmtId="0" fontId="48" fillId="2" borderId="2" xfId="0" applyFont="1" applyFill="1" applyBorder="1" applyAlignment="1">
      <alignment horizontal="center" vertical="center"/>
    </xf>
    <xf numFmtId="0" fontId="22" fillId="4" borderId="4" xfId="0" applyFont="1" applyFill="1" applyBorder="1" applyAlignment="1">
      <alignment horizontal="center"/>
    </xf>
    <xf numFmtId="0" fontId="36" fillId="12" borderId="47" xfId="0" applyFont="1" applyFill="1" applyBorder="1" applyAlignment="1">
      <alignment horizontal="center" vertical="center" wrapText="1"/>
    </xf>
    <xf numFmtId="0" fontId="36" fillId="12" borderId="48" xfId="0" applyFont="1" applyFill="1" applyBorder="1" applyAlignment="1">
      <alignment horizontal="center" vertical="center" wrapText="1"/>
    </xf>
    <xf numFmtId="0" fontId="36" fillId="12" borderId="49" xfId="0" applyFont="1" applyFill="1" applyBorder="1" applyAlignment="1">
      <alignment horizontal="center" vertical="center" wrapText="1"/>
    </xf>
    <xf numFmtId="0" fontId="36" fillId="12" borderId="50" xfId="0" applyFont="1" applyFill="1" applyBorder="1" applyAlignment="1">
      <alignment horizontal="center" vertical="center" wrapText="1"/>
    </xf>
    <xf numFmtId="0" fontId="36" fillId="12" borderId="33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/>
    </xf>
    <xf numFmtId="0" fontId="8" fillId="23" borderId="6" xfId="0" applyFont="1" applyFill="1" applyBorder="1" applyAlignment="1">
      <alignment horizontal="center" vertical="center"/>
    </xf>
    <xf numFmtId="0" fontId="8" fillId="23" borderId="9" xfId="0" applyFont="1" applyFill="1" applyBorder="1" applyAlignment="1">
      <alignment horizontal="center" vertical="center"/>
    </xf>
    <xf numFmtId="0" fontId="8" fillId="21" borderId="6" xfId="0" applyFont="1" applyFill="1" applyBorder="1" applyAlignment="1">
      <alignment horizontal="center" vertical="center"/>
    </xf>
    <xf numFmtId="0" fontId="8" fillId="21" borderId="9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 wrapText="1"/>
    </xf>
    <xf numFmtId="0" fontId="8" fillId="19" borderId="6" xfId="0" applyFont="1" applyFill="1" applyBorder="1" applyAlignment="1">
      <alignment horizontal="center" vertical="center"/>
    </xf>
    <xf numFmtId="0" fontId="8" fillId="19" borderId="9" xfId="0" applyFont="1" applyFill="1" applyBorder="1" applyAlignment="1">
      <alignment horizontal="center" vertical="center"/>
    </xf>
    <xf numFmtId="0" fontId="8" fillId="7" borderId="6" xfId="0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center" vertical="center"/>
    </xf>
    <xf numFmtId="0" fontId="8" fillId="9" borderId="6" xfId="0" applyFont="1" applyFill="1" applyBorder="1" applyAlignment="1">
      <alignment horizontal="center" vertical="center"/>
    </xf>
    <xf numFmtId="0" fontId="8" fillId="9" borderId="9" xfId="0" applyFont="1" applyFill="1" applyBorder="1" applyAlignment="1">
      <alignment horizontal="center" vertical="center"/>
    </xf>
    <xf numFmtId="0" fontId="8" fillId="9" borderId="12" xfId="0" applyFont="1" applyFill="1" applyBorder="1" applyAlignment="1">
      <alignment horizontal="center" vertical="center"/>
    </xf>
    <xf numFmtId="0" fontId="8" fillId="8" borderId="7" xfId="0" applyFont="1" applyFill="1" applyBorder="1" applyAlignment="1">
      <alignment horizontal="center" vertical="center"/>
    </xf>
    <xf numFmtId="14" fontId="20" fillId="13" borderId="31" xfId="0" applyNumberFormat="1" applyFont="1" applyFill="1" applyBorder="1" applyAlignment="1">
      <alignment horizontal="center" vertical="center" wrapText="1"/>
    </xf>
    <xf numFmtId="0" fontId="20" fillId="11" borderId="8" xfId="0" applyFont="1" applyFill="1" applyBorder="1" applyAlignment="1">
      <alignment horizontal="center"/>
    </xf>
    <xf numFmtId="0" fontId="20" fillId="11" borderId="25" xfId="0" applyFont="1" applyFill="1" applyBorder="1" applyAlignment="1">
      <alignment horizontal="center"/>
    </xf>
    <xf numFmtId="14" fontId="20" fillId="18" borderId="0" xfId="0" applyNumberFormat="1" applyFont="1" applyFill="1" applyAlignment="1">
      <alignment horizontal="center" vertical="center" wrapText="1"/>
    </xf>
    <xf numFmtId="0" fontId="15" fillId="6" borderId="21" xfId="0" applyFont="1" applyFill="1" applyBorder="1" applyAlignment="1">
      <alignment horizontal="center" vertical="center" wrapText="1"/>
    </xf>
    <xf numFmtId="0" fontId="53" fillId="0" borderId="0" xfId="0" applyFont="1" applyFill="1" applyAlignment="1">
      <alignment horizontal="left" wrapText="1"/>
    </xf>
  </cellXfs>
  <cellStyles count="11">
    <cellStyle name="0,0_x000d__x000a_NA_x000d__x000a_" xfId="10" xr:uid="{00000000-0005-0000-0000-000000000000}"/>
    <cellStyle name="Coma" xfId="9" builtinId="3"/>
    <cellStyle name="Coma 2" xfId="4" xr:uid="{00000000-0005-0000-0000-000002000000}"/>
    <cellStyle name="Enllaç" xfId="1" builtinId="8"/>
    <cellStyle name="Enllaç 2" xfId="6" xr:uid="{00000000-0005-0000-0000-000004000000}"/>
    <cellStyle name="Moneda" xfId="7" builtinId="4"/>
    <cellStyle name="Normal" xfId="0" builtinId="0"/>
    <cellStyle name="Normal 152" xfId="8" xr:uid="{00000000-0005-0000-0000-000007000000}"/>
    <cellStyle name="Normal 2" xfId="3" xr:uid="{00000000-0005-0000-0000-000008000000}"/>
    <cellStyle name="Percentatge" xfId="2" builtinId="5"/>
    <cellStyle name="Percentatge 2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Comu\Projecte%20LIFE07%20EWWR\5.%20ACCIONS\ACCIONS%202022\LCUE%202022\Budget%20ECUD%20ARC%202021_vo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essos21"/>
      <sheetName val="Despeses21"/>
      <sheetName val="Proveidors21"/>
      <sheetName val="Estoc 19"/>
      <sheetName val="Despeses15"/>
      <sheetName val="Control magatzem"/>
      <sheetName val="Full1"/>
    </sheetNames>
    <sheetDataSet>
      <sheetData sheetId="0"/>
      <sheetData sheetId="1">
        <row r="7">
          <cell r="S7">
            <v>25.2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gencat.sharepoint.com/sites/LCUESuportPilots/2024/ACCIONS%202023/AppData/Roaming/Microsoft/AppData/Roaming/Microsoft/EDICIO%202015/banderoles/Oferta%20P-28175%20(Banderes%20).msg" TargetMode="External"/><Relationship Id="rId13" Type="http://schemas.openxmlformats.org/officeDocument/2006/relationships/hyperlink" Target="mailto:info@sacoshidalgo.com%20937841933" TargetMode="External"/><Relationship Id="rId18" Type="http://schemas.openxmlformats.org/officeDocument/2006/relationships/hyperlink" Target="mailto:info@tplanas.com" TargetMode="External"/><Relationship Id="rId26" Type="http://schemas.openxmlformats.org/officeDocument/2006/relationships/hyperlink" Target="mailto:carles@mokom.es" TargetMode="External"/><Relationship Id="rId3" Type="http://schemas.openxmlformats.org/officeDocument/2006/relationships/hyperlink" Target="https://gencat.sharepoint.com/sites/LCUESuportPilots/2024/ACCIONS%202023/AppData/Roaming/Microsoft/AppData/Roaming/Microsoft/EDICIO%202015/guants%20reutilitzables/guants%20reutilitzables.pdf" TargetMode="External"/><Relationship Id="rId21" Type="http://schemas.openxmlformats.org/officeDocument/2006/relationships/hyperlink" Target="mailto:info@bolsalea.com" TargetMode="External"/><Relationship Id="rId7" Type="http://schemas.openxmlformats.org/officeDocument/2006/relationships/hyperlink" Target="https://gencat.sharepoint.com/sites/LCUESuportPilots/2024/ACCIONS%202023/AppData/Roaming/Microsoft/AppData/Roaming/Microsoft/EDICIO%202015/banderoles/PVU-150751.pdf" TargetMode="External"/><Relationship Id="rId12" Type="http://schemas.openxmlformats.org/officeDocument/2006/relationships/hyperlink" Target="mailto:multisac@multisac.es%20932233308" TargetMode="External"/><Relationship Id="rId17" Type="http://schemas.openxmlformats.org/officeDocument/2006/relationships/hyperlink" Target="mailto:info@tplanas.com" TargetMode="External"/><Relationship Id="rId25" Type="http://schemas.openxmlformats.org/officeDocument/2006/relationships/hyperlink" Target="mailto:carles@mokom.es" TargetMode="External"/><Relationship Id="rId2" Type="http://schemas.openxmlformats.org/officeDocument/2006/relationships/hyperlink" Target="https://gencat.sharepoint.com/sites/LCUESuportPilots/2024/ACCIONS%202023/AppData/Roaming/Microsoft/AppData/Roaming/Microsoft/EDICIO%202015/RE%20pressupost%20bosses%20individuals.msg" TargetMode="External"/><Relationship Id="rId16" Type="http://schemas.openxmlformats.org/officeDocument/2006/relationships/hyperlink" Target="mailto:gummi@comercialgummi.com%20%20%20%20%20%20%20%20%20%20%20%20%20%20%20%20%20%20%20%20%20%20%20%20%20%20%20%20%20%20%20%20%20%20%20%20%20%20%20932643999" TargetMode="External"/><Relationship Id="rId20" Type="http://schemas.openxmlformats.org/officeDocument/2006/relationships/hyperlink" Target="mailto:patricia.exporegalos@gmail.com" TargetMode="External"/><Relationship Id="rId29" Type="http://schemas.openxmlformats.org/officeDocument/2006/relationships/vmlDrawing" Target="../drawings/vmlDrawing3.vml"/><Relationship Id="rId1" Type="http://schemas.openxmlformats.org/officeDocument/2006/relationships/hyperlink" Target="https://gencat.sharepoint.com/sites/LCUESuportPilots/2024/ACCIONS%202023/AppData/Roaming/Microsoft/AppData/Roaming/Microsoft/EDICIO%202015/sacs.msg" TargetMode="External"/><Relationship Id="rId6" Type="http://schemas.openxmlformats.org/officeDocument/2006/relationships/hyperlink" Target="https://gencat.sharepoint.com/sites/LCUESuportPilots/2024/ACCIONS%202023/AppData/Roaming/Microsoft/AppData/Roaming/Microsoft/EDICIO%202015/Re%20pressupost%20adhesius%20rollup.msg" TargetMode="External"/><Relationship Id="rId11" Type="http://schemas.openxmlformats.org/officeDocument/2006/relationships/hyperlink" Target="https://gencat.sharepoint.com/sites/LCUESuportPilots/2024/ACCIONS%202023/AppData/Roaming/Microsoft/AppData/Roaming/Microsoft/EDICIO%202015/guants%20nitril/comercial%20gummi%20SA.pdf" TargetMode="External"/><Relationship Id="rId24" Type="http://schemas.openxmlformats.org/officeDocument/2006/relationships/hyperlink" Target="mailto:carles@mokom.es" TargetMode="External"/><Relationship Id="rId5" Type="http://schemas.openxmlformats.org/officeDocument/2006/relationships/hyperlink" Target="https://gencat.sharepoint.com/sites/LCUESuportPilots/2024/ACCIONS%202023/AppData/Roaming/Microsoft/AppData/Roaming/Microsoft/EDICIO%202015/guants%20reutilitzables/guants%20reutilitzables.pdf" TargetMode="External"/><Relationship Id="rId15" Type="http://schemas.openxmlformats.org/officeDocument/2006/relationships/hyperlink" Target="mailto:info@sacoshidalgo.com" TargetMode="External"/><Relationship Id="rId23" Type="http://schemas.openxmlformats.org/officeDocument/2006/relationships/hyperlink" Target="mailto:gift@sinycon.com" TargetMode="External"/><Relationship Id="rId28" Type="http://schemas.openxmlformats.org/officeDocument/2006/relationships/printerSettings" Target="../printerSettings/printerSettings3.bin"/><Relationship Id="rId10" Type="http://schemas.openxmlformats.org/officeDocument/2006/relationships/hyperlink" Target="https://gencat.sharepoint.com/sites/LCUESuportPilots/2024/ACCIONS%202023/AppData/Roaming/Microsoft/AppData/Roaming/Microsoft/EDICIO%202015/guants%20nitril/Re%20pressupost%20guants%20nitril%20(FPlanas).msg" TargetMode="External"/><Relationship Id="rId19" Type="http://schemas.openxmlformats.org/officeDocument/2006/relationships/hyperlink" Target="mailto:info@tplanas.com" TargetMode="External"/><Relationship Id="rId4" Type="http://schemas.openxmlformats.org/officeDocument/2006/relationships/hyperlink" Target="https://gencat.sharepoint.com/sites/LCUESuportPilots/2024/ACCIONS%202023/AppData/Roaming/Microsoft/AppData/Roaming/Microsoft/EDICIO%202015/guants%20nitril/Re%20pressupost%20guants%20nitril%20(FPlanas).msg" TargetMode="External"/><Relationship Id="rId9" Type="http://schemas.openxmlformats.org/officeDocument/2006/relationships/hyperlink" Target="https://gencat.sharepoint.com/sites/LCUESuportPilots/2024/ACCIONS%202023/AppData/Roaming/Microsoft/AppData/Roaming/Microsoft/EDICIO%202015/banderoles/pressupost%20banderes%20artyplan.msg" TargetMode="External"/><Relationship Id="rId14" Type="http://schemas.openxmlformats.org/officeDocument/2006/relationships/hyperlink" Target="mailto:multisac@multisac.es%20932233308" TargetMode="External"/><Relationship Id="rId22" Type="http://schemas.openxmlformats.org/officeDocument/2006/relationships/hyperlink" Target="mailto:PACKAGING@VALLDEPERAS.COM" TargetMode="External"/><Relationship Id="rId27" Type="http://schemas.openxmlformats.org/officeDocument/2006/relationships/hyperlink" Target="mailto:carles@mokom.es" TargetMode="External"/><Relationship Id="rId30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V24"/>
  <sheetViews>
    <sheetView topLeftCell="C1" zoomScale="90" zoomScaleNormal="90" workbookViewId="0">
      <selection activeCell="D24" sqref="D24"/>
    </sheetView>
  </sheetViews>
  <sheetFormatPr defaultColWidth="9.1796875" defaultRowHeight="10.5" x14ac:dyDescent="0.25"/>
  <cols>
    <col min="1" max="1" width="1.54296875" style="40" customWidth="1"/>
    <col min="2" max="2" width="9.81640625" style="40" customWidth="1"/>
    <col min="3" max="3" width="28.1796875" style="40" customWidth="1"/>
    <col min="4" max="4" width="19.1796875" style="40" customWidth="1"/>
    <col min="5" max="5" width="17.453125" style="40" bestFit="1" customWidth="1"/>
    <col min="6" max="13" width="8.453125" style="40" customWidth="1"/>
    <col min="14" max="15" width="5.7265625" style="40" bestFit="1" customWidth="1"/>
    <col min="16" max="16" width="6.81640625" style="40" bestFit="1" customWidth="1"/>
    <col min="17" max="17" width="5" style="40" bestFit="1" customWidth="1"/>
    <col min="18" max="18" width="6.54296875" style="40" bestFit="1" customWidth="1"/>
    <col min="19" max="19" width="5" style="40" bestFit="1" customWidth="1"/>
    <col min="20" max="20" width="5.7265625" style="40" bestFit="1" customWidth="1"/>
    <col min="21" max="21" width="6.7265625" style="40" bestFit="1" customWidth="1"/>
    <col min="22" max="22" width="7.54296875" style="40" customWidth="1"/>
    <col min="23" max="23" width="8" style="40" customWidth="1"/>
    <col min="24" max="24" width="8.453125" style="40" customWidth="1"/>
    <col min="25" max="25" width="8" style="40" customWidth="1"/>
    <col min="26" max="30" width="9.1796875" style="40"/>
    <col min="31" max="31" width="11.54296875" style="40" customWidth="1"/>
    <col min="32" max="16384" width="9.1796875" style="40"/>
  </cols>
  <sheetData>
    <row r="1" spans="2:22" ht="12" customHeight="1" thickBot="1" x14ac:dyDescent="0.3">
      <c r="F1" s="95">
        <v>2014</v>
      </c>
      <c r="G1" s="95">
        <v>2015</v>
      </c>
      <c r="H1" s="95">
        <v>2016</v>
      </c>
      <c r="I1" s="95">
        <v>2017</v>
      </c>
      <c r="J1" s="95">
        <v>2018</v>
      </c>
      <c r="K1" s="95">
        <v>2019</v>
      </c>
      <c r="L1" s="95">
        <v>2020</v>
      </c>
      <c r="M1" s="95">
        <v>2021</v>
      </c>
      <c r="N1" s="128" t="s">
        <v>0</v>
      </c>
      <c r="O1" s="128" t="s">
        <v>1</v>
      </c>
      <c r="P1" s="382" t="s">
        <v>2</v>
      </c>
      <c r="Q1" s="381"/>
      <c r="R1" s="381"/>
      <c r="S1" s="381"/>
      <c r="T1" s="381"/>
    </row>
    <row r="2" spans="2:22" ht="25.5" customHeight="1" thickBot="1" x14ac:dyDescent="0.3">
      <c r="B2" s="96" t="s">
        <v>3</v>
      </c>
      <c r="C2" s="96" t="s">
        <v>4</v>
      </c>
      <c r="D2" s="96" t="s">
        <v>5</v>
      </c>
      <c r="E2" s="96" t="s">
        <v>6</v>
      </c>
      <c r="F2" s="97" t="s">
        <v>7</v>
      </c>
      <c r="G2" s="97" t="s">
        <v>7</v>
      </c>
      <c r="H2" s="97" t="s">
        <v>7</v>
      </c>
      <c r="I2" s="97" t="s">
        <v>7</v>
      </c>
      <c r="J2" s="97" t="s">
        <v>7</v>
      </c>
      <c r="K2" s="97" t="s">
        <v>8</v>
      </c>
      <c r="L2" s="97" t="s">
        <v>7</v>
      </c>
      <c r="M2" s="364"/>
      <c r="N2" s="381" t="s">
        <v>9</v>
      </c>
      <c r="O2" s="381"/>
      <c r="P2" s="98" t="s">
        <v>10</v>
      </c>
      <c r="Q2" s="98" t="s">
        <v>11</v>
      </c>
      <c r="R2" s="98" t="s">
        <v>12</v>
      </c>
      <c r="S2" s="98" t="s">
        <v>13</v>
      </c>
      <c r="T2" s="129" t="s">
        <v>14</v>
      </c>
      <c r="U2" s="95" t="s">
        <v>15</v>
      </c>
    </row>
    <row r="3" spans="2:22" s="178" customFormat="1" ht="12.75" hidden="1" customHeight="1" thickBot="1" x14ac:dyDescent="0.3">
      <c r="B3" s="182" t="s">
        <v>16</v>
      </c>
      <c r="C3" s="175" t="s">
        <v>17</v>
      </c>
      <c r="D3" s="175" t="s">
        <v>18</v>
      </c>
      <c r="E3" s="175" t="s">
        <v>19</v>
      </c>
      <c r="F3" s="183" t="s">
        <v>20</v>
      </c>
      <c r="G3" s="183" t="s">
        <v>21</v>
      </c>
      <c r="H3" s="177" t="s">
        <v>22</v>
      </c>
      <c r="I3" s="177" t="s">
        <v>23</v>
      </c>
      <c r="J3" s="177"/>
      <c r="K3" s="177"/>
      <c r="L3" s="177"/>
      <c r="M3" s="177"/>
      <c r="N3" s="177">
        <v>15000</v>
      </c>
      <c r="O3" s="177">
        <f t="shared" ref="O3:O8" si="0">N3*1.21</f>
        <v>18150</v>
      </c>
      <c r="P3" s="183"/>
      <c r="Q3" s="183"/>
      <c r="R3" s="183"/>
      <c r="S3" s="183"/>
      <c r="T3" s="183"/>
      <c r="U3" s="183"/>
    </row>
    <row r="4" spans="2:22" s="178" customFormat="1" ht="12.75" hidden="1" customHeight="1" thickBot="1" x14ac:dyDescent="0.3">
      <c r="B4" s="176" t="s">
        <v>24</v>
      </c>
      <c r="C4" s="175"/>
      <c r="D4" s="175"/>
      <c r="E4" s="175"/>
      <c r="F4" s="177"/>
      <c r="G4" s="177"/>
      <c r="H4" s="177"/>
      <c r="I4" s="177"/>
      <c r="J4" s="177"/>
      <c r="K4" s="177"/>
      <c r="L4" s="177"/>
      <c r="M4" s="177"/>
      <c r="N4" s="177">
        <v>7583</v>
      </c>
      <c r="O4" s="177">
        <f t="shared" si="0"/>
        <v>9175.43</v>
      </c>
      <c r="P4" s="183"/>
      <c r="Q4" s="183"/>
      <c r="R4" s="183"/>
      <c r="S4" s="183"/>
      <c r="T4" s="183"/>
      <c r="U4" s="183"/>
    </row>
    <row r="5" spans="2:22" s="178" customFormat="1" ht="12.75" hidden="1" customHeight="1" thickBot="1" x14ac:dyDescent="0.3">
      <c r="B5" s="176" t="s">
        <v>25</v>
      </c>
      <c r="C5" s="175" t="s">
        <v>26</v>
      </c>
      <c r="D5" s="175" t="s">
        <v>27</v>
      </c>
      <c r="E5" s="175" t="s">
        <v>19</v>
      </c>
      <c r="F5" s="177" t="s">
        <v>28</v>
      </c>
      <c r="G5" s="177" t="s">
        <v>29</v>
      </c>
      <c r="H5" s="177" t="s">
        <v>30</v>
      </c>
      <c r="I5" s="177" t="s">
        <v>31</v>
      </c>
      <c r="J5" s="177"/>
      <c r="K5" s="177"/>
      <c r="L5" s="177"/>
      <c r="M5" s="177"/>
      <c r="N5" s="177">
        <v>5000</v>
      </c>
      <c r="O5" s="177">
        <f t="shared" si="0"/>
        <v>6050</v>
      </c>
      <c r="P5" s="183"/>
      <c r="Q5" s="183"/>
      <c r="R5" s="183"/>
      <c r="S5" s="183"/>
      <c r="T5" s="183"/>
      <c r="U5" s="183"/>
    </row>
    <row r="6" spans="2:22" ht="84.5" thickBot="1" x14ac:dyDescent="0.3">
      <c r="B6" s="114" t="s">
        <v>32</v>
      </c>
      <c r="C6" s="99" t="s">
        <v>33</v>
      </c>
      <c r="D6" s="99" t="s">
        <v>34</v>
      </c>
      <c r="E6" s="99" t="s">
        <v>19</v>
      </c>
      <c r="F6" s="115" t="s">
        <v>35</v>
      </c>
      <c r="G6" s="115" t="s">
        <v>36</v>
      </c>
      <c r="H6" s="115" t="s">
        <v>37</v>
      </c>
      <c r="I6" s="115" t="s">
        <v>38</v>
      </c>
      <c r="J6" s="115" t="s">
        <v>39</v>
      </c>
      <c r="K6" s="115">
        <f>(4571+2060+3356)*1.21</f>
        <v>12084.27</v>
      </c>
      <c r="L6" s="115">
        <v>11661.3508</v>
      </c>
      <c r="M6" s="115">
        <v>12100</v>
      </c>
      <c r="N6" s="115">
        <v>10000</v>
      </c>
      <c r="O6" s="115">
        <f t="shared" si="0"/>
        <v>12100</v>
      </c>
      <c r="P6" s="118" t="e">
        <f>[1]Despeses21!#REF!</f>
        <v>#REF!</v>
      </c>
      <c r="Q6" s="118" t="e">
        <f>[1]Despeses21!#REF!</f>
        <v>#REF!</v>
      </c>
      <c r="R6" s="118" t="e">
        <f>[1]Despeses21!#REF!+[1]Despeses21!S7</f>
        <v>#REF!</v>
      </c>
      <c r="S6" s="118" t="e">
        <f>SUM(P6:R6)</f>
        <v>#REF!</v>
      </c>
      <c r="T6" s="118" t="e">
        <f>(R6+Q6)*1.21+P6</f>
        <v>#REF!</v>
      </c>
      <c r="U6" s="118" t="e">
        <f>O6-T6</f>
        <v>#REF!</v>
      </c>
    </row>
    <row r="7" spans="2:22" ht="25" hidden="1" customHeight="1" thickBot="1" x14ac:dyDescent="0.3">
      <c r="B7" s="114" t="s">
        <v>40</v>
      </c>
      <c r="C7" s="99" t="s">
        <v>41</v>
      </c>
      <c r="D7" s="99" t="s">
        <v>42</v>
      </c>
      <c r="E7" s="99" t="s">
        <v>19</v>
      </c>
      <c r="F7" s="115"/>
      <c r="G7" s="115"/>
      <c r="H7" s="115"/>
      <c r="I7" s="115" t="s">
        <v>43</v>
      </c>
      <c r="J7" s="115" t="s">
        <v>44</v>
      </c>
      <c r="K7" s="115">
        <v>2540</v>
      </c>
      <c r="L7" s="115">
        <v>1821.05</v>
      </c>
      <c r="M7" s="115">
        <v>0</v>
      </c>
      <c r="N7" s="115">
        <v>0</v>
      </c>
      <c r="O7" s="115">
        <f t="shared" si="0"/>
        <v>0</v>
      </c>
      <c r="P7" s="118" t="e">
        <f>[1]Despeses21!#REF!</f>
        <v>#REF!</v>
      </c>
      <c r="Q7" s="118" t="e">
        <f>[1]Despeses21!#REF!</f>
        <v>#REF!</v>
      </c>
      <c r="R7" s="118" t="e">
        <f>[1]Despeses21!#REF!</f>
        <v>#REF!</v>
      </c>
      <c r="S7" s="118" t="e">
        <f>SUM(P7:R7)</f>
        <v>#REF!</v>
      </c>
      <c r="T7" s="118" t="e">
        <f>S7*1.21</f>
        <v>#REF!</v>
      </c>
      <c r="U7" s="118" t="e">
        <f>O7-T7</f>
        <v>#REF!</v>
      </c>
    </row>
    <row r="8" spans="2:22" ht="25" customHeight="1" thickBot="1" x14ac:dyDescent="0.3">
      <c r="B8" s="114"/>
      <c r="C8" s="99" t="s">
        <v>45</v>
      </c>
      <c r="D8" s="99"/>
      <c r="E8" s="99" t="s">
        <v>46</v>
      </c>
      <c r="F8" s="115"/>
      <c r="G8" s="115"/>
      <c r="H8" s="115"/>
      <c r="I8" s="115"/>
      <c r="J8" s="115"/>
      <c r="K8" s="115"/>
      <c r="L8" s="115"/>
      <c r="M8" s="115"/>
      <c r="N8" s="115">
        <v>2400</v>
      </c>
      <c r="O8" s="115">
        <f t="shared" si="0"/>
        <v>2904</v>
      </c>
      <c r="P8" s="118"/>
      <c r="Q8" s="118"/>
      <c r="R8" s="118"/>
      <c r="S8" s="118"/>
      <c r="T8" s="118"/>
      <c r="U8" s="118"/>
    </row>
    <row r="9" spans="2:22" ht="31.5" customHeight="1" thickBot="1" x14ac:dyDescent="0.3">
      <c r="B9" s="99" t="s">
        <v>47</v>
      </c>
      <c r="C9" s="99"/>
      <c r="D9" s="99" t="s">
        <v>48</v>
      </c>
      <c r="E9" s="99" t="s">
        <v>49</v>
      </c>
      <c r="F9" s="115" t="s">
        <v>50</v>
      </c>
      <c r="G9" s="115" t="s">
        <v>51</v>
      </c>
      <c r="H9" s="100" t="s">
        <v>52</v>
      </c>
      <c r="I9" s="100" t="s">
        <v>53</v>
      </c>
      <c r="J9" s="100" t="s">
        <v>54</v>
      </c>
      <c r="K9" s="100">
        <f>5000*1.21</f>
        <v>6050</v>
      </c>
      <c r="L9" s="100" t="s">
        <v>55</v>
      </c>
      <c r="M9" s="115">
        <v>0</v>
      </c>
      <c r="N9" s="115">
        <v>0</v>
      </c>
      <c r="O9" s="115">
        <v>0</v>
      </c>
      <c r="P9" s="118" t="e">
        <f>[1]Despeses21!#REF!</f>
        <v>#REF!</v>
      </c>
      <c r="Q9" s="118" t="e">
        <f>[1]Despeses21!#REF!</f>
        <v>#REF!</v>
      </c>
      <c r="R9" s="118" t="e">
        <f>[1]Despeses21!#REF!+[1]Despeses21!#REF!</f>
        <v>#REF!</v>
      </c>
      <c r="S9" s="118" t="e">
        <f>SUM(P9:R9)</f>
        <v>#REF!</v>
      </c>
      <c r="T9" s="118" t="e">
        <f>R9*1.21+P9</f>
        <v>#REF!</v>
      </c>
      <c r="U9" s="118" t="e">
        <f>O9-T9</f>
        <v>#REF!</v>
      </c>
    </row>
    <row r="10" spans="2:22" ht="42.5" thickBot="1" x14ac:dyDescent="0.3">
      <c r="B10" s="99" t="s">
        <v>56</v>
      </c>
      <c r="C10" s="101"/>
      <c r="D10" s="101" t="s">
        <v>57</v>
      </c>
      <c r="E10" s="101" t="s">
        <v>58</v>
      </c>
      <c r="F10" s="94" t="s">
        <v>59</v>
      </c>
      <c r="G10" s="94" t="s">
        <v>60</v>
      </c>
      <c r="H10" s="94" t="s">
        <v>61</v>
      </c>
      <c r="I10" s="94" t="s">
        <v>62</v>
      </c>
      <c r="J10" s="94" t="s">
        <v>63</v>
      </c>
      <c r="K10" s="94">
        <f>44000*1.21</f>
        <v>53240</v>
      </c>
      <c r="L10" s="94">
        <f>44000*1.21</f>
        <v>53240</v>
      </c>
      <c r="M10" s="115">
        <f>M21-M6</f>
        <v>58519.276499999993</v>
      </c>
      <c r="N10" s="102">
        <v>44000</v>
      </c>
      <c r="O10" s="115">
        <f>N10*1.21</f>
        <v>53240</v>
      </c>
      <c r="P10" s="118" t="e">
        <f>[1]Despeses21!#REF!</f>
        <v>#REF!</v>
      </c>
      <c r="Q10" s="118" t="e">
        <f>[1]Despeses21!#REF!</f>
        <v>#REF!</v>
      </c>
      <c r="R10" s="118"/>
      <c r="S10" s="118"/>
      <c r="T10" s="118"/>
      <c r="U10" s="118">
        <f>O10-T10</f>
        <v>53240</v>
      </c>
    </row>
    <row r="11" spans="2:22" ht="12" customHeight="1" x14ac:dyDescent="0.25">
      <c r="B11" s="383" t="s">
        <v>64</v>
      </c>
      <c r="C11" s="384"/>
      <c r="D11" s="103"/>
      <c r="E11" s="104"/>
      <c r="F11" s="105">
        <f>10000+5647+5656+3500+9440</f>
        <v>34243</v>
      </c>
      <c r="G11" s="106">
        <f>12100+6094+7000+3684+19949</f>
        <v>48827</v>
      </c>
      <c r="H11" s="106">
        <f>18150+3630+7881+3563+55573</f>
        <v>88797</v>
      </c>
      <c r="I11" s="106">
        <v>88261</v>
      </c>
      <c r="J11" s="106">
        <f>11260+2525+3653+3048+15000</f>
        <v>35486</v>
      </c>
      <c r="K11" s="106">
        <f>K6+K7+K9+K10</f>
        <v>73914.27</v>
      </c>
      <c r="L11" s="106">
        <f>L6+L7+L10</f>
        <v>66722.400800000003</v>
      </c>
      <c r="M11" s="106">
        <f>M6+M7+M10</f>
        <v>70619.276499999993</v>
      </c>
      <c r="N11" s="127">
        <f>SUM(N6:N10)</f>
        <v>56400</v>
      </c>
      <c r="O11" s="127">
        <f>SUM(O6:O10)</f>
        <v>68244</v>
      </c>
      <c r="P11" s="106" t="e">
        <f t="shared" ref="P11:U11" si="1">SUM(P3:P10)</f>
        <v>#REF!</v>
      </c>
      <c r="Q11" s="106" t="e">
        <f t="shared" si="1"/>
        <v>#REF!</v>
      </c>
      <c r="R11" s="106" t="e">
        <f t="shared" si="1"/>
        <v>#REF!</v>
      </c>
      <c r="S11" s="106" t="e">
        <f t="shared" si="1"/>
        <v>#REF!</v>
      </c>
      <c r="T11" s="106" t="e">
        <f t="shared" si="1"/>
        <v>#REF!</v>
      </c>
      <c r="U11" s="106" t="e">
        <f t="shared" si="1"/>
        <v>#REF!</v>
      </c>
    </row>
    <row r="12" spans="2:22" x14ac:dyDescent="0.25">
      <c r="B12" s="107"/>
      <c r="C12" s="108"/>
      <c r="D12" s="108"/>
      <c r="E12" s="40" t="s">
        <v>65</v>
      </c>
      <c r="F12" s="356">
        <v>97</v>
      </c>
      <c r="G12" s="356">
        <v>114</v>
      </c>
      <c r="H12" s="356">
        <v>185</v>
      </c>
      <c r="I12" s="356">
        <v>199</v>
      </c>
      <c r="J12" s="356">
        <v>275</v>
      </c>
      <c r="K12" s="356">
        <v>300</v>
      </c>
      <c r="L12" s="356">
        <v>167</v>
      </c>
      <c r="M12" s="356">
        <v>484</v>
      </c>
      <c r="Q12" s="126"/>
      <c r="R12" s="125"/>
      <c r="S12" s="125"/>
      <c r="T12" s="126"/>
      <c r="U12" s="126"/>
      <c r="V12" s="125"/>
    </row>
    <row r="13" spans="2:22" ht="10.5" customHeight="1" x14ac:dyDescent="0.25">
      <c r="B13" s="107"/>
      <c r="C13" s="108"/>
      <c r="D13" s="108"/>
      <c r="E13" s="40" t="s">
        <v>66</v>
      </c>
      <c r="F13" s="357">
        <f t="shared" ref="F13:L13" si="2">F11/F12</f>
        <v>353.02061855670104</v>
      </c>
      <c r="G13" s="357">
        <f t="shared" si="2"/>
        <v>428.30701754385967</v>
      </c>
      <c r="H13" s="357">
        <f t="shared" si="2"/>
        <v>479.98378378378379</v>
      </c>
      <c r="I13" s="357">
        <f t="shared" si="2"/>
        <v>443.52261306532665</v>
      </c>
      <c r="J13" s="357">
        <f t="shared" si="2"/>
        <v>129.04</v>
      </c>
      <c r="K13" s="357">
        <f t="shared" si="2"/>
        <v>246.38090000000003</v>
      </c>
      <c r="L13" s="357">
        <f t="shared" si="2"/>
        <v>399.53533413173653</v>
      </c>
      <c r="M13" s="357">
        <f>M11/M12</f>
        <v>145.90759607438014</v>
      </c>
      <c r="N13" s="109"/>
      <c r="Q13" s="109"/>
      <c r="U13" s="109"/>
    </row>
    <row r="14" spans="2:22" x14ac:dyDescent="0.25">
      <c r="F14" s="95">
        <v>2014</v>
      </c>
      <c r="G14" s="95">
        <v>2015</v>
      </c>
      <c r="H14" s="95">
        <v>2016</v>
      </c>
      <c r="I14" s="95">
        <v>2017</v>
      </c>
      <c r="J14" s="95">
        <v>2018</v>
      </c>
      <c r="K14" s="95">
        <v>2019</v>
      </c>
      <c r="L14" s="95">
        <v>2020</v>
      </c>
      <c r="M14" s="95">
        <v>2021</v>
      </c>
    </row>
    <row r="15" spans="2:22" x14ac:dyDescent="0.25">
      <c r="E15" s="40" t="s">
        <v>67</v>
      </c>
      <c r="F15" s="109">
        <f>F11</f>
        <v>34243</v>
      </c>
      <c r="G15" s="109">
        <f t="shared" ref="G15:M15" si="3">G11</f>
        <v>48827</v>
      </c>
      <c r="H15" s="109">
        <f t="shared" si="3"/>
        <v>88797</v>
      </c>
      <c r="I15" s="109">
        <f t="shared" si="3"/>
        <v>88261</v>
      </c>
      <c r="J15" s="109">
        <f t="shared" si="3"/>
        <v>35486</v>
      </c>
      <c r="K15" s="109">
        <f t="shared" si="3"/>
        <v>73914.27</v>
      </c>
      <c r="L15" s="109">
        <f t="shared" si="3"/>
        <v>66722.400800000003</v>
      </c>
      <c r="M15" s="109">
        <f t="shared" si="3"/>
        <v>70619.276499999993</v>
      </c>
      <c r="N15" s="109"/>
    </row>
    <row r="16" spans="2:22" x14ac:dyDescent="0.25">
      <c r="E16" s="40" t="s">
        <v>68</v>
      </c>
      <c r="F16" s="109">
        <f t="shared" ref="F16:J21" si="4">$N16*F$15</f>
        <v>5670.1015043675789</v>
      </c>
      <c r="G16" s="109">
        <f t="shared" si="4"/>
        <v>8084.9822198334195</v>
      </c>
      <c r="H16" s="109">
        <f t="shared" si="4"/>
        <v>14703.384729238907</v>
      </c>
      <c r="I16" s="109">
        <f t="shared" si="4"/>
        <v>14614.631570744003</v>
      </c>
      <c r="J16" s="109">
        <f t="shared" si="4"/>
        <v>5875.9227282652782</v>
      </c>
      <c r="K16" s="109">
        <f>$N16*K$15</f>
        <v>12239.039030494741</v>
      </c>
      <c r="L16" s="109">
        <f>$N16*L$15</f>
        <v>11048.178756274176</v>
      </c>
      <c r="M16" s="109">
        <f>Despeses21!N35</f>
        <v>11693.439999999999</v>
      </c>
      <c r="N16" s="367">
        <f>M16/M$15</f>
        <v>0.16558425092332971</v>
      </c>
    </row>
    <row r="17" spans="5:14" x14ac:dyDescent="0.25">
      <c r="E17" s="40" t="s">
        <v>69</v>
      </c>
      <c r="F17" s="109">
        <f t="shared" si="4"/>
        <v>8393.469328016974</v>
      </c>
      <c r="G17" s="109">
        <f t="shared" si="4"/>
        <v>11968.224947553801</v>
      </c>
      <c r="H17" s="109">
        <f t="shared" si="4"/>
        <v>21765.467275645336</v>
      </c>
      <c r="I17" s="109">
        <f t="shared" si="4"/>
        <v>21634.085692261375</v>
      </c>
      <c r="J17" s="109">
        <f t="shared" si="4"/>
        <v>8698.1471417226985</v>
      </c>
      <c r="K17" s="109">
        <f t="shared" ref="K17:L21" si="5">$N17*K$15</f>
        <v>18117.488483712445</v>
      </c>
      <c r="L17" s="109">
        <f t="shared" si="5"/>
        <v>16354.654224409524</v>
      </c>
      <c r="M17" s="109">
        <f>Despeses21!N36</f>
        <v>17309.836499999998</v>
      </c>
      <c r="N17" s="367">
        <f t="shared" ref="N17:N21" si="6">M17/M$15</f>
        <v>0.24511489437306822</v>
      </c>
    </row>
    <row r="18" spans="5:14" x14ac:dyDescent="0.25">
      <c r="E18" s="40" t="s">
        <v>70</v>
      </c>
      <c r="F18" s="109">
        <f t="shared" si="4"/>
        <v>3520.3444770494075</v>
      </c>
      <c r="G18" s="109">
        <f t="shared" si="4"/>
        <v>5019.6495570157822</v>
      </c>
      <c r="H18" s="109">
        <f t="shared" si="4"/>
        <v>9128.7570752725005</v>
      </c>
      <c r="I18" s="109">
        <f t="shared" si="4"/>
        <v>9073.6537070016584</v>
      </c>
      <c r="J18" s="109">
        <f t="shared" si="4"/>
        <v>3648.1308329461576</v>
      </c>
      <c r="K18" s="109">
        <f t="shared" si="5"/>
        <v>7598.7411199263715</v>
      </c>
      <c r="L18" s="109">
        <f t="shared" si="5"/>
        <v>6859.3825059649271</v>
      </c>
      <c r="M18" s="109">
        <f>Despeses21!N38</f>
        <v>7260</v>
      </c>
      <c r="N18" s="367">
        <f t="shared" si="6"/>
        <v>0.10280479155008053</v>
      </c>
    </row>
    <row r="19" spans="5:14" x14ac:dyDescent="0.25">
      <c r="E19" s="40" t="s">
        <v>71</v>
      </c>
      <c r="F19" s="109">
        <f t="shared" si="4"/>
        <v>9385.6456883978408</v>
      </c>
      <c r="G19" s="109">
        <f t="shared" si="4"/>
        <v>13382.966504903234</v>
      </c>
      <c r="H19" s="109">
        <f t="shared" si="4"/>
        <v>24338.322582503377</v>
      </c>
      <c r="I19" s="109">
        <f t="shared" si="4"/>
        <v>24191.410627096979</v>
      </c>
      <c r="J19" s="109">
        <f t="shared" si="4"/>
        <v>9726.3388984167796</v>
      </c>
      <c r="K19" s="109">
        <f t="shared" si="5"/>
        <v>20259.123018911134</v>
      </c>
      <c r="L19" s="109">
        <f t="shared" si="5"/>
        <v>18287.907408465169</v>
      </c>
      <c r="M19" s="109">
        <f>Despeses21!N37+15000</f>
        <v>19356</v>
      </c>
      <c r="N19" s="367">
        <f t="shared" si="6"/>
        <v>0.27408946904178494</v>
      </c>
    </row>
    <row r="20" spans="5:14" x14ac:dyDescent="0.25">
      <c r="E20" s="40" t="s">
        <v>72</v>
      </c>
      <c r="F20" s="109">
        <f t="shared" si="4"/>
        <v>7273.4390021681984</v>
      </c>
      <c r="G20" s="109">
        <f t="shared" si="4"/>
        <v>10371.176770693766</v>
      </c>
      <c r="H20" s="109">
        <f t="shared" si="4"/>
        <v>18861.068337339879</v>
      </c>
      <c r="I20" s="109">
        <f t="shared" si="4"/>
        <v>18747.218402895989</v>
      </c>
      <c r="J20" s="109">
        <f t="shared" si="4"/>
        <v>7537.4603986490865</v>
      </c>
      <c r="K20" s="109">
        <f t="shared" si="5"/>
        <v>15699.878346955315</v>
      </c>
      <c r="L20" s="109">
        <f t="shared" si="5"/>
        <v>14172.277904886214</v>
      </c>
      <c r="M20" s="109">
        <v>15000</v>
      </c>
      <c r="N20" s="367">
        <f t="shared" si="6"/>
        <v>0.21240659411173665</v>
      </c>
    </row>
    <row r="21" spans="5:14" x14ac:dyDescent="0.25">
      <c r="E21" s="40" t="s">
        <v>73</v>
      </c>
      <c r="F21" s="109">
        <f t="shared" si="4"/>
        <v>34243</v>
      </c>
      <c r="G21" s="109">
        <f t="shared" si="4"/>
        <v>48827</v>
      </c>
      <c r="H21" s="109">
        <f t="shared" si="4"/>
        <v>88797</v>
      </c>
      <c r="I21" s="109">
        <f t="shared" si="4"/>
        <v>88261</v>
      </c>
      <c r="J21" s="109">
        <f t="shared" si="4"/>
        <v>35486</v>
      </c>
      <c r="K21" s="109">
        <f t="shared" si="5"/>
        <v>73914.27</v>
      </c>
      <c r="L21" s="109">
        <f t="shared" si="5"/>
        <v>66722.400800000003</v>
      </c>
      <c r="M21" s="109">
        <f>SUM(M16:M20)</f>
        <v>70619.276499999993</v>
      </c>
      <c r="N21" s="367">
        <f t="shared" si="6"/>
        <v>1</v>
      </c>
    </row>
    <row r="23" spans="5:14" x14ac:dyDescent="0.25">
      <c r="F23" s="95">
        <v>2014</v>
      </c>
      <c r="G23" s="95">
        <v>2015</v>
      </c>
      <c r="H23" s="95">
        <v>2016</v>
      </c>
      <c r="I23" s="95">
        <v>2017</v>
      </c>
      <c r="J23" s="95">
        <v>2018</v>
      </c>
      <c r="K23" s="95">
        <v>2019</v>
      </c>
      <c r="L23" s="95">
        <v>2020</v>
      </c>
      <c r="M23" s="95">
        <v>2021</v>
      </c>
    </row>
    <row r="24" spans="5:14" x14ac:dyDescent="0.25">
      <c r="E24" s="40" t="s">
        <v>74</v>
      </c>
      <c r="J24" s="109">
        <v>43322</v>
      </c>
      <c r="K24" s="109">
        <v>76577</v>
      </c>
      <c r="L24" s="109"/>
      <c r="M24" s="109">
        <v>58600</v>
      </c>
    </row>
  </sheetData>
  <mergeCells count="3">
    <mergeCell ref="N2:O2"/>
    <mergeCell ref="P1:T1"/>
    <mergeCell ref="B11:C11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Header>&amp;C&amp;"-,Negreta"INGRESSOS ECUD 2015 CATALUNYA</oddHeader>
    <oddFooter>&amp;L&amp;D</oddFooter>
  </headerFooter>
  <rowBreaks count="1" manualBreakCount="1">
    <brk id="24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pageSetUpPr fitToPage="1"/>
  </sheetPr>
  <dimension ref="A1:AH1048451"/>
  <sheetViews>
    <sheetView topLeftCell="C1" zoomScaleNormal="100" workbookViewId="0">
      <selection activeCell="H20" sqref="H20"/>
    </sheetView>
  </sheetViews>
  <sheetFormatPr defaultRowHeight="15" thickBottom="1" x14ac:dyDescent="0.4"/>
  <cols>
    <col min="1" max="1" width="25.54296875" hidden="1" customWidth="1"/>
    <col min="2" max="2" width="17.54296875" hidden="1" customWidth="1"/>
    <col min="3" max="3" width="20.54296875" customWidth="1"/>
    <col min="4" max="4" width="8.54296875" customWidth="1"/>
    <col min="5" max="5" width="9.1796875" customWidth="1"/>
    <col min="6" max="6" width="7.1796875" customWidth="1"/>
    <col min="7" max="11" width="10.54296875" customWidth="1"/>
    <col min="12" max="12" width="7.7265625" customWidth="1"/>
    <col min="13" max="13" width="9.54296875" bestFit="1" customWidth="1"/>
    <col min="14" max="14" width="10.1796875" bestFit="1" customWidth="1"/>
    <col min="15" max="17" width="9.1796875" style="355" customWidth="1"/>
    <col min="18" max="18" width="8.453125" style="355" bestFit="1" customWidth="1"/>
    <col min="19" max="19" width="9.54296875" style="355" bestFit="1" customWidth="1"/>
    <col min="20" max="20" width="10.1796875" style="355" bestFit="1" customWidth="1"/>
    <col min="21" max="23" width="11" style="355" customWidth="1"/>
    <col min="24" max="24" width="7.453125" style="355" customWidth="1"/>
    <col min="25" max="26" width="9" style="354" customWidth="1"/>
    <col min="27" max="30" width="11.453125" style="123" bestFit="1" customWidth="1"/>
    <col min="31" max="31" width="11.453125" style="123" customWidth="1"/>
    <col min="32" max="32" width="10" style="123" customWidth="1"/>
  </cols>
  <sheetData>
    <row r="1" spans="1:34" s="40" customFormat="1" ht="15" customHeight="1" thickBot="1" x14ac:dyDescent="0.3">
      <c r="A1" s="40">
        <v>350</v>
      </c>
      <c r="F1" s="385" t="s">
        <v>75</v>
      </c>
      <c r="G1" s="385"/>
      <c r="H1" s="391" t="s">
        <v>76</v>
      </c>
      <c r="I1" s="391"/>
      <c r="J1" s="391"/>
      <c r="K1" s="365"/>
      <c r="L1" s="386" t="s">
        <v>77</v>
      </c>
      <c r="M1" s="387"/>
      <c r="N1" s="388"/>
      <c r="O1" s="386" t="s">
        <v>78</v>
      </c>
      <c r="P1" s="387"/>
      <c r="Q1" s="388"/>
      <c r="R1" s="386" t="s">
        <v>79</v>
      </c>
      <c r="S1" s="387"/>
      <c r="T1" s="388"/>
      <c r="U1" s="386" t="s">
        <v>80</v>
      </c>
      <c r="V1" s="387"/>
      <c r="W1" s="388"/>
      <c r="X1" s="389" t="s">
        <v>81</v>
      </c>
      <c r="Y1" s="390"/>
      <c r="Z1" s="390"/>
      <c r="AA1" s="220"/>
      <c r="AB1" s="220"/>
      <c r="AC1" s="220"/>
      <c r="AD1" s="220" t="s">
        <v>3</v>
      </c>
      <c r="AE1" s="220"/>
      <c r="AF1" s="220"/>
      <c r="AG1" s="220"/>
    </row>
    <row r="2" spans="1:34" s="40" customFormat="1" ht="14.25" customHeight="1" thickBot="1" x14ac:dyDescent="0.3">
      <c r="A2" s="96" t="s">
        <v>82</v>
      </c>
      <c r="B2" s="96" t="s">
        <v>83</v>
      </c>
      <c r="C2" s="96" t="s">
        <v>84</v>
      </c>
      <c r="D2" s="96" t="s">
        <v>85</v>
      </c>
      <c r="E2" s="96" t="s">
        <v>86</v>
      </c>
      <c r="F2" s="97" t="s">
        <v>87</v>
      </c>
      <c r="G2" s="97" t="s">
        <v>88</v>
      </c>
      <c r="H2" s="340" t="s">
        <v>89</v>
      </c>
      <c r="I2" s="340" t="s">
        <v>90</v>
      </c>
      <c r="J2" s="340" t="s">
        <v>91</v>
      </c>
      <c r="K2" s="97" t="s">
        <v>92</v>
      </c>
      <c r="L2" s="340" t="s">
        <v>89</v>
      </c>
      <c r="M2" s="340" t="s">
        <v>90</v>
      </c>
      <c r="N2" s="340" t="s">
        <v>91</v>
      </c>
      <c r="O2" s="340" t="s">
        <v>89</v>
      </c>
      <c r="P2" s="340" t="s">
        <v>90</v>
      </c>
      <c r="Q2" s="340" t="s">
        <v>91</v>
      </c>
      <c r="R2" s="340" t="s">
        <v>89</v>
      </c>
      <c r="S2" s="340" t="s">
        <v>90</v>
      </c>
      <c r="T2" s="340" t="s">
        <v>91</v>
      </c>
      <c r="U2" s="340" t="s">
        <v>89</v>
      </c>
      <c r="V2" s="340" t="s">
        <v>93</v>
      </c>
      <c r="W2" s="340" t="s">
        <v>94</v>
      </c>
      <c r="X2" s="340" t="s">
        <v>89</v>
      </c>
      <c r="Y2" s="340" t="s">
        <v>95</v>
      </c>
      <c r="Z2" s="340" t="s">
        <v>91</v>
      </c>
      <c r="AA2" s="135">
        <v>2021</v>
      </c>
      <c r="AB2" s="135">
        <v>2020</v>
      </c>
      <c r="AC2" s="135">
        <v>2019</v>
      </c>
      <c r="AD2" s="135">
        <v>2018</v>
      </c>
      <c r="AE2" s="135">
        <v>2017</v>
      </c>
      <c r="AF2" s="135">
        <v>2016</v>
      </c>
      <c r="AG2" s="135">
        <v>2015</v>
      </c>
    </row>
    <row r="3" spans="1:34" s="40" customFormat="1" ht="31.5" hidden="1" customHeight="1" thickBot="1" x14ac:dyDescent="0.3">
      <c r="A3" s="99" t="s">
        <v>96</v>
      </c>
      <c r="B3" s="99" t="s">
        <v>97</v>
      </c>
      <c r="C3" s="99" t="s">
        <v>98</v>
      </c>
      <c r="D3" s="99" t="s">
        <v>68</v>
      </c>
      <c r="E3" s="99" t="s">
        <v>99</v>
      </c>
      <c r="F3" s="206">
        <v>154</v>
      </c>
      <c r="G3" s="130">
        <v>3000</v>
      </c>
      <c r="H3" s="368"/>
      <c r="I3" s="368"/>
      <c r="J3" s="368"/>
      <c r="K3" s="368"/>
      <c r="L3" s="359">
        <f>F3</f>
        <v>154</v>
      </c>
      <c r="M3" s="337">
        <v>420</v>
      </c>
      <c r="N3" s="337">
        <f>M3*1.21</f>
        <v>508.2</v>
      </c>
      <c r="O3" s="204">
        <v>2</v>
      </c>
      <c r="P3" s="204">
        <v>350</v>
      </c>
      <c r="Q3" s="204">
        <f>P3*1.21</f>
        <v>423.5</v>
      </c>
      <c r="R3" s="341"/>
      <c r="S3" s="342"/>
      <c r="T3" s="342"/>
      <c r="U3" s="341">
        <v>2</v>
      </c>
      <c r="V3" s="342">
        <v>4088.91</v>
      </c>
      <c r="W3" s="342">
        <f>V3*1.21</f>
        <v>4947.5810999999994</v>
      </c>
      <c r="X3" s="341"/>
      <c r="Y3" s="343">
        <v>41322.314049586777</v>
      </c>
      <c r="Z3" s="343">
        <v>50000</v>
      </c>
      <c r="AA3" s="136" t="s">
        <v>100</v>
      </c>
      <c r="AB3" s="136" t="s">
        <v>32</v>
      </c>
      <c r="AC3" s="136"/>
      <c r="AD3" s="136" t="s">
        <v>32</v>
      </c>
      <c r="AE3" s="136" t="s">
        <v>101</v>
      </c>
      <c r="AF3" s="136" t="s">
        <v>101</v>
      </c>
      <c r="AG3" s="136" t="s">
        <v>101</v>
      </c>
    </row>
    <row r="4" spans="1:34" s="132" customFormat="1" ht="27.75" hidden="1" customHeight="1" thickBot="1" x14ac:dyDescent="0.3">
      <c r="A4" s="99" t="s">
        <v>96</v>
      </c>
      <c r="B4" s="137" t="s">
        <v>97</v>
      </c>
      <c r="C4" s="99" t="s">
        <v>102</v>
      </c>
      <c r="D4" s="99" t="s">
        <v>103</v>
      </c>
      <c r="E4" s="99" t="s">
        <v>104</v>
      </c>
      <c r="F4" s="206"/>
      <c r="G4" s="203"/>
      <c r="H4" s="369"/>
      <c r="I4" s="369"/>
      <c r="J4" s="369"/>
      <c r="K4" s="369"/>
      <c r="L4" s="336"/>
      <c r="M4" s="338"/>
      <c r="N4" s="338"/>
      <c r="O4" s="204"/>
      <c r="P4" s="204"/>
      <c r="Q4" s="204"/>
      <c r="R4" s="341"/>
      <c r="S4" s="342"/>
      <c r="T4" s="342"/>
      <c r="U4" s="341">
        <v>1</v>
      </c>
      <c r="V4" s="342"/>
      <c r="W4" s="342"/>
      <c r="X4" s="341"/>
      <c r="Y4" s="343"/>
      <c r="Z4" s="343">
        <v>3389.15</v>
      </c>
      <c r="AA4" s="136"/>
      <c r="AB4" s="136"/>
      <c r="AC4" s="136"/>
      <c r="AD4" s="136"/>
      <c r="AE4" s="136" t="s">
        <v>105</v>
      </c>
      <c r="AF4" s="136" t="s">
        <v>106</v>
      </c>
      <c r="AG4" s="136" t="s">
        <v>107</v>
      </c>
    </row>
    <row r="5" spans="1:34" s="40" customFormat="1" ht="27.75" hidden="1" customHeight="1" thickBot="1" x14ac:dyDescent="0.3">
      <c r="A5" s="99" t="s">
        <v>96</v>
      </c>
      <c r="B5" s="99" t="s">
        <v>97</v>
      </c>
      <c r="C5" s="99" t="s">
        <v>108</v>
      </c>
      <c r="D5" s="99" t="s">
        <v>103</v>
      </c>
      <c r="E5" s="99" t="s">
        <v>104</v>
      </c>
      <c r="F5" s="206">
        <v>10</v>
      </c>
      <c r="G5" s="203">
        <v>25000</v>
      </c>
      <c r="H5" s="369"/>
      <c r="I5" s="369"/>
      <c r="J5" s="369"/>
      <c r="K5" s="369"/>
      <c r="L5" s="214">
        <v>1</v>
      </c>
      <c r="M5" s="339"/>
      <c r="N5" s="339"/>
      <c r="O5" s="334">
        <v>1</v>
      </c>
      <c r="P5" s="334"/>
      <c r="Q5" s="334"/>
      <c r="R5" s="341">
        <v>1</v>
      </c>
      <c r="S5" s="342" t="e">
        <f>#REF!-Despeses21!S13-Despeses21!S14-Despeses21!S20-S10</f>
        <v>#REF!</v>
      </c>
      <c r="T5" s="342" t="e">
        <f>S5*1.21</f>
        <v>#REF!</v>
      </c>
      <c r="U5" s="341">
        <v>10</v>
      </c>
      <c r="V5" s="342">
        <f t="shared" ref="V5:V14" si="0">W5/1.21</f>
        <v>0</v>
      </c>
      <c r="W5" s="342"/>
      <c r="X5" s="341"/>
      <c r="Y5" s="343">
        <f>Z5/1.21</f>
        <v>14953.314049586776</v>
      </c>
      <c r="Z5" s="343">
        <v>18093.509999999998</v>
      </c>
      <c r="AA5" s="136"/>
      <c r="AB5" s="136"/>
      <c r="AC5" s="136" t="s">
        <v>32</v>
      </c>
      <c r="AD5" s="136" t="s">
        <v>32</v>
      </c>
      <c r="AE5" s="136" t="s">
        <v>16</v>
      </c>
      <c r="AF5" s="136" t="s">
        <v>106</v>
      </c>
      <c r="AG5" s="136" t="s">
        <v>107</v>
      </c>
    </row>
    <row r="6" spans="1:34" s="40" customFormat="1" ht="27.75" customHeight="1" thickBot="1" x14ac:dyDescent="0.3">
      <c r="A6" s="99" t="s">
        <v>96</v>
      </c>
      <c r="B6" s="99" t="str">
        <f>Proveidors21!R8</f>
        <v>Office Depot</v>
      </c>
      <c r="C6" s="99" t="s">
        <v>109</v>
      </c>
      <c r="D6" s="99" t="s">
        <v>69</v>
      </c>
      <c r="E6" s="99" t="str">
        <f>Proveidors21!A40</f>
        <v>Office Depot</v>
      </c>
      <c r="F6" s="206">
        <v>350</v>
      </c>
      <c r="G6" s="130">
        <v>470.12</v>
      </c>
      <c r="H6" s="368">
        <v>500</v>
      </c>
      <c r="I6" s="368"/>
      <c r="J6" s="368"/>
      <c r="K6" s="368" t="s">
        <v>56</v>
      </c>
      <c r="L6" s="358">
        <f>F6</f>
        <v>350</v>
      </c>
      <c r="M6" s="339">
        <f>G6</f>
        <v>470.12</v>
      </c>
      <c r="N6" s="337">
        <f>M6*1.21</f>
        <v>568.84519999999998</v>
      </c>
      <c r="O6" s="334">
        <f>25*12</f>
        <v>300</v>
      </c>
      <c r="P6" s="334"/>
      <c r="Q6" s="334"/>
      <c r="R6" s="344">
        <f>25*12</f>
        <v>300</v>
      </c>
      <c r="S6" s="342">
        <f>T6/1.21</f>
        <v>49.285714285714285</v>
      </c>
      <c r="T6" s="342">
        <f>W6/21*23</f>
        <v>59.635714285714279</v>
      </c>
      <c r="U6" s="344" t="s">
        <v>110</v>
      </c>
      <c r="V6" s="342">
        <f t="shared" si="0"/>
        <v>45</v>
      </c>
      <c r="W6" s="342">
        <f>Proveidors21!AI40</f>
        <v>54.449999999999996</v>
      </c>
      <c r="X6" s="341">
        <f>21*12</f>
        <v>252</v>
      </c>
      <c r="Y6" s="343">
        <v>54.9</v>
      </c>
      <c r="Z6" s="343">
        <v>66.429000000000002</v>
      </c>
      <c r="AA6" s="136" t="s">
        <v>100</v>
      </c>
      <c r="AB6" s="136" t="s">
        <v>56</v>
      </c>
      <c r="AC6" s="136" t="s">
        <v>56</v>
      </c>
      <c r="AD6" s="136" t="s">
        <v>56</v>
      </c>
      <c r="AE6" s="136" t="s">
        <v>111</v>
      </c>
      <c r="AF6" s="136" t="s">
        <v>32</v>
      </c>
      <c r="AG6" s="136" t="s">
        <v>112</v>
      </c>
    </row>
    <row r="7" spans="1:34" s="40" customFormat="1" ht="27.75" customHeight="1" thickBot="1" x14ac:dyDescent="0.3">
      <c r="A7" s="99" t="s">
        <v>96</v>
      </c>
      <c r="B7" s="137" t="str">
        <f>Proveidors21!A53</f>
        <v>MOKOM</v>
      </c>
      <c r="C7" s="99" t="s">
        <v>113</v>
      </c>
      <c r="D7" s="99" t="s">
        <v>69</v>
      </c>
      <c r="E7" s="99" t="s">
        <v>104</v>
      </c>
      <c r="F7" s="206"/>
      <c r="G7" s="203"/>
      <c r="H7" s="369"/>
      <c r="I7" s="369"/>
      <c r="J7" s="369"/>
      <c r="K7" s="369"/>
      <c r="L7" s="214"/>
      <c r="M7" s="339"/>
      <c r="N7" s="339"/>
      <c r="O7" s="334"/>
      <c r="P7" s="334"/>
      <c r="Q7" s="334"/>
      <c r="R7" s="341"/>
      <c r="S7" s="342"/>
      <c r="T7" s="342"/>
      <c r="U7" s="341">
        <v>1</v>
      </c>
      <c r="V7" s="342">
        <f t="shared" si="0"/>
        <v>25.2</v>
      </c>
      <c r="W7" s="342">
        <f>Proveidors21!AI53</f>
        <v>30.491999999999997</v>
      </c>
      <c r="X7" s="341"/>
      <c r="Y7" s="343">
        <v>25.2</v>
      </c>
      <c r="Z7" s="343">
        <v>30.491999999999997</v>
      </c>
      <c r="AA7" s="136"/>
      <c r="AB7" s="136" t="s">
        <v>56</v>
      </c>
      <c r="AC7" s="136" t="s">
        <v>56</v>
      </c>
      <c r="AD7" s="136" t="s">
        <v>56</v>
      </c>
      <c r="AE7" s="136" t="s">
        <v>56</v>
      </c>
      <c r="AF7" s="136" t="s">
        <v>56</v>
      </c>
      <c r="AG7" s="136" t="s">
        <v>56</v>
      </c>
    </row>
    <row r="8" spans="1:34" s="40" customFormat="1" ht="33.75" customHeight="1" thickBot="1" x14ac:dyDescent="0.3">
      <c r="A8" s="99" t="s">
        <v>96</v>
      </c>
      <c r="B8" s="99" t="str">
        <f>Proveidors21!A54</f>
        <v>MOKOM</v>
      </c>
      <c r="C8" s="99" t="s">
        <v>114</v>
      </c>
      <c r="D8" s="99" t="s">
        <v>69</v>
      </c>
      <c r="E8" s="99" t="s">
        <v>104</v>
      </c>
      <c r="F8" s="206">
        <f>350*4</f>
        <v>1400</v>
      </c>
      <c r="G8" s="130">
        <v>1132.28</v>
      </c>
      <c r="H8" s="368"/>
      <c r="I8" s="368"/>
      <c r="J8" s="368"/>
      <c r="K8" s="368"/>
      <c r="L8" s="358">
        <f>F8</f>
        <v>1400</v>
      </c>
      <c r="M8" s="339">
        <f>G8</f>
        <v>1132.28</v>
      </c>
      <c r="N8" s="337">
        <f>M8*1.21</f>
        <v>1370.0588</v>
      </c>
      <c r="O8" s="334">
        <f>Proveidors21!AL54</f>
        <v>184.47659999999999</v>
      </c>
      <c r="P8" s="334"/>
      <c r="Q8" s="334"/>
      <c r="R8" s="341">
        <f>Proveidors21!AJ54</f>
        <v>300</v>
      </c>
      <c r="S8" s="342">
        <f>Proveidors21!AK54+Proveidors21!AK53</f>
        <v>182.952</v>
      </c>
      <c r="T8" s="342">
        <f>Proveidors21!AL54+Proveidors21!AL53</f>
        <v>221.37191999999999</v>
      </c>
      <c r="U8" s="341">
        <f>'Estoc 19'!AG11</f>
        <v>250</v>
      </c>
      <c r="V8" s="342">
        <f t="shared" si="0"/>
        <v>105</v>
      </c>
      <c r="W8" s="342">
        <f>Proveidors21!AI54</f>
        <v>127.05</v>
      </c>
      <c r="X8" s="341"/>
      <c r="Y8" s="343">
        <v>62.42</v>
      </c>
      <c r="Z8" s="343">
        <v>75.528199999999998</v>
      </c>
      <c r="AA8" s="136" t="s">
        <v>100</v>
      </c>
      <c r="AB8" s="136" t="s">
        <v>56</v>
      </c>
      <c r="AC8" s="136" t="s">
        <v>56</v>
      </c>
      <c r="AD8" s="136" t="s">
        <v>56</v>
      </c>
      <c r="AE8" s="136" t="s">
        <v>56</v>
      </c>
      <c r="AF8" s="136" t="s">
        <v>56</v>
      </c>
      <c r="AG8" s="136" t="s">
        <v>56</v>
      </c>
      <c r="AH8" s="181"/>
    </row>
    <row r="9" spans="1:34" s="40" customFormat="1" ht="27.75" customHeight="1" thickBot="1" x14ac:dyDescent="0.3">
      <c r="A9" s="99" t="s">
        <v>96</v>
      </c>
      <c r="B9" s="99" t="str">
        <f>Proveidors21!R6</f>
        <v>Planas</v>
      </c>
      <c r="C9" s="99" t="s">
        <v>115</v>
      </c>
      <c r="D9" s="99" t="s">
        <v>69</v>
      </c>
      <c r="E9" s="99" t="s">
        <v>104</v>
      </c>
      <c r="F9" s="206">
        <f>1*300</f>
        <v>300</v>
      </c>
      <c r="G9" s="203">
        <v>1400</v>
      </c>
      <c r="H9" s="369"/>
      <c r="I9" s="369"/>
      <c r="J9" s="369"/>
      <c r="K9" s="369"/>
      <c r="L9" s="214">
        <f>Proveidors21!AH48</f>
        <v>250</v>
      </c>
      <c r="M9" s="339"/>
      <c r="N9" s="339"/>
      <c r="O9" s="334">
        <f>Proveidors21!AL48</f>
        <v>1408.44</v>
      </c>
      <c r="P9" s="334"/>
      <c r="Q9" s="334"/>
      <c r="R9" s="344">
        <f>Proveidors21!AJ48</f>
        <v>300</v>
      </c>
      <c r="S9" s="342"/>
      <c r="T9" s="342"/>
      <c r="U9" s="344" t="s">
        <v>116</v>
      </c>
      <c r="V9" s="342">
        <f t="shared" si="0"/>
        <v>902.1</v>
      </c>
      <c r="W9" s="342">
        <f>Proveidors21!AI48</f>
        <v>1091.5409999999999</v>
      </c>
      <c r="X9" s="345"/>
      <c r="Y9" s="343">
        <v>731.52</v>
      </c>
      <c r="Z9" s="343">
        <v>885.13919999999996</v>
      </c>
      <c r="AA9" s="136"/>
      <c r="AB9" s="136"/>
      <c r="AC9" s="136"/>
      <c r="AD9" s="136" t="s">
        <v>117</v>
      </c>
      <c r="AE9" s="136" t="s">
        <v>118</v>
      </c>
      <c r="AF9" s="136" t="s">
        <v>32</v>
      </c>
      <c r="AG9" s="136" t="s">
        <v>117</v>
      </c>
    </row>
    <row r="10" spans="1:34" s="181" customFormat="1" ht="27.75" customHeight="1" thickBot="1" x14ac:dyDescent="0.3">
      <c r="A10" s="99" t="s">
        <v>96</v>
      </c>
      <c r="B10" s="99" t="s">
        <v>119</v>
      </c>
      <c r="C10" s="99" t="s">
        <v>120</v>
      </c>
      <c r="D10" s="99" t="s">
        <v>121</v>
      </c>
      <c r="E10" s="99" t="str">
        <f>Proveidors21!A58</f>
        <v>ZEBA</v>
      </c>
      <c r="F10" s="206">
        <v>3</v>
      </c>
      <c r="G10" s="203">
        <v>3600</v>
      </c>
      <c r="H10" s="369"/>
      <c r="I10" s="369"/>
      <c r="J10" s="369"/>
      <c r="K10" s="369"/>
      <c r="L10" s="358">
        <f>F10</f>
        <v>3</v>
      </c>
      <c r="M10" s="339">
        <f>G10</f>
        <v>3600</v>
      </c>
      <c r="N10" s="339">
        <f>M10*1.21</f>
        <v>4356</v>
      </c>
      <c r="O10" s="334">
        <v>5</v>
      </c>
      <c r="P10" s="334">
        <f>2060+1200</f>
        <v>3260</v>
      </c>
      <c r="Q10" s="334">
        <f>P10*1.21</f>
        <v>3944.6</v>
      </c>
      <c r="R10" s="341">
        <v>2</v>
      </c>
      <c r="S10" s="342">
        <v>2060</v>
      </c>
      <c r="T10" s="342">
        <f>S10*1.21</f>
        <v>2492.6</v>
      </c>
      <c r="U10" s="341">
        <v>2</v>
      </c>
      <c r="V10" s="342">
        <f t="shared" si="0"/>
        <v>900</v>
      </c>
      <c r="W10" s="342">
        <f>Proveidors21!AI58</f>
        <v>1089</v>
      </c>
      <c r="X10" s="341">
        <v>4</v>
      </c>
      <c r="Y10" s="343">
        <v>1140</v>
      </c>
      <c r="Z10" s="343">
        <v>1379.3999999999999</v>
      </c>
      <c r="AA10" s="136" t="s">
        <v>122</v>
      </c>
      <c r="AB10" s="136" t="s">
        <v>32</v>
      </c>
      <c r="AC10" s="136" t="s">
        <v>56</v>
      </c>
      <c r="AD10" s="136" t="s">
        <v>32</v>
      </c>
      <c r="AE10" s="136" t="s">
        <v>56</v>
      </c>
      <c r="AF10" s="136" t="s">
        <v>56</v>
      </c>
      <c r="AG10" s="136" t="s">
        <v>56</v>
      </c>
      <c r="AH10" s="40"/>
    </row>
    <row r="11" spans="1:34" s="181" customFormat="1" ht="27.75" customHeight="1" thickBot="1" x14ac:dyDescent="0.3">
      <c r="A11" s="99" t="s">
        <v>96</v>
      </c>
      <c r="B11" s="99" t="str">
        <f>Proveidors21!R5</f>
        <v>gili industrial</v>
      </c>
      <c r="C11" s="99" t="s">
        <v>123</v>
      </c>
      <c r="D11" s="99" t="s">
        <v>69</v>
      </c>
      <c r="E11" s="99" t="str">
        <f>Proveidors21!A26</f>
        <v>Gili Industrial</v>
      </c>
      <c r="F11" s="206">
        <f>350*5</f>
        <v>1750</v>
      </c>
      <c r="G11" s="203">
        <v>1500</v>
      </c>
      <c r="H11" s="369"/>
      <c r="I11" s="369"/>
      <c r="J11" s="369"/>
      <c r="K11" s="369"/>
      <c r="L11" s="358">
        <f>F11</f>
        <v>1750</v>
      </c>
      <c r="M11" s="339">
        <v>1505</v>
      </c>
      <c r="N11" s="339">
        <f>M11*1.21</f>
        <v>1821.05</v>
      </c>
      <c r="O11" s="334">
        <f>Proveidors21!AL26</f>
        <v>1161.5999999999999</v>
      </c>
      <c r="P11" s="334">
        <v>1505</v>
      </c>
      <c r="Q11" s="334">
        <f>P11*1.21</f>
        <v>1821.05</v>
      </c>
      <c r="R11" s="341">
        <f>Proveidors21!AJ26</f>
        <v>1200</v>
      </c>
      <c r="S11" s="342">
        <v>1505</v>
      </c>
      <c r="T11" s="342">
        <f>S11*1.21</f>
        <v>1821.05</v>
      </c>
      <c r="U11" s="341">
        <f>'Estoc 19'!AG5</f>
        <v>500</v>
      </c>
      <c r="V11" s="342">
        <f t="shared" si="0"/>
        <v>440</v>
      </c>
      <c r="W11" s="342">
        <f>Proveidors21!AI26</f>
        <v>532.4</v>
      </c>
      <c r="X11" s="341">
        <v>390</v>
      </c>
      <c r="Y11" s="343">
        <v>351.1</v>
      </c>
      <c r="Z11" s="343">
        <v>424.83100000000002</v>
      </c>
      <c r="AA11" s="136" t="s">
        <v>100</v>
      </c>
      <c r="AB11" s="136" t="s">
        <v>40</v>
      </c>
      <c r="AC11" s="136" t="s">
        <v>40</v>
      </c>
      <c r="AD11" s="136" t="s">
        <v>32</v>
      </c>
      <c r="AE11" s="136" t="s">
        <v>32</v>
      </c>
      <c r="AF11" s="136" t="s">
        <v>117</v>
      </c>
      <c r="AG11" s="136" t="s">
        <v>112</v>
      </c>
      <c r="AH11" s="40"/>
    </row>
    <row r="12" spans="1:34" s="181" customFormat="1" ht="27.75" customHeight="1" thickBot="1" x14ac:dyDescent="0.3">
      <c r="A12" s="99" t="s">
        <v>96</v>
      </c>
      <c r="B12" s="99" t="s">
        <v>124</v>
      </c>
      <c r="C12" s="99" t="s">
        <v>125</v>
      </c>
      <c r="D12" s="99" t="s">
        <v>69</v>
      </c>
      <c r="E12" s="99" t="str">
        <f>Proveidors21!A27</f>
        <v>Grupak bcn</v>
      </c>
      <c r="F12" s="206">
        <f>$E$1*2</f>
        <v>0</v>
      </c>
      <c r="G12" s="203">
        <v>800</v>
      </c>
      <c r="H12" s="369"/>
      <c r="I12" s="369"/>
      <c r="J12" s="369"/>
      <c r="K12" s="369"/>
      <c r="L12" s="214"/>
      <c r="M12" s="339"/>
      <c r="N12" s="339"/>
      <c r="O12" s="334"/>
      <c r="P12" s="334"/>
      <c r="Q12" s="334"/>
      <c r="R12" s="344"/>
      <c r="S12" s="342"/>
      <c r="T12" s="342"/>
      <c r="U12" s="344">
        <f>Proveidors21!AH27</f>
        <v>520</v>
      </c>
      <c r="V12" s="342">
        <f t="shared" si="0"/>
        <v>476.2</v>
      </c>
      <c r="W12" s="342">
        <f>Proveidors21!AI27</f>
        <v>576.202</v>
      </c>
      <c r="X12" s="341">
        <v>400</v>
      </c>
      <c r="Y12" s="343">
        <f>Z12/1.21</f>
        <v>420</v>
      </c>
      <c r="Z12" s="343">
        <f>Proveidors21!AG27</f>
        <v>508.2</v>
      </c>
      <c r="AA12" s="138"/>
      <c r="AB12" s="138"/>
      <c r="AC12" s="138"/>
      <c r="AD12" s="138" t="s">
        <v>117</v>
      </c>
      <c r="AE12" s="138" t="s">
        <v>32</v>
      </c>
      <c r="AF12" s="138"/>
      <c r="AG12" s="138"/>
    </row>
    <row r="13" spans="1:34" s="40" customFormat="1" ht="27.75" customHeight="1" thickBot="1" x14ac:dyDescent="0.3">
      <c r="A13" s="99" t="s">
        <v>96</v>
      </c>
      <c r="B13" s="99" t="str">
        <f>Proveidors21!R3</f>
        <v>sacos hidalgo</v>
      </c>
      <c r="C13" s="99" t="s">
        <v>126</v>
      </c>
      <c r="D13" s="99" t="s">
        <v>69</v>
      </c>
      <c r="E13" s="99" t="str">
        <f>Proveidors21!A44</f>
        <v>Multisac</v>
      </c>
      <c r="F13" s="206">
        <v>3500</v>
      </c>
      <c r="G13" s="203">
        <f>1610+210+1000</f>
        <v>2820</v>
      </c>
      <c r="H13" s="369">
        <f>50*20</f>
        <v>1000</v>
      </c>
      <c r="I13" s="372">
        <f>0.47+0.06</f>
        <v>0.53</v>
      </c>
      <c r="J13" s="369">
        <f>H13*I13</f>
        <v>530</v>
      </c>
      <c r="K13" s="369"/>
      <c r="L13" s="358">
        <f>F13</f>
        <v>3500</v>
      </c>
      <c r="M13" s="339">
        <f>G13</f>
        <v>2820</v>
      </c>
      <c r="N13" s="339">
        <f>M13*1.21</f>
        <v>3412.2</v>
      </c>
      <c r="O13" s="334">
        <f>Proveidors21!AL44</f>
        <v>1851.3</v>
      </c>
      <c r="P13" s="334">
        <f>Proveidors21!J44</f>
        <v>0</v>
      </c>
      <c r="Q13" s="334">
        <f>P13*1.21</f>
        <v>0</v>
      </c>
      <c r="R13" s="341">
        <f>Proveidors21!AJ44</f>
        <v>3000</v>
      </c>
      <c r="S13" s="342">
        <f>Proveidors21!AK44</f>
        <v>1530</v>
      </c>
      <c r="T13" s="342">
        <f>Proveidors21!AL44</f>
        <v>1851.3</v>
      </c>
      <c r="U13" s="341">
        <f>'Estoc 19'!AG3</f>
        <v>2500</v>
      </c>
      <c r="V13" s="342">
        <f t="shared" si="0"/>
        <v>1516.3500000000001</v>
      </c>
      <c r="W13" s="342">
        <f>Proveidors21!AI44</f>
        <v>1834.7835</v>
      </c>
      <c r="X13" s="341">
        <v>3000</v>
      </c>
      <c r="Y13" s="343">
        <f>Z13/1.21</f>
        <v>1950</v>
      </c>
      <c r="Z13" s="343">
        <f>150*1.21+X13*0.6*1.21</f>
        <v>2359.5</v>
      </c>
      <c r="AA13" s="136" t="s">
        <v>100</v>
      </c>
      <c r="AB13" s="136" t="s">
        <v>32</v>
      </c>
      <c r="AC13" s="136" t="s">
        <v>32</v>
      </c>
      <c r="AD13" s="136" t="s">
        <v>117</v>
      </c>
      <c r="AE13" s="136" t="s">
        <v>32</v>
      </c>
      <c r="AF13" s="136" t="s">
        <v>117</v>
      </c>
      <c r="AG13" s="136" t="s">
        <v>117</v>
      </c>
    </row>
    <row r="14" spans="1:34" s="40" customFormat="1" ht="27.75" customHeight="1" thickBot="1" x14ac:dyDescent="0.3">
      <c r="A14" s="99" t="s">
        <v>96</v>
      </c>
      <c r="B14" s="99" t="str">
        <f>Proveidors21!R4</f>
        <v>multisac</v>
      </c>
      <c r="C14" s="99" t="s">
        <v>127</v>
      </c>
      <c r="D14" s="99" t="s">
        <v>69</v>
      </c>
      <c r="E14" s="99" t="str">
        <f>Proveidors21!A34</f>
        <v>Multisac</v>
      </c>
      <c r="F14" s="206">
        <v>350</v>
      </c>
      <c r="G14" s="203">
        <f>42+129.5+8</f>
        <v>179.5</v>
      </c>
      <c r="H14" s="369"/>
      <c r="I14" s="369"/>
      <c r="J14" s="369">
        <f>H14*I14</f>
        <v>0</v>
      </c>
      <c r="K14" s="369"/>
      <c r="L14" s="358">
        <f>F14</f>
        <v>350</v>
      </c>
      <c r="M14" s="339">
        <f>G14</f>
        <v>179.5</v>
      </c>
      <c r="N14" s="339">
        <f>M14*1.21</f>
        <v>217.19499999999999</v>
      </c>
      <c r="O14" s="335">
        <v>235</v>
      </c>
      <c r="P14" s="335">
        <f>Proveidors21!J34</f>
        <v>3</v>
      </c>
      <c r="Q14" s="335">
        <f>P14*1.21</f>
        <v>3.63</v>
      </c>
      <c r="R14" s="341">
        <v>235</v>
      </c>
      <c r="S14" s="342">
        <f>Proveidors21!AK34</f>
        <v>117.5</v>
      </c>
      <c r="T14" s="342">
        <f>Proveidors21!AL34</f>
        <v>142.17499999999998</v>
      </c>
      <c r="U14" s="341">
        <f>'Estoc 19'!AG10</f>
        <v>250</v>
      </c>
      <c r="V14" s="342">
        <f t="shared" si="0"/>
        <v>124.51000000000002</v>
      </c>
      <c r="W14" s="342">
        <f>Proveidors21!AI34</f>
        <v>150.65710000000001</v>
      </c>
      <c r="X14" s="341">
        <v>300</v>
      </c>
      <c r="Y14" s="343">
        <v>481.74</v>
      </c>
      <c r="Z14" s="343">
        <v>582.90539999999999</v>
      </c>
      <c r="AA14" s="136" t="s">
        <v>100</v>
      </c>
      <c r="AB14" s="136" t="s">
        <v>32</v>
      </c>
      <c r="AC14" s="136" t="s">
        <v>32</v>
      </c>
      <c r="AD14" s="136" t="s">
        <v>40</v>
      </c>
      <c r="AE14" s="136" t="s">
        <v>40</v>
      </c>
      <c r="AF14" s="136" t="s">
        <v>117</v>
      </c>
      <c r="AG14" s="136" t="s">
        <v>112</v>
      </c>
    </row>
    <row r="15" spans="1:34" s="40" customFormat="1" ht="27.75" hidden="1" customHeight="1" thickBot="1" x14ac:dyDescent="0.3">
      <c r="A15" s="99" t="s">
        <v>128</v>
      </c>
      <c r="B15" s="99" t="s">
        <v>129</v>
      </c>
      <c r="C15" s="99" t="s">
        <v>130</v>
      </c>
      <c r="D15" s="99" t="s">
        <v>131</v>
      </c>
      <c r="E15" s="99" t="s">
        <v>132</v>
      </c>
      <c r="F15" s="206">
        <v>12</v>
      </c>
      <c r="G15" s="203">
        <f>400*F15</f>
        <v>4800</v>
      </c>
      <c r="H15" s="369"/>
      <c r="I15" s="369"/>
      <c r="J15" s="369"/>
      <c r="K15" s="369"/>
      <c r="L15" s="214">
        <v>12</v>
      </c>
      <c r="M15" s="339">
        <f>3000*2</f>
        <v>6000</v>
      </c>
      <c r="N15" s="339">
        <f>M15*1.21</f>
        <v>7260</v>
      </c>
      <c r="O15" s="334">
        <v>12</v>
      </c>
      <c r="P15" s="334"/>
      <c r="Q15" s="334"/>
      <c r="R15" s="341">
        <v>12</v>
      </c>
      <c r="S15" s="346"/>
      <c r="T15" s="342"/>
      <c r="U15" s="341">
        <v>250</v>
      </c>
      <c r="V15" s="346">
        <f>Proveidors21!AI59</f>
        <v>6058.08</v>
      </c>
      <c r="W15" s="342">
        <f>4000</f>
        <v>4000</v>
      </c>
      <c r="X15" s="341">
        <v>199</v>
      </c>
      <c r="Y15" s="343">
        <f>25*X15</f>
        <v>4975</v>
      </c>
      <c r="Z15" s="343">
        <f>875+1328</f>
        <v>2203</v>
      </c>
      <c r="AA15" s="136" t="s">
        <v>100</v>
      </c>
      <c r="AB15" s="136" t="s">
        <v>117</v>
      </c>
      <c r="AC15" s="136" t="s">
        <v>117</v>
      </c>
      <c r="AD15" s="136" t="s">
        <v>133</v>
      </c>
      <c r="AE15" s="136" t="s">
        <v>134</v>
      </c>
      <c r="AF15" s="136" t="s">
        <v>32</v>
      </c>
      <c r="AG15" s="136" t="s">
        <v>32</v>
      </c>
      <c r="AH15" s="181"/>
    </row>
    <row r="16" spans="1:34" s="40" customFormat="1" ht="27.75" hidden="1" customHeight="1" thickBot="1" x14ac:dyDescent="0.3">
      <c r="A16" s="99"/>
      <c r="B16" s="99"/>
      <c r="C16" s="99" t="s">
        <v>135</v>
      </c>
      <c r="D16" s="99" t="s">
        <v>131</v>
      </c>
      <c r="E16" s="99" t="s">
        <v>136</v>
      </c>
      <c r="F16" s="206"/>
      <c r="G16" s="203"/>
      <c r="H16" s="369"/>
      <c r="I16" s="369"/>
      <c r="J16" s="369"/>
      <c r="K16" s="369"/>
      <c r="L16" s="214">
        <v>1</v>
      </c>
      <c r="M16" s="339">
        <v>2960</v>
      </c>
      <c r="N16" s="339">
        <f>M16*1.21</f>
        <v>3581.6</v>
      </c>
      <c r="O16" s="334">
        <v>1</v>
      </c>
      <c r="P16" s="334">
        <v>2960</v>
      </c>
      <c r="Q16" s="334">
        <f>P16*1.21</f>
        <v>3581.6</v>
      </c>
      <c r="R16" s="341">
        <v>1</v>
      </c>
      <c r="S16" s="346">
        <v>2960</v>
      </c>
      <c r="T16" s="342">
        <f>S16*1.21</f>
        <v>3581.6</v>
      </c>
      <c r="U16" s="341"/>
      <c r="V16" s="346"/>
      <c r="W16" s="342"/>
      <c r="X16" s="341"/>
      <c r="Y16" s="343"/>
      <c r="Z16" s="343"/>
      <c r="AA16" s="136"/>
      <c r="AB16" s="136" t="s">
        <v>117</v>
      </c>
      <c r="AC16" s="136" t="s">
        <v>117</v>
      </c>
      <c r="AD16" s="136"/>
      <c r="AE16" s="136"/>
      <c r="AF16" s="136"/>
      <c r="AG16" s="136"/>
      <c r="AH16" s="181"/>
    </row>
    <row r="17" spans="1:34" s="40" customFormat="1" ht="27.75" hidden="1" customHeight="1" thickBot="1" x14ac:dyDescent="0.3">
      <c r="A17" s="99"/>
      <c r="B17" s="99"/>
      <c r="C17" s="99" t="s">
        <v>135</v>
      </c>
      <c r="D17" s="99" t="s">
        <v>131</v>
      </c>
      <c r="E17" s="99"/>
      <c r="F17" s="206"/>
      <c r="G17" s="203"/>
      <c r="H17" s="369"/>
      <c r="I17" s="369"/>
      <c r="J17" s="369"/>
      <c r="K17" s="369"/>
      <c r="L17" s="214"/>
      <c r="M17" s="339"/>
      <c r="N17" s="339"/>
      <c r="O17" s="334"/>
      <c r="P17" s="334"/>
      <c r="Q17" s="334"/>
      <c r="R17" s="341"/>
      <c r="S17" s="346"/>
      <c r="T17" s="342"/>
      <c r="U17" s="341"/>
      <c r="V17" s="346"/>
      <c r="W17" s="342"/>
      <c r="X17" s="341"/>
      <c r="Y17" s="343"/>
      <c r="Z17" s="343"/>
      <c r="AA17" s="136"/>
      <c r="AB17" s="136"/>
      <c r="AC17" s="136"/>
      <c r="AD17" s="136"/>
      <c r="AE17" s="136"/>
      <c r="AF17" s="136"/>
      <c r="AG17" s="136"/>
      <c r="AH17" s="181"/>
    </row>
    <row r="18" spans="1:34" s="40" customFormat="1" ht="27.75" hidden="1" customHeight="1" thickBot="1" x14ac:dyDescent="0.3">
      <c r="A18" s="99" t="s">
        <v>96</v>
      </c>
      <c r="B18" s="99" t="s">
        <v>137</v>
      </c>
      <c r="C18" s="99" t="s">
        <v>138</v>
      </c>
      <c r="D18" s="99" t="s">
        <v>103</v>
      </c>
      <c r="E18" s="99" t="s">
        <v>104</v>
      </c>
      <c r="F18" s="206">
        <v>5</v>
      </c>
      <c r="G18" s="203">
        <v>6000</v>
      </c>
      <c r="H18" s="369"/>
      <c r="I18" s="369"/>
      <c r="J18" s="369"/>
      <c r="K18" s="369"/>
      <c r="L18" s="336"/>
      <c r="M18" s="338"/>
      <c r="N18" s="338"/>
      <c r="O18" s="204"/>
      <c r="P18" s="204"/>
      <c r="Q18" s="204"/>
      <c r="R18" s="341"/>
      <c r="S18" s="342"/>
      <c r="T18" s="342"/>
      <c r="U18" s="341">
        <v>5</v>
      </c>
      <c r="V18" s="342">
        <f>W18/1.21</f>
        <v>330.57851239669424</v>
      </c>
      <c r="W18" s="342">
        <v>400</v>
      </c>
      <c r="X18" s="341"/>
      <c r="Y18" s="343">
        <v>9.9173553719008272</v>
      </c>
      <c r="Z18" s="343">
        <v>12</v>
      </c>
      <c r="AA18" s="136"/>
      <c r="AB18" s="136"/>
      <c r="AC18" s="136"/>
      <c r="AD18" s="136" t="s">
        <v>56</v>
      </c>
      <c r="AE18" s="136" t="s">
        <v>139</v>
      </c>
      <c r="AF18" s="136" t="s">
        <v>56</v>
      </c>
      <c r="AG18" s="136" t="s">
        <v>56</v>
      </c>
    </row>
    <row r="19" spans="1:34" s="40" customFormat="1" ht="27.75" hidden="1" customHeight="1" thickBot="1" x14ac:dyDescent="0.3">
      <c r="A19" s="99" t="s">
        <v>128</v>
      </c>
      <c r="B19" s="99" t="s">
        <v>129</v>
      </c>
      <c r="C19" s="99" t="s">
        <v>140</v>
      </c>
      <c r="D19" s="99" t="s">
        <v>68</v>
      </c>
      <c r="E19" s="99" t="s">
        <v>141</v>
      </c>
      <c r="F19" s="206">
        <v>350</v>
      </c>
      <c r="G19" s="203">
        <f>350*1</f>
        <v>350</v>
      </c>
      <c r="H19" s="369"/>
      <c r="I19" s="369"/>
      <c r="J19" s="369"/>
      <c r="K19" s="369"/>
      <c r="L19" s="358">
        <f>F19</f>
        <v>350</v>
      </c>
      <c r="M19" s="339">
        <f>G19</f>
        <v>350</v>
      </c>
      <c r="N19" s="339">
        <f>M19*1.21</f>
        <v>423.5</v>
      </c>
      <c r="O19" s="334">
        <f>O22</f>
        <v>0</v>
      </c>
      <c r="P19" s="334"/>
      <c r="Q19" s="334">
        <f>P19*1.21</f>
        <v>0</v>
      </c>
      <c r="R19" s="341">
        <f>R22</f>
        <v>0</v>
      </c>
      <c r="S19" s="342">
        <f>2800</f>
        <v>2800</v>
      </c>
      <c r="T19" s="346">
        <f>S19*1.21</f>
        <v>3388</v>
      </c>
      <c r="U19" s="341">
        <v>250</v>
      </c>
      <c r="V19" s="342"/>
      <c r="W19" s="346">
        <f>V18-W18</f>
        <v>-69.421487603305764</v>
      </c>
      <c r="X19" s="341"/>
      <c r="Y19" s="343"/>
      <c r="Z19" s="343"/>
      <c r="AA19" s="136" t="s">
        <v>100</v>
      </c>
      <c r="AB19" s="136" t="s">
        <v>117</v>
      </c>
      <c r="AC19" s="136" t="s">
        <v>117</v>
      </c>
      <c r="AD19" s="136" t="s">
        <v>56</v>
      </c>
      <c r="AE19" s="136"/>
      <c r="AF19" s="136"/>
      <c r="AG19" s="136"/>
      <c r="AH19" s="181"/>
    </row>
    <row r="20" spans="1:34" s="181" customFormat="1" ht="27.75" customHeight="1" thickBot="1" x14ac:dyDescent="0.3">
      <c r="A20" s="99" t="s">
        <v>96</v>
      </c>
      <c r="B20" s="99" t="str">
        <f>Proveidors21!A33</f>
        <v>Multisac</v>
      </c>
      <c r="C20" s="99" t="s">
        <v>142</v>
      </c>
      <c r="D20" s="99" t="s">
        <v>69</v>
      </c>
      <c r="E20" s="99" t="str">
        <f>Proveidors21!A33</f>
        <v>Multisac</v>
      </c>
      <c r="F20" s="206">
        <f>350*20</f>
        <v>7000</v>
      </c>
      <c r="G20" s="203">
        <v>4591.75</v>
      </c>
      <c r="H20" s="369">
        <f>50*15*5+4000</f>
        <v>7750</v>
      </c>
      <c r="I20" s="372">
        <f>0.65+0.06</f>
        <v>0.71</v>
      </c>
      <c r="J20" s="369">
        <f>H20*I20</f>
        <v>5502.5</v>
      </c>
      <c r="K20" s="369"/>
      <c r="L20" s="358">
        <f>F20</f>
        <v>7000</v>
      </c>
      <c r="M20" s="339">
        <f>G20</f>
        <v>4591.75</v>
      </c>
      <c r="N20" s="339">
        <f>M20*1.21</f>
        <v>5556.0174999999999</v>
      </c>
      <c r="O20" s="334">
        <f>Proveidors21!AL33</f>
        <v>3557.4</v>
      </c>
      <c r="P20" s="334">
        <f>Proveidors21!J33</f>
        <v>2</v>
      </c>
      <c r="Q20" s="334">
        <f>P20*1.21</f>
        <v>2.42</v>
      </c>
      <c r="R20" s="341">
        <f>Proveidors21!AJ33</f>
        <v>6000</v>
      </c>
      <c r="S20" s="342">
        <f>Proveidors21!AK33</f>
        <v>2940</v>
      </c>
      <c r="T20" s="342">
        <f>Proveidors21!AL33</f>
        <v>3557.4</v>
      </c>
      <c r="U20" s="341">
        <f>'Estoc 19'!AG4</f>
        <v>6700</v>
      </c>
      <c r="V20" s="342">
        <f>W20/1.21</f>
        <v>2041.9999999999998</v>
      </c>
      <c r="W20" s="342">
        <f>Proveidors21!AI33</f>
        <v>2470.8199999999997</v>
      </c>
      <c r="X20" s="341">
        <v>6000</v>
      </c>
      <c r="Y20" s="343">
        <v>1920</v>
      </c>
      <c r="Z20" s="343">
        <v>2323.1999999999998</v>
      </c>
      <c r="AA20" s="136" t="s">
        <v>122</v>
      </c>
      <c r="AB20" s="136" t="s">
        <v>32</v>
      </c>
      <c r="AC20" s="136" t="s">
        <v>32</v>
      </c>
      <c r="AD20" s="136" t="s">
        <v>40</v>
      </c>
      <c r="AE20" s="136" t="s">
        <v>117</v>
      </c>
      <c r="AF20" s="136" t="s">
        <v>32</v>
      </c>
      <c r="AG20" s="136" t="s">
        <v>117</v>
      </c>
      <c r="AH20" s="40"/>
    </row>
    <row r="21" spans="1:34" s="181" customFormat="1" ht="27.75" customHeight="1" thickBot="1" x14ac:dyDescent="0.3">
      <c r="A21" s="99"/>
      <c r="B21" s="99"/>
      <c r="C21" s="99" t="s">
        <v>143</v>
      </c>
      <c r="D21" s="99" t="s">
        <v>69</v>
      </c>
      <c r="E21" s="99" t="str">
        <f>Proveidors21!A34</f>
        <v>Multisac</v>
      </c>
      <c r="F21" s="206"/>
      <c r="G21" s="203"/>
      <c r="H21" s="369"/>
      <c r="I21" s="369"/>
      <c r="J21" s="369"/>
      <c r="K21" s="369"/>
      <c r="L21" s="214">
        <v>500</v>
      </c>
      <c r="M21" s="339">
        <f>N21/1.21</f>
        <v>2955.7851239669421</v>
      </c>
      <c r="N21" s="339">
        <f>4000-N19</f>
        <v>3576.5</v>
      </c>
      <c r="O21" s="334">
        <v>500</v>
      </c>
      <c r="P21" s="334">
        <f>Q21/1.21</f>
        <v>3305.7851239669421</v>
      </c>
      <c r="Q21" s="334">
        <f>4000-Q19</f>
        <v>4000</v>
      </c>
      <c r="R21" s="341">
        <v>500</v>
      </c>
      <c r="S21" s="342">
        <f>T21/1.21</f>
        <v>505.78512396694214</v>
      </c>
      <c r="T21" s="342">
        <f>4000-T19</f>
        <v>612</v>
      </c>
      <c r="U21" s="341"/>
      <c r="V21" s="342"/>
      <c r="W21" s="342"/>
      <c r="X21" s="341"/>
      <c r="Y21" s="343"/>
      <c r="Z21" s="343"/>
      <c r="AA21" s="136"/>
      <c r="AB21" s="136" t="s">
        <v>117</v>
      </c>
      <c r="AC21" s="136" t="s">
        <v>117</v>
      </c>
      <c r="AD21" s="136"/>
      <c r="AE21" s="136"/>
      <c r="AF21" s="136"/>
      <c r="AG21" s="136"/>
      <c r="AH21" s="40"/>
    </row>
    <row r="22" spans="1:34" s="40" customFormat="1" ht="27.75" hidden="1" customHeight="1" thickBot="1" x14ac:dyDescent="0.3">
      <c r="A22" s="99" t="s">
        <v>96</v>
      </c>
      <c r="B22" s="99" t="s">
        <v>129</v>
      </c>
      <c r="C22" s="99" t="s">
        <v>144</v>
      </c>
      <c r="D22" s="99" t="s">
        <v>68</v>
      </c>
      <c r="E22" s="99" t="s">
        <v>99</v>
      </c>
      <c r="F22" s="206">
        <f>428-F3</f>
        <v>274</v>
      </c>
      <c r="G22" s="203">
        <f>G3/F3*F22</f>
        <v>5337.6623376623374</v>
      </c>
      <c r="H22" s="369"/>
      <c r="I22" s="369"/>
      <c r="J22" s="369"/>
      <c r="K22" s="369"/>
      <c r="L22" s="358">
        <f>M22/19</f>
        <v>95.171052631578945</v>
      </c>
      <c r="M22" s="339">
        <f>10000-M20-M10</f>
        <v>1808.25</v>
      </c>
      <c r="N22" s="339">
        <f t="shared" ref="N22:N27" si="1">M22*1.21</f>
        <v>2187.9825000000001</v>
      </c>
      <c r="O22" s="334">
        <f>E1</f>
        <v>0</v>
      </c>
      <c r="P22" s="334"/>
      <c r="Q22" s="334">
        <f>P22*1.21</f>
        <v>0</v>
      </c>
      <c r="R22" s="341">
        <f>E1</f>
        <v>0</v>
      </c>
      <c r="S22" s="342">
        <f>(4.84*300)-2800+2713</f>
        <v>1365</v>
      </c>
      <c r="T22" s="342">
        <f>S22*1.21</f>
        <v>1651.6499999999999</v>
      </c>
      <c r="U22" s="341"/>
      <c r="V22" s="342"/>
      <c r="W22" s="342"/>
      <c r="X22" s="341">
        <v>1</v>
      </c>
      <c r="Y22" s="343">
        <f>1286+25</f>
        <v>1311</v>
      </c>
      <c r="Z22" s="343">
        <v>4083</v>
      </c>
      <c r="AA22" s="136" t="s">
        <v>122</v>
      </c>
      <c r="AB22" s="136" t="s">
        <v>56</v>
      </c>
      <c r="AC22" s="136" t="s">
        <v>56</v>
      </c>
      <c r="AD22" s="136"/>
      <c r="AE22" s="136" t="s">
        <v>32</v>
      </c>
      <c r="AF22" s="136" t="s">
        <v>145</v>
      </c>
      <c r="AG22" s="136" t="s">
        <v>146</v>
      </c>
    </row>
    <row r="23" spans="1:34" s="40" customFormat="1" ht="27.75" customHeight="1" thickBot="1" x14ac:dyDescent="0.3">
      <c r="A23" s="99"/>
      <c r="B23" s="99"/>
      <c r="C23" s="99" t="s">
        <v>147</v>
      </c>
      <c r="D23" s="99" t="s">
        <v>69</v>
      </c>
      <c r="E23" s="190" t="s">
        <v>148</v>
      </c>
      <c r="F23" s="202"/>
      <c r="G23" s="203"/>
      <c r="H23" s="369"/>
      <c r="I23" s="369"/>
      <c r="J23" s="369"/>
      <c r="K23" s="369"/>
      <c r="L23" s="214">
        <v>12</v>
      </c>
      <c r="M23" s="339">
        <v>607</v>
      </c>
      <c r="N23" s="339">
        <f t="shared" si="1"/>
        <v>734.47</v>
      </c>
      <c r="O23" s="334"/>
      <c r="P23" s="334"/>
      <c r="Q23" s="334"/>
      <c r="R23" s="341"/>
      <c r="S23" s="342"/>
      <c r="T23" s="342"/>
      <c r="U23" s="341">
        <v>12</v>
      </c>
      <c r="V23" s="342">
        <v>571</v>
      </c>
      <c r="W23" s="342">
        <f>V23*1.21</f>
        <v>690.91</v>
      </c>
      <c r="X23" s="341"/>
      <c r="Y23" s="343"/>
      <c r="Z23" s="343"/>
      <c r="AA23" s="136" t="s">
        <v>100</v>
      </c>
      <c r="AB23" s="136"/>
      <c r="AC23" s="136"/>
      <c r="AD23" s="136" t="s">
        <v>32</v>
      </c>
      <c r="AE23" s="136"/>
      <c r="AF23" s="136"/>
      <c r="AG23" s="136"/>
    </row>
    <row r="24" spans="1:34" s="40" customFormat="1" ht="27.75" hidden="1" customHeight="1" thickBot="1" x14ac:dyDescent="0.3">
      <c r="A24" s="99"/>
      <c r="B24" s="99"/>
      <c r="C24" s="99" t="s">
        <v>149</v>
      </c>
      <c r="D24" s="99" t="s">
        <v>68</v>
      </c>
      <c r="E24" s="99" t="s">
        <v>99</v>
      </c>
      <c r="F24" s="360"/>
      <c r="G24" s="203">
        <f>M24</f>
        <v>1675</v>
      </c>
      <c r="H24" s="369"/>
      <c r="I24" s="369"/>
      <c r="J24" s="369"/>
      <c r="K24" s="369"/>
      <c r="L24" s="358">
        <f>(M24-175)/19</f>
        <v>78.94736842105263</v>
      </c>
      <c r="M24" s="339">
        <v>1675</v>
      </c>
      <c r="N24" s="339">
        <f t="shared" si="1"/>
        <v>2026.75</v>
      </c>
      <c r="O24" s="334"/>
      <c r="P24" s="334"/>
      <c r="Q24" s="334"/>
      <c r="R24" s="341"/>
      <c r="S24" s="342"/>
      <c r="T24" s="342"/>
      <c r="U24" s="341"/>
      <c r="V24" s="342"/>
      <c r="W24" s="342"/>
      <c r="X24" s="341"/>
      <c r="Y24" s="343"/>
      <c r="Z24" s="343"/>
      <c r="AA24" s="136" t="s">
        <v>100</v>
      </c>
      <c r="AB24" s="136"/>
      <c r="AC24" s="136"/>
      <c r="AD24" s="136"/>
      <c r="AE24" s="136"/>
      <c r="AF24" s="136"/>
      <c r="AG24" s="136"/>
    </row>
    <row r="25" spans="1:34" s="40" customFormat="1" ht="27.75" hidden="1" customHeight="1" thickBot="1" x14ac:dyDescent="0.3">
      <c r="A25" s="99"/>
      <c r="B25" s="99"/>
      <c r="C25" s="99" t="s">
        <v>144</v>
      </c>
      <c r="D25" s="99"/>
      <c r="E25" s="99"/>
      <c r="F25" s="360"/>
      <c r="G25" s="203"/>
      <c r="H25" s="369"/>
      <c r="I25" s="369"/>
      <c r="J25" s="369"/>
      <c r="K25" s="369"/>
      <c r="L25" s="358">
        <v>154</v>
      </c>
      <c r="M25" s="339">
        <v>3000</v>
      </c>
      <c r="N25" s="339">
        <f t="shared" si="1"/>
        <v>3630</v>
      </c>
      <c r="O25" s="334"/>
      <c r="P25" s="334"/>
      <c r="Q25" s="334"/>
      <c r="R25" s="341"/>
      <c r="S25" s="342"/>
      <c r="T25" s="342"/>
      <c r="U25" s="341"/>
      <c r="V25" s="342"/>
      <c r="W25" s="342"/>
      <c r="X25" s="341"/>
      <c r="Y25" s="343"/>
      <c r="Z25" s="343"/>
      <c r="AA25" s="136" t="s">
        <v>100</v>
      </c>
      <c r="AB25" s="136"/>
      <c r="AC25" s="136"/>
      <c r="AD25" s="136"/>
      <c r="AE25" s="136"/>
      <c r="AF25" s="136"/>
      <c r="AG25" s="136"/>
    </row>
    <row r="26" spans="1:34" s="40" customFormat="1" ht="24" hidden="1" customHeight="1" thickBot="1" x14ac:dyDescent="0.3">
      <c r="A26" s="179" t="s">
        <v>128</v>
      </c>
      <c r="B26" s="179" t="s">
        <v>129</v>
      </c>
      <c r="C26" s="99" t="s">
        <v>144</v>
      </c>
      <c r="D26" s="99" t="s">
        <v>68</v>
      </c>
      <c r="E26" s="99" t="s">
        <v>99</v>
      </c>
      <c r="G26" s="205"/>
      <c r="H26" s="370"/>
      <c r="I26" s="370"/>
      <c r="J26" s="370"/>
      <c r="K26" s="370"/>
      <c r="L26" s="361">
        <f>428-L22-L3-L24+(350+100+5-428)</f>
        <v>126.88157894736841</v>
      </c>
      <c r="M26" s="362">
        <f>L26*19</f>
        <v>2410.75</v>
      </c>
      <c r="N26" s="362">
        <f t="shared" si="1"/>
        <v>2917.0074999999997</v>
      </c>
      <c r="O26" s="334"/>
      <c r="P26" s="334"/>
      <c r="Q26" s="334"/>
      <c r="R26" s="341"/>
      <c r="S26" s="342"/>
      <c r="T26" s="342"/>
      <c r="U26" s="341"/>
      <c r="V26" s="342"/>
      <c r="W26" s="342"/>
      <c r="X26" s="341"/>
      <c r="Y26" s="343"/>
      <c r="Z26" s="343">
        <f>Y22-Z22</f>
        <v>-2772</v>
      </c>
      <c r="AA26" s="180" t="s">
        <v>150</v>
      </c>
      <c r="AB26" s="180"/>
      <c r="AC26" s="180"/>
      <c r="AD26" s="180"/>
      <c r="AE26" s="180" t="s">
        <v>40</v>
      </c>
      <c r="AF26" s="180"/>
      <c r="AG26" s="180"/>
    </row>
    <row r="27" spans="1:34" s="40" customFormat="1" ht="15" customHeight="1" thickBot="1" x14ac:dyDescent="0.3">
      <c r="A27" s="179" t="s">
        <v>96</v>
      </c>
      <c r="B27" s="179" t="s">
        <v>151</v>
      </c>
      <c r="C27" s="179" t="s">
        <v>152</v>
      </c>
      <c r="D27" s="179" t="s">
        <v>69</v>
      </c>
      <c r="E27" s="179"/>
      <c r="F27" s="204"/>
      <c r="G27" s="205"/>
      <c r="H27" s="370"/>
      <c r="I27" s="370"/>
      <c r="J27" s="370"/>
      <c r="K27" s="370"/>
      <c r="L27" s="214">
        <v>700</v>
      </c>
      <c r="M27" s="214">
        <v>3000</v>
      </c>
      <c r="N27" s="339">
        <f t="shared" si="1"/>
        <v>3630</v>
      </c>
      <c r="O27" s="334"/>
      <c r="P27" s="334"/>
      <c r="Q27" s="334"/>
      <c r="R27" s="341"/>
      <c r="S27" s="342"/>
      <c r="T27" s="342"/>
      <c r="U27" s="341"/>
      <c r="V27" s="342"/>
      <c r="W27" s="342"/>
      <c r="X27" s="341">
        <v>200</v>
      </c>
      <c r="Y27" s="343">
        <v>1000</v>
      </c>
      <c r="Z27" s="343">
        <v>1210</v>
      </c>
      <c r="AA27" s="180" t="s">
        <v>100</v>
      </c>
      <c r="AB27" s="180"/>
      <c r="AC27" s="180"/>
      <c r="AD27" s="180"/>
      <c r="AE27" s="180" t="s">
        <v>117</v>
      </c>
      <c r="AF27" s="180"/>
      <c r="AG27" s="180"/>
    </row>
    <row r="28" spans="1:34" s="40" customFormat="1" ht="15" customHeight="1" thickBot="1" x14ac:dyDescent="0.3">
      <c r="A28" s="179" t="s">
        <v>96</v>
      </c>
      <c r="B28" s="179" t="str">
        <f>Proveidors21!R7</f>
        <v>Icaria</v>
      </c>
      <c r="C28" s="179" t="s">
        <v>153</v>
      </c>
      <c r="D28" s="179" t="s">
        <v>69</v>
      </c>
      <c r="E28" s="179"/>
      <c r="F28" s="204"/>
      <c r="G28" s="205"/>
      <c r="H28" s="370"/>
      <c r="I28" s="370"/>
      <c r="J28" s="370"/>
      <c r="K28" s="370"/>
      <c r="L28" s="214"/>
      <c r="M28" s="214"/>
      <c r="N28" s="214"/>
      <c r="O28" s="334"/>
      <c r="P28" s="334"/>
      <c r="Q28" s="334"/>
      <c r="R28" s="341"/>
      <c r="S28" s="342"/>
      <c r="T28" s="342"/>
      <c r="U28" s="341"/>
      <c r="V28" s="342"/>
      <c r="W28" s="342"/>
      <c r="X28" s="341"/>
      <c r="Y28" s="343"/>
      <c r="Z28" s="343"/>
      <c r="AA28" s="180"/>
      <c r="AB28" s="180"/>
      <c r="AC28" s="180"/>
      <c r="AD28" s="180"/>
      <c r="AE28" s="180"/>
      <c r="AF28" s="180" t="s">
        <v>117</v>
      </c>
      <c r="AG28" s="180"/>
    </row>
    <row r="29" spans="1:34" s="40" customFormat="1" ht="15" customHeight="1" thickBot="1" x14ac:dyDescent="0.3">
      <c r="A29" s="179" t="s">
        <v>96</v>
      </c>
      <c r="B29" s="179" t="s">
        <v>154</v>
      </c>
      <c r="C29" s="179" t="s">
        <v>155</v>
      </c>
      <c r="D29" s="179" t="s">
        <v>69</v>
      </c>
      <c r="E29" s="179"/>
      <c r="F29" s="204"/>
      <c r="G29" s="205"/>
      <c r="H29" s="370"/>
      <c r="I29" s="370"/>
      <c r="J29" s="370"/>
      <c r="K29" s="370"/>
      <c r="L29" s="214"/>
      <c r="M29" s="214"/>
      <c r="N29" s="214"/>
      <c r="O29" s="334"/>
      <c r="P29" s="334"/>
      <c r="Q29" s="334"/>
      <c r="R29" s="341"/>
      <c r="S29" s="342"/>
      <c r="T29" s="342"/>
      <c r="U29" s="341"/>
      <c r="V29" s="342">
        <f>W29/1.21</f>
        <v>0</v>
      </c>
      <c r="W29" s="342"/>
      <c r="X29" s="341"/>
      <c r="Y29" s="343">
        <v>144</v>
      </c>
      <c r="Z29" s="343">
        <v>174.24</v>
      </c>
      <c r="AA29" s="180"/>
      <c r="AB29" s="180"/>
      <c r="AC29" s="180"/>
      <c r="AD29" s="180"/>
      <c r="AE29" s="180" t="s">
        <v>56</v>
      </c>
      <c r="AF29" s="180"/>
      <c r="AG29" s="180"/>
    </row>
    <row r="30" spans="1:34" s="40" customFormat="1" ht="1.5" customHeight="1" thickBot="1" x14ac:dyDescent="0.3">
      <c r="A30" s="179" t="s">
        <v>96</v>
      </c>
      <c r="B30" s="179" t="s">
        <v>156</v>
      </c>
      <c r="C30" s="179" t="s">
        <v>157</v>
      </c>
      <c r="D30" s="179" t="s">
        <v>69</v>
      </c>
      <c r="E30" s="179"/>
      <c r="F30" s="204"/>
      <c r="G30" s="205"/>
      <c r="H30" s="370"/>
      <c r="I30" s="370"/>
      <c r="J30" s="370"/>
      <c r="K30" s="370"/>
      <c r="L30" s="214"/>
      <c r="M30" s="214"/>
      <c r="N30" s="214"/>
      <c r="O30" s="334"/>
      <c r="P30" s="334"/>
      <c r="Q30" s="334"/>
      <c r="R30" s="341"/>
      <c r="S30" s="342"/>
      <c r="T30" s="342"/>
      <c r="U30" s="341"/>
      <c r="V30" s="342"/>
      <c r="W30" s="342"/>
      <c r="X30" s="341"/>
      <c r="Y30" s="343">
        <v>135</v>
      </c>
      <c r="Z30" s="343">
        <v>163.35</v>
      </c>
      <c r="AA30" s="180"/>
      <c r="AB30" s="180"/>
      <c r="AC30" s="180"/>
      <c r="AD30" s="180"/>
      <c r="AE30" s="180" t="s">
        <v>40</v>
      </c>
      <c r="AF30" s="180"/>
      <c r="AG30" s="180"/>
    </row>
    <row r="31" spans="1:34" s="40" customFormat="1" ht="12.75" hidden="1" customHeight="1" thickBot="1" x14ac:dyDescent="0.3">
      <c r="A31" s="101"/>
      <c r="B31" s="155"/>
      <c r="C31" s="112"/>
      <c r="D31" s="112"/>
      <c r="E31" s="112"/>
      <c r="F31" s="111" t="s">
        <v>158</v>
      </c>
      <c r="G31" s="215">
        <f>SUBTOTAL(9,G3:G26)</f>
        <v>16493.650000000001</v>
      </c>
      <c r="H31" s="371"/>
      <c r="I31" s="371"/>
      <c r="J31" s="371"/>
      <c r="K31" s="371"/>
      <c r="L31" s="113" t="s">
        <v>159</v>
      </c>
      <c r="M31" s="215">
        <f>SUBTOTAL(9,M3:M27)</f>
        <v>20861.435123966941</v>
      </c>
      <c r="N31" s="215">
        <f>SUBTOTAL(9,N3:N27)</f>
        <v>25242.336500000001</v>
      </c>
      <c r="O31" s="347"/>
      <c r="P31" s="347"/>
      <c r="Q31" s="347"/>
      <c r="R31" s="347" t="s">
        <v>160</v>
      </c>
      <c r="S31" s="347" t="e">
        <f>SUM(S3:S23)</f>
        <v>#REF!</v>
      </c>
      <c r="T31" s="347" t="e">
        <f>SUM(T3:T23)</f>
        <v>#REF!</v>
      </c>
      <c r="U31" s="348" t="s">
        <v>73</v>
      </c>
      <c r="V31" s="347">
        <f>SUBTOTAL(9,V3:V30)</f>
        <v>7147.3600000000006</v>
      </c>
      <c r="W31" s="347">
        <f>SUBTOTAL(9,W3:W30)</f>
        <v>8648.3055999999997</v>
      </c>
      <c r="X31" s="349"/>
      <c r="Y31" s="348"/>
      <c r="Z31" s="347"/>
      <c r="AA31" s="113"/>
      <c r="AB31" s="113"/>
      <c r="AC31" s="113"/>
      <c r="AD31" s="113"/>
      <c r="AE31" s="113"/>
      <c r="AF31" s="133"/>
      <c r="AG31" s="156"/>
    </row>
    <row r="32" spans="1:34" s="40" customFormat="1" ht="21.5" hidden="1" thickBot="1" x14ac:dyDescent="0.3">
      <c r="B32" s="111"/>
      <c r="C32" s="110" t="s">
        <v>64</v>
      </c>
      <c r="D32" s="112"/>
      <c r="E32" s="112"/>
      <c r="F32" s="113" t="s">
        <v>161</v>
      </c>
      <c r="G32" s="133">
        <f>SUM(G3:G30)</f>
        <v>62656.312337662333</v>
      </c>
      <c r="H32" s="133"/>
      <c r="I32" s="133"/>
      <c r="J32" s="133"/>
      <c r="K32" s="133"/>
      <c r="L32" s="133" t="s">
        <v>162</v>
      </c>
      <c r="M32" s="133"/>
      <c r="N32" s="244" t="e">
        <f>#REF!/A1</f>
        <v>#REF!</v>
      </c>
      <c r="O32" s="350"/>
      <c r="P32" s="350"/>
      <c r="Q32" s="350"/>
      <c r="R32" s="350" t="s">
        <v>162</v>
      </c>
      <c r="S32" s="350"/>
      <c r="T32" s="350" t="e">
        <f>T31/E1</f>
        <v>#REF!</v>
      </c>
      <c r="U32" s="348" t="s">
        <v>163</v>
      </c>
      <c r="V32" s="347">
        <f>SUM(V3:V30)</f>
        <v>17624.928512396695</v>
      </c>
      <c r="W32" s="347">
        <f>SUM(W3:W30)</f>
        <v>17926.465212396692</v>
      </c>
      <c r="X32" s="350"/>
      <c r="Y32" s="351">
        <f>SUM(Y3:Y30)</f>
        <v>70987.425454545446</v>
      </c>
      <c r="Z32" s="350">
        <f>SUM(Z3:Z30)</f>
        <v>85191.87480000002</v>
      </c>
      <c r="AA32" s="133"/>
      <c r="AB32" s="133"/>
      <c r="AC32" s="133"/>
      <c r="AD32" s="133"/>
      <c r="AF32" s="134"/>
      <c r="AG32" s="134"/>
      <c r="AH32" s="134"/>
    </row>
    <row r="33" spans="4:32" s="40" customFormat="1" ht="22.5" customHeight="1" thickBot="1" x14ac:dyDescent="0.4">
      <c r="E33"/>
      <c r="L33" s="99" t="s">
        <v>64</v>
      </c>
      <c r="O33" s="352"/>
      <c r="P33" s="352"/>
      <c r="Q33" s="352"/>
      <c r="R33" s="353" t="s">
        <v>64</v>
      </c>
      <c r="S33" s="215">
        <f>SUBTOTAL(9,S5:S20)</f>
        <v>8384.7377142857149</v>
      </c>
      <c r="T33" s="215">
        <f>SUBTOTAL(9,T5:T20)</f>
        <v>10145.532634285715</v>
      </c>
      <c r="U33" s="352"/>
      <c r="V33" s="352"/>
      <c r="W33" s="352"/>
      <c r="X33" s="352"/>
      <c r="Y33" s="352"/>
      <c r="Z33" s="352"/>
      <c r="AF33" s="131"/>
    </row>
    <row r="35" spans="4:32" thickBot="1" x14ac:dyDescent="0.4">
      <c r="D35" t="s">
        <v>68</v>
      </c>
      <c r="N35" s="366">
        <f>N3+N19+N22+N24+N25+N26</f>
        <v>11693.439999999999</v>
      </c>
    </row>
    <row r="36" spans="4:32" thickBot="1" x14ac:dyDescent="0.4">
      <c r="D36" t="s">
        <v>69</v>
      </c>
      <c r="N36" s="366">
        <f>N27+N23+N20+N14+N13+N11+N8+N6</f>
        <v>17309.836499999998</v>
      </c>
    </row>
    <row r="37" spans="4:32" thickBot="1" x14ac:dyDescent="0.4">
      <c r="D37" t="s">
        <v>164</v>
      </c>
      <c r="N37" s="366">
        <f>N10</f>
        <v>4356</v>
      </c>
    </row>
    <row r="38" spans="4:32" thickBot="1" x14ac:dyDescent="0.4">
      <c r="D38" t="s">
        <v>70</v>
      </c>
      <c r="N38" s="366">
        <f>N15</f>
        <v>7260</v>
      </c>
    </row>
    <row r="39" spans="4:32" thickBot="1" x14ac:dyDescent="0.4">
      <c r="N39">
        <f>SUBTOTAL(9,N35:N38)</f>
        <v>40619.276499999993</v>
      </c>
    </row>
    <row r="40" spans="4:32" thickBot="1" x14ac:dyDescent="0.4">
      <c r="G40">
        <v>306</v>
      </c>
      <c r="L40">
        <v>100</v>
      </c>
    </row>
    <row r="41" spans="4:32" thickBot="1" x14ac:dyDescent="0.4">
      <c r="G41">
        <v>428</v>
      </c>
      <c r="M41" s="363">
        <f>(L42-L40)/100</f>
        <v>0.3986928104575162</v>
      </c>
      <c r="N41">
        <f>G40*M41+G40</f>
        <v>427.99999999999994</v>
      </c>
    </row>
    <row r="42" spans="4:32" thickBot="1" x14ac:dyDescent="0.4">
      <c r="L42">
        <f>L40*G41/G40</f>
        <v>139.86928104575162</v>
      </c>
    </row>
    <row r="1048443" spans="5:5" thickBot="1" x14ac:dyDescent="0.4">
      <c r="E1048443" s="40"/>
    </row>
    <row r="1048444" spans="5:5" thickBot="1" x14ac:dyDescent="0.4">
      <c r="E1048444" s="96"/>
    </row>
    <row r="1048445" spans="5:5" thickBot="1" x14ac:dyDescent="0.4">
      <c r="E1048445" s="99"/>
    </row>
    <row r="1048446" spans="5:5" thickBot="1" x14ac:dyDescent="0.4">
      <c r="E1048446" s="99"/>
    </row>
    <row r="1048447" spans="5:5" thickBot="1" x14ac:dyDescent="0.4">
      <c r="E1048447" s="99"/>
    </row>
    <row r="1048448" spans="5:5" thickBot="1" x14ac:dyDescent="0.4">
      <c r="E1048448" s="99"/>
    </row>
    <row r="1048449" spans="5:5" thickBot="1" x14ac:dyDescent="0.4">
      <c r="E1048449" s="99"/>
    </row>
    <row r="1048450" spans="5:5" thickBot="1" x14ac:dyDescent="0.4">
      <c r="E1048450" s="137"/>
    </row>
    <row r="1048451" spans="5:5" thickBot="1" x14ac:dyDescent="0.4">
      <c r="E1048451" s="137"/>
    </row>
  </sheetData>
  <autoFilter ref="A2:AH32" xr:uid="{00000000-0009-0000-0000-000001000000}">
    <filterColumn colId="3">
      <filters>
        <filter val="Filmación"/>
        <filter val="Material"/>
      </filters>
    </filterColumn>
  </autoFilter>
  <mergeCells count="7">
    <mergeCell ref="F1:G1"/>
    <mergeCell ref="U1:W1"/>
    <mergeCell ref="X1:Z1"/>
    <mergeCell ref="L1:N1"/>
    <mergeCell ref="R1:T1"/>
    <mergeCell ref="O1:Q1"/>
    <mergeCell ref="H1:J1"/>
  </mergeCells>
  <pageMargins left="0.25" right="0.25" top="0.75" bottom="0.75" header="0.3" footer="0.3"/>
  <pageSetup paperSize="9" scale="69" fitToHeight="0" orientation="landscape" r:id="rId1"/>
  <headerFooter>
    <oddHeader>&amp;C&amp;"-,Negreta"&amp;9DESPESA GLOBAL ECUD 2014 CATALUNYA
&amp;"-,Normal" EN FUNCIÓ PROVEEIDOR/PATROCINADOR</oddHeader>
    <oddFooter>&amp;L&amp;D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Q80"/>
  <sheetViews>
    <sheetView zoomScale="90" zoomScaleNormal="90" workbookViewId="0">
      <pane xSplit="1" topLeftCell="B1" activePane="topRight" state="frozen"/>
      <selection pane="topRight" activeCell="F3" activeCellId="1" sqref="F10 F3"/>
    </sheetView>
  </sheetViews>
  <sheetFormatPr defaultRowHeight="15" customHeight="1" x14ac:dyDescent="0.35"/>
  <cols>
    <col min="1" max="1" width="36.453125" bestFit="1" customWidth="1"/>
    <col min="2" max="2" width="10" bestFit="1" customWidth="1"/>
    <col min="3" max="3" width="16.54296875" bestFit="1" customWidth="1"/>
    <col min="4" max="4" width="23.54296875" customWidth="1"/>
    <col min="5" max="5" width="11.54296875" bestFit="1" customWidth="1"/>
    <col min="6" max="6" width="13" customWidth="1"/>
    <col min="7" max="7" width="39.1796875" bestFit="1" customWidth="1"/>
    <col min="8" max="8" width="14.453125" hidden="1" customWidth="1"/>
    <col min="9" max="9" width="7.54296875" hidden="1" customWidth="1"/>
    <col min="10" max="10" width="16" hidden="1" customWidth="1"/>
    <col min="11" max="11" width="13.81640625" hidden="1" customWidth="1"/>
    <col min="12" max="12" width="11.453125" hidden="1" customWidth="1"/>
    <col min="13" max="13" width="14.54296875" hidden="1" customWidth="1"/>
    <col min="14" max="14" width="14.453125" hidden="1" customWidth="1"/>
    <col min="15" max="15" width="13" hidden="1" customWidth="1"/>
    <col min="16" max="16" width="10.54296875" hidden="1" customWidth="1"/>
    <col min="17" max="17" width="12.1796875" hidden="1" customWidth="1"/>
    <col min="18" max="18" width="19.54296875" hidden="1" customWidth="1"/>
    <col min="19" max="19" width="16.1796875" hidden="1" customWidth="1"/>
    <col min="20" max="21" width="17.1796875" hidden="1" customWidth="1"/>
    <col min="22" max="22" width="11.453125" hidden="1" customWidth="1"/>
    <col min="23" max="23" width="14.81640625" hidden="1" customWidth="1"/>
    <col min="24" max="24" width="12.54296875" hidden="1" customWidth="1"/>
    <col min="25" max="26" width="14.453125" hidden="1" customWidth="1"/>
    <col min="27" max="27" width="13.453125" hidden="1" customWidth="1"/>
    <col min="28" max="28" width="11.54296875" hidden="1" customWidth="1"/>
    <col min="29" max="29" width="14.81640625" hidden="1" customWidth="1"/>
    <col min="30" max="30" width="27.453125" hidden="1" customWidth="1"/>
    <col min="31" max="31" width="31.1796875" hidden="1" customWidth="1"/>
    <col min="32" max="32" width="11.54296875" hidden="1" customWidth="1"/>
    <col min="33" max="33" width="16.1796875" hidden="1" customWidth="1"/>
    <col min="34" max="34" width="33.453125" hidden="1" customWidth="1"/>
    <col min="35" max="35" width="9.1796875" hidden="1" customWidth="1"/>
    <col min="36" max="36" width="12.54296875" hidden="1" customWidth="1"/>
    <col min="37" max="37" width="11" hidden="1" customWidth="1"/>
    <col min="38" max="38" width="12.1796875" hidden="1" customWidth="1"/>
    <col min="39" max="39" width="12.1796875" style="213" hidden="1" customWidth="1"/>
    <col min="40" max="40" width="11.54296875" style="33" hidden="1" customWidth="1"/>
    <col min="41" max="41" width="12.54296875" hidden="1" customWidth="1"/>
    <col min="42" max="42" width="11.54296875" hidden="1" customWidth="1"/>
    <col min="44" max="44" width="11" customWidth="1"/>
  </cols>
  <sheetData>
    <row r="1" spans="1:42" ht="15" customHeight="1" x14ac:dyDescent="0.35">
      <c r="A1" s="7"/>
      <c r="B1" s="392" t="s">
        <v>165</v>
      </c>
      <c r="C1" s="393"/>
      <c r="D1" s="393"/>
      <c r="E1" s="393"/>
      <c r="F1" s="393"/>
      <c r="G1" s="324"/>
      <c r="H1" s="405" t="s">
        <v>166</v>
      </c>
      <c r="I1" s="405"/>
      <c r="J1" s="405"/>
      <c r="K1" s="405"/>
      <c r="L1" s="402" t="s">
        <v>167</v>
      </c>
      <c r="M1" s="403"/>
      <c r="N1" s="403"/>
      <c r="O1" s="403"/>
      <c r="P1" s="404"/>
      <c r="Q1" s="399" t="s">
        <v>168</v>
      </c>
      <c r="R1" s="400"/>
      <c r="S1" s="400"/>
      <c r="T1" s="400"/>
      <c r="U1" s="400"/>
      <c r="V1" s="401"/>
      <c r="W1" s="48" t="s">
        <v>169</v>
      </c>
      <c r="X1" s="397" t="s">
        <v>170</v>
      </c>
      <c r="Y1" s="398"/>
      <c r="Z1" s="398"/>
      <c r="AA1" s="398"/>
      <c r="AB1" s="398"/>
      <c r="AG1" s="394" t="s">
        <v>171</v>
      </c>
      <c r="AH1" s="395"/>
      <c r="AI1" s="395"/>
      <c r="AJ1" s="395"/>
      <c r="AK1" s="395"/>
      <c r="AL1" s="394" t="s">
        <v>172</v>
      </c>
      <c r="AM1" s="395"/>
      <c r="AN1" s="395"/>
      <c r="AO1" s="395"/>
      <c r="AP1" s="395"/>
    </row>
    <row r="2" spans="1:42" ht="15.65" customHeight="1" thickBot="1" x14ac:dyDescent="0.4">
      <c r="A2" s="325" t="s">
        <v>173</v>
      </c>
      <c r="B2" s="320" t="s">
        <v>174</v>
      </c>
      <c r="C2" s="321" t="s">
        <v>175</v>
      </c>
      <c r="D2" s="320" t="s">
        <v>176</v>
      </c>
      <c r="E2" s="320" t="s">
        <v>177</v>
      </c>
      <c r="F2" s="320" t="s">
        <v>178</v>
      </c>
      <c r="G2" s="320" t="s">
        <v>179</v>
      </c>
      <c r="H2" s="36" t="s">
        <v>180</v>
      </c>
      <c r="I2" s="36" t="s">
        <v>175</v>
      </c>
      <c r="J2" s="36" t="s">
        <v>176</v>
      </c>
      <c r="K2" s="36" t="s">
        <v>181</v>
      </c>
      <c r="L2" s="38" t="s">
        <v>182</v>
      </c>
      <c r="M2" s="38" t="s">
        <v>175</v>
      </c>
      <c r="N2" s="38" t="s">
        <v>176</v>
      </c>
      <c r="O2" s="38" t="s">
        <v>181</v>
      </c>
      <c r="P2" s="38" t="s">
        <v>183</v>
      </c>
      <c r="Q2" s="39" t="s">
        <v>184</v>
      </c>
      <c r="R2" s="39" t="s">
        <v>175</v>
      </c>
      <c r="S2" s="39" t="s">
        <v>176</v>
      </c>
      <c r="T2" s="39" t="s">
        <v>185</v>
      </c>
      <c r="U2" s="59" t="s">
        <v>186</v>
      </c>
      <c r="V2" s="35" t="s">
        <v>187</v>
      </c>
      <c r="X2" s="148" t="s">
        <v>188</v>
      </c>
      <c r="Y2" s="148" t="s">
        <v>175</v>
      </c>
      <c r="Z2" s="148" t="s">
        <v>176</v>
      </c>
      <c r="AA2" s="148" t="s">
        <v>189</v>
      </c>
      <c r="AB2" s="59" t="s">
        <v>190</v>
      </c>
      <c r="AC2" s="151" t="s">
        <v>191</v>
      </c>
      <c r="AD2" s="151" t="s">
        <v>192</v>
      </c>
      <c r="AE2" s="151" t="s">
        <v>193</v>
      </c>
      <c r="AF2" s="151" t="s">
        <v>194</v>
      </c>
      <c r="AG2" s="149" t="s">
        <v>195</v>
      </c>
      <c r="AH2" s="149" t="s">
        <v>175</v>
      </c>
      <c r="AI2" s="149" t="s">
        <v>176</v>
      </c>
      <c r="AJ2" s="149" t="s">
        <v>196</v>
      </c>
      <c r="AK2" s="150" t="s">
        <v>190</v>
      </c>
      <c r="AL2" s="149" t="s">
        <v>174</v>
      </c>
      <c r="AM2" s="208" t="s">
        <v>175</v>
      </c>
      <c r="AN2" s="149" t="s">
        <v>176</v>
      </c>
      <c r="AO2" s="149" t="s">
        <v>196</v>
      </c>
      <c r="AP2" s="150" t="s">
        <v>190</v>
      </c>
    </row>
    <row r="3" spans="1:42" ht="15" customHeight="1" x14ac:dyDescent="0.35">
      <c r="A3" s="314" t="s">
        <v>197</v>
      </c>
      <c r="B3" s="315">
        <f>B15*10</f>
        <v>3500</v>
      </c>
      <c r="C3" s="316" t="s">
        <v>198</v>
      </c>
      <c r="D3" s="317" t="s">
        <v>199</v>
      </c>
      <c r="E3" s="318">
        <f>F44</f>
        <v>1949.1399999999999</v>
      </c>
      <c r="F3" s="173">
        <f t="shared" ref="F3:F12" si="0">E3*1.21</f>
        <v>2358.4593999999997</v>
      </c>
      <c r="G3" s="319"/>
      <c r="H3" s="8" t="s">
        <v>200</v>
      </c>
      <c r="I3" s="9" t="s">
        <v>201</v>
      </c>
      <c r="J3" s="10" t="s">
        <v>202</v>
      </c>
      <c r="K3" s="70">
        <v>568.70000000000005</v>
      </c>
      <c r="L3" s="8">
        <v>3000</v>
      </c>
      <c r="M3" s="8" t="s">
        <v>201</v>
      </c>
      <c r="N3" s="8" t="s">
        <v>203</v>
      </c>
      <c r="O3" s="71">
        <f>(0.47*J19)*1.21+185*1.21</f>
        <v>1929.9499999999998</v>
      </c>
      <c r="P3" s="56">
        <f>27*20</f>
        <v>540</v>
      </c>
      <c r="Q3" s="9">
        <v>3000</v>
      </c>
      <c r="R3" s="9" t="s">
        <v>201</v>
      </c>
      <c r="S3" s="8" t="s">
        <v>203</v>
      </c>
      <c r="T3" s="69">
        <f>(0.55*Q3)*1.21</f>
        <v>1996.5000000000002</v>
      </c>
      <c r="U3" s="69">
        <f>(0.55*'Estoc 19'!K3)*1.21</f>
        <v>2302.63</v>
      </c>
      <c r="V3" s="8"/>
      <c r="W3" s="56">
        <v>30</v>
      </c>
      <c r="X3" s="9">
        <v>3000</v>
      </c>
      <c r="Y3" s="9" t="s">
        <v>201</v>
      </c>
      <c r="Z3" s="8" t="s">
        <v>203</v>
      </c>
      <c r="AA3" s="8">
        <f>0.61*X3</f>
        <v>1830</v>
      </c>
      <c r="AB3" s="69">
        <f>AG43</f>
        <v>2359.5</v>
      </c>
      <c r="AC3" s="153">
        <v>570</v>
      </c>
      <c r="AD3" s="152">
        <f>'Estoc 19'!AG3</f>
        <v>2500</v>
      </c>
      <c r="AE3" s="153" t="s">
        <v>204</v>
      </c>
      <c r="AF3" s="153" t="s">
        <v>205</v>
      </c>
      <c r="AG3" s="9">
        <f>AD3</f>
        <v>2500</v>
      </c>
      <c r="AH3" s="9" t="s">
        <v>198</v>
      </c>
      <c r="AI3" s="8" t="s">
        <v>199</v>
      </c>
      <c r="AJ3" s="173">
        <f>AK3/1.21</f>
        <v>1516.3500000000001</v>
      </c>
      <c r="AK3" s="139">
        <f>AI44</f>
        <v>1834.7835</v>
      </c>
      <c r="AL3" s="157">
        <f>AM15*10</f>
        <v>3000</v>
      </c>
      <c r="AM3" s="209" t="s">
        <v>198</v>
      </c>
      <c r="AN3" s="169" t="s">
        <v>199</v>
      </c>
      <c r="AO3" s="191">
        <f t="shared" ref="AO3:AO12" si="1">AP3/1.21</f>
        <v>1264.4628099173553</v>
      </c>
      <c r="AP3" s="192">
        <f>AK44</f>
        <v>1530</v>
      </c>
    </row>
    <row r="4" spans="1:42" ht="15" customHeight="1" x14ac:dyDescent="0.35">
      <c r="A4" s="11" t="s">
        <v>206</v>
      </c>
      <c r="B4" s="9">
        <f>B15*20</f>
        <v>7000</v>
      </c>
      <c r="C4" s="245" t="s">
        <v>198</v>
      </c>
      <c r="D4" s="8" t="s">
        <v>199</v>
      </c>
      <c r="E4" s="173">
        <f>F33</f>
        <v>3885.0000000000005</v>
      </c>
      <c r="F4" s="173">
        <f t="shared" si="0"/>
        <v>4700.8500000000004</v>
      </c>
      <c r="G4" s="310"/>
      <c r="H4" s="8">
        <f>25*100</f>
        <v>2500</v>
      </c>
      <c r="I4" s="9" t="s">
        <v>198</v>
      </c>
      <c r="J4" s="10" t="s">
        <v>207</v>
      </c>
      <c r="K4" s="70">
        <v>958.8</v>
      </c>
      <c r="L4" s="8">
        <v>3000</v>
      </c>
      <c r="M4" s="8" t="s">
        <v>198</v>
      </c>
      <c r="N4" s="8" t="s">
        <v>199</v>
      </c>
      <c r="O4" s="71">
        <v>1090</v>
      </c>
      <c r="P4" s="56">
        <f>27*20</f>
        <v>540</v>
      </c>
      <c r="Q4" s="9">
        <v>3000</v>
      </c>
      <c r="R4" s="9" t="s">
        <v>198</v>
      </c>
      <c r="S4" s="8" t="s">
        <v>199</v>
      </c>
      <c r="T4" s="69">
        <f>(0.3*Q4*1.21)+37.45*1.21</f>
        <v>1134.3145</v>
      </c>
      <c r="U4" s="69">
        <f>(0.3*'Estoc 19'!N4*1.21)+(37.45*1.21)</f>
        <v>1359.3744999999999</v>
      </c>
      <c r="V4" s="8"/>
      <c r="W4" s="56">
        <v>0</v>
      </c>
      <c r="X4" s="9">
        <v>6000</v>
      </c>
      <c r="Y4" s="9" t="s">
        <v>198</v>
      </c>
      <c r="Z4" s="8" t="s">
        <v>199</v>
      </c>
      <c r="AA4" s="69">
        <f>0.3*X4</f>
        <v>1800</v>
      </c>
      <c r="AB4" s="69">
        <f>AA4+(AA4*0.21)</f>
        <v>2178</v>
      </c>
      <c r="AC4" s="153">
        <v>1180</v>
      </c>
      <c r="AD4" s="152">
        <f>'Estoc 19'!AG4</f>
        <v>6700</v>
      </c>
      <c r="AE4" s="153" t="s">
        <v>204</v>
      </c>
      <c r="AF4" s="153" t="s">
        <v>208</v>
      </c>
      <c r="AG4" s="9">
        <f>AD4</f>
        <v>6700</v>
      </c>
      <c r="AH4" s="9" t="s">
        <v>198</v>
      </c>
      <c r="AI4" s="8" t="s">
        <v>199</v>
      </c>
      <c r="AJ4" s="173">
        <f t="shared" ref="AJ4:AJ14" si="2">AK4/1.21</f>
        <v>2041.9999999999998</v>
      </c>
      <c r="AK4" s="69">
        <f>AI33</f>
        <v>2470.8199999999997</v>
      </c>
      <c r="AL4" s="157">
        <f>AM15*20</f>
        <v>6000</v>
      </c>
      <c r="AM4" s="209" t="s">
        <v>198</v>
      </c>
      <c r="AN4" s="169" t="s">
        <v>199</v>
      </c>
      <c r="AO4" s="191">
        <f t="shared" si="1"/>
        <v>2429.7520661157027</v>
      </c>
      <c r="AP4" s="167">
        <f>AK33</f>
        <v>2940</v>
      </c>
    </row>
    <row r="5" spans="1:42" ht="15" customHeight="1" x14ac:dyDescent="0.35">
      <c r="A5" s="11" t="s">
        <v>209</v>
      </c>
      <c r="B5" s="9">
        <f>B15*5</f>
        <v>1750</v>
      </c>
      <c r="C5" s="245" t="s">
        <v>210</v>
      </c>
      <c r="D5" s="8" t="s">
        <v>211</v>
      </c>
      <c r="E5" s="173">
        <f>F26</f>
        <v>1505</v>
      </c>
      <c r="F5" s="173">
        <f t="shared" si="0"/>
        <v>1821.05</v>
      </c>
      <c r="G5" s="311"/>
      <c r="H5" s="8">
        <f>4*100</f>
        <v>400</v>
      </c>
      <c r="I5" s="9" t="s">
        <v>210</v>
      </c>
      <c r="J5" s="9" t="s">
        <v>212</v>
      </c>
      <c r="K5" s="70">
        <v>652</v>
      </c>
      <c r="L5" s="8">
        <v>300</v>
      </c>
      <c r="M5" s="8" t="s">
        <v>210</v>
      </c>
      <c r="N5" s="8" t="s">
        <v>213</v>
      </c>
      <c r="O5" s="71">
        <v>320</v>
      </c>
      <c r="P5" s="56">
        <v>54</v>
      </c>
      <c r="Q5" s="9">
        <v>300</v>
      </c>
      <c r="R5" s="9" t="s">
        <v>210</v>
      </c>
      <c r="S5" s="8" t="s">
        <v>213</v>
      </c>
      <c r="T5" s="69">
        <f>Q5*0.88*1.21</f>
        <v>319.44</v>
      </c>
      <c r="U5" s="69">
        <f>'Estoc 19'!N5*0.88*1.21</f>
        <v>372.68</v>
      </c>
      <c r="V5" s="8"/>
      <c r="W5" s="56">
        <v>16</v>
      </c>
      <c r="X5" s="9">
        <v>390</v>
      </c>
      <c r="Y5" s="9" t="s">
        <v>210</v>
      </c>
      <c r="Z5" s="8" t="s">
        <v>213</v>
      </c>
      <c r="AA5" s="69">
        <v>351.1</v>
      </c>
      <c r="AB5" s="69">
        <f>AA5+(AA5*0.21)</f>
        <v>424.83100000000002</v>
      </c>
      <c r="AC5" s="153">
        <v>0</v>
      </c>
      <c r="AD5" s="152">
        <f>'Estoc 19'!AG5</f>
        <v>500</v>
      </c>
      <c r="AE5" s="153" t="s">
        <v>204</v>
      </c>
      <c r="AF5" s="153" t="s">
        <v>214</v>
      </c>
      <c r="AG5" s="9">
        <f>AD5</f>
        <v>500</v>
      </c>
      <c r="AH5" s="9" t="s">
        <v>210</v>
      </c>
      <c r="AI5" s="8" t="s">
        <v>213</v>
      </c>
      <c r="AJ5" s="173">
        <f t="shared" si="2"/>
        <v>440</v>
      </c>
      <c r="AK5" s="69">
        <f>AI26</f>
        <v>532.4</v>
      </c>
      <c r="AL5" s="157">
        <f>AM15*5</f>
        <v>1500</v>
      </c>
      <c r="AM5" s="209" t="s">
        <v>210</v>
      </c>
      <c r="AN5" s="169" t="s">
        <v>213</v>
      </c>
      <c r="AO5" s="191">
        <f t="shared" si="1"/>
        <v>793.38842975206614</v>
      </c>
      <c r="AP5" s="167">
        <f>AK26</f>
        <v>960</v>
      </c>
    </row>
    <row r="6" spans="1:42" ht="15" hidden="1" customHeight="1" x14ac:dyDescent="0.35">
      <c r="A6" s="11" t="s">
        <v>215</v>
      </c>
      <c r="B6" s="246" t="str">
        <f>AN6</f>
        <v>Mar</v>
      </c>
      <c r="C6" s="247" t="s">
        <v>216</v>
      </c>
      <c r="D6" s="248" t="s">
        <v>217</v>
      </c>
      <c r="E6" s="173"/>
      <c r="F6" s="173">
        <f t="shared" si="0"/>
        <v>0</v>
      </c>
      <c r="G6" s="312"/>
      <c r="H6" s="8">
        <f>1*100</f>
        <v>100</v>
      </c>
      <c r="I6" s="9" t="s">
        <v>218</v>
      </c>
      <c r="J6" s="10" t="s">
        <v>219</v>
      </c>
      <c r="K6" s="70">
        <v>596</v>
      </c>
      <c r="L6" s="8">
        <v>150</v>
      </c>
      <c r="M6" s="8" t="s">
        <v>216</v>
      </c>
      <c r="N6" s="8" t="s">
        <v>217</v>
      </c>
      <c r="O6" s="71">
        <f>3.6584*L6*1.21</f>
        <v>663.99959999999999</v>
      </c>
      <c r="P6" s="56" t="s">
        <v>220</v>
      </c>
      <c r="Q6" s="9">
        <v>150</v>
      </c>
      <c r="R6" s="9" t="s">
        <v>216</v>
      </c>
      <c r="S6" s="8" t="s">
        <v>217</v>
      </c>
      <c r="T6" s="69">
        <f>3.6584*Q6*1.21</f>
        <v>663.99959999999999</v>
      </c>
      <c r="U6" s="69">
        <f>3.6584*'Estoc 19'!K6*1.21</f>
        <v>761.3862079999999</v>
      </c>
      <c r="V6" s="8"/>
      <c r="W6" s="56">
        <v>2</v>
      </c>
      <c r="X6" s="9">
        <v>200</v>
      </c>
      <c r="Y6" s="9" t="s">
        <v>216</v>
      </c>
      <c r="Z6" s="8" t="s">
        <v>217</v>
      </c>
      <c r="AA6" s="69">
        <f>X6*3.81*0.96</f>
        <v>731.52</v>
      </c>
      <c r="AB6" s="69">
        <f>AA6+(AA6*0.21)</f>
        <v>885.13919999999996</v>
      </c>
      <c r="AC6" s="153">
        <v>0</v>
      </c>
      <c r="AD6" s="152">
        <f>'Estoc 19'!AG6+'Estoc 19'!AG7</f>
        <v>250</v>
      </c>
      <c r="AE6" s="153" t="s">
        <v>204</v>
      </c>
      <c r="AF6" s="153" t="s">
        <v>221</v>
      </c>
      <c r="AG6" s="9">
        <f>AD6</f>
        <v>250</v>
      </c>
      <c r="AH6" s="9" t="s">
        <v>216</v>
      </c>
      <c r="AI6" s="8" t="s">
        <v>217</v>
      </c>
      <c r="AJ6" s="173">
        <f t="shared" si="2"/>
        <v>902.1</v>
      </c>
      <c r="AK6" s="69">
        <f>AI48</f>
        <v>1091.5409999999999</v>
      </c>
      <c r="AL6" s="194" t="str">
        <f>AI6</f>
        <v>Mar</v>
      </c>
      <c r="AM6" s="210" t="s">
        <v>216</v>
      </c>
      <c r="AN6" s="195" t="s">
        <v>217</v>
      </c>
      <c r="AO6" s="196">
        <f t="shared" si="1"/>
        <v>0</v>
      </c>
      <c r="AP6" s="167"/>
    </row>
    <row r="7" spans="1:42" ht="15" hidden="1" customHeight="1" x14ac:dyDescent="0.35">
      <c r="A7" s="11" t="s">
        <v>222</v>
      </c>
      <c r="B7" s="9" t="s">
        <v>223</v>
      </c>
      <c r="C7" s="249"/>
      <c r="D7" s="250"/>
      <c r="E7" s="173"/>
      <c r="F7" s="173">
        <f t="shared" si="0"/>
        <v>0</v>
      </c>
      <c r="G7" s="312"/>
      <c r="H7" s="8">
        <f>25*100</f>
        <v>2500</v>
      </c>
      <c r="I7" s="9" t="s">
        <v>224</v>
      </c>
      <c r="J7" s="9" t="s">
        <v>225</v>
      </c>
      <c r="K7" s="70">
        <v>3000</v>
      </c>
      <c r="L7" s="8">
        <v>300</v>
      </c>
      <c r="M7" s="9" t="s">
        <v>226</v>
      </c>
      <c r="N7" s="9" t="str">
        <f>P27</f>
        <v>stock 1000 a 1,6€</v>
      </c>
      <c r="O7" s="70">
        <v>0</v>
      </c>
      <c r="P7" s="56">
        <f>20*5</f>
        <v>100</v>
      </c>
      <c r="Q7" s="9">
        <v>300</v>
      </c>
      <c r="R7" s="9" t="s">
        <v>226</v>
      </c>
      <c r="S7" s="8" t="s">
        <v>227</v>
      </c>
      <c r="T7" s="69">
        <f>1.99445*Q7*1.21</f>
        <v>723.98535000000004</v>
      </c>
      <c r="U7" s="69">
        <f>1.873661*'Estoc 19'!K8*1.21</f>
        <v>575.85097173999998</v>
      </c>
      <c r="V7" s="8"/>
      <c r="W7" s="56">
        <v>1</v>
      </c>
      <c r="X7" s="9"/>
      <c r="Y7" s="90"/>
      <c r="Z7" s="90"/>
      <c r="AA7" s="69"/>
      <c r="AB7" s="69"/>
      <c r="AC7" s="153">
        <v>0</v>
      </c>
      <c r="AD7" s="152" t="e">
        <f>AE7*AF7</f>
        <v>#VALUE!</v>
      </c>
      <c r="AE7" s="153" t="s">
        <v>204</v>
      </c>
      <c r="AF7" s="153"/>
      <c r="AG7" s="9" t="s">
        <v>223</v>
      </c>
      <c r="AH7" s="90"/>
      <c r="AI7" s="90"/>
      <c r="AJ7" s="173">
        <f t="shared" si="2"/>
        <v>0</v>
      </c>
      <c r="AK7" s="69"/>
      <c r="AL7" s="157" t="s">
        <v>223</v>
      </c>
      <c r="AM7" s="211"/>
      <c r="AN7" s="207"/>
      <c r="AO7" s="191">
        <f t="shared" si="1"/>
        <v>0</v>
      </c>
      <c r="AP7" s="167"/>
    </row>
    <row r="8" spans="1:42" ht="15" hidden="1" customHeight="1" x14ac:dyDescent="0.35">
      <c r="A8" s="11" t="s">
        <v>228</v>
      </c>
      <c r="B8" s="9" t="s">
        <v>229</v>
      </c>
      <c r="C8" s="245" t="s">
        <v>226</v>
      </c>
      <c r="D8" s="8" t="s">
        <v>230</v>
      </c>
      <c r="E8" s="173"/>
      <c r="F8" s="173">
        <f t="shared" si="0"/>
        <v>0</v>
      </c>
      <c r="G8" s="312"/>
      <c r="H8" s="8">
        <f>4*100</f>
        <v>400</v>
      </c>
      <c r="I8" s="9" t="str">
        <f>K27</f>
        <v>Icaria</v>
      </c>
      <c r="J8" s="9" t="str">
        <f>L27</f>
        <v>comercial@icariagraficas.com</v>
      </c>
      <c r="K8" s="70">
        <v>0</v>
      </c>
      <c r="L8" s="8">
        <v>300</v>
      </c>
      <c r="M8" s="8" t="s">
        <v>231</v>
      </c>
      <c r="N8" s="8" t="s">
        <v>232</v>
      </c>
      <c r="O8" s="71">
        <f>M40</f>
        <v>97.41</v>
      </c>
      <c r="P8" s="56">
        <v>60</v>
      </c>
      <c r="Q8" s="9">
        <v>300</v>
      </c>
      <c r="R8" s="8" t="s">
        <v>231</v>
      </c>
      <c r="S8" s="8" t="s">
        <v>232</v>
      </c>
      <c r="T8" s="69">
        <f>0.178333*Q8*1.21</f>
        <v>64.734878999999992</v>
      </c>
      <c r="U8" s="69">
        <f>0.178333*'Estoc 19'!K9*1.21</f>
        <v>75.092459639999987</v>
      </c>
      <c r="V8" s="8"/>
      <c r="W8" s="56">
        <v>2</v>
      </c>
      <c r="X8" s="9">
        <v>400</v>
      </c>
      <c r="Y8" s="9" t="s">
        <v>226</v>
      </c>
      <c r="Z8" s="8" t="s">
        <v>230</v>
      </c>
      <c r="AA8" s="69"/>
      <c r="AB8" s="69"/>
      <c r="AC8" s="153">
        <v>0</v>
      </c>
      <c r="AD8" s="152" t="e">
        <f>AE8*AF8</f>
        <v>#VALUE!</v>
      </c>
      <c r="AE8" s="153" t="s">
        <v>204</v>
      </c>
      <c r="AF8" s="153">
        <v>2</v>
      </c>
      <c r="AG8" s="9" t="s">
        <v>229</v>
      </c>
      <c r="AH8" s="9" t="s">
        <v>226</v>
      </c>
      <c r="AI8" s="8" t="s">
        <v>230</v>
      </c>
      <c r="AJ8" s="173">
        <f t="shared" si="2"/>
        <v>0</v>
      </c>
      <c r="AK8" s="69"/>
      <c r="AL8" s="157" t="s">
        <v>229</v>
      </c>
      <c r="AM8" s="209" t="s">
        <v>226</v>
      </c>
      <c r="AN8" s="169" t="s">
        <v>230</v>
      </c>
      <c r="AO8" s="191">
        <f t="shared" si="1"/>
        <v>0</v>
      </c>
      <c r="AP8" s="167"/>
    </row>
    <row r="9" spans="1:42" ht="15" customHeight="1" x14ac:dyDescent="0.35">
      <c r="A9" s="11" t="s">
        <v>233</v>
      </c>
      <c r="B9" s="9">
        <f>B15*1</f>
        <v>350</v>
      </c>
      <c r="C9" s="251" t="s">
        <v>234</v>
      </c>
      <c r="D9" s="8" t="s">
        <v>235</v>
      </c>
      <c r="E9" s="173">
        <f>F38</f>
        <v>192.50000000000003</v>
      </c>
      <c r="F9" s="173">
        <f t="shared" si="0"/>
        <v>232.92500000000004</v>
      </c>
      <c r="G9" s="312"/>
      <c r="H9" s="66"/>
      <c r="I9" s="67"/>
      <c r="J9" s="67"/>
      <c r="K9" s="68"/>
      <c r="L9" s="8">
        <v>150</v>
      </c>
      <c r="M9" s="8" t="s">
        <v>201</v>
      </c>
      <c r="N9" s="8" t="s">
        <v>203</v>
      </c>
      <c r="O9" s="71">
        <f>1.5*1.21*150+210*1.21</f>
        <v>526.35</v>
      </c>
      <c r="P9" s="56">
        <v>28</v>
      </c>
      <c r="Q9" s="9">
        <v>150</v>
      </c>
      <c r="R9" s="9" t="s">
        <v>201</v>
      </c>
      <c r="S9" s="8" t="s">
        <v>203</v>
      </c>
      <c r="T9" s="69">
        <f>(1.5*Q9)*1.21</f>
        <v>272.25</v>
      </c>
      <c r="U9" s="69">
        <f>(1.5*'Estoc 19'!K10)*1.21</f>
        <v>312.18</v>
      </c>
      <c r="V9" s="8"/>
      <c r="W9" s="56">
        <v>10</v>
      </c>
      <c r="X9" s="9">
        <v>180</v>
      </c>
      <c r="Y9" s="8" t="s">
        <v>231</v>
      </c>
      <c r="Z9" s="8" t="s">
        <v>232</v>
      </c>
      <c r="AA9" s="116">
        <v>54.9</v>
      </c>
      <c r="AB9" s="117">
        <f>AA9*1.21</f>
        <v>66.429000000000002</v>
      </c>
      <c r="AC9" s="153">
        <v>0</v>
      </c>
      <c r="AD9" s="152">
        <f>'Estoc 19'!AG9</f>
        <v>250</v>
      </c>
      <c r="AE9" s="153" t="s">
        <v>204</v>
      </c>
      <c r="AF9" s="153">
        <v>1</v>
      </c>
      <c r="AG9" s="9" t="s">
        <v>236</v>
      </c>
      <c r="AH9" s="8" t="s">
        <v>231</v>
      </c>
      <c r="AI9" s="8" t="str">
        <f>D40</f>
        <v>Via Miquel Julián ARC</v>
      </c>
      <c r="AJ9" s="173">
        <f t="shared" si="2"/>
        <v>45</v>
      </c>
      <c r="AK9" s="117">
        <f>AI40</f>
        <v>54.449999999999996</v>
      </c>
      <c r="AL9" s="157" t="s">
        <v>237</v>
      </c>
      <c r="AM9" s="212" t="s">
        <v>231</v>
      </c>
      <c r="AN9" s="169">
        <f>AJ40</f>
        <v>300</v>
      </c>
      <c r="AO9" s="191">
        <f t="shared" si="1"/>
        <v>54.000000000000007</v>
      </c>
      <c r="AP9" s="193">
        <f>AK40</f>
        <v>65.34</v>
      </c>
    </row>
    <row r="10" spans="1:42" ht="15" customHeight="1" x14ac:dyDescent="0.35">
      <c r="A10" s="11" t="s">
        <v>238</v>
      </c>
      <c r="B10" s="9">
        <f>B15*1</f>
        <v>350</v>
      </c>
      <c r="C10" s="245" t="s">
        <v>198</v>
      </c>
      <c r="D10" s="8" t="s">
        <v>199</v>
      </c>
      <c r="E10" s="173">
        <f>F34</f>
        <v>543.33999999999992</v>
      </c>
      <c r="F10" s="173">
        <f t="shared" si="0"/>
        <v>657.44139999999993</v>
      </c>
      <c r="G10" s="310"/>
      <c r="H10" s="66"/>
      <c r="I10" s="67"/>
      <c r="J10" s="67"/>
      <c r="K10" s="68"/>
      <c r="O10" s="72">
        <f>SUM(O2:O9)</f>
        <v>4627.7096000000001</v>
      </c>
      <c r="P10" t="s">
        <v>239</v>
      </c>
      <c r="T10" s="72">
        <f>SUM(T3:T9)</f>
        <v>5175.2243289999997</v>
      </c>
      <c r="U10" s="72">
        <f>SUM(U3:U9)</f>
        <v>5759.1941393799998</v>
      </c>
      <c r="V10" s="8"/>
      <c r="W10" s="56">
        <v>34</v>
      </c>
      <c r="X10" s="92">
        <v>300</v>
      </c>
      <c r="Y10" s="9" t="s">
        <v>198</v>
      </c>
      <c r="Z10" s="8" t="s">
        <v>199</v>
      </c>
      <c r="AA10" s="91">
        <f>X10*0.27+400.74</f>
        <v>481.74</v>
      </c>
      <c r="AB10" s="69">
        <f>AA10+(AA10*0.21)</f>
        <v>582.90539999999999</v>
      </c>
      <c r="AC10" s="153">
        <v>114</v>
      </c>
      <c r="AD10" s="152">
        <f>'Estoc 19'!AG10</f>
        <v>250</v>
      </c>
      <c r="AE10" s="153" t="s">
        <v>204</v>
      </c>
      <c r="AF10" s="153">
        <v>1</v>
      </c>
      <c r="AG10" s="9">
        <f>AD10</f>
        <v>250</v>
      </c>
      <c r="AH10" s="9" t="s">
        <v>198</v>
      </c>
      <c r="AI10" s="8" t="s">
        <v>199</v>
      </c>
      <c r="AJ10" s="173">
        <f t="shared" si="2"/>
        <v>124.51000000000002</v>
      </c>
      <c r="AK10" s="69">
        <f>AI34</f>
        <v>150.65710000000001</v>
      </c>
      <c r="AL10" s="157">
        <f>220</f>
        <v>220</v>
      </c>
      <c r="AM10" s="209" t="s">
        <v>198</v>
      </c>
      <c r="AN10" s="169" t="s">
        <v>199</v>
      </c>
      <c r="AO10" s="191">
        <f t="shared" si="1"/>
        <v>97.107438016528931</v>
      </c>
      <c r="AP10" s="167">
        <f>AK34</f>
        <v>117.5</v>
      </c>
    </row>
    <row r="11" spans="1:42" ht="15" customHeight="1" x14ac:dyDescent="0.35">
      <c r="A11" s="11" t="s">
        <v>240</v>
      </c>
      <c r="B11" s="9">
        <f>B15*2</f>
        <v>700</v>
      </c>
      <c r="C11" s="245" t="s">
        <v>241</v>
      </c>
      <c r="D11" s="8" t="s">
        <v>242</v>
      </c>
      <c r="E11" s="173"/>
      <c r="F11" s="173">
        <f t="shared" si="0"/>
        <v>0</v>
      </c>
      <c r="G11" s="312"/>
      <c r="H11" s="8">
        <v>20</v>
      </c>
      <c r="I11" s="9" t="s">
        <v>225</v>
      </c>
      <c r="J11" s="9" t="s">
        <v>225</v>
      </c>
      <c r="K11" s="29" t="s">
        <v>225</v>
      </c>
      <c r="P11" t="s">
        <v>243</v>
      </c>
      <c r="W11" s="56">
        <v>2</v>
      </c>
      <c r="X11" s="33">
        <v>205</v>
      </c>
      <c r="Y11" s="9" t="str">
        <f>A54</f>
        <v>MOKOM</v>
      </c>
      <c r="Z11" s="140" t="s">
        <v>244</v>
      </c>
      <c r="AA11" s="91">
        <f>AB11/1.21</f>
        <v>170.59504132231407</v>
      </c>
      <c r="AB11" s="69">
        <f>AG54+AG57</f>
        <v>206.42000000000002</v>
      </c>
      <c r="AC11" s="153">
        <v>250</v>
      </c>
      <c r="AD11" s="152">
        <f>'Estoc 19'!AG11</f>
        <v>250</v>
      </c>
      <c r="AE11" s="153" t="s">
        <v>204</v>
      </c>
      <c r="AF11" s="153">
        <v>1</v>
      </c>
      <c r="AG11" s="9">
        <f>AD11</f>
        <v>250</v>
      </c>
      <c r="AH11" s="9" t="s">
        <v>245</v>
      </c>
      <c r="AI11" s="8" t="s">
        <v>246</v>
      </c>
      <c r="AJ11" s="173">
        <f t="shared" si="2"/>
        <v>130.20000000000002</v>
      </c>
      <c r="AK11" s="69">
        <f>AI54+AI53</f>
        <v>157.542</v>
      </c>
      <c r="AL11" s="157">
        <f>AM15</f>
        <v>300</v>
      </c>
      <c r="AM11" s="209" t="s">
        <v>245</v>
      </c>
      <c r="AN11" s="169" t="s">
        <v>246</v>
      </c>
      <c r="AO11" s="191">
        <f t="shared" si="1"/>
        <v>151.20000000000002</v>
      </c>
      <c r="AP11" s="167">
        <f>AK54+AK53</f>
        <v>182.952</v>
      </c>
    </row>
    <row r="12" spans="1:42" s="80" customFormat="1" ht="15" hidden="1" customHeight="1" x14ac:dyDescent="0.35">
      <c r="A12" s="160" t="s">
        <v>247</v>
      </c>
      <c r="B12" s="9"/>
      <c r="C12" s="245"/>
      <c r="D12" s="8"/>
      <c r="E12" s="173"/>
      <c r="F12" s="173">
        <f t="shared" si="0"/>
        <v>0</v>
      </c>
      <c r="G12" s="312"/>
      <c r="H12" s="161"/>
      <c r="I12" s="161"/>
      <c r="J12" s="161"/>
      <c r="K12" s="162"/>
      <c r="W12" s="163"/>
      <c r="X12" s="164"/>
      <c r="Y12" s="157"/>
      <c r="Z12" s="165"/>
      <c r="AA12" s="166"/>
      <c r="AB12" s="167"/>
      <c r="AC12" s="153">
        <v>0</v>
      </c>
      <c r="AD12" s="159">
        <v>0</v>
      </c>
      <c r="AE12" s="153"/>
      <c r="AF12" s="168"/>
      <c r="AG12" s="157"/>
      <c r="AH12" s="157"/>
      <c r="AI12" s="169"/>
      <c r="AJ12" s="173">
        <f t="shared" si="2"/>
        <v>0</v>
      </c>
      <c r="AK12" s="167"/>
      <c r="AL12" s="157"/>
      <c r="AM12" s="209"/>
      <c r="AN12" s="169"/>
      <c r="AO12" s="191">
        <f t="shared" si="1"/>
        <v>0</v>
      </c>
      <c r="AP12" s="167"/>
    </row>
    <row r="13" spans="1:42" s="80" customFormat="1" ht="15" customHeight="1" x14ac:dyDescent="0.35">
      <c r="A13" s="11" t="s">
        <v>248</v>
      </c>
      <c r="B13" s="9">
        <f>B15*1</f>
        <v>350</v>
      </c>
      <c r="C13" s="245" t="s">
        <v>234</v>
      </c>
      <c r="D13" s="8" t="s">
        <v>235</v>
      </c>
      <c r="E13" s="173">
        <f>F37</f>
        <v>277.62</v>
      </c>
      <c r="F13" s="173">
        <f>E13*1.21</f>
        <v>335.92020000000002</v>
      </c>
      <c r="G13" s="312"/>
      <c r="H13" s="161"/>
      <c r="I13" s="161"/>
      <c r="J13" s="161"/>
      <c r="K13" s="162"/>
      <c r="W13" s="163"/>
      <c r="X13" s="164"/>
      <c r="Y13" s="157"/>
      <c r="Z13" s="165"/>
      <c r="AA13" s="166"/>
      <c r="AB13" s="167"/>
      <c r="AC13" s="153"/>
      <c r="AD13" s="159"/>
      <c r="AE13" s="153"/>
      <c r="AF13" s="168"/>
      <c r="AG13" s="157"/>
      <c r="AH13" s="157"/>
      <c r="AI13" s="169"/>
      <c r="AJ13" s="173"/>
      <c r="AK13" s="167"/>
      <c r="AL13" s="157"/>
      <c r="AM13" s="209"/>
      <c r="AN13" s="169"/>
      <c r="AO13" s="191"/>
      <c r="AP13" s="167"/>
    </row>
    <row r="14" spans="1:42" ht="15" hidden="1" customHeight="1" x14ac:dyDescent="0.35">
      <c r="A14" s="11" t="s">
        <v>249</v>
      </c>
      <c r="B14" s="9">
        <f>B15*2</f>
        <v>700</v>
      </c>
      <c r="C14" s="245" t="s">
        <v>250</v>
      </c>
      <c r="D14" s="8" t="s">
        <v>251</v>
      </c>
      <c r="E14" s="173">
        <f>F14/1.21</f>
        <v>0</v>
      </c>
      <c r="F14" s="252">
        <f>G27</f>
        <v>0</v>
      </c>
      <c r="G14" s="253"/>
      <c r="H14" s="12"/>
      <c r="I14" s="12"/>
      <c r="J14" s="12"/>
      <c r="K14" s="72">
        <f>SUM(K3:K11)</f>
        <v>5775.5</v>
      </c>
      <c r="T14" t="s">
        <v>252</v>
      </c>
      <c r="X14" s="92">
        <v>400</v>
      </c>
      <c r="Y14" s="9" t="s">
        <v>250</v>
      </c>
      <c r="Z14" s="8" t="s">
        <v>251</v>
      </c>
      <c r="AA14" s="91">
        <f>1.02*X14+12</f>
        <v>420</v>
      </c>
      <c r="AB14" s="69">
        <f>AA14+(AA14*0.21)</f>
        <v>508.2</v>
      </c>
      <c r="AC14" s="153">
        <v>0</v>
      </c>
      <c r="AD14" s="152">
        <f>'Estoc 19'!AG8</f>
        <v>520</v>
      </c>
      <c r="AE14" s="153" t="s">
        <v>204</v>
      </c>
      <c r="AF14" s="153" t="s">
        <v>253</v>
      </c>
      <c r="AG14" s="9">
        <f>AD14</f>
        <v>520</v>
      </c>
      <c r="AH14" s="9" t="s">
        <v>250</v>
      </c>
      <c r="AI14" s="8" t="s">
        <v>251</v>
      </c>
      <c r="AJ14" s="173">
        <f t="shared" si="2"/>
        <v>476.2</v>
      </c>
      <c r="AK14" s="69">
        <f>AI27</f>
        <v>576.202</v>
      </c>
      <c r="AL14" s="157">
        <f>AM15*2</f>
        <v>600</v>
      </c>
      <c r="AM14" s="209" t="s">
        <v>250</v>
      </c>
      <c r="AN14" s="169" t="s">
        <v>251</v>
      </c>
      <c r="AO14" s="191">
        <f>AP14/1.21</f>
        <v>450.41322314049586</v>
      </c>
      <c r="AP14" s="167">
        <f>AK27</f>
        <v>545</v>
      </c>
    </row>
    <row r="15" spans="1:42" ht="15" customHeight="1" x14ac:dyDescent="0.35">
      <c r="A15" s="323" t="s">
        <v>73</v>
      </c>
      <c r="B15" s="9">
        <v>350</v>
      </c>
      <c r="C15" s="9"/>
      <c r="D15" s="9"/>
      <c r="E15" s="322">
        <f>SUM(E3:E14)</f>
        <v>8352.6</v>
      </c>
      <c r="F15" s="322">
        <f>SUM(F3:F14)</f>
        <v>10106.645999999999</v>
      </c>
      <c r="G15" s="254"/>
      <c r="H15" s="141"/>
      <c r="I15" s="141"/>
      <c r="J15" s="141"/>
      <c r="K15" s="142"/>
      <c r="L15" s="143"/>
      <c r="M15" s="143"/>
      <c r="N15" s="143"/>
      <c r="O15" s="143"/>
      <c r="P15" s="143"/>
      <c r="Q15" s="143"/>
      <c r="R15" s="143"/>
      <c r="S15" s="143"/>
      <c r="T15" s="144">
        <f>150+27</f>
        <v>177</v>
      </c>
      <c r="U15" s="145" t="s">
        <v>254</v>
      </c>
      <c r="V15" s="143"/>
      <c r="W15" s="143"/>
      <c r="X15" s="143"/>
      <c r="Y15" s="143"/>
      <c r="Z15" s="143"/>
      <c r="AA15" s="143"/>
      <c r="AB15" s="154">
        <f>SUM(AB3:AB11)</f>
        <v>6703.2245999999996</v>
      </c>
      <c r="AJ15" s="174">
        <f>SUM(AJ3:AJ14)</f>
        <v>5676.36</v>
      </c>
      <c r="AK15" s="174">
        <f>SUM(AK3:AK14)</f>
        <v>6868.3955999999998</v>
      </c>
      <c r="AM15">
        <v>300</v>
      </c>
      <c r="AO15" s="174">
        <f>SUM(AO3:AO14)</f>
        <v>5240.3239669421491</v>
      </c>
      <c r="AP15" s="174">
        <f>SUM(AP3:AP14)</f>
        <v>6340.7920000000004</v>
      </c>
    </row>
    <row r="16" spans="1:42" ht="15" customHeight="1" x14ac:dyDescent="0.35">
      <c r="A16" s="14"/>
      <c r="B16" s="14"/>
      <c r="C16" s="14"/>
      <c r="D16" s="14"/>
      <c r="E16" s="14"/>
      <c r="F16" s="14"/>
      <c r="G16" s="14"/>
      <c r="H16" s="12"/>
      <c r="I16" s="12"/>
      <c r="J16" s="12"/>
      <c r="K16" s="13"/>
      <c r="T16" s="33"/>
      <c r="U16" s="31"/>
      <c r="AB16" s="147"/>
    </row>
    <row r="17" spans="1:42" ht="15" customHeight="1" thickBot="1" x14ac:dyDescent="0.4">
      <c r="B17" s="12"/>
      <c r="C17" s="12"/>
      <c r="D17" s="12"/>
      <c r="E17" s="12"/>
      <c r="F17" s="12"/>
      <c r="G17" s="12"/>
      <c r="J17" s="218"/>
      <c r="K17" s="218"/>
      <c r="L17" s="218"/>
      <c r="M17" s="218"/>
      <c r="N17" s="218"/>
      <c r="O17" s="219"/>
      <c r="P17" s="37"/>
      <c r="U17" t="s">
        <v>255</v>
      </c>
      <c r="AC17" s="396" t="s">
        <v>256</v>
      </c>
      <c r="AD17" s="396"/>
      <c r="AE17" s="396"/>
      <c r="AF17" s="396"/>
      <c r="AG17" s="396"/>
      <c r="AN17" s="31"/>
      <c r="AO17" s="31"/>
      <c r="AP17" s="31"/>
    </row>
    <row r="18" spans="1:42" thickBot="1" x14ac:dyDescent="0.4">
      <c r="A18" s="327" t="s">
        <v>256</v>
      </c>
      <c r="B18" s="328" t="s">
        <v>69</v>
      </c>
      <c r="C18" s="328" t="s">
        <v>257</v>
      </c>
      <c r="D18" s="328" t="s">
        <v>258</v>
      </c>
      <c r="E18" s="328" t="s">
        <v>174</v>
      </c>
      <c r="F18" s="328" t="s">
        <v>259</v>
      </c>
      <c r="G18" s="328" t="s">
        <v>260</v>
      </c>
      <c r="J18" s="255"/>
      <c r="K18" s="256" t="s">
        <v>175</v>
      </c>
      <c r="L18" s="256" t="s">
        <v>261</v>
      </c>
      <c r="M18" s="256" t="s">
        <v>262</v>
      </c>
      <c r="N18" s="256" t="s">
        <v>263</v>
      </c>
      <c r="O18" s="256" t="s">
        <v>264</v>
      </c>
      <c r="P18" s="256" t="s">
        <v>265</v>
      </c>
      <c r="Q18" s="257" t="s">
        <v>266</v>
      </c>
      <c r="R18" s="258"/>
      <c r="S18" s="258"/>
      <c r="T18" s="258"/>
      <c r="U18" s="258"/>
      <c r="V18" s="258"/>
      <c r="W18" s="258"/>
      <c r="AF18" s="146" t="s">
        <v>267</v>
      </c>
      <c r="AG18" s="146" t="s">
        <v>268</v>
      </c>
      <c r="AH18" s="146" t="s">
        <v>174</v>
      </c>
      <c r="AI18" s="146" t="s">
        <v>269</v>
      </c>
      <c r="AJ18" s="146" t="s">
        <v>174</v>
      </c>
      <c r="AK18" s="146" t="s">
        <v>270</v>
      </c>
      <c r="AL18" s="146">
        <v>1.21</v>
      </c>
      <c r="AM18" s="259"/>
      <c r="AP18" s="31"/>
    </row>
    <row r="19" spans="1:42" s="261" customFormat="1" ht="13.5" hidden="1" customHeight="1" x14ac:dyDescent="0.35">
      <c r="A19" s="240" t="s">
        <v>271</v>
      </c>
      <c r="B19" s="240" t="s">
        <v>272</v>
      </c>
      <c r="C19" s="240"/>
      <c r="D19" s="260" t="s">
        <v>273</v>
      </c>
      <c r="E19" s="326"/>
      <c r="F19" s="240"/>
      <c r="G19" s="240"/>
      <c r="I19"/>
      <c r="J19" s="262">
        <f>20*150</f>
        <v>3000</v>
      </c>
      <c r="K19" s="263" t="s">
        <v>201</v>
      </c>
      <c r="L19" s="264" t="s">
        <v>274</v>
      </c>
      <c r="M19" s="265">
        <f>(0.55*J19)*1.21</f>
        <v>1996.5000000000002</v>
      </c>
      <c r="N19" s="266" t="s">
        <v>275</v>
      </c>
      <c r="O19" s="267" t="s">
        <v>276</v>
      </c>
      <c r="P19" s="268">
        <v>42420</v>
      </c>
      <c r="Q19" s="269" t="s">
        <v>277</v>
      </c>
      <c r="AF19" s="240">
        <v>4000</v>
      </c>
      <c r="AG19" s="240" t="s">
        <v>278</v>
      </c>
      <c r="AH19" s="224"/>
      <c r="AI19" s="225"/>
      <c r="AJ19" s="233"/>
      <c r="AK19" s="237"/>
      <c r="AL19" s="234"/>
      <c r="AP19" s="31"/>
    </row>
    <row r="20" spans="1:42" s="261" customFormat="1" ht="13.5" hidden="1" customHeight="1" x14ac:dyDescent="0.35">
      <c r="A20" s="90" t="s">
        <v>279</v>
      </c>
      <c r="B20" s="90" t="s">
        <v>280</v>
      </c>
      <c r="C20" s="90"/>
      <c r="D20" s="270" t="s">
        <v>281</v>
      </c>
      <c r="E20" s="221"/>
      <c r="F20" s="90"/>
      <c r="G20" s="90"/>
      <c r="I20"/>
      <c r="J20" s="262">
        <f>20*150</f>
        <v>3000</v>
      </c>
      <c r="K20" s="271" t="s">
        <v>198</v>
      </c>
      <c r="L20" s="34" t="s">
        <v>207</v>
      </c>
      <c r="M20" s="69">
        <f>(0.3*J20*1.21)+37.45*1.21</f>
        <v>1134.3145</v>
      </c>
      <c r="N20" s="34" t="s">
        <v>275</v>
      </c>
      <c r="O20" s="272" t="s">
        <v>282</v>
      </c>
      <c r="P20" s="273">
        <v>42421</v>
      </c>
      <c r="Q20" s="274" t="s">
        <v>283</v>
      </c>
      <c r="AF20" s="90">
        <v>4000</v>
      </c>
      <c r="AG20" s="90" t="s">
        <v>278</v>
      </c>
      <c r="AH20" s="222"/>
      <c r="AI20" s="226"/>
      <c r="AJ20" s="235"/>
      <c r="AK20" s="238"/>
      <c r="AL20" s="231"/>
      <c r="AP20" s="31"/>
    </row>
    <row r="21" spans="1:42" s="261" customFormat="1" ht="13.5" hidden="1" customHeight="1" x14ac:dyDescent="0.35">
      <c r="A21" s="90" t="s">
        <v>284</v>
      </c>
      <c r="B21" s="90" t="s">
        <v>272</v>
      </c>
      <c r="C21" s="90"/>
      <c r="D21" s="270" t="s">
        <v>285</v>
      </c>
      <c r="E21" s="221"/>
      <c r="F21" s="90"/>
      <c r="G21" s="90"/>
      <c r="I21"/>
      <c r="J21" s="262">
        <v>300</v>
      </c>
      <c r="K21" s="271" t="s">
        <v>210</v>
      </c>
      <c r="L21" s="275" t="s">
        <v>212</v>
      </c>
      <c r="M21" s="69">
        <f>J21*0.88*1.21</f>
        <v>319.44</v>
      </c>
      <c r="N21" s="34" t="s">
        <v>275</v>
      </c>
      <c r="O21" s="272" t="s">
        <v>286</v>
      </c>
      <c r="P21" s="273">
        <v>42422</v>
      </c>
      <c r="Q21" s="274" t="s">
        <v>287</v>
      </c>
      <c r="AF21" s="90">
        <v>4000</v>
      </c>
      <c r="AG21" s="90" t="s">
        <v>278</v>
      </c>
      <c r="AH21" s="222"/>
      <c r="AI21" s="226"/>
      <c r="AJ21" s="235"/>
      <c r="AK21" s="238"/>
      <c r="AL21" s="231"/>
      <c r="AP21" s="31"/>
    </row>
    <row r="22" spans="1:42" s="261" customFormat="1" ht="13.5" hidden="1" customHeight="1" x14ac:dyDescent="0.35">
      <c r="A22" s="90" t="s">
        <v>288</v>
      </c>
      <c r="B22" s="90" t="s">
        <v>272</v>
      </c>
      <c r="C22" s="90"/>
      <c r="D22" s="270" t="s">
        <v>289</v>
      </c>
      <c r="E22" s="221"/>
      <c r="F22" s="90"/>
      <c r="G22" s="90"/>
      <c r="I22"/>
      <c r="J22" s="262">
        <v>450</v>
      </c>
      <c r="K22" s="271" t="s">
        <v>210</v>
      </c>
      <c r="L22" s="275" t="s">
        <v>212</v>
      </c>
      <c r="M22" s="73">
        <v>424</v>
      </c>
      <c r="N22" s="276" t="s">
        <v>275</v>
      </c>
      <c r="O22" s="275" t="s">
        <v>286</v>
      </c>
      <c r="P22" s="277"/>
      <c r="Q22" s="278" t="s">
        <v>287</v>
      </c>
      <c r="AF22" s="90">
        <v>4000</v>
      </c>
      <c r="AG22" s="241">
        <f>3396+180</f>
        <v>3576</v>
      </c>
      <c r="AH22" s="223"/>
      <c r="AI22" s="227"/>
      <c r="AJ22" s="235"/>
      <c r="AK22" s="239"/>
      <c r="AL22" s="232"/>
      <c r="AP22" s="31"/>
    </row>
    <row r="23" spans="1:42" s="261" customFormat="1" ht="13.5" hidden="1" customHeight="1" x14ac:dyDescent="0.35">
      <c r="A23" s="90" t="s">
        <v>290</v>
      </c>
      <c r="B23" s="90" t="s">
        <v>280</v>
      </c>
      <c r="C23" s="90"/>
      <c r="D23" s="270" t="s">
        <v>291</v>
      </c>
      <c r="E23" s="221"/>
      <c r="F23" s="90"/>
      <c r="G23" s="90"/>
      <c r="I23"/>
      <c r="J23" s="262">
        <f>1*150</f>
        <v>150</v>
      </c>
      <c r="K23" s="271" t="s">
        <v>218</v>
      </c>
      <c r="L23" s="275" t="s">
        <v>219</v>
      </c>
      <c r="M23" s="73">
        <v>895</v>
      </c>
      <c r="N23" s="276" t="s">
        <v>292</v>
      </c>
      <c r="O23" s="275" t="s">
        <v>286</v>
      </c>
      <c r="P23" s="277"/>
      <c r="Q23" s="278" t="s">
        <v>225</v>
      </c>
      <c r="AF23" s="90">
        <v>4000</v>
      </c>
      <c r="AG23" s="90" t="s">
        <v>278</v>
      </c>
      <c r="AH23" s="222"/>
      <c r="AI23" s="226"/>
      <c r="AJ23" s="235"/>
      <c r="AK23" s="238"/>
      <c r="AL23" s="231"/>
      <c r="AP23" s="31"/>
    </row>
    <row r="24" spans="1:42" s="261" customFormat="1" ht="13.5" hidden="1" customHeight="1" x14ac:dyDescent="0.35">
      <c r="A24" s="90" t="s">
        <v>290</v>
      </c>
      <c r="B24" s="90" t="s">
        <v>272</v>
      </c>
      <c r="C24" s="90"/>
      <c r="D24" s="270" t="s">
        <v>291</v>
      </c>
      <c r="E24" s="221"/>
      <c r="F24" s="90"/>
      <c r="G24" s="90"/>
      <c r="I24"/>
      <c r="J24" s="262">
        <f>1*150</f>
        <v>150</v>
      </c>
      <c r="K24" s="271" t="s">
        <v>216</v>
      </c>
      <c r="L24" s="276" t="s">
        <v>293</v>
      </c>
      <c r="M24" s="73">
        <f>((O24*0.72)*150)*1.21</f>
        <v>582.83279999999991</v>
      </c>
      <c r="N24" s="276" t="s">
        <v>294</v>
      </c>
      <c r="O24" s="275">
        <v>4.46</v>
      </c>
      <c r="P24" s="277"/>
      <c r="Q24" s="278" t="s">
        <v>295</v>
      </c>
      <c r="AF24" s="90">
        <v>4000</v>
      </c>
      <c r="AG24" s="90" t="s">
        <v>296</v>
      </c>
      <c r="AH24" s="222"/>
      <c r="AI24" s="226"/>
      <c r="AJ24" s="235"/>
      <c r="AK24" s="238"/>
      <c r="AL24" s="231"/>
      <c r="AP24" s="31"/>
    </row>
    <row r="25" spans="1:42" s="261" customFormat="1" ht="13.5" hidden="1" customHeight="1" thickBot="1" x14ac:dyDescent="0.4">
      <c r="A25" s="90" t="s">
        <v>297</v>
      </c>
      <c r="B25" s="90" t="s">
        <v>272</v>
      </c>
      <c r="C25" s="90"/>
      <c r="D25" s="270" t="s">
        <v>298</v>
      </c>
      <c r="E25" s="221"/>
      <c r="F25" s="90"/>
      <c r="G25" s="90"/>
      <c r="I25"/>
      <c r="J25" s="262"/>
      <c r="K25" s="271"/>
      <c r="L25" s="276" t="s">
        <v>293</v>
      </c>
      <c r="M25" s="73">
        <f>5.78*0.96*1.21*150</f>
        <v>1007.1072</v>
      </c>
      <c r="N25" s="276" t="s">
        <v>299</v>
      </c>
      <c r="O25" s="275" t="s">
        <v>300</v>
      </c>
      <c r="P25" s="277">
        <v>42423</v>
      </c>
      <c r="Q25" s="278"/>
      <c r="AF25" s="90">
        <v>4000</v>
      </c>
      <c r="AG25" s="90" t="s">
        <v>301</v>
      </c>
      <c r="AH25" s="222"/>
      <c r="AI25" s="226"/>
      <c r="AJ25" s="235"/>
      <c r="AK25" s="238"/>
      <c r="AL25" s="231"/>
      <c r="AP25" s="31"/>
    </row>
    <row r="26" spans="1:42" s="261" customFormat="1" ht="31.4" customHeight="1" x14ac:dyDescent="0.35">
      <c r="A26" s="329" t="s">
        <v>302</v>
      </c>
      <c r="B26" s="279" t="s">
        <v>303</v>
      </c>
      <c r="C26" s="279" t="s">
        <v>304</v>
      </c>
      <c r="D26" s="330" t="s">
        <v>305</v>
      </c>
      <c r="E26" s="330">
        <f>5*350</f>
        <v>1750</v>
      </c>
      <c r="F26" s="330">
        <v>1505</v>
      </c>
      <c r="G26" s="331" t="s">
        <v>306</v>
      </c>
      <c r="I26"/>
      <c r="J26" s="255">
        <f>1*150</f>
        <v>150</v>
      </c>
      <c r="K26" s="271" t="s">
        <v>216</v>
      </c>
      <c r="L26" s="34" t="s">
        <v>293</v>
      </c>
      <c r="M26" s="73">
        <f>(5.13*1.21*150)*0.71</f>
        <v>661.07745</v>
      </c>
      <c r="N26" s="34" t="s">
        <v>307</v>
      </c>
      <c r="O26" s="272" t="s">
        <v>308</v>
      </c>
      <c r="P26" s="273">
        <v>42089</v>
      </c>
      <c r="Q26" s="274" t="s">
        <v>295</v>
      </c>
      <c r="AF26" s="90">
        <v>390</v>
      </c>
      <c r="AG26" s="242">
        <f>AF26*0.88*1.21+7.9*1.21</f>
        <v>424.83100000000002</v>
      </c>
      <c r="AH26" s="228">
        <f>'Estoc 19'!AG5</f>
        <v>500</v>
      </c>
      <c r="AI26" s="229">
        <f>AH26*0.88*1.21</f>
        <v>532.4</v>
      </c>
      <c r="AJ26" s="236">
        <f>AM15*4</f>
        <v>1200</v>
      </c>
      <c r="AK26" s="239">
        <f>AJ26*0.8</f>
        <v>960</v>
      </c>
      <c r="AL26" s="232">
        <f t="shared" ref="AL26:AL34" si="3">AK26*$AL$18</f>
        <v>1161.5999999999999</v>
      </c>
      <c r="AP26" s="31"/>
    </row>
    <row r="27" spans="1:42" s="261" customFormat="1" ht="13.5" hidden="1" customHeight="1" x14ac:dyDescent="0.35">
      <c r="A27" s="329" t="s">
        <v>309</v>
      </c>
      <c r="B27" s="279" t="s">
        <v>310</v>
      </c>
      <c r="C27" s="279" t="s">
        <v>311</v>
      </c>
      <c r="D27" s="330" t="s">
        <v>312</v>
      </c>
      <c r="E27" s="330">
        <f>E1*2</f>
        <v>0</v>
      </c>
      <c r="F27" s="330"/>
      <c r="G27" s="279"/>
      <c r="I27"/>
      <c r="J27" s="262">
        <v>300</v>
      </c>
      <c r="K27" s="271" t="s">
        <v>226</v>
      </c>
      <c r="L27" s="275" t="s">
        <v>313</v>
      </c>
      <c r="M27" s="73">
        <v>0</v>
      </c>
      <c r="N27" s="275" t="s">
        <v>286</v>
      </c>
      <c r="O27" s="272" t="s">
        <v>286</v>
      </c>
      <c r="P27" s="273" t="s">
        <v>314</v>
      </c>
      <c r="Q27" s="274" t="s">
        <v>227</v>
      </c>
      <c r="AF27" s="90">
        <v>400</v>
      </c>
      <c r="AG27" s="242">
        <v>508.2</v>
      </c>
      <c r="AH27" s="228">
        <f>'Estoc 19'!AG8</f>
        <v>520</v>
      </c>
      <c r="AI27" s="229">
        <f>((AH27*0.63)+(AH27*0.23)+20+9)*1.21</f>
        <v>576.202</v>
      </c>
      <c r="AJ27" s="236">
        <f>AM15*2</f>
        <v>600</v>
      </c>
      <c r="AK27" s="239">
        <f>((AJ27*0.63)+(AJ27*0.23)+20+9)</f>
        <v>545</v>
      </c>
      <c r="AL27" s="232">
        <f t="shared" si="3"/>
        <v>659.44999999999993</v>
      </c>
      <c r="AP27" s="31"/>
    </row>
    <row r="28" spans="1:42" s="261" customFormat="1" ht="13.5" hidden="1" customHeight="1" x14ac:dyDescent="0.35">
      <c r="A28" s="329" t="s">
        <v>315</v>
      </c>
      <c r="B28" s="280" t="s">
        <v>316</v>
      </c>
      <c r="C28" s="280"/>
      <c r="D28" s="184" t="s">
        <v>317</v>
      </c>
      <c r="E28" s="184"/>
      <c r="F28" s="184"/>
      <c r="G28" s="280"/>
      <c r="I28"/>
      <c r="J28" s="262">
        <v>150</v>
      </c>
      <c r="K28" s="271" t="s">
        <v>318</v>
      </c>
      <c r="L28" s="281" t="s">
        <v>319</v>
      </c>
      <c r="M28" s="73">
        <v>3440</v>
      </c>
      <c r="N28" s="34" t="s">
        <v>320</v>
      </c>
      <c r="O28" s="282"/>
      <c r="P28" s="273"/>
      <c r="Q28" s="274"/>
      <c r="AF28" s="90">
        <v>170</v>
      </c>
      <c r="AG28" s="90">
        <f>4.73*AF28</f>
        <v>804.1</v>
      </c>
      <c r="AH28" s="222"/>
      <c r="AI28" s="226"/>
      <c r="AJ28" s="235"/>
      <c r="AK28" s="238"/>
      <c r="AL28" s="231">
        <f t="shared" si="3"/>
        <v>0</v>
      </c>
      <c r="AP28" s="31"/>
    </row>
    <row r="29" spans="1:42" s="261" customFormat="1" ht="13.5" hidden="1" customHeight="1" x14ac:dyDescent="0.35">
      <c r="A29" s="329" t="s">
        <v>315</v>
      </c>
      <c r="B29" s="280" t="s">
        <v>280</v>
      </c>
      <c r="C29" s="280"/>
      <c r="D29" s="184" t="s">
        <v>317</v>
      </c>
      <c r="E29" s="184"/>
      <c r="F29" s="184"/>
      <c r="G29" s="280"/>
      <c r="I29"/>
      <c r="J29" s="262">
        <v>150</v>
      </c>
      <c r="K29" s="271" t="s">
        <v>321</v>
      </c>
      <c r="L29" s="275" t="s">
        <v>322</v>
      </c>
      <c r="M29" s="73">
        <v>1778</v>
      </c>
      <c r="N29" s="34" t="s">
        <v>323</v>
      </c>
      <c r="O29" s="282"/>
      <c r="P29" s="273"/>
      <c r="Q29" s="274" t="s">
        <v>324</v>
      </c>
      <c r="AF29" s="90">
        <v>10000</v>
      </c>
      <c r="AG29" s="241">
        <f>0.099*AF29</f>
        <v>990</v>
      </c>
      <c r="AH29" s="223"/>
      <c r="AI29" s="227"/>
      <c r="AJ29" s="235"/>
      <c r="AK29" s="239"/>
      <c r="AL29" s="232">
        <f t="shared" si="3"/>
        <v>0</v>
      </c>
      <c r="AP29" s="31"/>
    </row>
    <row r="30" spans="1:42" s="261" customFormat="1" ht="13.5" hidden="1" customHeight="1" x14ac:dyDescent="0.35">
      <c r="A30" s="329" t="s">
        <v>325</v>
      </c>
      <c r="B30" s="279" t="s">
        <v>326</v>
      </c>
      <c r="C30" s="279" t="s">
        <v>327</v>
      </c>
      <c r="D30" s="330" t="s">
        <v>328</v>
      </c>
      <c r="E30" s="330"/>
      <c r="F30" s="330"/>
      <c r="G30" s="279"/>
      <c r="I30"/>
      <c r="J30" s="262">
        <f>1*150</f>
        <v>150</v>
      </c>
      <c r="K30" s="271" t="s">
        <v>329</v>
      </c>
      <c r="L30" s="34" t="s">
        <v>330</v>
      </c>
      <c r="M30" s="69">
        <f>(1.5*J30)*1.21</f>
        <v>272.25</v>
      </c>
      <c r="N30" s="34" t="s">
        <v>331</v>
      </c>
      <c r="O30" s="282" t="s">
        <v>282</v>
      </c>
      <c r="P30" s="273"/>
      <c r="Q30" s="274" t="s">
        <v>332</v>
      </c>
      <c r="AF30" s="90">
        <v>400</v>
      </c>
      <c r="AG30" s="241">
        <f>AF30*1.8347*1.21</f>
        <v>887.99479999999994</v>
      </c>
      <c r="AH30" s="228">
        <v>500</v>
      </c>
      <c r="AI30" s="229">
        <f>AH30*1.79016*1.21</f>
        <v>1083.0468000000001</v>
      </c>
      <c r="AJ30" s="236"/>
      <c r="AK30" s="239"/>
      <c r="AL30" s="232">
        <f t="shared" si="3"/>
        <v>0</v>
      </c>
      <c r="AP30" s="31"/>
    </row>
    <row r="31" spans="1:42" s="261" customFormat="1" ht="13.5" hidden="1" customHeight="1" x14ac:dyDescent="0.35">
      <c r="A31" s="329" t="s">
        <v>325</v>
      </c>
      <c r="B31" s="90" t="s">
        <v>310</v>
      </c>
      <c r="C31" s="90"/>
      <c r="D31" s="92" t="s">
        <v>328</v>
      </c>
      <c r="E31" s="92"/>
      <c r="F31" s="92"/>
      <c r="G31" s="90"/>
      <c r="I31"/>
      <c r="J31" s="262">
        <f>1*150</f>
        <v>150</v>
      </c>
      <c r="K31" s="271" t="s">
        <v>333</v>
      </c>
      <c r="L31" s="275"/>
      <c r="M31" s="73"/>
      <c r="N31" s="34"/>
      <c r="O31" s="282"/>
      <c r="P31" s="273"/>
      <c r="Q31" s="274"/>
      <c r="AF31" s="90">
        <v>400</v>
      </c>
      <c r="AG31" s="241">
        <v>569.05999999999995</v>
      </c>
      <c r="AH31" s="223"/>
      <c r="AI31" s="227"/>
      <c r="AJ31" s="235"/>
      <c r="AK31" s="239"/>
      <c r="AL31" s="232">
        <f t="shared" si="3"/>
        <v>0</v>
      </c>
      <c r="AP31" s="31"/>
    </row>
    <row r="32" spans="1:42" s="261" customFormat="1" ht="43.4" hidden="1" customHeight="1" x14ac:dyDescent="0.35">
      <c r="A32" s="329" t="s">
        <v>334</v>
      </c>
      <c r="B32" s="90" t="s">
        <v>280</v>
      </c>
      <c r="C32" s="90"/>
      <c r="D32" s="92" t="s">
        <v>335</v>
      </c>
      <c r="E32" s="92"/>
      <c r="F32" s="92"/>
      <c r="G32" s="90"/>
      <c r="I32"/>
      <c r="J32" s="262">
        <f>1*150</f>
        <v>150</v>
      </c>
      <c r="K32" s="271" t="s">
        <v>336</v>
      </c>
      <c r="L32" s="275" t="s">
        <v>337</v>
      </c>
      <c r="M32" s="73">
        <v>1760</v>
      </c>
      <c r="N32" s="34" t="s">
        <v>338</v>
      </c>
      <c r="O32" s="282" t="s">
        <v>276</v>
      </c>
      <c r="P32" s="273"/>
      <c r="Q32" s="274"/>
      <c r="AF32" s="90">
        <v>4000</v>
      </c>
      <c r="AG32" s="90" t="s">
        <v>301</v>
      </c>
      <c r="AH32" s="222"/>
      <c r="AI32" s="226"/>
      <c r="AJ32" s="235"/>
      <c r="AK32" s="238"/>
      <c r="AL32" s="231">
        <f t="shared" si="3"/>
        <v>0</v>
      </c>
      <c r="AP32" s="31"/>
    </row>
    <row r="33" spans="1:43" s="32" customFormat="1" ht="54" customHeight="1" thickBot="1" x14ac:dyDescent="0.4">
      <c r="A33" s="329" t="s">
        <v>339</v>
      </c>
      <c r="B33" s="279" t="s">
        <v>272</v>
      </c>
      <c r="C33" s="279" t="s">
        <v>340</v>
      </c>
      <c r="D33" s="330" t="s">
        <v>341</v>
      </c>
      <c r="E33" s="330">
        <f>350*20</f>
        <v>7000</v>
      </c>
      <c r="F33" s="330">
        <f>E33*0.55+35</f>
        <v>3885.0000000000005</v>
      </c>
      <c r="G33" s="279"/>
      <c r="I33"/>
      <c r="J33" s="262">
        <v>2</v>
      </c>
      <c r="K33" s="8" t="s">
        <v>321</v>
      </c>
      <c r="L33" s="9" t="s">
        <v>322</v>
      </c>
      <c r="M33" s="29">
        <v>70</v>
      </c>
      <c r="N33" s="284" t="s">
        <v>275</v>
      </c>
      <c r="O33" s="157" t="s">
        <v>276</v>
      </c>
      <c r="P33" s="285"/>
      <c r="Q33" s="286" t="s">
        <v>332</v>
      </c>
      <c r="AF33" s="283">
        <v>6000</v>
      </c>
      <c r="AG33" s="287">
        <f>AF33*0.3*1.21</f>
        <v>2178</v>
      </c>
      <c r="AH33" s="228">
        <f>'Estoc 19'!AG4</f>
        <v>6700</v>
      </c>
      <c r="AI33" s="229">
        <f>AH33*0.3*1.21+32*1.21</f>
        <v>2470.8199999999997</v>
      </c>
      <c r="AJ33" s="236">
        <f>20*AM15</f>
        <v>6000</v>
      </c>
      <c r="AK33" s="239">
        <f>AJ33*0.49</f>
        <v>2940</v>
      </c>
      <c r="AL33" s="232">
        <f t="shared" si="3"/>
        <v>3557.4</v>
      </c>
      <c r="AP33" s="31"/>
    </row>
    <row r="34" spans="1:43" s="32" customFormat="1" ht="42" x14ac:dyDescent="0.35">
      <c r="A34" s="329" t="s">
        <v>339</v>
      </c>
      <c r="B34" s="279" t="s">
        <v>238</v>
      </c>
      <c r="C34" s="279" t="s">
        <v>342</v>
      </c>
      <c r="D34" s="330" t="s">
        <v>341</v>
      </c>
      <c r="E34" s="330">
        <v>350</v>
      </c>
      <c r="F34" s="330">
        <f>E34*0.43+392.84</f>
        <v>543.33999999999992</v>
      </c>
      <c r="G34" s="279"/>
      <c r="I34"/>
      <c r="J34" s="255">
        <v>3</v>
      </c>
      <c r="K34" s="288"/>
      <c r="L34" s="289"/>
      <c r="M34" s="290"/>
      <c r="N34" s="291"/>
      <c r="O34" s="292"/>
      <c r="P34" s="285"/>
      <c r="Q34" s="293"/>
      <c r="AF34" s="283">
        <v>300</v>
      </c>
      <c r="AG34" s="287">
        <f>Despeses21!Z13</f>
        <v>2359.5</v>
      </c>
      <c r="AH34" s="228">
        <f>'Estoc 19'!AG10</f>
        <v>250</v>
      </c>
      <c r="AI34" s="229">
        <f>(AH34*0.27*1.21)+(57.01*1.21)</f>
        <v>150.65710000000001</v>
      </c>
      <c r="AJ34" s="236">
        <v>235</v>
      </c>
      <c r="AK34" s="239">
        <f>AJ34*0.5</f>
        <v>117.5</v>
      </c>
      <c r="AL34" s="232">
        <f t="shared" si="3"/>
        <v>142.17499999999998</v>
      </c>
      <c r="AP34" s="31"/>
    </row>
    <row r="35" spans="1:43" s="32" customFormat="1" ht="14.5" x14ac:dyDescent="0.35">
      <c r="A35" s="279" t="s">
        <v>343</v>
      </c>
      <c r="B35" s="279" t="s">
        <v>272</v>
      </c>
      <c r="C35" s="279" t="s">
        <v>344</v>
      </c>
      <c r="D35" s="330" t="s">
        <v>345</v>
      </c>
      <c r="E35" s="330">
        <v>1500</v>
      </c>
      <c r="F35" s="330">
        <f>4.3*E35*1.21</f>
        <v>7804.5</v>
      </c>
      <c r="G35" s="279">
        <f>E35/20</f>
        <v>75</v>
      </c>
      <c r="I35"/>
      <c r="J35" s="332"/>
      <c r="K35" s="288"/>
      <c r="L35" s="289"/>
      <c r="M35" s="290"/>
      <c r="N35" s="291"/>
      <c r="O35" s="292"/>
      <c r="P35" s="333"/>
      <c r="Q35" s="293"/>
      <c r="AF35" s="283"/>
      <c r="AG35" s="287"/>
      <c r="AH35" s="228"/>
      <c r="AI35" s="229"/>
      <c r="AJ35" s="236"/>
      <c r="AK35" s="239"/>
      <c r="AL35" s="232"/>
      <c r="AP35" s="31"/>
    </row>
    <row r="36" spans="1:43" s="32" customFormat="1" ht="21" x14ac:dyDescent="0.35">
      <c r="A36" s="279" t="s">
        <v>343</v>
      </c>
      <c r="B36" s="279" t="s">
        <v>272</v>
      </c>
      <c r="C36" s="279" t="s">
        <v>346</v>
      </c>
      <c r="D36" s="330" t="s">
        <v>345</v>
      </c>
      <c r="E36" s="330">
        <v>500</v>
      </c>
      <c r="F36" s="330">
        <f>2.9*E36*1.21</f>
        <v>1754.5</v>
      </c>
      <c r="G36" s="279">
        <f>E36/20</f>
        <v>25</v>
      </c>
      <c r="I36"/>
      <c r="J36" s="332"/>
      <c r="K36" s="288"/>
      <c r="L36" s="289"/>
      <c r="M36" s="290"/>
      <c r="N36" s="291"/>
      <c r="O36" s="292"/>
      <c r="P36" s="333"/>
      <c r="Q36" s="293"/>
      <c r="AF36" s="283"/>
      <c r="AG36" s="287"/>
      <c r="AH36" s="228"/>
      <c r="AI36" s="229"/>
      <c r="AJ36" s="236"/>
      <c r="AK36" s="239"/>
      <c r="AL36" s="232"/>
      <c r="AP36" s="31"/>
    </row>
    <row r="37" spans="1:43" s="32" customFormat="1" ht="21" x14ac:dyDescent="0.35">
      <c r="A37" s="279" t="s">
        <v>347</v>
      </c>
      <c r="B37" s="279" t="s">
        <v>348</v>
      </c>
      <c r="C37" s="279" t="s">
        <v>349</v>
      </c>
      <c r="D37" s="330" t="s">
        <v>350</v>
      </c>
      <c r="E37" s="330">
        <v>14</v>
      </c>
      <c r="F37" s="330">
        <f>G37*E37</f>
        <v>277.62</v>
      </c>
      <c r="G37" s="279">
        <v>19.829999999999998</v>
      </c>
      <c r="I37"/>
      <c r="J37" s="332"/>
      <c r="K37" s="288"/>
      <c r="L37" s="289"/>
      <c r="M37" s="290"/>
      <c r="N37" s="291"/>
      <c r="O37" s="292"/>
      <c r="P37" s="333"/>
      <c r="Q37" s="293"/>
      <c r="AF37" s="283"/>
      <c r="AG37" s="287"/>
      <c r="AH37" s="228"/>
      <c r="AI37" s="229"/>
      <c r="AJ37" s="236"/>
      <c r="AK37" s="239"/>
      <c r="AL37" s="232"/>
      <c r="AP37" s="31"/>
    </row>
    <row r="38" spans="1:43" s="32" customFormat="1" ht="21" x14ac:dyDescent="0.35">
      <c r="A38" s="279" t="s">
        <v>347</v>
      </c>
      <c r="B38" s="279" t="s">
        <v>351</v>
      </c>
      <c r="C38" s="279" t="s">
        <v>352</v>
      </c>
      <c r="D38" s="330" t="s">
        <v>350</v>
      </c>
      <c r="E38" s="330">
        <v>350</v>
      </c>
      <c r="F38" s="330">
        <f>G38*E38</f>
        <v>192.50000000000003</v>
      </c>
      <c r="G38" s="279">
        <v>0.55000000000000004</v>
      </c>
      <c r="I38"/>
      <c r="J38" s="332"/>
      <c r="K38" s="288"/>
      <c r="L38" s="289"/>
      <c r="M38" s="290"/>
      <c r="N38" s="291"/>
      <c r="O38" s="292"/>
      <c r="P38" s="333"/>
      <c r="Q38" s="293"/>
      <c r="AF38" s="283"/>
      <c r="AG38" s="287"/>
      <c r="AH38" s="228"/>
      <c r="AI38" s="229"/>
      <c r="AJ38" s="236"/>
      <c r="AK38" s="239"/>
      <c r="AL38" s="232"/>
      <c r="AP38" s="31"/>
    </row>
    <row r="39" spans="1:43" s="32" customFormat="1" ht="21" x14ac:dyDescent="0.35">
      <c r="A39" s="279" t="s">
        <v>231</v>
      </c>
      <c r="B39" s="279" t="s">
        <v>348</v>
      </c>
      <c r="C39" s="279" t="s">
        <v>353</v>
      </c>
      <c r="D39" s="330" t="s">
        <v>350</v>
      </c>
      <c r="E39" s="330">
        <v>350</v>
      </c>
      <c r="F39" s="330">
        <f>18*12.35</f>
        <v>222.29999999999998</v>
      </c>
      <c r="G39" s="279"/>
      <c r="I39"/>
      <c r="J39" s="332"/>
      <c r="K39" s="288"/>
      <c r="L39" s="289"/>
      <c r="M39" s="290"/>
      <c r="N39" s="291"/>
      <c r="O39" s="292"/>
      <c r="P39" s="333"/>
      <c r="Q39" s="293"/>
      <c r="AF39" s="283"/>
      <c r="AG39" s="287"/>
      <c r="AH39" s="228"/>
      <c r="AI39" s="229"/>
      <c r="AJ39" s="236"/>
      <c r="AK39" s="239"/>
      <c r="AL39" s="232"/>
      <c r="AP39" s="31"/>
    </row>
    <row r="40" spans="1:43" s="261" customFormat="1" ht="53.5" customHeight="1" x14ac:dyDescent="0.35">
      <c r="A40" s="279" t="s">
        <v>231</v>
      </c>
      <c r="B40" s="279" t="s">
        <v>351</v>
      </c>
      <c r="C40" s="313" t="s">
        <v>354</v>
      </c>
      <c r="D40" s="330" t="s">
        <v>350</v>
      </c>
      <c r="E40" s="330">
        <v>350</v>
      </c>
      <c r="F40" s="330">
        <f>E40*0.72</f>
        <v>252</v>
      </c>
      <c r="G40" s="279"/>
      <c r="I40"/>
      <c r="J40" s="262">
        <f>2*150</f>
        <v>300</v>
      </c>
      <c r="K40" s="294" t="s">
        <v>355</v>
      </c>
      <c r="L40" s="295" t="s">
        <v>356</v>
      </c>
      <c r="M40" s="158">
        <f>97.41</f>
        <v>97.41</v>
      </c>
      <c r="N40" s="296" t="s">
        <v>357</v>
      </c>
      <c r="O40" s="295" t="s">
        <v>286</v>
      </c>
      <c r="P40" s="297">
        <v>42089</v>
      </c>
      <c r="Q40" s="298" t="s">
        <v>358</v>
      </c>
      <c r="AF40" s="90">
        <v>192</v>
      </c>
      <c r="AG40" s="241">
        <f>Despeses21!Z14</f>
        <v>582.90539999999999</v>
      </c>
      <c r="AH40" s="228">
        <v>250</v>
      </c>
      <c r="AI40" s="229">
        <f>AH40*0.2178</f>
        <v>54.449999999999996</v>
      </c>
      <c r="AJ40" s="236">
        <f>25*12</f>
        <v>300</v>
      </c>
      <c r="AK40" s="239">
        <f>AJ40*0.2178</f>
        <v>65.34</v>
      </c>
      <c r="AL40" s="232">
        <f t="shared" ref="AL40:AL58" si="4">AK40*$AL$18</f>
        <v>79.061400000000006</v>
      </c>
      <c r="AP40" s="31"/>
      <c r="AQ40" s="32"/>
    </row>
    <row r="41" spans="1:43" s="261" customFormat="1" ht="13.5" hidden="1" customHeight="1" x14ac:dyDescent="0.35">
      <c r="A41" s="329" t="s">
        <v>359</v>
      </c>
      <c r="B41" s="90" t="s">
        <v>280</v>
      </c>
      <c r="C41" s="90"/>
      <c r="D41" s="92" t="s">
        <v>360</v>
      </c>
      <c r="E41" s="92"/>
      <c r="F41" s="92"/>
      <c r="G41" s="90"/>
      <c r="I41"/>
      <c r="J41" s="262">
        <v>4000</v>
      </c>
      <c r="K41" s="299" t="s">
        <v>297</v>
      </c>
      <c r="L41" s="34" t="s">
        <v>298</v>
      </c>
      <c r="M41" s="73"/>
      <c r="N41" s="275"/>
      <c r="O41" s="272"/>
      <c r="P41" s="273"/>
      <c r="Q41" s="272"/>
      <c r="AF41" s="90">
        <v>4000</v>
      </c>
      <c r="AG41" s="241">
        <v>1180</v>
      </c>
      <c r="AH41" s="223"/>
      <c r="AI41" s="227"/>
      <c r="AJ41" s="235"/>
      <c r="AK41" s="239"/>
      <c r="AL41" s="232">
        <f t="shared" si="4"/>
        <v>0</v>
      </c>
      <c r="AP41" s="31"/>
      <c r="AQ41" s="32"/>
    </row>
    <row r="42" spans="1:43" s="261" customFormat="1" ht="13.5" hidden="1" customHeight="1" x14ac:dyDescent="0.35">
      <c r="A42" s="329" t="s">
        <v>329</v>
      </c>
      <c r="B42" s="90" t="s">
        <v>316</v>
      </c>
      <c r="C42" s="90"/>
      <c r="D42" s="92" t="s">
        <v>361</v>
      </c>
      <c r="E42" s="92"/>
      <c r="F42" s="92"/>
      <c r="G42" s="90"/>
      <c r="I42"/>
      <c r="J42" s="262">
        <v>4000</v>
      </c>
      <c r="K42" s="299" t="s">
        <v>288</v>
      </c>
      <c r="L42" s="34" t="s">
        <v>362</v>
      </c>
      <c r="M42" s="73"/>
      <c r="N42" s="275"/>
      <c r="O42" s="272"/>
      <c r="P42" s="273"/>
      <c r="Q42" s="272"/>
      <c r="AF42" s="90">
        <v>170</v>
      </c>
      <c r="AG42" s="241">
        <f>AF42*1.7</f>
        <v>289</v>
      </c>
      <c r="AH42" s="223"/>
      <c r="AI42" s="227"/>
      <c r="AJ42" s="235"/>
      <c r="AK42" s="239"/>
      <c r="AL42" s="232">
        <f t="shared" si="4"/>
        <v>0</v>
      </c>
      <c r="AP42" s="31"/>
      <c r="AQ42" s="32"/>
    </row>
    <row r="43" spans="1:43" s="261" customFormat="1" ht="61.4" hidden="1" customHeight="1" x14ac:dyDescent="0.35">
      <c r="A43" s="329" t="s">
        <v>329</v>
      </c>
      <c r="B43" s="279" t="s">
        <v>363</v>
      </c>
      <c r="C43" s="279" t="s">
        <v>364</v>
      </c>
      <c r="D43" s="330" t="s">
        <v>365</v>
      </c>
      <c r="E43" s="330"/>
      <c r="F43" s="330"/>
      <c r="G43" s="279"/>
      <c r="I43"/>
      <c r="J43" s="262">
        <v>4000</v>
      </c>
      <c r="K43" s="299" t="s">
        <v>366</v>
      </c>
      <c r="L43" s="34" t="s">
        <v>367</v>
      </c>
      <c r="M43" s="73"/>
      <c r="N43" s="275"/>
      <c r="O43" s="272"/>
      <c r="P43" s="273"/>
      <c r="Q43" s="272"/>
      <c r="AF43" s="90">
        <v>3000</v>
      </c>
      <c r="AG43" s="241">
        <f>150*1.21+AF43*0.6*1.21</f>
        <v>2359.5</v>
      </c>
      <c r="AH43" s="228">
        <f>'Estoc 19'!AG3</f>
        <v>2500</v>
      </c>
      <c r="AI43" s="229">
        <f>150*1.21+AH43*0.75*1.21</f>
        <v>2450.25</v>
      </c>
      <c r="AJ43" s="236"/>
      <c r="AK43" s="239"/>
      <c r="AL43" s="232">
        <f t="shared" si="4"/>
        <v>0</v>
      </c>
      <c r="AP43" s="31"/>
      <c r="AQ43" s="32"/>
    </row>
    <row r="44" spans="1:43" s="261" customFormat="1" ht="42" x14ac:dyDescent="0.35">
      <c r="A44" s="329" t="s">
        <v>339</v>
      </c>
      <c r="B44" s="279" t="s">
        <v>363</v>
      </c>
      <c r="C44" s="279" t="s">
        <v>368</v>
      </c>
      <c r="D44" s="330" t="s">
        <v>369</v>
      </c>
      <c r="E44" s="330">
        <f>10*350</f>
        <v>3500</v>
      </c>
      <c r="F44" s="330">
        <f>E44*0.51+164.14</f>
        <v>1949.1399999999999</v>
      </c>
      <c r="G44" s="279"/>
      <c r="I44"/>
      <c r="J44" s="262"/>
      <c r="K44" s="299"/>
      <c r="L44" s="34"/>
      <c r="M44" s="158"/>
      <c r="N44" s="275"/>
      <c r="O44" s="272"/>
      <c r="P44" s="273"/>
      <c r="Q44" s="272"/>
      <c r="AF44" s="90"/>
      <c r="AG44" s="90"/>
      <c r="AH44" s="228">
        <f>'Estoc 19'!AG3</f>
        <v>2500</v>
      </c>
      <c r="AI44" s="229">
        <f>241.35*1.21+AH44*0.51*1.21</f>
        <v>1834.7835</v>
      </c>
      <c r="AJ44" s="236">
        <f>10*AM15</f>
        <v>3000</v>
      </c>
      <c r="AK44" s="239">
        <f>AJ44*0.51</f>
        <v>1530</v>
      </c>
      <c r="AL44" s="232">
        <f t="shared" si="4"/>
        <v>1851.3</v>
      </c>
      <c r="AP44" s="31"/>
    </row>
    <row r="45" spans="1:43" s="261" customFormat="1" ht="13.5" hidden="1" customHeight="1" x14ac:dyDescent="0.35">
      <c r="A45" s="329" t="s">
        <v>370</v>
      </c>
      <c r="B45" s="90" t="s">
        <v>272</v>
      </c>
      <c r="C45" s="90"/>
      <c r="D45" s="92" t="s">
        <v>371</v>
      </c>
      <c r="E45" s="92"/>
      <c r="F45" s="92"/>
      <c r="G45" s="90"/>
      <c r="I45"/>
      <c r="J45" s="262">
        <v>600</v>
      </c>
      <c r="K45" s="271" t="s">
        <v>372</v>
      </c>
      <c r="L45" s="34" t="s">
        <v>373</v>
      </c>
      <c r="M45" s="158">
        <v>1027.3</v>
      </c>
      <c r="N45" s="73"/>
      <c r="O45" s="275"/>
      <c r="P45" s="272"/>
      <c r="Q45" s="273"/>
      <c r="AF45" s="90">
        <v>4000</v>
      </c>
      <c r="AG45" s="90" t="s">
        <v>301</v>
      </c>
      <c r="AH45" s="222"/>
      <c r="AI45" s="226"/>
      <c r="AJ45" s="235"/>
      <c r="AK45" s="238"/>
      <c r="AL45" s="231">
        <f t="shared" si="4"/>
        <v>0</v>
      </c>
      <c r="AP45" s="31"/>
    </row>
    <row r="46" spans="1:43" s="261" customFormat="1" ht="13.5" hidden="1" customHeight="1" x14ac:dyDescent="0.35">
      <c r="A46" s="329" t="s">
        <v>374</v>
      </c>
      <c r="B46" s="90" t="s">
        <v>272</v>
      </c>
      <c r="C46" s="90"/>
      <c r="D46" s="92" t="s">
        <v>375</v>
      </c>
      <c r="E46" s="92"/>
      <c r="F46" s="92"/>
      <c r="G46" s="90"/>
      <c r="I46"/>
      <c r="J46" s="262"/>
      <c r="K46" s="37"/>
      <c r="L46" s="37"/>
      <c r="M46" s="93"/>
      <c r="N46" s="300"/>
      <c r="O46" s="37"/>
      <c r="P46" s="301"/>
      <c r="Q46" s="37"/>
      <c r="AF46" s="90">
        <v>4000</v>
      </c>
      <c r="AG46" s="90" t="s">
        <v>278</v>
      </c>
      <c r="AH46" s="222"/>
      <c r="AI46" s="226"/>
      <c r="AJ46" s="235"/>
      <c r="AK46" s="238"/>
      <c r="AL46" s="231">
        <f t="shared" si="4"/>
        <v>0</v>
      </c>
      <c r="AP46" s="31"/>
    </row>
    <row r="47" spans="1:43" s="261" customFormat="1" ht="13.5" hidden="1" customHeight="1" x14ac:dyDescent="0.35">
      <c r="A47" s="329" t="s">
        <v>372</v>
      </c>
      <c r="B47" s="90" t="s">
        <v>310</v>
      </c>
      <c r="C47" s="90"/>
      <c r="D47" s="92" t="s">
        <v>376</v>
      </c>
      <c r="E47" s="92"/>
      <c r="F47" s="92"/>
      <c r="G47" s="90"/>
      <c r="I47"/>
      <c r="J47" s="12"/>
      <c r="K47" s="12"/>
      <c r="L47" s="12"/>
      <c r="M47"/>
      <c r="N47"/>
      <c r="O47"/>
      <c r="P47" s="37"/>
      <c r="AF47" s="90">
        <v>600</v>
      </c>
      <c r="AG47" s="241">
        <v>849</v>
      </c>
      <c r="AH47" s="223"/>
      <c r="AI47" s="227"/>
      <c r="AJ47" s="235"/>
      <c r="AK47" s="239"/>
      <c r="AL47" s="232">
        <f t="shared" si="4"/>
        <v>0</v>
      </c>
      <c r="AP47" s="31"/>
    </row>
    <row r="48" spans="1:43" ht="13.5" hidden="1" customHeight="1" x14ac:dyDescent="0.35">
      <c r="A48" s="329" t="s">
        <v>377</v>
      </c>
      <c r="B48" s="279" t="s">
        <v>378</v>
      </c>
      <c r="C48" s="279" t="s">
        <v>379</v>
      </c>
      <c r="D48" s="330" t="s">
        <v>380</v>
      </c>
      <c r="E48" s="330">
        <f>E1</f>
        <v>0</v>
      </c>
      <c r="F48" s="330"/>
      <c r="G48" s="279"/>
      <c r="AF48" s="90">
        <v>200</v>
      </c>
      <c r="AG48" s="241">
        <v>885.14</v>
      </c>
      <c r="AH48" s="228">
        <f>'Estoc 19'!AG6+'Estoc 19'!AG7</f>
        <v>250</v>
      </c>
      <c r="AI48" s="229">
        <f>3.6084*AH48*1.21</f>
        <v>1091.5409999999999</v>
      </c>
      <c r="AJ48" s="236">
        <f>AM15</f>
        <v>300</v>
      </c>
      <c r="AK48" s="239">
        <f>AJ48*3.88</f>
        <v>1164</v>
      </c>
      <c r="AL48" s="232">
        <f t="shared" si="4"/>
        <v>1408.44</v>
      </c>
      <c r="AM48" s="259"/>
      <c r="AP48" s="31"/>
    </row>
    <row r="49" spans="1:42" ht="13.5" hidden="1" customHeight="1" thickBot="1" x14ac:dyDescent="0.4">
      <c r="A49" s="329" t="s">
        <v>366</v>
      </c>
      <c r="B49" s="90" t="s">
        <v>272</v>
      </c>
      <c r="C49" s="90"/>
      <c r="D49" s="92" t="s">
        <v>381</v>
      </c>
      <c r="E49" s="92"/>
      <c r="F49" s="92"/>
      <c r="G49" s="90"/>
      <c r="AF49" s="90">
        <v>4000</v>
      </c>
      <c r="AG49" s="241">
        <f>1.52*AF49+240</f>
        <v>6320</v>
      </c>
      <c r="AH49" s="223"/>
      <c r="AI49" s="227"/>
      <c r="AJ49" s="235"/>
      <c r="AK49" s="239"/>
      <c r="AL49" s="232">
        <f t="shared" si="4"/>
        <v>0</v>
      </c>
      <c r="AM49" s="259"/>
      <c r="AP49" s="31"/>
    </row>
    <row r="50" spans="1:42" ht="13.5" hidden="1" customHeight="1" thickBot="1" x14ac:dyDescent="0.4">
      <c r="A50" s="329" t="s">
        <v>321</v>
      </c>
      <c r="B50" s="90" t="s">
        <v>382</v>
      </c>
      <c r="C50" s="90"/>
      <c r="D50" s="92" t="s">
        <v>383</v>
      </c>
      <c r="E50" s="92"/>
      <c r="F50" s="92"/>
      <c r="G50" s="90"/>
      <c r="L50" s="302">
        <v>2015</v>
      </c>
      <c r="AF50" s="90">
        <v>1</v>
      </c>
      <c r="AG50" s="241">
        <v>52.44</v>
      </c>
      <c r="AH50" s="223"/>
      <c r="AI50" s="227"/>
      <c r="AJ50" s="235"/>
      <c r="AK50" s="239"/>
      <c r="AL50" s="232">
        <f t="shared" si="4"/>
        <v>0</v>
      </c>
      <c r="AM50" s="259"/>
      <c r="AP50" s="31"/>
    </row>
    <row r="51" spans="1:42" ht="13.5" hidden="1" customHeight="1" x14ac:dyDescent="0.35">
      <c r="A51" s="329" t="s">
        <v>321</v>
      </c>
      <c r="B51" s="90" t="s">
        <v>384</v>
      </c>
      <c r="C51" s="90"/>
      <c r="D51" s="92" t="s">
        <v>383</v>
      </c>
      <c r="E51" s="92"/>
      <c r="F51" s="92"/>
      <c r="G51" s="90"/>
      <c r="L51" s="303" t="s">
        <v>385</v>
      </c>
      <c r="M51" s="304"/>
      <c r="Q51" s="302">
        <v>2016</v>
      </c>
      <c r="AF51" s="90">
        <v>1</v>
      </c>
      <c r="AG51" s="241">
        <v>38.79</v>
      </c>
      <c r="AH51" s="223"/>
      <c r="AI51" s="227"/>
      <c r="AJ51" s="235"/>
      <c r="AK51" s="239"/>
      <c r="AL51" s="232">
        <f t="shared" si="4"/>
        <v>0</v>
      </c>
      <c r="AM51" s="259"/>
      <c r="AP51" s="31"/>
    </row>
    <row r="52" spans="1:42" ht="13.5" hidden="1" customHeight="1" x14ac:dyDescent="0.35">
      <c r="A52" s="329" t="s">
        <v>321</v>
      </c>
      <c r="B52" s="90" t="s">
        <v>386</v>
      </c>
      <c r="C52" s="90"/>
      <c r="D52" s="92" t="s">
        <v>387</v>
      </c>
      <c r="E52" s="92"/>
      <c r="F52" s="92"/>
      <c r="G52" s="90"/>
      <c r="L52" s="303" t="s">
        <v>388</v>
      </c>
      <c r="M52" s="304"/>
      <c r="Q52" s="303" t="s">
        <v>385</v>
      </c>
      <c r="R52" s="304"/>
      <c r="AF52" s="90">
        <v>200</v>
      </c>
      <c r="AG52" s="241">
        <v>133.19</v>
      </c>
      <c r="AH52" s="223"/>
      <c r="AI52" s="227"/>
      <c r="AJ52" s="235"/>
      <c r="AK52" s="239"/>
      <c r="AL52" s="232">
        <f t="shared" si="4"/>
        <v>0</v>
      </c>
      <c r="AM52" s="259"/>
      <c r="AP52" s="31"/>
    </row>
    <row r="53" spans="1:42" ht="13.5" hidden="1" customHeight="1" x14ac:dyDescent="0.35">
      <c r="A53" s="329" t="s">
        <v>154</v>
      </c>
      <c r="B53" s="90" t="s">
        <v>382</v>
      </c>
      <c r="C53" s="90"/>
      <c r="D53" s="92" t="s">
        <v>389</v>
      </c>
      <c r="E53" s="92"/>
      <c r="F53" s="92"/>
      <c r="G53" s="90" t="s">
        <v>390</v>
      </c>
      <c r="L53" s="305" t="s">
        <v>391</v>
      </c>
      <c r="M53" s="304"/>
      <c r="Q53" s="303" t="s">
        <v>388</v>
      </c>
      <c r="R53" s="304"/>
      <c r="AF53" s="90">
        <v>1</v>
      </c>
      <c r="AG53" s="241">
        <f>25.2*AF53*1.21</f>
        <v>30.491999999999997</v>
      </c>
      <c r="AH53" s="228">
        <v>1</v>
      </c>
      <c r="AI53" s="227">
        <f>AH53*25.2*1.21</f>
        <v>30.491999999999997</v>
      </c>
      <c r="AJ53" s="236">
        <v>1</v>
      </c>
      <c r="AK53" s="239">
        <f>AJ53*25.2*1.21</f>
        <v>30.491999999999997</v>
      </c>
      <c r="AL53" s="232">
        <f t="shared" si="4"/>
        <v>36.895319999999998</v>
      </c>
      <c r="AM53" s="259"/>
      <c r="AP53" s="31"/>
    </row>
    <row r="54" spans="1:42" ht="13.5" hidden="1" customHeight="1" x14ac:dyDescent="0.35">
      <c r="A54" s="329" t="s">
        <v>154</v>
      </c>
      <c r="B54" s="90" t="s">
        <v>392</v>
      </c>
      <c r="C54" s="90"/>
      <c r="D54" s="92" t="s">
        <v>389</v>
      </c>
      <c r="E54" s="92">
        <v>350</v>
      </c>
      <c r="F54" s="92"/>
      <c r="G54" s="90" t="s">
        <v>390</v>
      </c>
      <c r="L54" s="305" t="s">
        <v>393</v>
      </c>
      <c r="M54" s="306"/>
      <c r="Q54" s="305" t="s">
        <v>391</v>
      </c>
      <c r="R54" s="304"/>
      <c r="AF54" s="90">
        <v>205</v>
      </c>
      <c r="AG54" s="243">
        <v>62.42</v>
      </c>
      <c r="AH54" s="228">
        <f>'Estoc 19'!AG11</f>
        <v>250</v>
      </c>
      <c r="AI54" s="230">
        <f>AH54*0.42*1.21</f>
        <v>127.05</v>
      </c>
      <c r="AJ54" s="236">
        <v>300</v>
      </c>
      <c r="AK54" s="239">
        <f>AJ54*0.42*1.21</f>
        <v>152.46</v>
      </c>
      <c r="AL54" s="232">
        <f t="shared" si="4"/>
        <v>184.47659999999999</v>
      </c>
      <c r="AM54" s="259"/>
      <c r="AP54" s="31"/>
    </row>
    <row r="55" spans="1:42" ht="13.5" hidden="1" customHeight="1" x14ac:dyDescent="0.35">
      <c r="A55" s="329" t="s">
        <v>154</v>
      </c>
      <c r="B55" s="90" t="s">
        <v>394</v>
      </c>
      <c r="C55" s="90"/>
      <c r="D55" s="92" t="s">
        <v>389</v>
      </c>
      <c r="E55" s="92"/>
      <c r="F55" s="92"/>
      <c r="G55" s="90"/>
      <c r="L55" s="305" t="s">
        <v>395</v>
      </c>
      <c r="M55" s="306"/>
      <c r="Q55" s="305" t="s">
        <v>393</v>
      </c>
      <c r="R55" s="306"/>
      <c r="AF55" s="90">
        <v>205</v>
      </c>
      <c r="AG55" s="241">
        <v>511</v>
      </c>
      <c r="AH55" s="223"/>
      <c r="AI55" s="227"/>
      <c r="AJ55" s="236"/>
      <c r="AK55" s="239"/>
      <c r="AL55" s="232">
        <f t="shared" si="4"/>
        <v>0</v>
      </c>
      <c r="AM55" s="259"/>
      <c r="AP55" s="31"/>
    </row>
    <row r="56" spans="1:42" ht="13.5" hidden="1" customHeight="1" x14ac:dyDescent="0.35">
      <c r="A56" s="329" t="s">
        <v>154</v>
      </c>
      <c r="B56" s="90" t="s">
        <v>396</v>
      </c>
      <c r="C56" s="90"/>
      <c r="D56" s="92" t="s">
        <v>389</v>
      </c>
      <c r="E56" s="92"/>
      <c r="F56" s="92"/>
      <c r="G56" s="90"/>
      <c r="L56" s="303" t="s">
        <v>397</v>
      </c>
      <c r="M56" s="307"/>
      <c r="Q56" s="305" t="s">
        <v>395</v>
      </c>
      <c r="R56" s="306"/>
      <c r="AF56" s="90">
        <v>205</v>
      </c>
      <c r="AG56" s="241">
        <v>206.25</v>
      </c>
      <c r="AH56" s="223"/>
      <c r="AI56" s="227"/>
      <c r="AJ56" s="235"/>
      <c r="AK56" s="239"/>
      <c r="AL56" s="232">
        <f t="shared" si="4"/>
        <v>0</v>
      </c>
      <c r="AM56" s="259"/>
      <c r="AP56" s="31"/>
    </row>
    <row r="57" spans="1:42" ht="13.5" hidden="1" customHeight="1" thickBot="1" x14ac:dyDescent="0.4">
      <c r="A57" s="329" t="s">
        <v>154</v>
      </c>
      <c r="B57" s="90" t="s">
        <v>398</v>
      </c>
      <c r="C57" s="90"/>
      <c r="D57" s="92" t="s">
        <v>389</v>
      </c>
      <c r="E57" s="92"/>
      <c r="F57" s="92"/>
      <c r="G57" s="90"/>
      <c r="L57" s="308" t="s">
        <v>399</v>
      </c>
      <c r="M57" s="309"/>
      <c r="Q57" s="303" t="s">
        <v>397</v>
      </c>
      <c r="R57" s="307"/>
      <c r="AF57" s="90">
        <v>205</v>
      </c>
      <c r="AG57" s="241">
        <v>144</v>
      </c>
      <c r="AH57" s="223"/>
      <c r="AI57" s="227"/>
      <c r="AJ57" s="235"/>
      <c r="AK57" s="239"/>
      <c r="AL57" s="232">
        <f t="shared" si="4"/>
        <v>0</v>
      </c>
      <c r="AM57" s="259"/>
      <c r="AP57" s="31"/>
    </row>
    <row r="58" spans="1:42" ht="19.399999999999999" customHeight="1" thickBot="1" x14ac:dyDescent="0.4">
      <c r="A58" s="329" t="s">
        <v>400</v>
      </c>
      <c r="B58" s="279" t="s">
        <v>164</v>
      </c>
      <c r="C58" s="279" t="s">
        <v>401</v>
      </c>
      <c r="D58" s="330" t="s">
        <v>402</v>
      </c>
      <c r="E58" s="330">
        <v>2</v>
      </c>
      <c r="F58" s="330"/>
      <c r="G58" s="279"/>
      <c r="Q58" s="308" t="s">
        <v>399</v>
      </c>
      <c r="R58" s="309"/>
      <c r="AF58" s="90">
        <v>4</v>
      </c>
      <c r="AG58" s="241">
        <f>Despeses21!Z15</f>
        <v>2203</v>
      </c>
      <c r="AH58" s="228">
        <v>2</v>
      </c>
      <c r="AI58" s="227">
        <f>900*1.21</f>
        <v>1089</v>
      </c>
      <c r="AJ58" s="236">
        <v>2</v>
      </c>
      <c r="AK58" s="239">
        <f>900*1.21</f>
        <v>1089</v>
      </c>
      <c r="AL58" s="232">
        <f t="shared" si="4"/>
        <v>1317.69</v>
      </c>
      <c r="AM58" s="259"/>
      <c r="AP58" s="31"/>
    </row>
    <row r="59" spans="1:42" ht="13.5" hidden="1" customHeight="1" x14ac:dyDescent="0.35">
      <c r="A59" s="329" t="s">
        <v>403</v>
      </c>
      <c r="B59" s="279" t="s">
        <v>404</v>
      </c>
      <c r="C59" s="279"/>
      <c r="D59" s="330" t="s">
        <v>405</v>
      </c>
      <c r="E59" s="330"/>
      <c r="F59" s="330"/>
      <c r="G59" s="279"/>
      <c r="AF59" s="90">
        <f>199</f>
        <v>199</v>
      </c>
      <c r="AG59" s="241">
        <f>Despeses21!Y7</f>
        <v>25.2</v>
      </c>
      <c r="AH59" s="228">
        <v>250</v>
      </c>
      <c r="AI59" s="227">
        <f>1998+3510+550.08</f>
        <v>6058.08</v>
      </c>
      <c r="AJ59" s="236"/>
      <c r="AK59" s="239"/>
      <c r="AL59" s="232"/>
      <c r="AM59" s="259"/>
      <c r="AP59" s="31"/>
    </row>
    <row r="60" spans="1:42" ht="13.5" hidden="1" customHeight="1" x14ac:dyDescent="0.35">
      <c r="A60" s="329" t="s">
        <v>403</v>
      </c>
      <c r="B60" s="279" t="s">
        <v>406</v>
      </c>
      <c r="C60" s="279"/>
      <c r="D60" s="330"/>
      <c r="E60" s="330"/>
      <c r="F60" s="330"/>
      <c r="G60" s="279"/>
      <c r="AF60" s="90">
        <v>1</v>
      </c>
      <c r="AG60" s="241">
        <f>Despeses21!Y4</f>
        <v>0</v>
      </c>
      <c r="AH60" s="228"/>
      <c r="AI60" s="227"/>
      <c r="AJ60" s="236"/>
      <c r="AK60" s="239"/>
      <c r="AL60" s="232"/>
      <c r="AM60" s="259"/>
      <c r="AP60" s="31"/>
    </row>
    <row r="61" spans="1:42" ht="13.5" hidden="1" customHeight="1" x14ac:dyDescent="0.35">
      <c r="A61" s="329" t="s">
        <v>407</v>
      </c>
      <c r="B61" s="279"/>
      <c r="C61" s="279" t="s">
        <v>408</v>
      </c>
      <c r="D61" s="330"/>
      <c r="E61" s="330">
        <v>350</v>
      </c>
      <c r="F61" s="330"/>
      <c r="G61" s="279"/>
      <c r="AF61" s="228"/>
      <c r="AG61" s="228"/>
      <c r="AH61" s="228">
        <v>250</v>
      </c>
      <c r="AI61" s="227">
        <f>(4.94*AH61+AH61*4.28)*1.21</f>
        <v>2789.0499999999997</v>
      </c>
      <c r="AJ61" s="236">
        <f>$AM$15</f>
        <v>300</v>
      </c>
      <c r="AK61" s="239">
        <f>(4.94*AJ61+AJ61*4.28)</f>
        <v>2766</v>
      </c>
      <c r="AL61" s="232">
        <f>AK61*$AL$18</f>
        <v>3346.86</v>
      </c>
      <c r="AM61" s="259"/>
      <c r="AP61" s="31"/>
    </row>
    <row r="62" spans="1:42" ht="30.65" hidden="1" customHeight="1" x14ac:dyDescent="0.35">
      <c r="A62" s="329" t="s">
        <v>409</v>
      </c>
      <c r="B62" s="279"/>
      <c r="C62" s="279" t="s">
        <v>410</v>
      </c>
      <c r="D62" s="330"/>
      <c r="E62" s="330">
        <f>$AM$15</f>
        <v>300</v>
      </c>
      <c r="F62" s="330"/>
      <c r="G62" s="279"/>
      <c r="AF62" s="228"/>
      <c r="AG62" s="228"/>
      <c r="AH62" s="228">
        <v>250</v>
      </c>
      <c r="AI62" s="227">
        <f>(4.12*AH62+AH62*4.28)*1.21</f>
        <v>2541</v>
      </c>
      <c r="AJ62" s="236">
        <f>$AM$15</f>
        <v>300</v>
      </c>
      <c r="AK62" s="239">
        <f>(4.12*AJ62+AJ62*4.28)</f>
        <v>2520</v>
      </c>
      <c r="AL62" s="232">
        <f>AK62*$AL$18</f>
        <v>3049.2</v>
      </c>
      <c r="AM62" s="259"/>
      <c r="AP62" s="31"/>
    </row>
    <row r="63" spans="1:42" ht="13.5" customHeight="1" x14ac:dyDescent="0.35">
      <c r="A63" s="329" t="s">
        <v>141</v>
      </c>
      <c r="B63" s="279" t="s">
        <v>411</v>
      </c>
      <c r="C63" s="279" t="s">
        <v>412</v>
      </c>
      <c r="D63" s="330" t="s">
        <v>413</v>
      </c>
      <c r="E63" s="330">
        <f>B15*1</f>
        <v>350</v>
      </c>
      <c r="F63" s="330"/>
      <c r="G63" s="279"/>
      <c r="AF63" s="228"/>
      <c r="AG63" s="228"/>
      <c r="AH63" s="228"/>
      <c r="AI63" s="227"/>
      <c r="AJ63" s="236"/>
      <c r="AK63" s="239"/>
      <c r="AL63" s="232"/>
      <c r="AM63" s="259"/>
      <c r="AP63" s="31"/>
    </row>
    <row r="64" spans="1:42" ht="13.5" customHeight="1" x14ac:dyDescent="0.35">
      <c r="A64" s="329" t="s">
        <v>414</v>
      </c>
      <c r="B64" s="279" t="s">
        <v>415</v>
      </c>
      <c r="C64" s="279" t="s">
        <v>416</v>
      </c>
      <c r="D64" s="330" t="s">
        <v>350</v>
      </c>
      <c r="E64" s="330">
        <f>B15*1</f>
        <v>350</v>
      </c>
      <c r="F64" s="330"/>
      <c r="G64" s="279"/>
      <c r="AF64" s="228"/>
      <c r="AG64" s="228"/>
      <c r="AH64" s="228"/>
      <c r="AI64" s="227"/>
      <c r="AJ64" s="236"/>
      <c r="AK64" s="239"/>
      <c r="AL64" s="232"/>
      <c r="AM64" s="259"/>
      <c r="AP64" s="31"/>
    </row>
    <row r="65" spans="1:42" ht="15" customHeight="1" x14ac:dyDescent="0.35">
      <c r="AP65" s="31"/>
    </row>
    <row r="66" spans="1:42" ht="15" customHeight="1" x14ac:dyDescent="0.35">
      <c r="AP66" s="31"/>
    </row>
    <row r="80" spans="1:42" ht="15" customHeight="1" x14ac:dyDescent="0.35">
      <c r="A80" s="81"/>
      <c r="B80" s="81"/>
      <c r="C80" s="81"/>
      <c r="D80" s="81"/>
      <c r="E80" s="81"/>
      <c r="F80" s="81"/>
      <c r="G80" s="81"/>
    </row>
  </sheetData>
  <mergeCells count="8">
    <mergeCell ref="B1:F1"/>
    <mergeCell ref="AG1:AK1"/>
    <mergeCell ref="AL1:AP1"/>
    <mergeCell ref="AC17:AG17"/>
    <mergeCell ref="X1:AB1"/>
    <mergeCell ref="Q1:V1"/>
    <mergeCell ref="L1:P1"/>
    <mergeCell ref="H1:K1"/>
  </mergeCells>
  <hyperlinks>
    <hyperlink ref="N19" r:id="rId1" xr:uid="{00000000-0004-0000-0200-000000000000}"/>
    <hyperlink ref="N20" r:id="rId2" xr:uid="{00000000-0004-0000-0200-000001000000}"/>
    <hyperlink ref="N22" r:id="rId3" xr:uid="{00000000-0004-0000-0200-000002000000}"/>
    <hyperlink ref="N26" r:id="rId4" display="gruix 3,5 (sense pols)" xr:uid="{00000000-0004-0000-0200-000003000000}"/>
    <hyperlink ref="N21" r:id="rId5" xr:uid="{00000000-0004-0000-0200-000004000000}"/>
    <hyperlink ref="N33" r:id="rId6" xr:uid="{00000000-0004-0000-0200-000005000000}"/>
    <hyperlink ref="N32" r:id="rId7" xr:uid="{00000000-0004-0000-0200-000006000000}"/>
    <hyperlink ref="N28" r:id="rId8" xr:uid="{00000000-0004-0000-0200-000007000000}"/>
    <hyperlink ref="N29" r:id="rId9" xr:uid="{00000000-0004-0000-0200-000008000000}"/>
    <hyperlink ref="N24" r:id="rId10" xr:uid="{00000000-0004-0000-0200-000009000000}"/>
    <hyperlink ref="N23" r:id="rId11" xr:uid="{00000000-0004-0000-0200-00000A000000}"/>
    <hyperlink ref="L20" r:id="rId12" xr:uid="{00000000-0004-0000-0200-00000B000000}"/>
    <hyperlink ref="J3" r:id="rId13" xr:uid="{00000000-0004-0000-0200-00000C000000}"/>
    <hyperlink ref="J4" r:id="rId14" xr:uid="{00000000-0004-0000-0200-00000D000000}"/>
    <hyperlink ref="L30" r:id="rId15" xr:uid="{00000000-0004-0000-0200-00000E000000}"/>
    <hyperlink ref="J6" r:id="rId16" xr:uid="{00000000-0004-0000-0200-00000F000000}"/>
    <hyperlink ref="L26" r:id="rId17" xr:uid="{00000000-0004-0000-0200-000010000000}"/>
    <hyperlink ref="L24" r:id="rId18" xr:uid="{00000000-0004-0000-0200-000011000000}"/>
    <hyperlink ref="L25" r:id="rId19" xr:uid="{00000000-0004-0000-0200-000012000000}"/>
    <hyperlink ref="L41" r:id="rId20" xr:uid="{00000000-0004-0000-0200-000013000000}"/>
    <hyperlink ref="L42" r:id="rId21" xr:uid="{00000000-0004-0000-0200-000014000000}"/>
    <hyperlink ref="L43" r:id="rId22" xr:uid="{00000000-0004-0000-0200-000015000000}"/>
    <hyperlink ref="L45" r:id="rId23" xr:uid="{00000000-0004-0000-0200-000016000000}"/>
    <hyperlink ref="D54" r:id="rId24" xr:uid="{00000000-0004-0000-0200-000017000000}"/>
    <hyperlink ref="D57" r:id="rId25" xr:uid="{00000000-0004-0000-0200-000018000000}"/>
    <hyperlink ref="D54:D56" r:id="rId26" display="carles@mokom.es" xr:uid="{00000000-0004-0000-0200-000019000000}"/>
    <hyperlink ref="D53" r:id="rId27" xr:uid="{00000000-0004-0000-0200-00001A000000}"/>
  </hyperlinks>
  <pageMargins left="0.7" right="0.7" top="0.75" bottom="0.75" header="0.3" footer="0.3"/>
  <pageSetup paperSize="9" scale="60" fitToHeight="0" orientation="landscape" r:id="rId28"/>
  <legacyDrawing r:id="rId29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29"/>
  <sheetViews>
    <sheetView workbookViewId="0">
      <pane xSplit="6" ySplit="18" topLeftCell="AB19" activePane="bottomRight" state="frozen"/>
      <selection pane="topRight" activeCell="G1" sqref="G1"/>
      <selection pane="bottomLeft" activeCell="A17" sqref="A17"/>
      <selection pane="bottomRight" activeCell="A21" sqref="A21:A28"/>
    </sheetView>
  </sheetViews>
  <sheetFormatPr defaultRowHeight="14.5" x14ac:dyDescent="0.35"/>
  <cols>
    <col min="1" max="1" width="41.453125" bestFit="1" customWidth="1"/>
    <col min="2" max="2" width="9.1796875" style="31"/>
    <col min="3" max="3" width="7.54296875" style="31" hidden="1" customWidth="1"/>
    <col min="4" max="4" width="10.54296875" style="31" hidden="1" customWidth="1"/>
    <col min="5" max="5" width="14.453125" style="31" hidden="1" customWidth="1"/>
    <col min="6" max="6" width="11" style="31" hidden="1" customWidth="1"/>
    <col min="7" max="7" width="14.453125" style="31" hidden="1" customWidth="1"/>
    <col min="8" max="8" width="15.54296875" hidden="1" customWidth="1"/>
    <col min="9" max="9" width="9.1796875" style="31" hidden="1" customWidth="1"/>
    <col min="10" max="10" width="15.54296875" style="31" hidden="1" customWidth="1"/>
    <col min="11" max="11" width="15.453125" style="31" hidden="1" customWidth="1"/>
    <col min="12" max="12" width="13.81640625" style="31" hidden="1" customWidth="1"/>
    <col min="13" max="13" width="11.1796875" hidden="1" customWidth="1"/>
    <col min="14" max="15" width="9.1796875" hidden="1" customWidth="1"/>
    <col min="16" max="16" width="16.453125" hidden="1" customWidth="1"/>
    <col min="17" max="17" width="10.81640625" hidden="1" customWidth="1"/>
    <col min="18" max="20" width="9.1796875" hidden="1" customWidth="1"/>
    <col min="21" max="21" width="23.54296875" hidden="1" customWidth="1"/>
    <col min="22" max="22" width="31.54296875" hidden="1" customWidth="1"/>
    <col min="23" max="23" width="13.453125" hidden="1" customWidth="1"/>
    <col min="24" max="26" width="14.453125" hidden="1" customWidth="1"/>
    <col min="27" max="27" width="15" hidden="1" customWidth="1"/>
    <col min="28" max="28" width="11.453125" customWidth="1"/>
    <col min="29" max="29" width="0" hidden="1" customWidth="1"/>
    <col min="30" max="30" width="8.453125" customWidth="1"/>
    <col min="31" max="31" width="10.54296875" customWidth="1"/>
    <col min="32" max="32" width="13.54296875" bestFit="1" customWidth="1"/>
    <col min="33" max="33" width="13" customWidth="1"/>
    <col min="34" max="34" width="12.54296875" customWidth="1"/>
    <col min="35" max="35" width="13.54296875" customWidth="1"/>
    <col min="36" max="36" width="9.54296875" bestFit="1" customWidth="1"/>
    <col min="37" max="37" width="9.54296875" customWidth="1"/>
    <col min="38" max="38" width="10.81640625" customWidth="1"/>
  </cols>
  <sheetData>
    <row r="1" spans="1:39" s="41" customFormat="1" ht="33" customHeight="1" x14ac:dyDescent="0.35">
      <c r="B1" s="124" t="s">
        <v>417</v>
      </c>
      <c r="C1" s="42" t="s">
        <v>174</v>
      </c>
      <c r="D1" s="57" t="s">
        <v>418</v>
      </c>
      <c r="E1" s="43" t="s">
        <v>419</v>
      </c>
      <c r="F1" s="57" t="s">
        <v>420</v>
      </c>
      <c r="G1" s="48" t="s">
        <v>421</v>
      </c>
      <c r="H1" s="47" t="s">
        <v>422</v>
      </c>
      <c r="I1" s="43" t="s">
        <v>423</v>
      </c>
      <c r="J1" s="50" t="s">
        <v>424</v>
      </c>
      <c r="K1" s="49" t="s">
        <v>425</v>
      </c>
      <c r="L1" s="61" t="s">
        <v>426</v>
      </c>
      <c r="M1" s="41" t="s">
        <v>427</v>
      </c>
      <c r="N1" s="41" t="s">
        <v>73</v>
      </c>
      <c r="O1" s="41" t="s">
        <v>428</v>
      </c>
      <c r="Q1" s="41" t="s">
        <v>429</v>
      </c>
      <c r="R1" s="41" t="s">
        <v>430</v>
      </c>
      <c r="S1" s="41" t="s">
        <v>431</v>
      </c>
      <c r="T1" s="41" t="s">
        <v>432</v>
      </c>
      <c r="U1" s="87" t="s">
        <v>433</v>
      </c>
      <c r="V1" s="87" t="s">
        <v>434</v>
      </c>
      <c r="W1" s="48" t="s">
        <v>435</v>
      </c>
      <c r="X1" s="47" t="s">
        <v>436</v>
      </c>
      <c r="Y1" s="88" t="s">
        <v>437</v>
      </c>
      <c r="Z1" s="48" t="s">
        <v>169</v>
      </c>
      <c r="AA1" s="49" t="s">
        <v>425</v>
      </c>
      <c r="AB1" s="119" t="s">
        <v>438</v>
      </c>
      <c r="AC1" s="119" t="s">
        <v>439</v>
      </c>
      <c r="AD1" s="121" t="s">
        <v>440</v>
      </c>
      <c r="AE1" s="122" t="s">
        <v>441</v>
      </c>
      <c r="AF1" s="121" t="s">
        <v>192</v>
      </c>
      <c r="AG1" s="122" t="s">
        <v>192</v>
      </c>
      <c r="AH1" s="122" t="s">
        <v>67</v>
      </c>
      <c r="AI1" s="406" t="s">
        <v>442</v>
      </c>
      <c r="AJ1" s="406"/>
      <c r="AK1" s="200" t="s">
        <v>443</v>
      </c>
      <c r="AL1" s="409" t="s">
        <v>192</v>
      </c>
      <c r="AM1" s="409"/>
    </row>
    <row r="2" spans="1:39" s="41" customFormat="1" ht="15" thickBot="1" x14ac:dyDescent="0.4">
      <c r="A2" s="41" t="s">
        <v>444</v>
      </c>
      <c r="B2" s="124">
        <v>2018</v>
      </c>
      <c r="C2" s="42"/>
      <c r="D2" s="57"/>
      <c r="E2" s="43"/>
      <c r="F2" s="57"/>
      <c r="G2" s="48"/>
      <c r="H2" s="47"/>
      <c r="I2" s="43"/>
      <c r="J2" s="50"/>
      <c r="K2" s="49"/>
      <c r="L2" s="61"/>
      <c r="U2" s="87"/>
      <c r="V2" s="87"/>
      <c r="W2" s="48"/>
      <c r="X2" s="47"/>
      <c r="Y2" s="88"/>
      <c r="Z2" s="48"/>
      <c r="AA2" s="49"/>
      <c r="AB2" s="119"/>
      <c r="AC2" s="119"/>
      <c r="AD2" s="121"/>
      <c r="AE2" s="122" t="s">
        <v>445</v>
      </c>
      <c r="AF2" s="121"/>
      <c r="AG2" s="122"/>
      <c r="AH2" s="172">
        <v>226</v>
      </c>
      <c r="AI2" s="171" t="s">
        <v>446</v>
      </c>
      <c r="AJ2" s="171" t="s">
        <v>447</v>
      </c>
      <c r="AK2" s="201">
        <v>2019</v>
      </c>
      <c r="AL2" s="197" t="s">
        <v>67</v>
      </c>
      <c r="AM2" s="198" t="s">
        <v>442</v>
      </c>
    </row>
    <row r="3" spans="1:39" x14ac:dyDescent="0.35">
      <c r="A3" s="51" t="s">
        <v>197</v>
      </c>
      <c r="B3" s="54">
        <v>10</v>
      </c>
      <c r="C3" s="55">
        <v>3000</v>
      </c>
      <c r="D3" s="55">
        <f>(C3-E3)/20</f>
        <v>117</v>
      </c>
      <c r="E3" s="55">
        <v>660</v>
      </c>
      <c r="F3" s="55">
        <f>(E3-G3)/20</f>
        <v>6</v>
      </c>
      <c r="G3" s="56">
        <f>27*20</f>
        <v>540</v>
      </c>
      <c r="H3" s="55">
        <f>G3/20</f>
        <v>27</v>
      </c>
      <c r="I3" s="55">
        <f>H3-27</f>
        <v>0</v>
      </c>
      <c r="J3" s="55">
        <f>(150-27-$I$3)*20</f>
        <v>2460</v>
      </c>
      <c r="K3" s="74">
        <f>(200-27-$I$3)*20</f>
        <v>3460</v>
      </c>
      <c r="L3" s="62">
        <f>836/(D3*20)</f>
        <v>0.35726495726495727</v>
      </c>
      <c r="O3" t="s">
        <v>448</v>
      </c>
      <c r="Q3">
        <f>K3/20</f>
        <v>173</v>
      </c>
      <c r="R3">
        <v>150</v>
      </c>
      <c r="S3">
        <v>19</v>
      </c>
      <c r="U3" t="s">
        <v>449</v>
      </c>
      <c r="V3" t="s">
        <v>450</v>
      </c>
      <c r="W3" s="56">
        <f>16*20+10</f>
        <v>330</v>
      </c>
      <c r="X3" s="55">
        <f>W3/20</f>
        <v>16.5</v>
      </c>
      <c r="Y3" s="55">
        <f>(200-16)*20</f>
        <v>3680</v>
      </c>
      <c r="Z3" s="56">
        <v>30</v>
      </c>
      <c r="AA3" s="74">
        <f>(200*20)-Z3</f>
        <v>3970</v>
      </c>
      <c r="AB3" s="55">
        <v>3000</v>
      </c>
      <c r="AC3" s="55"/>
      <c r="AD3" s="55">
        <v>700</v>
      </c>
      <c r="AE3" s="56" t="s">
        <v>451</v>
      </c>
      <c r="AF3" s="55">
        <f>204*10</f>
        <v>2040</v>
      </c>
      <c r="AG3" s="56">
        <f>AH3+AI3+AJ3</f>
        <v>2500</v>
      </c>
      <c r="AH3" s="55">
        <f>$AH$2*$B3</f>
        <v>2260</v>
      </c>
      <c r="AI3" s="55">
        <f>B3*$AI$13</f>
        <v>180</v>
      </c>
      <c r="AJ3" s="55">
        <f>B3*$AJ$13</f>
        <v>60</v>
      </c>
      <c r="AK3" s="55">
        <v>10</v>
      </c>
      <c r="AL3" s="56">
        <f>AK3*$AL$13</f>
        <v>2750</v>
      </c>
      <c r="AM3" s="55">
        <f>AK3*$AM$13</f>
        <v>250</v>
      </c>
    </row>
    <row r="4" spans="1:39" ht="17.25" customHeight="1" x14ac:dyDescent="0.35">
      <c r="A4" s="52" t="s">
        <v>452</v>
      </c>
      <c r="B4" s="54">
        <v>25</v>
      </c>
      <c r="C4" s="55">
        <v>3000</v>
      </c>
      <c r="D4" s="55">
        <f>(C4-E4)/20</f>
        <v>117</v>
      </c>
      <c r="E4" s="55">
        <v>660</v>
      </c>
      <c r="F4" s="55">
        <f>(E4-G4)/20</f>
        <v>6</v>
      </c>
      <c r="G4" s="56">
        <f>27*20</f>
        <v>540</v>
      </c>
      <c r="H4" s="55">
        <f>G4/20</f>
        <v>27</v>
      </c>
      <c r="I4" s="55">
        <f>H4-27</f>
        <v>0</v>
      </c>
      <c r="J4" s="55">
        <f>(150-27-$I$4)*20</f>
        <v>2460</v>
      </c>
      <c r="K4" s="55">
        <f>(200-27-$I$4)*20</f>
        <v>3460</v>
      </c>
      <c r="L4" s="62">
        <f>1087/(D4*20)</f>
        <v>0.46452991452991454</v>
      </c>
      <c r="M4" s="33">
        <f>(200-60)+(40-20)</f>
        <v>160</v>
      </c>
      <c r="N4" s="77">
        <f>K4+M4</f>
        <v>3620</v>
      </c>
      <c r="P4" s="79" t="s">
        <v>453</v>
      </c>
      <c r="Q4">
        <f>K4/20</f>
        <v>173</v>
      </c>
      <c r="T4">
        <v>0</v>
      </c>
      <c r="U4" t="s">
        <v>449</v>
      </c>
      <c r="V4" t="s">
        <v>450</v>
      </c>
      <c r="W4" s="56">
        <f>16*20+10</f>
        <v>330</v>
      </c>
      <c r="X4" s="55">
        <f>W4/20</f>
        <v>16.5</v>
      </c>
      <c r="Y4" s="55">
        <f>(200-16)*20</f>
        <v>3680</v>
      </c>
      <c r="Z4" s="56">
        <v>0</v>
      </c>
      <c r="AA4" s="55">
        <f>200*20</f>
        <v>4000</v>
      </c>
      <c r="AB4" s="55">
        <v>6000</v>
      </c>
      <c r="AC4" s="55"/>
      <c r="AD4" s="55">
        <v>1640</v>
      </c>
      <c r="AE4" s="56" t="s">
        <v>454</v>
      </c>
      <c r="AF4" s="55">
        <f>253*25</f>
        <v>6325</v>
      </c>
      <c r="AG4" s="56">
        <f>AH4+AI4+AJ4</f>
        <v>6700</v>
      </c>
      <c r="AH4" s="55">
        <f>$AH$2*$B4</f>
        <v>5650</v>
      </c>
      <c r="AI4" s="55">
        <f>B4*$AI$13</f>
        <v>450</v>
      </c>
      <c r="AJ4" s="55">
        <f>B4*4*$AJ$13</f>
        <v>600</v>
      </c>
      <c r="AK4" s="55">
        <v>20</v>
      </c>
      <c r="AL4" s="56">
        <f t="shared" ref="AL4:AL11" si="0">AK4*$AL$13</f>
        <v>5500</v>
      </c>
      <c r="AM4" s="55">
        <f t="shared" ref="AM4:AM11" si="1">AK4*$AM$13</f>
        <v>500</v>
      </c>
    </row>
    <row r="5" spans="1:39" x14ac:dyDescent="0.35">
      <c r="A5" s="52" t="s">
        <v>455</v>
      </c>
      <c r="B5" s="54">
        <v>2</v>
      </c>
      <c r="C5" s="55">
        <v>150</v>
      </c>
      <c r="D5" s="55">
        <f>C5-E5</f>
        <v>84</v>
      </c>
      <c r="E5" s="55">
        <v>66</v>
      </c>
      <c r="F5" s="55">
        <f>E5-G5</f>
        <v>12</v>
      </c>
      <c r="G5" s="56">
        <v>54</v>
      </c>
      <c r="H5" s="55">
        <f>G5/2</f>
        <v>27</v>
      </c>
      <c r="I5" s="55">
        <f>H5-27</f>
        <v>0</v>
      </c>
      <c r="J5" s="55">
        <f>(150-27-$I$5)*2</f>
        <v>246</v>
      </c>
      <c r="K5" s="55">
        <f>(200-27-$I$5)*2</f>
        <v>346</v>
      </c>
      <c r="L5" s="63">
        <f>142/(D5*2)</f>
        <v>0.84523809523809523</v>
      </c>
      <c r="M5" s="75" t="s">
        <v>456</v>
      </c>
      <c r="N5" s="74">
        <v>350</v>
      </c>
      <c r="O5" t="s">
        <v>457</v>
      </c>
      <c r="P5" s="75" t="s">
        <v>458</v>
      </c>
      <c r="Q5">
        <f>N5/2</f>
        <v>175</v>
      </c>
      <c r="T5" t="s">
        <v>459</v>
      </c>
      <c r="U5" t="s">
        <v>460</v>
      </c>
      <c r="V5" t="s">
        <v>461</v>
      </c>
      <c r="W5" s="56">
        <f>3*10</f>
        <v>30</v>
      </c>
      <c r="X5" s="55">
        <f>W5/2</f>
        <v>15</v>
      </c>
      <c r="Y5" s="55">
        <f>(200-16)*2</f>
        <v>368</v>
      </c>
      <c r="Z5" s="56">
        <v>16</v>
      </c>
      <c r="AA5" s="55">
        <f>(200*2)-16</f>
        <v>384</v>
      </c>
      <c r="AB5" s="55">
        <v>390</v>
      </c>
      <c r="AC5" s="55">
        <v>10</v>
      </c>
      <c r="AD5" s="55">
        <v>0</v>
      </c>
      <c r="AE5" s="56">
        <v>0</v>
      </c>
      <c r="AF5" s="55" t="s">
        <v>462</v>
      </c>
      <c r="AG5" s="56">
        <f t="shared" ref="AG5:AG11" si="2">AH5+AI5+AJ5</f>
        <v>500</v>
      </c>
      <c r="AH5" s="55">
        <f>$AH$2*$B5</f>
        <v>452</v>
      </c>
      <c r="AI5" s="55">
        <f>B5*$AI$13</f>
        <v>36</v>
      </c>
      <c r="AJ5" s="55">
        <f>AJ13*B5</f>
        <v>12</v>
      </c>
      <c r="AK5" s="55">
        <v>5</v>
      </c>
      <c r="AL5" s="56">
        <f t="shared" si="0"/>
        <v>1375</v>
      </c>
      <c r="AM5" s="55">
        <f t="shared" si="1"/>
        <v>125</v>
      </c>
    </row>
    <row r="6" spans="1:39" x14ac:dyDescent="0.35">
      <c r="A6" s="52" t="s">
        <v>463</v>
      </c>
      <c r="B6" s="54">
        <v>1</v>
      </c>
      <c r="C6" s="55">
        <v>75</v>
      </c>
      <c r="D6" s="55">
        <f>C6-E6</f>
        <v>69</v>
      </c>
      <c r="E6" s="55">
        <v>6</v>
      </c>
      <c r="F6" s="55">
        <f>E6-G6</f>
        <v>0</v>
      </c>
      <c r="G6" s="56">
        <v>6</v>
      </c>
      <c r="H6" s="55">
        <f>G6</f>
        <v>6</v>
      </c>
      <c r="I6" s="55">
        <v>1</v>
      </c>
      <c r="J6" s="55">
        <f>150-27-$I$6</f>
        <v>122</v>
      </c>
      <c r="K6" s="74">
        <f>200-27-$I$6</f>
        <v>172</v>
      </c>
      <c r="L6" s="62">
        <f>3035/((D6+D7)*100)</f>
        <v>0.26163793103448274</v>
      </c>
      <c r="O6" t="s">
        <v>464</v>
      </c>
      <c r="Q6">
        <v>172</v>
      </c>
      <c r="T6">
        <f>Q6+R7-P17</f>
        <v>18</v>
      </c>
      <c r="U6" t="s">
        <v>465</v>
      </c>
      <c r="V6" t="s">
        <v>466</v>
      </c>
      <c r="W6" s="56">
        <v>14</v>
      </c>
      <c r="X6" s="55">
        <f>W6</f>
        <v>14</v>
      </c>
      <c r="Y6" s="55">
        <f>200-16</f>
        <v>184</v>
      </c>
      <c r="Z6" s="56">
        <v>2</v>
      </c>
      <c r="AA6" s="74">
        <f>200-2-30</f>
        <v>168</v>
      </c>
      <c r="AB6" s="55">
        <v>170</v>
      </c>
      <c r="AC6" s="55"/>
      <c r="AD6" s="55">
        <v>0</v>
      </c>
      <c r="AE6" s="56">
        <v>0</v>
      </c>
      <c r="AF6" s="55" t="s">
        <v>467</v>
      </c>
      <c r="AG6" s="56">
        <f>AH6+AI6+AJ6</f>
        <v>200</v>
      </c>
      <c r="AH6" s="55">
        <v>184</v>
      </c>
      <c r="AI6" s="55">
        <f>B6*2*6</f>
        <v>12</v>
      </c>
      <c r="AJ6" s="55">
        <v>4</v>
      </c>
      <c r="AK6" s="55">
        <v>0</v>
      </c>
      <c r="AL6" s="56">
        <f t="shared" si="0"/>
        <v>0</v>
      </c>
      <c r="AM6" s="55">
        <f t="shared" si="1"/>
        <v>0</v>
      </c>
    </row>
    <row r="7" spans="1:39" x14ac:dyDescent="0.35">
      <c r="A7" s="170" t="s">
        <v>468</v>
      </c>
      <c r="B7" s="54">
        <v>1</v>
      </c>
      <c r="C7" s="55">
        <v>75</v>
      </c>
      <c r="D7" s="55">
        <f>C7-E7</f>
        <v>47</v>
      </c>
      <c r="E7" s="55">
        <v>28</v>
      </c>
      <c r="F7" s="55">
        <f>E7-G7</f>
        <v>6</v>
      </c>
      <c r="G7" s="56">
        <v>22</v>
      </c>
      <c r="H7" s="55">
        <f>G7</f>
        <v>22</v>
      </c>
      <c r="I7" s="55">
        <v>0</v>
      </c>
      <c r="J7" s="55">
        <v>0</v>
      </c>
      <c r="K7" s="55">
        <v>0</v>
      </c>
      <c r="L7" s="62"/>
      <c r="O7" s="78" t="s">
        <v>469</v>
      </c>
      <c r="Q7">
        <f>K7/2</f>
        <v>0</v>
      </c>
      <c r="R7">
        <v>20</v>
      </c>
      <c r="T7">
        <v>0</v>
      </c>
      <c r="U7" t="s">
        <v>470</v>
      </c>
      <c r="V7" t="s">
        <v>471</v>
      </c>
      <c r="W7" s="56">
        <v>2</v>
      </c>
      <c r="X7" s="55">
        <f>W7</f>
        <v>2</v>
      </c>
      <c r="Y7" s="55">
        <v>0</v>
      </c>
      <c r="Z7" s="56">
        <v>1</v>
      </c>
      <c r="AA7" s="55">
        <v>29</v>
      </c>
      <c r="AB7" s="55">
        <v>30</v>
      </c>
      <c r="AC7" s="55"/>
      <c r="AD7" s="55">
        <v>0</v>
      </c>
      <c r="AE7" s="56">
        <v>0</v>
      </c>
      <c r="AF7" s="55" t="s">
        <v>472</v>
      </c>
      <c r="AG7" s="56">
        <f t="shared" si="2"/>
        <v>50</v>
      </c>
      <c r="AH7" s="55">
        <v>42</v>
      </c>
      <c r="AI7" s="55">
        <f>B7*1*6</f>
        <v>6</v>
      </c>
      <c r="AJ7" s="55">
        <v>2</v>
      </c>
      <c r="AK7" s="55">
        <v>0</v>
      </c>
      <c r="AL7" s="56">
        <f t="shared" si="0"/>
        <v>0</v>
      </c>
      <c r="AM7" s="55">
        <f t="shared" si="1"/>
        <v>0</v>
      </c>
    </row>
    <row r="8" spans="1:39" x14ac:dyDescent="0.35">
      <c r="A8" s="52" t="s">
        <v>473</v>
      </c>
      <c r="B8" s="54">
        <v>2</v>
      </c>
      <c r="C8" s="55">
        <v>550</v>
      </c>
      <c r="D8" s="55">
        <f>114*2</f>
        <v>228</v>
      </c>
      <c r="E8" s="55">
        <f>63</f>
        <v>63</v>
      </c>
      <c r="F8" s="55">
        <f>210+12</f>
        <v>222</v>
      </c>
      <c r="G8" s="56">
        <f>20*5</f>
        <v>100</v>
      </c>
      <c r="H8" s="60">
        <v>50</v>
      </c>
      <c r="I8" s="60">
        <f>H8-27</f>
        <v>23</v>
      </c>
      <c r="J8" s="60">
        <f>(150-($H$8+$I$8))*2</f>
        <v>154</v>
      </c>
      <c r="K8" s="76">
        <f>(200-($H$8+$I$8))*2</f>
        <v>254</v>
      </c>
      <c r="L8" s="63">
        <f>204/D8</f>
        <v>0.89473684210526316</v>
      </c>
      <c r="M8">
        <f>(254+65+28-5)/2</f>
        <v>171</v>
      </c>
      <c r="O8" t="s">
        <v>474</v>
      </c>
      <c r="Q8">
        <f>K8/2</f>
        <v>127</v>
      </c>
      <c r="R8">
        <v>65</v>
      </c>
      <c r="S8" t="s">
        <v>475</v>
      </c>
      <c r="T8" s="80" t="s">
        <v>476</v>
      </c>
      <c r="U8" t="s">
        <v>449</v>
      </c>
      <c r="V8" t="s">
        <v>477</v>
      </c>
      <c r="W8" s="56">
        <v>2</v>
      </c>
      <c r="X8" s="55">
        <f>W8/2</f>
        <v>1</v>
      </c>
      <c r="Y8" s="55">
        <f>(200-16)*2</f>
        <v>368</v>
      </c>
      <c r="Z8" s="56">
        <v>2</v>
      </c>
      <c r="AA8" s="89">
        <f>(200*2)-Z8</f>
        <v>398</v>
      </c>
      <c r="AB8" s="55">
        <v>400</v>
      </c>
      <c r="AC8" s="55"/>
      <c r="AD8" s="55">
        <v>0</v>
      </c>
      <c r="AE8" s="56">
        <v>0</v>
      </c>
      <c r="AF8" s="55">
        <f>250*2</f>
        <v>500</v>
      </c>
      <c r="AG8" s="56">
        <f t="shared" si="2"/>
        <v>520</v>
      </c>
      <c r="AH8" s="55">
        <f>$AH$2*$B8</f>
        <v>452</v>
      </c>
      <c r="AI8" s="55">
        <f>B8*$AI$13</f>
        <v>36</v>
      </c>
      <c r="AJ8" s="55">
        <f>2*AJ13+20</f>
        <v>32</v>
      </c>
      <c r="AK8" s="55">
        <v>2</v>
      </c>
      <c r="AL8" s="56">
        <f t="shared" si="0"/>
        <v>550</v>
      </c>
      <c r="AM8" s="55">
        <f t="shared" si="1"/>
        <v>50</v>
      </c>
    </row>
    <row r="9" spans="1:39" x14ac:dyDescent="0.35">
      <c r="A9" s="52" t="s">
        <v>233</v>
      </c>
      <c r="B9" s="54">
        <v>1</v>
      </c>
      <c r="C9" s="55">
        <v>300</v>
      </c>
      <c r="D9" s="55">
        <f>(C9-E9)</f>
        <v>228</v>
      </c>
      <c r="E9" s="55">
        <v>72</v>
      </c>
      <c r="F9" s="55">
        <f>E9-G9</f>
        <v>12</v>
      </c>
      <c r="G9" s="56">
        <v>60</v>
      </c>
      <c r="H9" s="55">
        <f>G9/2</f>
        <v>30</v>
      </c>
      <c r="I9" s="55">
        <f>H9-27</f>
        <v>3</v>
      </c>
      <c r="J9" s="55">
        <f>(150-27-$I$9)*2</f>
        <v>240</v>
      </c>
      <c r="K9" s="74">
        <f>12*29</f>
        <v>348</v>
      </c>
      <c r="L9" s="62">
        <f>129/(D9*2)</f>
        <v>0.28289473684210525</v>
      </c>
      <c r="M9" s="75" t="s">
        <v>478</v>
      </c>
      <c r="O9" t="s">
        <v>479</v>
      </c>
      <c r="Q9">
        <f>K9/2</f>
        <v>174</v>
      </c>
      <c r="T9" t="s">
        <v>480</v>
      </c>
      <c r="U9" t="s">
        <v>481</v>
      </c>
      <c r="V9" t="s">
        <v>482</v>
      </c>
      <c r="W9" s="56">
        <f>3*12</f>
        <v>36</v>
      </c>
      <c r="X9" s="55">
        <f>W9</f>
        <v>36</v>
      </c>
      <c r="Y9" s="55">
        <f>200-X9</f>
        <v>164</v>
      </c>
      <c r="Z9" s="56">
        <v>10</v>
      </c>
      <c r="AA9" s="74">
        <f>33*12</f>
        <v>396</v>
      </c>
      <c r="AB9" s="55">
        <v>192</v>
      </c>
      <c r="AC9" s="55">
        <v>8</v>
      </c>
      <c r="AD9" s="55">
        <v>0</v>
      </c>
      <c r="AE9" s="56">
        <v>0</v>
      </c>
      <c r="AF9" s="55" t="s">
        <v>483</v>
      </c>
      <c r="AG9" s="56">
        <f t="shared" si="2"/>
        <v>250</v>
      </c>
      <c r="AH9" s="55">
        <f>$AH$2*$B9</f>
        <v>226</v>
      </c>
      <c r="AI9" s="55">
        <f>B9*$AI$13</f>
        <v>18</v>
      </c>
      <c r="AJ9" s="55">
        <f>B9*$AJ$13</f>
        <v>6</v>
      </c>
      <c r="AK9" s="55">
        <v>2</v>
      </c>
      <c r="AL9" s="56">
        <f t="shared" si="0"/>
        <v>550</v>
      </c>
      <c r="AM9" s="55">
        <f t="shared" si="1"/>
        <v>50</v>
      </c>
    </row>
    <row r="10" spans="1:39" x14ac:dyDescent="0.35">
      <c r="A10" s="52" t="s">
        <v>484</v>
      </c>
      <c r="B10" s="54">
        <v>1</v>
      </c>
      <c r="C10" s="55">
        <v>150</v>
      </c>
      <c r="D10" s="55">
        <f>C10-E10</f>
        <v>117</v>
      </c>
      <c r="E10" s="55">
        <v>33</v>
      </c>
      <c r="F10" s="55">
        <f>E10-G10</f>
        <v>5</v>
      </c>
      <c r="G10" s="56">
        <v>28</v>
      </c>
      <c r="H10" s="55">
        <f>G10</f>
        <v>28</v>
      </c>
      <c r="I10" s="55">
        <f>H10-27</f>
        <v>1</v>
      </c>
      <c r="J10" s="55">
        <f>150-27-$I$10</f>
        <v>122</v>
      </c>
      <c r="K10" s="74">
        <f>200-27-$I$10</f>
        <v>172</v>
      </c>
      <c r="L10" s="63">
        <f>87/114</f>
        <v>0.76315789473684215</v>
      </c>
      <c r="O10" t="s">
        <v>448</v>
      </c>
      <c r="Q10">
        <f>K10</f>
        <v>172</v>
      </c>
      <c r="S10">
        <v>2</v>
      </c>
      <c r="U10" t="s">
        <v>485</v>
      </c>
      <c r="V10" t="s">
        <v>486</v>
      </c>
      <c r="W10" s="56">
        <f>17+31</f>
        <v>48</v>
      </c>
      <c r="X10" s="55">
        <f>W10</f>
        <v>48</v>
      </c>
      <c r="Y10" s="55">
        <f>200-X10</f>
        <v>152</v>
      </c>
      <c r="Z10" s="56">
        <v>34</v>
      </c>
      <c r="AA10" s="74">
        <f>200-Z10</f>
        <v>166</v>
      </c>
      <c r="AB10" s="55">
        <v>400</v>
      </c>
      <c r="AC10" s="55"/>
      <c r="AD10" s="55">
        <f>97+31</f>
        <v>128</v>
      </c>
      <c r="AE10" s="56">
        <v>114</v>
      </c>
      <c r="AF10" s="55">
        <v>143</v>
      </c>
      <c r="AG10" s="56">
        <f t="shared" si="2"/>
        <v>250</v>
      </c>
      <c r="AH10" s="55">
        <f>$AH$2*$B10</f>
        <v>226</v>
      </c>
      <c r="AI10" s="55">
        <f>B10*$AI$13</f>
        <v>18</v>
      </c>
      <c r="AJ10" s="55">
        <f>B10*$AJ$13</f>
        <v>6</v>
      </c>
      <c r="AK10" s="55">
        <v>1</v>
      </c>
      <c r="AL10" s="56">
        <f t="shared" si="0"/>
        <v>275</v>
      </c>
      <c r="AM10" s="55">
        <f t="shared" si="1"/>
        <v>25</v>
      </c>
    </row>
    <row r="11" spans="1:39" x14ac:dyDescent="0.35">
      <c r="A11" s="52" t="s">
        <v>487</v>
      </c>
      <c r="B11" s="54">
        <v>1</v>
      </c>
      <c r="C11" s="55"/>
      <c r="D11" s="55"/>
      <c r="E11" s="55"/>
      <c r="F11" s="55"/>
      <c r="G11" s="56"/>
      <c r="H11" s="55"/>
      <c r="I11" s="55"/>
      <c r="J11" s="55"/>
      <c r="K11" s="74"/>
      <c r="L11" s="63"/>
      <c r="W11" s="56"/>
      <c r="X11" s="55"/>
      <c r="Y11" s="55"/>
      <c r="Z11" s="56"/>
      <c r="AA11" s="74"/>
      <c r="AB11" s="55">
        <v>200</v>
      </c>
      <c r="AC11" s="55"/>
      <c r="AD11" s="55"/>
      <c r="AE11" s="56"/>
      <c r="AF11" s="55"/>
      <c r="AG11" s="56">
        <f t="shared" si="2"/>
        <v>250</v>
      </c>
      <c r="AH11" s="55">
        <f>$AH$2*$B11</f>
        <v>226</v>
      </c>
      <c r="AI11" s="55">
        <f>B11*$AI$13</f>
        <v>18</v>
      </c>
      <c r="AJ11" s="55">
        <f>B11*$AJ$13</f>
        <v>6</v>
      </c>
      <c r="AK11" s="55">
        <v>1</v>
      </c>
      <c r="AL11" s="56">
        <f t="shared" si="0"/>
        <v>275</v>
      </c>
      <c r="AM11" s="55">
        <f t="shared" si="1"/>
        <v>25</v>
      </c>
    </row>
    <row r="12" spans="1:39" x14ac:dyDescent="0.35">
      <c r="A12" s="53" t="s">
        <v>488</v>
      </c>
      <c r="B12" s="54">
        <v>3</v>
      </c>
      <c r="C12" s="55">
        <v>3</v>
      </c>
      <c r="D12" s="55">
        <f>C12-E12</f>
        <v>0</v>
      </c>
      <c r="E12" s="55">
        <v>3</v>
      </c>
      <c r="F12" s="55">
        <f>E12-G12</f>
        <v>1</v>
      </c>
      <c r="G12" s="56">
        <v>2</v>
      </c>
      <c r="H12" s="55">
        <v>3</v>
      </c>
      <c r="I12" s="55">
        <v>0</v>
      </c>
      <c r="J12" s="55">
        <v>0</v>
      </c>
      <c r="K12" s="55">
        <v>0</v>
      </c>
      <c r="L12" s="62">
        <f>3/3</f>
        <v>1</v>
      </c>
      <c r="O12" s="78" t="s">
        <v>469</v>
      </c>
      <c r="Q12">
        <f>K12/2</f>
        <v>0</v>
      </c>
      <c r="U12" s="82" t="s">
        <v>489</v>
      </c>
      <c r="V12" t="s">
        <v>490</v>
      </c>
      <c r="W12" s="56">
        <v>3</v>
      </c>
      <c r="X12" s="55">
        <v>3</v>
      </c>
      <c r="Y12" s="55"/>
      <c r="Z12" s="56">
        <v>2</v>
      </c>
      <c r="AA12" s="55"/>
      <c r="AB12" s="55"/>
      <c r="AC12" s="55"/>
      <c r="AD12" s="120"/>
      <c r="AE12" s="189" t="s">
        <v>491</v>
      </c>
      <c r="AF12" s="120"/>
      <c r="AG12" s="56"/>
      <c r="AH12" s="55" t="s">
        <v>492</v>
      </c>
      <c r="AI12" s="55" t="s">
        <v>493</v>
      </c>
      <c r="AJ12" s="55" t="s">
        <v>494</v>
      </c>
      <c r="AK12" s="55">
        <v>12</v>
      </c>
      <c r="AL12" s="56" t="s">
        <v>495</v>
      </c>
      <c r="AM12" s="199" t="s">
        <v>495</v>
      </c>
    </row>
    <row r="13" spans="1:39" x14ac:dyDescent="0.35">
      <c r="U13" s="41" t="s">
        <v>496</v>
      </c>
      <c r="V13" t="s">
        <v>497</v>
      </c>
      <c r="W13" s="32"/>
      <c r="Y13" s="55" t="s">
        <v>498</v>
      </c>
      <c r="Z13" s="56">
        <v>80</v>
      </c>
      <c r="AI13">
        <v>18</v>
      </c>
      <c r="AJ13" s="33">
        <v>6</v>
      </c>
      <c r="AK13" s="33"/>
      <c r="AL13" s="56">
        <v>275</v>
      </c>
      <c r="AM13" s="199">
        <v>25</v>
      </c>
    </row>
    <row r="14" spans="1:39" hidden="1" x14ac:dyDescent="0.35">
      <c r="D14" s="42" t="s">
        <v>499</v>
      </c>
      <c r="F14" s="42" t="s">
        <v>500</v>
      </c>
      <c r="H14" s="41" t="s">
        <v>501</v>
      </c>
      <c r="P14" t="s">
        <v>502</v>
      </c>
      <c r="U14" s="41" t="s">
        <v>503</v>
      </c>
      <c r="V14" t="s">
        <v>497</v>
      </c>
      <c r="Y14" s="55" t="s">
        <v>504</v>
      </c>
      <c r="Z14" s="56">
        <v>79</v>
      </c>
    </row>
    <row r="15" spans="1:39" hidden="1" x14ac:dyDescent="0.35">
      <c r="D15" s="31" t="s">
        <v>505</v>
      </c>
      <c r="F15" s="42" t="s">
        <v>506</v>
      </c>
      <c r="H15" t="s">
        <v>507</v>
      </c>
      <c r="P15">
        <v>153</v>
      </c>
      <c r="U15" s="41" t="s">
        <v>508</v>
      </c>
      <c r="V15" t="s">
        <v>509</v>
      </c>
      <c r="W15" s="31"/>
      <c r="X15" s="41" t="s">
        <v>510</v>
      </c>
      <c r="Y15" s="55" t="s">
        <v>511</v>
      </c>
      <c r="Z15" s="56">
        <v>22</v>
      </c>
    </row>
    <row r="16" spans="1:39" hidden="1" x14ac:dyDescent="0.35">
      <c r="D16" s="31" t="s">
        <v>512</v>
      </c>
      <c r="F16" s="31" t="s">
        <v>513</v>
      </c>
      <c r="P16">
        <v>21</v>
      </c>
      <c r="U16" s="41" t="s">
        <v>514</v>
      </c>
      <c r="V16" t="s">
        <v>509</v>
      </c>
      <c r="X16" t="s">
        <v>515</v>
      </c>
    </row>
    <row r="17" spans="1:33" hidden="1" x14ac:dyDescent="0.35">
      <c r="D17" s="31" t="s">
        <v>516</v>
      </c>
      <c r="P17">
        <f>SUM(P15:P16)</f>
        <v>174</v>
      </c>
      <c r="U17" s="41" t="s">
        <v>517</v>
      </c>
      <c r="V17" t="s">
        <v>518</v>
      </c>
    </row>
    <row r="18" spans="1:33" hidden="1" x14ac:dyDescent="0.35">
      <c r="D18" s="31" t="s">
        <v>519</v>
      </c>
      <c r="U18" s="41"/>
      <c r="V18" s="78" t="s">
        <v>520</v>
      </c>
      <c r="Y18" s="32"/>
    </row>
    <row r="19" spans="1:33" hidden="1" x14ac:dyDescent="0.35">
      <c r="D19" s="31" t="s">
        <v>521</v>
      </c>
    </row>
    <row r="20" spans="1:33" hidden="1" x14ac:dyDescent="0.35"/>
    <row r="21" spans="1:33" x14ac:dyDescent="0.35">
      <c r="A21" s="216" t="s">
        <v>522</v>
      </c>
      <c r="B21" s="217"/>
      <c r="C21" s="83" t="s">
        <v>523</v>
      </c>
      <c r="D21" s="84"/>
      <c r="E21" s="85"/>
      <c r="G21" s="58"/>
      <c r="H21" s="46"/>
      <c r="V21" s="407" t="s">
        <v>524</v>
      </c>
      <c r="W21" s="408"/>
      <c r="AE21" s="92"/>
      <c r="AF21" s="186" t="s">
        <v>93</v>
      </c>
      <c r="AG21" s="187" t="s">
        <v>525</v>
      </c>
    </row>
    <row r="22" spans="1:33" x14ac:dyDescent="0.35">
      <c r="A22" s="64" t="s">
        <v>526</v>
      </c>
      <c r="B22" s="44"/>
      <c r="C22" s="64" t="s">
        <v>385</v>
      </c>
      <c r="E22" s="44"/>
      <c r="H22" s="44"/>
      <c r="V22" s="86" t="s">
        <v>434</v>
      </c>
      <c r="AE22" s="185" t="s">
        <v>162</v>
      </c>
      <c r="AF22" s="188">
        <f>AF23/AF24</f>
        <v>22.705439999999999</v>
      </c>
      <c r="AG22" s="188">
        <f>AG23/AG24</f>
        <v>27.473582399999998</v>
      </c>
    </row>
    <row r="23" spans="1:33" x14ac:dyDescent="0.35">
      <c r="A23" s="64" t="s">
        <v>527</v>
      </c>
      <c r="B23" s="44"/>
      <c r="C23" s="64" t="s">
        <v>388</v>
      </c>
      <c r="E23" s="44"/>
      <c r="H23" s="44"/>
      <c r="V23" t="s">
        <v>528</v>
      </c>
      <c r="W23" t="s">
        <v>529</v>
      </c>
      <c r="AE23" s="185" t="s">
        <v>530</v>
      </c>
      <c r="AF23" s="184">
        <f>Proveidors21!AJ15</f>
        <v>5676.36</v>
      </c>
      <c r="AG23" s="184">
        <f>Proveidors21!AK15</f>
        <v>6868.3955999999998</v>
      </c>
    </row>
    <row r="24" spans="1:33" x14ac:dyDescent="0.35">
      <c r="A24" s="65" t="s">
        <v>531</v>
      </c>
      <c r="B24" s="44"/>
      <c r="C24" s="65" t="s">
        <v>391</v>
      </c>
      <c r="E24" s="44"/>
      <c r="H24" s="44"/>
      <c r="V24" t="s">
        <v>532</v>
      </c>
      <c r="W24" t="s">
        <v>533</v>
      </c>
      <c r="AE24" s="185" t="s">
        <v>174</v>
      </c>
      <c r="AF24" s="92">
        <v>250</v>
      </c>
      <c r="AG24" s="92">
        <v>250</v>
      </c>
    </row>
    <row r="25" spans="1:33" x14ac:dyDescent="0.35">
      <c r="A25" s="65" t="s">
        <v>534</v>
      </c>
      <c r="B25" s="44"/>
      <c r="C25" s="65" t="s">
        <v>393</v>
      </c>
      <c r="D25" s="44"/>
      <c r="H25" s="44"/>
      <c r="V25" t="s">
        <v>535</v>
      </c>
      <c r="W25" t="s">
        <v>536</v>
      </c>
    </row>
    <row r="26" spans="1:33" ht="15" customHeight="1" x14ac:dyDescent="0.35">
      <c r="A26" s="65" t="s">
        <v>537</v>
      </c>
      <c r="B26" s="44"/>
      <c r="C26" s="65" t="s">
        <v>395</v>
      </c>
      <c r="D26" s="44"/>
      <c r="H26" s="44"/>
      <c r="V26" t="s">
        <v>538</v>
      </c>
      <c r="W26" t="s">
        <v>539</v>
      </c>
    </row>
    <row r="27" spans="1:33" x14ac:dyDescent="0.35">
      <c r="A27" s="65" t="s">
        <v>540</v>
      </c>
      <c r="B27" s="44"/>
      <c r="C27" s="65"/>
      <c r="D27" s="44"/>
      <c r="H27" s="44"/>
      <c r="V27" t="s">
        <v>541</v>
      </c>
      <c r="W27" t="s">
        <v>542</v>
      </c>
    </row>
    <row r="28" spans="1:33" x14ac:dyDescent="0.35">
      <c r="A28" s="65" t="s">
        <v>543</v>
      </c>
      <c r="B28" s="45"/>
      <c r="C28" s="65"/>
      <c r="D28" s="44"/>
      <c r="H28" s="44"/>
    </row>
    <row r="29" spans="1:33" x14ac:dyDescent="0.35">
      <c r="C29" s="65"/>
      <c r="D29" s="45"/>
      <c r="E29" s="45"/>
      <c r="G29" s="45"/>
      <c r="H29" s="45"/>
      <c r="V29" t="s">
        <v>544</v>
      </c>
      <c r="W29" s="81"/>
    </row>
  </sheetData>
  <mergeCells count="3">
    <mergeCell ref="AI1:AJ1"/>
    <mergeCell ref="V21:W21"/>
    <mergeCell ref="AL1:AM1"/>
  </mergeCells>
  <pageMargins left="0.7" right="0.7" top="0.75" bottom="0.75" header="0.3" footer="0.3"/>
  <pageSetup paperSize="9" scale="61" orientation="landscape" r:id="rId1"/>
  <ignoredErrors>
    <ignoredError sqref="F8" formula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9"/>
  <sheetViews>
    <sheetView zoomScaleNormal="100" workbookViewId="0">
      <selection activeCell="J1" sqref="J1"/>
    </sheetView>
  </sheetViews>
  <sheetFormatPr defaultRowHeight="14.5" x14ac:dyDescent="0.35"/>
  <cols>
    <col min="1" max="1" width="25.54296875" customWidth="1"/>
    <col min="2" max="3" width="17.54296875" customWidth="1"/>
    <col min="4" max="4" width="14" hidden="1" customWidth="1"/>
    <col min="5" max="5" width="16.453125" hidden="1" customWidth="1"/>
    <col min="6" max="9" width="16.453125" customWidth="1"/>
  </cols>
  <sheetData>
    <row r="1" spans="1:10" ht="36" customHeight="1" x14ac:dyDescent="0.35">
      <c r="A1" s="1" t="s">
        <v>82</v>
      </c>
      <c r="B1" s="1" t="s">
        <v>545</v>
      </c>
      <c r="C1" s="1"/>
      <c r="D1" s="2" t="s">
        <v>546</v>
      </c>
      <c r="E1" s="2" t="s">
        <v>547</v>
      </c>
      <c r="F1" s="2" t="s">
        <v>548</v>
      </c>
      <c r="G1" s="2" t="s">
        <v>549</v>
      </c>
      <c r="H1" s="2" t="s">
        <v>3</v>
      </c>
      <c r="I1" s="2" t="s">
        <v>550</v>
      </c>
    </row>
    <row r="2" spans="1:10" ht="78.5" thickBot="1" x14ac:dyDescent="0.4">
      <c r="A2" s="3" t="s">
        <v>403</v>
      </c>
      <c r="B2" s="4" t="s">
        <v>551</v>
      </c>
      <c r="C2" s="4" t="s">
        <v>552</v>
      </c>
      <c r="D2" s="3">
        <v>1</v>
      </c>
      <c r="E2" s="5">
        <v>12000</v>
      </c>
      <c r="F2" s="3">
        <v>1</v>
      </c>
      <c r="G2" s="15">
        <v>10300</v>
      </c>
      <c r="H2" s="30" t="s">
        <v>553</v>
      </c>
      <c r="I2" s="15" t="s">
        <v>554</v>
      </c>
    </row>
    <row r="3" spans="1:10" ht="39.75" hidden="1" customHeight="1" thickBot="1" x14ac:dyDescent="0.4">
      <c r="A3" s="3" t="s">
        <v>403</v>
      </c>
      <c r="B3" s="4" t="s">
        <v>555</v>
      </c>
      <c r="C3" s="4" t="s">
        <v>552</v>
      </c>
      <c r="D3" s="6">
        <v>5</v>
      </c>
      <c r="E3" s="5">
        <v>2500</v>
      </c>
      <c r="F3" s="6">
        <v>5</v>
      </c>
      <c r="G3" s="15">
        <v>0</v>
      </c>
      <c r="H3" s="15"/>
      <c r="I3" s="15"/>
    </row>
    <row r="4" spans="1:10" ht="51" hidden="1" customHeight="1" thickBot="1" x14ac:dyDescent="0.4">
      <c r="A4" s="3" t="s">
        <v>403</v>
      </c>
      <c r="B4" s="4" t="s">
        <v>556</v>
      </c>
      <c r="C4" s="4" t="s">
        <v>552</v>
      </c>
      <c r="D4" s="6">
        <v>200</v>
      </c>
      <c r="E4" s="5">
        <f>15*200</f>
        <v>3000</v>
      </c>
      <c r="F4" s="6">
        <v>150</v>
      </c>
      <c r="G4" s="15">
        <v>0</v>
      </c>
      <c r="H4" s="15"/>
      <c r="I4" s="15"/>
    </row>
    <row r="5" spans="1:10" ht="51" hidden="1" customHeight="1" x14ac:dyDescent="0.35">
      <c r="A5" s="16" t="s">
        <v>403</v>
      </c>
      <c r="B5" s="21" t="s">
        <v>557</v>
      </c>
      <c r="C5" s="21" t="s">
        <v>552</v>
      </c>
      <c r="D5" s="18"/>
      <c r="E5" s="19"/>
      <c r="F5" s="22" t="s">
        <v>558</v>
      </c>
      <c r="G5" s="20">
        <v>0</v>
      </c>
      <c r="H5" s="20"/>
      <c r="I5" s="20"/>
    </row>
    <row r="6" spans="1:10" ht="15.75" customHeight="1" x14ac:dyDescent="0.35">
      <c r="A6" s="23"/>
      <c r="B6" s="23"/>
      <c r="C6" s="410" t="s">
        <v>559</v>
      </c>
      <c r="D6" s="410"/>
      <c r="E6" s="410"/>
      <c r="F6" s="410"/>
      <c r="G6" s="24">
        <f>SUM(G2:G4)</f>
        <v>10300</v>
      </c>
      <c r="H6" s="24"/>
      <c r="I6" s="24">
        <f>G6</f>
        <v>10300</v>
      </c>
    </row>
    <row r="7" spans="1:10" ht="26" x14ac:dyDescent="0.35">
      <c r="A7" s="16" t="s">
        <v>96</v>
      </c>
      <c r="B7" s="17" t="s">
        <v>560</v>
      </c>
      <c r="C7" s="17" t="s">
        <v>561</v>
      </c>
      <c r="D7" s="18">
        <v>20</v>
      </c>
      <c r="E7" s="19">
        <v>24000</v>
      </c>
      <c r="F7" s="18">
        <v>10</v>
      </c>
      <c r="G7" s="20">
        <f>12100+1850</f>
        <v>13950</v>
      </c>
      <c r="H7" s="20" t="s">
        <v>562</v>
      </c>
      <c r="I7" s="20" t="s">
        <v>563</v>
      </c>
      <c r="J7" s="20"/>
    </row>
    <row r="8" spans="1:10" ht="15.75" customHeight="1" x14ac:dyDescent="0.35">
      <c r="A8" s="23"/>
      <c r="B8" s="23"/>
      <c r="C8" s="410" t="s">
        <v>564</v>
      </c>
      <c r="D8" s="410"/>
      <c r="E8" s="410"/>
      <c r="F8" s="410"/>
      <c r="G8" s="24">
        <f>SUM(G7)</f>
        <v>13950</v>
      </c>
      <c r="H8" s="24"/>
      <c r="I8" s="24">
        <f>G8</f>
        <v>13950</v>
      </c>
    </row>
    <row r="9" spans="1:10" ht="36.75" customHeight="1" x14ac:dyDescent="0.35">
      <c r="A9" s="16" t="s">
        <v>565</v>
      </c>
      <c r="B9" s="17" t="s">
        <v>566</v>
      </c>
      <c r="C9" s="17" t="s">
        <v>567</v>
      </c>
      <c r="D9" s="18" t="s">
        <v>568</v>
      </c>
      <c r="E9" s="19">
        <v>1400</v>
      </c>
      <c r="F9" s="18" t="s">
        <v>568</v>
      </c>
      <c r="G9" s="19">
        <f>1050*1.21</f>
        <v>1270.5</v>
      </c>
      <c r="H9" s="19" t="s">
        <v>56</v>
      </c>
      <c r="I9" s="19">
        <f>G9</f>
        <v>1270.5</v>
      </c>
    </row>
    <row r="10" spans="1:10" ht="15.75" customHeight="1" x14ac:dyDescent="0.35">
      <c r="A10" s="23"/>
      <c r="B10" s="23"/>
      <c r="C10" s="410" t="s">
        <v>569</v>
      </c>
      <c r="D10" s="410"/>
      <c r="E10" s="410"/>
      <c r="F10" s="410"/>
      <c r="G10" s="24">
        <f>SUM(G9)</f>
        <v>1270.5</v>
      </c>
      <c r="H10" s="24"/>
      <c r="I10" s="24">
        <f>SUM(I9)</f>
        <v>1270.5</v>
      </c>
    </row>
    <row r="11" spans="1:10" ht="39.5" thickBot="1" x14ac:dyDescent="0.4">
      <c r="A11" s="3" t="str">
        <f>Proveidors21!K19</f>
        <v>sacos hidalgo</v>
      </c>
      <c r="B11" s="4" t="s">
        <v>570</v>
      </c>
      <c r="C11" s="4" t="s">
        <v>567</v>
      </c>
      <c r="D11" s="6">
        <f>20*200</f>
        <v>4000</v>
      </c>
      <c r="E11" s="5">
        <v>3500</v>
      </c>
      <c r="F11" s="6">
        <f>20*150</f>
        <v>3000</v>
      </c>
      <c r="G11" s="15">
        <f>Proveidors21!O3</f>
        <v>1929.9499999999998</v>
      </c>
      <c r="H11" s="15" t="s">
        <v>117</v>
      </c>
      <c r="I11" s="15">
        <f t="shared" ref="I11:I17" si="0">G11</f>
        <v>1929.9499999999998</v>
      </c>
    </row>
    <row r="12" spans="1:10" ht="39.5" thickBot="1" x14ac:dyDescent="0.4">
      <c r="A12" s="3" t="str">
        <f>Proveidors21!K20</f>
        <v>multisac</v>
      </c>
      <c r="B12" s="4" t="s">
        <v>571</v>
      </c>
      <c r="C12" s="4" t="s">
        <v>567</v>
      </c>
      <c r="D12" s="6">
        <f>20*200</f>
        <v>4000</v>
      </c>
      <c r="E12" s="5">
        <v>2000</v>
      </c>
      <c r="F12" s="6">
        <f>20*150</f>
        <v>3000</v>
      </c>
      <c r="G12" s="15">
        <f>Proveidors21!O4</f>
        <v>1090</v>
      </c>
      <c r="H12" s="15" t="s">
        <v>117</v>
      </c>
      <c r="I12" s="15">
        <f t="shared" si="0"/>
        <v>1090</v>
      </c>
    </row>
    <row r="13" spans="1:10" ht="52.5" thickBot="1" x14ac:dyDescent="0.4">
      <c r="A13" s="3" t="str">
        <f>Proveidors21!K21</f>
        <v>gili industrial</v>
      </c>
      <c r="B13" s="4" t="s">
        <v>572</v>
      </c>
      <c r="C13" s="4" t="s">
        <v>567</v>
      </c>
      <c r="D13" s="6">
        <f>4*200</f>
        <v>800</v>
      </c>
      <c r="E13" s="5">
        <v>1400</v>
      </c>
      <c r="F13" s="6">
        <f>2*150</f>
        <v>300</v>
      </c>
      <c r="G13" s="15">
        <f>Proveidors21!O5</f>
        <v>320</v>
      </c>
      <c r="H13" s="15" t="s">
        <v>25</v>
      </c>
      <c r="I13" s="15">
        <f t="shared" si="0"/>
        <v>320</v>
      </c>
    </row>
    <row r="14" spans="1:10" ht="52.5" thickBot="1" x14ac:dyDescent="0.4">
      <c r="A14" s="3" t="str">
        <f>Proveidors21!K26</f>
        <v>Planas</v>
      </c>
      <c r="B14" s="4" t="s">
        <v>573</v>
      </c>
      <c r="C14" s="4" t="s">
        <v>567</v>
      </c>
      <c r="D14" s="6">
        <v>200</v>
      </c>
      <c r="E14" s="5">
        <v>1200</v>
      </c>
      <c r="F14" s="6">
        <f>150</f>
        <v>150</v>
      </c>
      <c r="G14" s="15">
        <f>Proveidors21!M26</f>
        <v>661.07745</v>
      </c>
      <c r="H14" s="15" t="s">
        <v>117</v>
      </c>
      <c r="I14" s="15">
        <f t="shared" si="0"/>
        <v>661.07745</v>
      </c>
    </row>
    <row r="15" spans="1:10" ht="36.75" customHeight="1" thickBot="1" x14ac:dyDescent="0.4">
      <c r="A15" s="4" t="s">
        <v>574</v>
      </c>
      <c r="B15" s="4" t="s">
        <v>575</v>
      </c>
      <c r="C15" s="4" t="s">
        <v>567</v>
      </c>
      <c r="D15" s="6">
        <v>300</v>
      </c>
      <c r="E15" s="5">
        <f>(0.53*300)*1.21</f>
        <v>192.39</v>
      </c>
      <c r="F15" s="6">
        <f>2*150</f>
        <v>300</v>
      </c>
      <c r="G15" s="15">
        <f>Proveidors21!M40</f>
        <v>97.41</v>
      </c>
      <c r="H15" s="15" t="s">
        <v>25</v>
      </c>
      <c r="I15" s="15">
        <f t="shared" si="0"/>
        <v>97.41</v>
      </c>
    </row>
    <row r="16" spans="1:10" ht="36.75" customHeight="1" thickBot="1" x14ac:dyDescent="0.4">
      <c r="A16" s="3" t="str">
        <f>Proveidors21!K33</f>
        <v>Artyplan</v>
      </c>
      <c r="B16" s="4" t="s">
        <v>576</v>
      </c>
      <c r="C16" s="4" t="s">
        <v>567</v>
      </c>
      <c r="D16" s="6">
        <v>1</v>
      </c>
      <c r="E16" s="5"/>
      <c r="F16" s="6">
        <v>1</v>
      </c>
      <c r="G16" s="15">
        <f>Proveidors21!M33</f>
        <v>70</v>
      </c>
      <c r="H16" s="15" t="s">
        <v>56</v>
      </c>
      <c r="I16" s="15">
        <f t="shared" si="0"/>
        <v>70</v>
      </c>
    </row>
    <row r="17" spans="1:9" ht="36.75" customHeight="1" thickBot="1" x14ac:dyDescent="0.4">
      <c r="A17" s="3" t="str">
        <f>Proveidors21!K30</f>
        <v>Sacos Hidalgo</v>
      </c>
      <c r="B17" s="17" t="s">
        <v>577</v>
      </c>
      <c r="C17" s="17" t="s">
        <v>567</v>
      </c>
      <c r="D17" s="18">
        <v>150</v>
      </c>
      <c r="E17" s="19"/>
      <c r="F17" s="18">
        <v>150</v>
      </c>
      <c r="G17" s="15">
        <f>Proveidors21!O9</f>
        <v>526.35</v>
      </c>
      <c r="H17" s="15" t="s">
        <v>25</v>
      </c>
      <c r="I17" s="15">
        <f t="shared" si="0"/>
        <v>526.35</v>
      </c>
    </row>
    <row r="18" spans="1:9" ht="16.5" customHeight="1" x14ac:dyDescent="0.35">
      <c r="A18" s="23"/>
      <c r="B18" s="23"/>
      <c r="C18" s="410" t="s">
        <v>578</v>
      </c>
      <c r="D18" s="410"/>
      <c r="E18" s="410"/>
      <c r="F18" s="410"/>
      <c r="G18" s="24">
        <f>SUM(G11:G17)</f>
        <v>4694.7874499999998</v>
      </c>
      <c r="H18" s="24"/>
      <c r="I18" s="24">
        <f>SUM(I11:I17)</f>
        <v>4694.7874499999998</v>
      </c>
    </row>
    <row r="19" spans="1:9" ht="15.5" x14ac:dyDescent="0.35">
      <c r="A19" s="25"/>
      <c r="B19" s="25"/>
      <c r="C19" s="25"/>
      <c r="D19" s="26"/>
      <c r="E19" s="27">
        <f>SUM(E2:E17)</f>
        <v>51192.39</v>
      </c>
      <c r="F19" s="28" t="s">
        <v>64</v>
      </c>
      <c r="G19" s="27">
        <f>SUM(G18+G8+G6+G10)</f>
        <v>30215.28745</v>
      </c>
      <c r="H19" s="27"/>
      <c r="I19" s="27">
        <f>SUM(I18+I8+I6+I10)</f>
        <v>30215.28745</v>
      </c>
    </row>
  </sheetData>
  <mergeCells count="4">
    <mergeCell ref="C6:F6"/>
    <mergeCell ref="C8:F8"/>
    <mergeCell ref="C18:F18"/>
    <mergeCell ref="C10:F10"/>
  </mergeCells>
  <pageMargins left="0.7" right="0.7" top="0.75" bottom="0.75" header="0.3" footer="0.3"/>
  <pageSetup paperSize="9" scale="91" orientation="landscape" r:id="rId1"/>
  <headerFooter>
    <oddHeader>&amp;C&amp;"-,Negreta"&amp;9DESPESA GLOBAL ECUD 2014 CATALUNYA
&amp;"-,Normal" EN FUNCIÓ PROVEEIDOR/PATROCINADOR</oddHeader>
    <oddFooter>&amp;L&amp;D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2"/>
  <sheetViews>
    <sheetView tabSelected="1" topLeftCell="A12" workbookViewId="0">
      <selection activeCell="C23" sqref="C23"/>
    </sheetView>
  </sheetViews>
  <sheetFormatPr defaultRowHeight="14.5" x14ac:dyDescent="0.35"/>
  <cols>
    <col min="1" max="1" width="4.1796875" customWidth="1"/>
    <col min="2" max="2" width="28.54296875" style="82" customWidth="1"/>
    <col min="3" max="3" width="15.54296875" customWidth="1"/>
    <col min="4" max="4" width="11" bestFit="1" customWidth="1"/>
    <col min="5" max="5" width="19.81640625" bestFit="1" customWidth="1"/>
    <col min="6" max="6" width="4.81640625" customWidth="1"/>
  </cols>
  <sheetData>
    <row r="1" spans="1:6" ht="20.149999999999999" customHeight="1" x14ac:dyDescent="0.35">
      <c r="A1" s="375" t="s">
        <v>579</v>
      </c>
      <c r="B1" s="373"/>
      <c r="C1" s="31"/>
      <c r="D1" s="31"/>
      <c r="E1" s="31"/>
      <c r="F1" s="31"/>
    </row>
    <row r="2" spans="1:6" ht="20.149999999999999" customHeight="1" x14ac:dyDescent="0.35">
      <c r="A2" s="376" t="s">
        <v>580</v>
      </c>
      <c r="B2" s="373"/>
      <c r="C2" s="31"/>
      <c r="D2" s="31"/>
      <c r="E2" s="31"/>
      <c r="F2" s="31"/>
    </row>
    <row r="3" spans="1:6" ht="20.5" customHeight="1" x14ac:dyDescent="0.35">
      <c r="A3" s="31"/>
      <c r="B3"/>
    </row>
    <row r="4" spans="1:6" ht="20.5" customHeight="1" x14ac:dyDescent="0.35">
      <c r="A4" s="31"/>
      <c r="B4" s="374"/>
      <c r="C4" s="61" t="s">
        <v>581</v>
      </c>
      <c r="D4" s="61" t="s">
        <v>582</v>
      </c>
      <c r="E4" s="61" t="s">
        <v>583</v>
      </c>
    </row>
    <row r="5" spans="1:6" x14ac:dyDescent="0.35">
      <c r="A5" s="31"/>
      <c r="B5" s="329" t="s">
        <v>584</v>
      </c>
      <c r="C5" s="153"/>
      <c r="D5" s="153" t="s">
        <v>595</v>
      </c>
      <c r="E5" s="153"/>
      <c r="F5" s="31"/>
    </row>
    <row r="6" spans="1:6" ht="60" customHeight="1" x14ac:dyDescent="0.35">
      <c r="A6" s="31"/>
      <c r="B6" s="411" t="s">
        <v>594</v>
      </c>
      <c r="C6" s="411"/>
      <c r="D6" s="411"/>
      <c r="E6" s="411"/>
      <c r="F6" s="411"/>
    </row>
    <row r="7" spans="1:6" ht="19.5" customHeight="1" x14ac:dyDescent="0.35">
      <c r="A7" s="31"/>
      <c r="B7" s="380"/>
      <c r="C7" s="380"/>
      <c r="D7" s="380"/>
      <c r="E7" s="380"/>
      <c r="F7" s="380"/>
    </row>
    <row r="8" spans="1:6" x14ac:dyDescent="0.35">
      <c r="B8" s="377" t="s">
        <v>585</v>
      </c>
    </row>
    <row r="9" spans="1:6" x14ac:dyDescent="0.35">
      <c r="B9" s="378"/>
    </row>
    <row r="10" spans="1:6" x14ac:dyDescent="0.35">
      <c r="B10" s="377" t="s">
        <v>586</v>
      </c>
    </row>
    <row r="11" spans="1:6" x14ac:dyDescent="0.35">
      <c r="B11" s="379" t="s">
        <v>587</v>
      </c>
    </row>
    <row r="12" spans="1:6" x14ac:dyDescent="0.35">
      <c r="B12" s="379" t="s">
        <v>596</v>
      </c>
    </row>
    <row r="13" spans="1:6" x14ac:dyDescent="0.35">
      <c r="B13" s="379"/>
    </row>
    <row r="14" spans="1:6" x14ac:dyDescent="0.35">
      <c r="B14" s="377" t="s">
        <v>588</v>
      </c>
    </row>
    <row r="15" spans="1:6" x14ac:dyDescent="0.35">
      <c r="B15" s="379" t="s">
        <v>589</v>
      </c>
    </row>
    <row r="16" spans="1:6" x14ac:dyDescent="0.35">
      <c r="B16" s="379" t="s">
        <v>590</v>
      </c>
    </row>
    <row r="17" spans="2:4" x14ac:dyDescent="0.35">
      <c r="B17" s="379" t="s">
        <v>591</v>
      </c>
    </row>
    <row r="18" spans="2:4" x14ac:dyDescent="0.35">
      <c r="B18" s="379"/>
    </row>
    <row r="19" spans="2:4" x14ac:dyDescent="0.35">
      <c r="B19" s="377" t="s">
        <v>592</v>
      </c>
    </row>
    <row r="20" spans="2:4" x14ac:dyDescent="0.35">
      <c r="B20" s="379" t="s">
        <v>593</v>
      </c>
      <c r="D20" t="s">
        <v>597</v>
      </c>
    </row>
    <row r="21" spans="2:4" x14ac:dyDescent="0.35">
      <c r="B21" s="379" t="s">
        <v>599</v>
      </c>
      <c r="D21" t="s">
        <v>598</v>
      </c>
    </row>
    <row r="22" spans="2:4" x14ac:dyDescent="0.35">
      <c r="B22" s="378"/>
    </row>
  </sheetData>
  <mergeCells count="1">
    <mergeCell ref="B6:F6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972f11-226f-4f1d-8b19-6821f0fb7694" xsi:nil="true"/>
    <lcf76f155ced4ddcb4097134ff3c332f xmlns="97993b1b-4c9c-4313-8c92-0904290ee75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ACAF55F6E14A45AEE75062A67046DD" ma:contentTypeVersion="11" ma:contentTypeDescription="Crea un document nou" ma:contentTypeScope="" ma:versionID="0421dc589808773d604f7ea65968de9c">
  <xsd:schema xmlns:xsd="http://www.w3.org/2001/XMLSchema" xmlns:xs="http://www.w3.org/2001/XMLSchema" xmlns:p="http://schemas.microsoft.com/office/2006/metadata/properties" xmlns:ns2="97993b1b-4c9c-4313-8c92-0904290ee755" xmlns:ns3="72972f11-226f-4f1d-8b19-6821f0fb7694" targetNamespace="http://schemas.microsoft.com/office/2006/metadata/properties" ma:root="true" ma:fieldsID="f68d62ffc721b048ea1e1fd1c5be67ae" ns2:_="" ns3:_="">
    <xsd:import namespace="97993b1b-4c9c-4313-8c92-0904290ee755"/>
    <xsd:import namespace="72972f11-226f-4f1d-8b19-6821f0fb76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993b1b-4c9c-4313-8c92-0904290ee7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972f11-226f-4f1d-8b19-6821f0fb769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d2a46a9-50a4-46a4-afe4-b96424497a50}" ma:internalName="TaxCatchAll" ma:showField="CatchAllData" ma:web="72972f11-226f-4f1d-8b19-6821f0fb76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4AA0A2-C556-49F6-88E0-79F6489C524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97993b1b-4c9c-4313-8c92-0904290ee755"/>
    <ds:schemaRef ds:uri="72972f11-226f-4f1d-8b19-6821f0fb7694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30A0F3A-5047-4F70-AB54-ABD6F4DFA2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993b1b-4c9c-4313-8c92-0904290ee755"/>
    <ds:schemaRef ds:uri="72972f11-226f-4f1d-8b19-6821f0fb76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B2BBF2-CF65-4552-808F-0C784DF3A4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6</vt:i4>
      </vt:variant>
      <vt:variant>
        <vt:lpstr>Intervals amb nom</vt:lpstr>
      </vt:variant>
      <vt:variant>
        <vt:i4>7</vt:i4>
      </vt:variant>
    </vt:vector>
  </HeadingPairs>
  <TitlesOfParts>
    <vt:vector size="13" baseType="lpstr">
      <vt:lpstr>Ingressos21</vt:lpstr>
      <vt:lpstr>Despeses21</vt:lpstr>
      <vt:lpstr>Proveidors21</vt:lpstr>
      <vt:lpstr>Estoc 19</vt:lpstr>
      <vt:lpstr>Despeses15</vt:lpstr>
      <vt:lpstr>Annex 1</vt:lpstr>
      <vt:lpstr>Ingressos21!_ftn1</vt:lpstr>
      <vt:lpstr>Ingressos21!_ftnref1</vt:lpstr>
      <vt:lpstr>'Annex 1'!Àrea_d'impressió</vt:lpstr>
      <vt:lpstr>Despeses21!Àrea_d'impressió</vt:lpstr>
      <vt:lpstr>'Estoc 19'!Àrea_d'impressió</vt:lpstr>
      <vt:lpstr>Ingressos21!Àrea_d'impressió</vt:lpstr>
      <vt:lpstr>Proveidors21!Àrea_d'impressió</vt:lpstr>
    </vt:vector>
  </TitlesOfParts>
  <Manager/>
  <Company>ARC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Annex 1 Economic</dc:title>
  <dc:subject/>
  <dc:creator>ARC</dc:creator>
  <cp:keywords/>
  <dc:description/>
  <cp:lastModifiedBy>Padrós Tremoleda, Mireia</cp:lastModifiedBy>
  <cp:revision/>
  <dcterms:created xsi:type="dcterms:W3CDTF">2014-03-12T08:43:56Z</dcterms:created>
  <dcterms:modified xsi:type="dcterms:W3CDTF">2026-07-15T10:56:48Z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0x010100BDACAF55F6E14A45AEE75062A67046DD</vt:lpwstr>
  </property>
  <property fmtid="{D5CDD505-2E9C-101B-9397-08002B2CF9AE}" pid="3" name="MediaServiceImageTags">
    <vt:lpwstr/>
  </property>
</Properties>
</file>