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0" documentId="11_A7A8BF2FECA333C6E91CEE088ABEE5B8BAD8F4AD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Resum" sheetId="1" r:id="rId1"/>
    <sheet name="ED PL CUBA" sheetId="2" r:id="rId2"/>
  </sheets>
  <calcPr calcId="0" fullCalcOnLoad="1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32" i="1" l="1"/>
  <c r="K31" i="1"/>
  <c r="J31" i="1"/>
  <c r="I31" i="1"/>
  <c r="H31" i="1"/>
  <c r="G31" i="1"/>
  <c r="F31" i="1"/>
  <c r="E31" i="1"/>
  <c r="D31" i="1"/>
  <c r="C31" i="1"/>
  <c r="B31" i="1"/>
  <c r="K29" i="1"/>
  <c r="J29" i="1"/>
  <c r="I29" i="1"/>
  <c r="H29" i="1"/>
  <c r="G29" i="1"/>
  <c r="F29" i="1"/>
  <c r="E29" i="1"/>
  <c r="D29" i="1"/>
  <c r="C29" i="1"/>
  <c r="B29" i="1"/>
  <c r="K27" i="1"/>
  <c r="J27" i="1"/>
  <c r="I27" i="1"/>
  <c r="H27" i="1"/>
  <c r="G27" i="1"/>
  <c r="F27" i="1"/>
  <c r="E27" i="1"/>
  <c r="D27" i="1"/>
  <c r="C27" i="1"/>
  <c r="B27" i="1"/>
  <c r="K25" i="1"/>
  <c r="J25" i="1"/>
  <c r="I25" i="1"/>
  <c r="H25" i="1"/>
  <c r="G25" i="1"/>
  <c r="F25" i="1"/>
  <c r="E25" i="1"/>
  <c r="D25" i="1"/>
  <c r="C25" i="1"/>
  <c r="B25" i="1"/>
  <c r="I21" i="1"/>
  <c r="H21" i="1"/>
  <c r="G21" i="1"/>
  <c r="I20" i="1"/>
  <c r="H20" i="1"/>
  <c r="G20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H12" i="1"/>
  <c r="F12" i="1"/>
  <c r="D12" i="1"/>
  <c r="B12" i="1"/>
  <c r="H11" i="1"/>
  <c r="F11" i="1"/>
  <c r="D11" i="1"/>
  <c r="B11" i="1"/>
  <c r="I9" i="1"/>
  <c r="H9" i="1"/>
  <c r="G9" i="1"/>
  <c r="F9" i="1"/>
  <c r="E9" i="1"/>
  <c r="D9" i="1"/>
  <c r="C9" i="1"/>
  <c r="B9" i="1"/>
  <c r="O41" i="2"/>
  <c r="N41" i="2"/>
  <c r="M41" i="2"/>
  <c r="L41" i="2"/>
  <c r="K41" i="2"/>
  <c r="J41" i="2"/>
  <c r="I41" i="2"/>
  <c r="H41" i="2"/>
  <c r="G41" i="2"/>
  <c r="O40" i="2"/>
  <c r="N40" i="2"/>
  <c r="M40" i="2"/>
  <c r="L40" i="2"/>
  <c r="K40" i="2"/>
  <c r="J40" i="2"/>
  <c r="I40" i="2"/>
  <c r="F40" i="2"/>
  <c r="O39" i="2"/>
  <c r="N39" i="2"/>
  <c r="M39" i="2"/>
  <c r="L39" i="2"/>
  <c r="K39" i="2"/>
  <c r="J39" i="2"/>
  <c r="I39" i="2"/>
  <c r="F39" i="2"/>
  <c r="O38" i="2"/>
  <c r="N38" i="2"/>
  <c r="M38" i="2"/>
  <c r="L38" i="2"/>
  <c r="K38" i="2"/>
  <c r="J38" i="2"/>
  <c r="I38" i="2"/>
  <c r="F38" i="2"/>
  <c r="O37" i="2"/>
  <c r="N37" i="2"/>
  <c r="M37" i="2"/>
  <c r="L37" i="2"/>
  <c r="K37" i="2"/>
  <c r="H37" i="2"/>
  <c r="G37" i="2"/>
  <c r="F37" i="2"/>
  <c r="O36" i="2"/>
  <c r="N36" i="2"/>
  <c r="M36" i="2"/>
  <c r="L36" i="2"/>
  <c r="K36" i="2"/>
  <c r="H36" i="2"/>
  <c r="G36" i="2"/>
  <c r="F36" i="2"/>
  <c r="O32" i="2"/>
  <c r="N32" i="2"/>
  <c r="M32" i="2"/>
  <c r="L32" i="2"/>
  <c r="K32" i="2"/>
  <c r="J32" i="2"/>
  <c r="I32" i="2"/>
  <c r="H32" i="2"/>
  <c r="G32" i="2"/>
  <c r="O31" i="2"/>
  <c r="N31" i="2"/>
  <c r="M31" i="2"/>
  <c r="L31" i="2"/>
  <c r="K31" i="2"/>
  <c r="J31" i="2"/>
  <c r="I31" i="2"/>
  <c r="F31" i="2"/>
  <c r="O30" i="2"/>
  <c r="N30" i="2"/>
  <c r="M30" i="2"/>
  <c r="L30" i="2"/>
  <c r="K30" i="2"/>
  <c r="J30" i="2"/>
  <c r="I30" i="2"/>
  <c r="F30" i="2"/>
  <c r="O29" i="2"/>
  <c r="N29" i="2"/>
  <c r="M29" i="2"/>
  <c r="L29" i="2"/>
  <c r="K29" i="2"/>
  <c r="J29" i="2"/>
  <c r="I29" i="2"/>
  <c r="F29" i="2"/>
  <c r="O28" i="2"/>
  <c r="N28" i="2"/>
  <c r="M28" i="2"/>
  <c r="L28" i="2"/>
  <c r="K28" i="2"/>
  <c r="H28" i="2"/>
  <c r="G28" i="2"/>
  <c r="F28" i="2"/>
  <c r="O27" i="2"/>
  <c r="N27" i="2"/>
  <c r="M27" i="2"/>
  <c r="L27" i="2"/>
  <c r="K27" i="2"/>
  <c r="H27" i="2"/>
  <c r="G27" i="2"/>
  <c r="F27" i="2"/>
  <c r="O23" i="2"/>
  <c r="N23" i="2"/>
  <c r="M23" i="2"/>
  <c r="L23" i="2"/>
  <c r="K23" i="2"/>
  <c r="J23" i="2"/>
  <c r="I23" i="2"/>
  <c r="H23" i="2"/>
  <c r="G23" i="2"/>
  <c r="O22" i="2"/>
  <c r="N22" i="2"/>
  <c r="M22" i="2"/>
  <c r="L22" i="2"/>
  <c r="K22" i="2"/>
  <c r="J22" i="2"/>
  <c r="I22" i="2"/>
  <c r="F22" i="2"/>
  <c r="O21" i="2"/>
  <c r="N21" i="2"/>
  <c r="M21" i="2"/>
  <c r="L21" i="2"/>
  <c r="K21" i="2"/>
  <c r="J21" i="2"/>
  <c r="I21" i="2"/>
  <c r="F21" i="2"/>
  <c r="O20" i="2"/>
  <c r="N20" i="2"/>
  <c r="M20" i="2"/>
  <c r="L20" i="2"/>
  <c r="K20" i="2"/>
  <c r="J20" i="2"/>
  <c r="I20" i="2"/>
  <c r="F20" i="2"/>
  <c r="O19" i="2"/>
  <c r="N19" i="2"/>
  <c r="M19" i="2"/>
  <c r="L19" i="2"/>
  <c r="K19" i="2"/>
  <c r="H19" i="2"/>
  <c r="G19" i="2"/>
  <c r="F19" i="2"/>
  <c r="O18" i="2"/>
  <c r="N18" i="2"/>
  <c r="M18" i="2"/>
  <c r="L18" i="2"/>
  <c r="K18" i="2"/>
  <c r="H18" i="2"/>
  <c r="G18" i="2"/>
  <c r="F18" i="2"/>
  <c r="O14" i="2"/>
  <c r="N14" i="2"/>
  <c r="M14" i="2"/>
  <c r="L14" i="2"/>
  <c r="K14" i="2"/>
  <c r="J14" i="2"/>
  <c r="I14" i="2"/>
  <c r="H14" i="2"/>
  <c r="G14" i="2"/>
  <c r="O13" i="2"/>
  <c r="N13" i="2"/>
  <c r="M13" i="2"/>
  <c r="L13" i="2"/>
  <c r="K13" i="2"/>
  <c r="J13" i="2"/>
  <c r="I13" i="2"/>
  <c r="F13" i="2"/>
  <c r="O12" i="2"/>
  <c r="N12" i="2"/>
  <c r="M12" i="2"/>
  <c r="L12" i="2"/>
  <c r="K12" i="2"/>
  <c r="J12" i="2"/>
  <c r="I12" i="2"/>
  <c r="F12" i="2"/>
  <c r="O11" i="2"/>
  <c r="N11" i="2"/>
  <c r="M11" i="2"/>
  <c r="L11" i="2"/>
  <c r="K11" i="2"/>
  <c r="J11" i="2"/>
  <c r="I11" i="2"/>
  <c r="F11" i="2"/>
  <c r="O10" i="2"/>
  <c r="N10" i="2"/>
  <c r="M10" i="2"/>
  <c r="L10" i="2"/>
  <c r="K10" i="2"/>
  <c r="H10" i="2"/>
  <c r="G10" i="2"/>
  <c r="F10" i="2"/>
  <c r="O9" i="2"/>
  <c r="N9" i="2"/>
  <c r="M9" i="2"/>
  <c r="L9" i="2"/>
  <c r="K9" i="2"/>
  <c r="H9" i="2"/>
  <c r="G9" i="2"/>
  <c r="F9" i="2"/>
  <c r="E5" i="2"/>
  <c r="D5" i="2"/>
  <c r="C5" i="2"/>
  <c r="B5" i="2"/>
  <c r="E4" i="2"/>
  <c r="D4" i="2"/>
  <c r="C4" i="2"/>
  <c r="B4" i="2"/>
</calcChain>
</file>

<file path=xl/sharedStrings.xml><?xml version="1.0" encoding="utf-8"?>
<sst xmlns="http://schemas.openxmlformats.org/spreadsheetml/2006/main" count="163" uniqueCount="68">
  <si>
    <t xml:space="preserve">ANNEX 2. QUADRE DE DADES ECONÒMIQUES </t>
  </si>
  <si>
    <t>EDIFICI PLAÇA CUBA</t>
  </si>
  <si>
    <t>DIVISIÓ DE COSTOS</t>
  </si>
  <si>
    <t>Costos  període 2026</t>
  </si>
  <si>
    <t>Costos  període 2027</t>
  </si>
  <si>
    <t>Costos període 2028</t>
  </si>
  <si>
    <t>Costos període 2029</t>
  </si>
  <si>
    <t>CASELLES EDITABLES</t>
  </si>
  <si>
    <t>COSTOS DIRECTES</t>
  </si>
  <si>
    <t>Preu de sortida</t>
  </si>
  <si>
    <t>Preu ofert</t>
  </si>
  <si>
    <t>Costos salarials</t>
  </si>
  <si>
    <t>Material i maquinària</t>
  </si>
  <si>
    <t>Respecte a la divisió de costos, si que cal omplir totes les caselles de color verd amb la vostre proposta.</t>
  </si>
  <si>
    <t>Total costos directes</t>
  </si>
  <si>
    <t>COSTOS INDIRECTES</t>
  </si>
  <si>
    <t>Despeses generals (6,5%)</t>
  </si>
  <si>
    <t>Benefici industrial (6%)</t>
  </si>
  <si>
    <t>Total costos indirectes</t>
  </si>
  <si>
    <t>TOTAL COSTOS</t>
  </si>
  <si>
    <t>TOTAL COSTOS IVA INCLÒS</t>
  </si>
  <si>
    <t>Preu màxim unitari amb material i IVA exclòs</t>
  </si>
  <si>
    <t xml:space="preserve">En el quadre següent s’indica el preu unitari de sortida proposat. Només s’ha emplenar l’any 2026 (en color verd). La resta de preus es calcularan automàticament amb l’increment corresponent. </t>
  </si>
  <si>
    <t>Preu/hora</t>
  </si>
  <si>
    <t>Neteja ordinària</t>
  </si>
  <si>
    <t>Neteja responsable d’equip</t>
  </si>
  <si>
    <t>Entitat</t>
  </si>
  <si>
    <t xml:space="preserve"> (A) Hores ordinàries</t>
  </si>
  <si>
    <t>(A') Hores festius a descomptar</t>
  </si>
  <si>
    <t xml:space="preserve"> (B) Hores responsable equip</t>
  </si>
  <si>
    <t>(B') Hores festius a descomptar</t>
  </si>
  <si>
    <t>(A+B) Hores/any amb dto festius</t>
  </si>
  <si>
    <t>Total Hores ordinàries (A-A’)</t>
  </si>
  <si>
    <t>Total Hores festius (B-B’)</t>
  </si>
  <si>
    <t>Total preu (A)</t>
  </si>
  <si>
    <t>Total preu (B)</t>
  </si>
  <si>
    <t>Total neteja</t>
  </si>
  <si>
    <t>Període: 2026</t>
  </si>
  <si>
    <t>Ajuntament de Mataró</t>
  </si>
  <si>
    <t>Període: 2027</t>
  </si>
  <si>
    <t>Període: 2028</t>
  </si>
  <si>
    <t>Període: 2029</t>
  </si>
  <si>
    <t>Total</t>
  </si>
  <si>
    <t>EDIFICI PLAÇA DE CUBA</t>
  </si>
  <si>
    <t xml:space="preserve">Preu ofert </t>
  </si>
  <si>
    <t>Neteja especialista</t>
  </si>
  <si>
    <t>DESCRIPCIÓ</t>
  </si>
  <si>
    <t>HORARI</t>
  </si>
  <si>
    <t>Dies / setmana</t>
  </si>
  <si>
    <t>Setmana/ any</t>
  </si>
  <si>
    <t xml:space="preserve">Hores/  dia </t>
  </si>
  <si>
    <t>Hores/  setmana</t>
  </si>
  <si>
    <t xml:space="preserve"> (A) Hores/any ordinàries</t>
  </si>
  <si>
    <t>(A') Hores/any festius a descomptar</t>
  </si>
  <si>
    <t xml:space="preserve"> (B) Hores/any responsable equip</t>
  </si>
  <si>
    <t>(B') Hores/any festius a descomptar</t>
  </si>
  <si>
    <t>Total Hores festius (A-A’)</t>
  </si>
  <si>
    <t xml:space="preserve">Import neteja </t>
  </si>
  <si>
    <t>Mercat de la plaça de Cuba- ordinaria</t>
  </si>
  <si>
    <t xml:space="preserve">dilluns , excepte festius </t>
  </si>
  <si>
    <t>Mercat de la plaça de Cuba- ordinària</t>
  </si>
  <si>
    <t xml:space="preserve">dimarts a dissabte, excepte festius </t>
  </si>
  <si>
    <t>Mercat de la plaça de Cuba- responsable</t>
  </si>
  <si>
    <t>Mercat de la plaça de Cuba- responsble</t>
  </si>
  <si>
    <t>dissabtes</t>
  </si>
  <si>
    <t>TOTAL NETEJA</t>
  </si>
  <si>
    <t>dimarts a divendres</t>
  </si>
  <si>
    <t>* Les hores al dia resultants a la taula són una estimació a efectes de càlcul. Per a l’establiment de les freqüències i distribució de tasques caldrà observar les taules que figuren a l’annex fitxes dels edificis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</si>
</sst>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&quot; €&quot;"/>
    <numFmt numFmtId="165" formatCode="0.00&quot; h&quot;"/>
    <numFmt numFmtId="166" formatCode="_-* #,##0.00&quot; €&quot;_-;\-* #,##0.00&quot; €&quot;_-;_-* \-??&quot; €&quot;_-;_-@_-"/>
    <numFmt numFmtId="167" formatCode="0.000"/>
    <numFmt numFmtId="168" formatCode="#,##0.00&quot; €&quot;"/>
  </numFmts>
  <fonts count="22">
    <font>
      <sz val="10"/>
      <name val="Arial"/>
      <family val="2"/>
      <charset val="1"/>
    </font>
    <font>
      <b/>
      <u/>
      <sz val="14"/>
      <name val="Times New Roman"/>
      <family val="1"/>
      <charset val="1"/>
    </font>
    <font>
      <b/>
      <sz val="20"/>
      <name val="Times New Roman"/>
      <family val="1"/>
      <charset val="1"/>
    </font>
    <font>
      <b/>
      <sz val="1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2"/>
      <name val="Times New Roman"/>
      <family val="1"/>
      <charset val="1"/>
    </font>
    <font>
      <b/>
      <u val="double"/>
      <sz val="11"/>
      <name val="Times New Roman"/>
      <family val="1"/>
      <charset val="1"/>
    </font>
    <font>
      <sz val="11"/>
      <name val="Arial"/>
      <family val="2"/>
      <charset val="1"/>
    </font>
    <font>
      <b/>
      <sz val="14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0"/>
      <name val="Times New Roman"/>
      <family val="1"/>
      <charset val="1"/>
    </font>
    <font>
      <b/>
      <sz val="9"/>
      <name val="Times New Roman"/>
      <family val="1"/>
      <charset val="1"/>
    </font>
    <font>
      <b/>
      <sz val="9"/>
      <color rgb="FFFF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5E0B4"/>
        <bgColor rgb="FFC0C0C0"/>
      </patternFill>
    </fill>
    <fill>
      <patternFill patternType="solid">
        <fgColor rgb="FFA6A6A6"/>
        <bgColor rgb="FF999999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99CC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999999"/>
      </patternFill>
    </fill>
    <fill>
      <patternFill patternType="solid">
        <fgColor rgb="FF999999"/>
        <bgColor rgb="FF969696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6" fontId="21" fillId="0" borderId="0" applyBorder="0" applyProtection="0"/>
  </cellStyleXfs>
  <cellXfs count="89">
    <xf numFmtId="0" fontId="0" fillId="0" borderId="0" xfId="0"/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5" borderId="5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/>
    </xf>
    <xf numFmtId="4" fontId="10" fillId="5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2" xfId="0" applyFont="1" applyBorder="1" applyAlignment="1">
      <alignment wrapText="1"/>
    </xf>
    <xf numFmtId="165" fontId="9" fillId="0" borderId="2" xfId="0" applyNumberFormat="1" applyFont="1" applyBorder="1" applyAlignment="1">
      <alignment horizontal="center"/>
    </xf>
    <xf numFmtId="166" fontId="9" fillId="0" borderId="2" xfId="1" applyFont="1" applyBorder="1" applyProtection="1"/>
    <xf numFmtId="0" fontId="12" fillId="0" borderId="0" xfId="0" applyFont="1"/>
    <xf numFmtId="0" fontId="13" fillId="0" borderId="0" xfId="0" applyFont="1"/>
    <xf numFmtId="166" fontId="12" fillId="0" borderId="0" xfId="1" applyFont="1" applyBorder="1" applyProtection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/>
    <xf numFmtId="0" fontId="10" fillId="5" borderId="2" xfId="0" applyFont="1" applyFill="1" applyBorder="1" applyAlignment="1">
      <alignment horizontal="left" wrapText="1"/>
    </xf>
    <xf numFmtId="167" fontId="3" fillId="0" borderId="0" xfId="0" applyNumberFormat="1" applyFont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/>
    </xf>
    <xf numFmtId="167" fontId="17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3" fillId="0" borderId="0" xfId="0" applyFont="1"/>
    <xf numFmtId="0" fontId="3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4" fontId="9" fillId="0" borderId="0" xfId="0" applyNumberFormat="1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7" borderId="2" xfId="0" applyNumberFormat="1" applyFont="1" applyFill="1" applyBorder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165" fontId="19" fillId="0" borderId="3" xfId="0" applyNumberFormat="1" applyFont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168" fontId="9" fillId="9" borderId="2" xfId="0" applyNumberFormat="1" applyFont="1" applyFill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" fillId="0" borderId="10" xfId="0" applyFont="1" applyBorder="1"/>
    <xf numFmtId="165" fontId="3" fillId="10" borderId="3" xfId="0" applyNumberFormat="1" applyFont="1" applyFill="1" applyBorder="1" applyAlignment="1">
      <alignment horizontal="center"/>
    </xf>
    <xf numFmtId="168" fontId="10" fillId="11" borderId="2" xfId="0" applyNumberFormat="1" applyFont="1" applyFill="1" applyBorder="1" applyAlignment="1">
      <alignment horizontal="center"/>
    </xf>
    <xf numFmtId="168" fontId="3" fillId="10" borderId="3" xfId="1" applyNumberFormat="1" applyFont="1" applyFill="1" applyBorder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4" fontId="9" fillId="0" borderId="2" xfId="0" applyNumberFormat="1" applyFont="1" applyBorder="1"/>
    <xf numFmtId="165" fontId="10" fillId="10" borderId="3" xfId="0" applyNumberFormat="1" applyFont="1" applyFill="1" applyBorder="1" applyAlignment="1">
      <alignment horizontal="center"/>
    </xf>
    <xf numFmtId="4" fontId="19" fillId="0" borderId="0" xfId="0" applyNumberFormat="1" applyFont="1"/>
    <xf numFmtId="168" fontId="9" fillId="0" borderId="0" xfId="0" applyNumberFormat="1" applyFont="1"/>
    <xf numFmtId="2" fontId="9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9999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zoomScaleNormal="100" workbookViewId="0">
      <selection activeCell="A2" sqref="A2"/>
    </sheetView>
  </sheetViews>
  <sheetFormatPr defaultColWidth="11.5703125" defaultRowHeight="12.75" customHeight="1"/>
  <cols>
    <col min="1" max="1" width="30.85546875" customWidth="1"/>
    <col min="2" max="2" width="15.5703125" customWidth="1"/>
    <col min="3" max="3" width="13.28515625" customWidth="1"/>
    <col min="4" max="4" width="15.85546875" customWidth="1"/>
    <col min="5" max="5" width="15.42578125" customWidth="1"/>
    <col min="6" max="6" width="15.140625" customWidth="1"/>
    <col min="7" max="7" width="14.42578125" customWidth="1"/>
    <col min="8" max="8" width="14.85546875" customWidth="1"/>
    <col min="9" max="9" width="15" customWidth="1"/>
    <col min="10" max="10" width="13.28515625" customWidth="1"/>
    <col min="11" max="11" width="14.42578125" customWidth="1"/>
  </cols>
  <sheetData>
    <row r="1" spans="1:13" ht="17.45">
      <c r="A1" s="12" t="s">
        <v>0</v>
      </c>
    </row>
    <row r="2" spans="1:13" ht="17.45">
      <c r="A2" s="12" t="s">
        <v>1</v>
      </c>
    </row>
    <row r="3" spans="1:13" ht="24">
      <c r="C3" s="9" t="s">
        <v>2</v>
      </c>
      <c r="D3" s="9"/>
      <c r="E3" s="9"/>
      <c r="F3" s="9"/>
    </row>
    <row r="4" spans="1:13"/>
    <row r="5" spans="1:13" ht="30.75" customHeight="1">
      <c r="A5" s="13"/>
      <c r="B5" s="8" t="s">
        <v>3</v>
      </c>
      <c r="C5" s="8"/>
      <c r="D5" s="8" t="s">
        <v>4</v>
      </c>
      <c r="E5" s="8"/>
      <c r="F5" s="8" t="s">
        <v>5</v>
      </c>
      <c r="G5" s="8"/>
      <c r="H5" s="8" t="s">
        <v>6</v>
      </c>
      <c r="I5" s="8"/>
      <c r="K5" s="7" t="s">
        <v>7</v>
      </c>
      <c r="L5" s="7"/>
    </row>
    <row r="6" spans="1:13" ht="15.75" customHeight="1">
      <c r="A6" s="14" t="s">
        <v>8</v>
      </c>
      <c r="B6" s="15" t="s">
        <v>9</v>
      </c>
      <c r="C6" s="15" t="s">
        <v>10</v>
      </c>
      <c r="D6" s="15" t="s">
        <v>9</v>
      </c>
      <c r="E6" s="15" t="s">
        <v>10</v>
      </c>
      <c r="F6" s="15" t="s">
        <v>9</v>
      </c>
      <c r="G6" s="15" t="s">
        <v>10</v>
      </c>
      <c r="H6" s="15" t="s">
        <v>9</v>
      </c>
      <c r="I6" s="15" t="s">
        <v>10</v>
      </c>
      <c r="K6" s="7"/>
      <c r="L6" s="7"/>
    </row>
    <row r="7" spans="1:13" ht="13.5">
      <c r="A7" s="16" t="s">
        <v>11</v>
      </c>
      <c r="B7" s="17">
        <v>21082.808499999999</v>
      </c>
      <c r="C7" s="18">
        <v>0</v>
      </c>
      <c r="D7" s="17">
        <v>67017.440000000002</v>
      </c>
      <c r="E7" s="18">
        <v>0</v>
      </c>
      <c r="F7" s="17">
        <v>69194.48</v>
      </c>
      <c r="G7" s="18">
        <v>0</v>
      </c>
      <c r="H7" s="17">
        <v>48221.942000000003</v>
      </c>
      <c r="I7" s="18">
        <v>0</v>
      </c>
    </row>
    <row r="8" spans="1:13" ht="13.5" customHeight="1">
      <c r="A8" s="16" t="s">
        <v>12</v>
      </c>
      <c r="B8" s="17">
        <v>2508.56</v>
      </c>
      <c r="C8" s="18">
        <v>0</v>
      </c>
      <c r="D8" s="17">
        <v>8002.63</v>
      </c>
      <c r="E8" s="18">
        <v>0</v>
      </c>
      <c r="F8" s="17">
        <v>8264.1299999999992</v>
      </c>
      <c r="G8" s="18">
        <v>0</v>
      </c>
      <c r="H8" s="17">
        <v>5754.3450000000003</v>
      </c>
      <c r="I8" s="18">
        <v>0</v>
      </c>
      <c r="K8" s="6" t="s">
        <v>13</v>
      </c>
      <c r="L8" s="6"/>
      <c r="M8" s="6"/>
    </row>
    <row r="9" spans="1:13" ht="13.5">
      <c r="A9" s="19" t="s">
        <v>14</v>
      </c>
      <c r="B9" s="20">
        <f>SUM(B7:B8)</f>
        <v>23591.3685</v>
      </c>
      <c r="C9" s="20">
        <f>SUM(C7:C8)</f>
        <v>0</v>
      </c>
      <c r="D9" s="20">
        <f>SUM(D7:D8)</f>
        <v>75020.070000000007</v>
      </c>
      <c r="E9" s="20">
        <f>SUM(E7:E8)</f>
        <v>0</v>
      </c>
      <c r="F9" s="20">
        <f>SUM(F7:F8)</f>
        <v>77458.61</v>
      </c>
      <c r="G9" s="20">
        <f>SUM(G7:G8)</f>
        <v>0</v>
      </c>
      <c r="H9" s="20">
        <f>ROUNDDOWN(SUM(H7:H8),2)</f>
        <v>53976.28</v>
      </c>
      <c r="I9" s="20">
        <f>SUM(I7:I8)</f>
        <v>0</v>
      </c>
      <c r="K9" s="6"/>
      <c r="L9" s="6"/>
      <c r="M9" s="6"/>
    </row>
    <row r="10" spans="1:13" ht="13.5">
      <c r="A10" s="21" t="s">
        <v>15</v>
      </c>
      <c r="B10" s="14"/>
      <c r="C10" s="14"/>
      <c r="D10" s="14"/>
      <c r="E10" s="14"/>
      <c r="F10" s="14"/>
      <c r="G10" s="14"/>
      <c r="H10" s="14"/>
      <c r="I10" s="14"/>
      <c r="K10" s="6"/>
      <c r="L10" s="6"/>
      <c r="M10" s="6"/>
    </row>
    <row r="11" spans="1:13" ht="13.5">
      <c r="A11" s="16" t="s">
        <v>16</v>
      </c>
      <c r="B11" s="17">
        <f>+B9*0.065</f>
        <v>1533.4389524999999</v>
      </c>
      <c r="C11" s="18">
        <v>0</v>
      </c>
      <c r="D11" s="17">
        <f>+D9*0.065</f>
        <v>4876.3045499999998</v>
      </c>
      <c r="E11" s="18">
        <v>0</v>
      </c>
      <c r="F11" s="17">
        <f>+F9*0.065</f>
        <v>5034.8096500000001</v>
      </c>
      <c r="G11" s="18">
        <v>0</v>
      </c>
      <c r="H11" s="17">
        <f>+H9*0.065</f>
        <v>3508.4582</v>
      </c>
      <c r="I11" s="18">
        <v>0</v>
      </c>
      <c r="K11" s="6"/>
      <c r="L11" s="6"/>
      <c r="M11" s="6"/>
    </row>
    <row r="12" spans="1:13" ht="13.5">
      <c r="A12" s="16" t="s">
        <v>17</v>
      </c>
      <c r="B12" s="17">
        <f>+(B9+B11)*0.06</f>
        <v>1507.48844715</v>
      </c>
      <c r="C12" s="18">
        <v>0</v>
      </c>
      <c r="D12" s="17">
        <f>+(D9+D11)*0.06</f>
        <v>4793.7824730000002</v>
      </c>
      <c r="E12" s="18">
        <v>0</v>
      </c>
      <c r="F12" s="17">
        <f>+(F9+F11)*0.06</f>
        <v>4949.6051790000001</v>
      </c>
      <c r="G12" s="18">
        <v>0</v>
      </c>
      <c r="H12" s="17">
        <f>+(H9+H11)*0.06</f>
        <v>3449.084292</v>
      </c>
      <c r="I12" s="18">
        <v>0</v>
      </c>
      <c r="K12" s="6"/>
      <c r="L12" s="6"/>
      <c r="M12" s="6"/>
    </row>
    <row r="13" spans="1:13" ht="13.5">
      <c r="A13" s="19" t="s">
        <v>18</v>
      </c>
      <c r="B13" s="17">
        <f>SUM(B11:B12)</f>
        <v>3040.9273996500001</v>
      </c>
      <c r="C13" s="17">
        <f>SUM(C11:C12)</f>
        <v>0</v>
      </c>
      <c r="D13" s="17">
        <f>SUM(D11:D12)</f>
        <v>9670.087023</v>
      </c>
      <c r="E13" s="17">
        <f>SUM(E11:E12)</f>
        <v>0</v>
      </c>
      <c r="F13" s="17">
        <f>SUM(F11:F12)</f>
        <v>9984.4148289999994</v>
      </c>
      <c r="G13" s="17">
        <f>SUM(G11:G12)</f>
        <v>0</v>
      </c>
      <c r="H13" s="17">
        <f>SUM(H11:H12)</f>
        <v>6957.5424919999996</v>
      </c>
      <c r="I13" s="17">
        <f>SUM(I11:I12)</f>
        <v>0</v>
      </c>
    </row>
    <row r="14" spans="1:13" ht="13.5">
      <c r="A14" s="22" t="s">
        <v>19</v>
      </c>
      <c r="B14" s="23">
        <f>+B9+B13</f>
        <v>26632.295899649998</v>
      </c>
      <c r="C14" s="23">
        <f>+C9+C13</f>
        <v>0</v>
      </c>
      <c r="D14" s="23">
        <f>+D9+D13</f>
        <v>84690.157023000007</v>
      </c>
      <c r="E14" s="23">
        <f>+E9+E13</f>
        <v>0</v>
      </c>
      <c r="F14" s="23">
        <f>+F9+F13</f>
        <v>87443.024829000002</v>
      </c>
      <c r="G14" s="23">
        <f>+G9+G13</f>
        <v>0</v>
      </c>
      <c r="H14" s="23">
        <f>+H9+H13</f>
        <v>60933.822491999999</v>
      </c>
      <c r="I14" s="23">
        <f>+I9+I13</f>
        <v>0</v>
      </c>
    </row>
    <row r="15" spans="1:13" ht="13.5">
      <c r="A15" s="22" t="s">
        <v>20</v>
      </c>
      <c r="B15" s="23">
        <f>+B14*1.21</f>
        <v>32225.078038576499</v>
      </c>
      <c r="C15" s="23">
        <f>+C14*1.21</f>
        <v>0</v>
      </c>
      <c r="D15" s="23">
        <f>+D14*1.21</f>
        <v>102475.08999783</v>
      </c>
      <c r="E15" s="23">
        <f>+E14*1.21</f>
        <v>0</v>
      </c>
      <c r="F15" s="23">
        <f>+F14*1.21</f>
        <v>105806.06004308999</v>
      </c>
      <c r="G15" s="23">
        <f>+G14*1.21</f>
        <v>0</v>
      </c>
      <c r="H15" s="23">
        <f>+H14*1.21</f>
        <v>73729.925215320007</v>
      </c>
      <c r="I15" s="23">
        <f>+I14*1.21</f>
        <v>0</v>
      </c>
    </row>
    <row r="16" spans="1:13" ht="19.5">
      <c r="A16" s="24"/>
    </row>
    <row r="17" spans="1:15" ht="19.5">
      <c r="A17" s="24"/>
      <c r="K17" s="25"/>
    </row>
    <row r="18" spans="1:15" ht="15.75" customHeight="1">
      <c r="A18" s="26"/>
      <c r="B18" s="5" t="s">
        <v>21</v>
      </c>
      <c r="C18" s="5"/>
      <c r="D18" s="5"/>
      <c r="E18" s="5"/>
      <c r="F18" s="4" t="s">
        <v>10</v>
      </c>
      <c r="G18" s="4"/>
      <c r="H18" s="4"/>
      <c r="I18" s="4"/>
      <c r="K18" s="3" t="s">
        <v>22</v>
      </c>
      <c r="L18" s="3"/>
      <c r="M18" s="3"/>
      <c r="N18" s="3"/>
      <c r="O18" s="3"/>
    </row>
    <row r="19" spans="1:15" ht="13.5">
      <c r="A19" s="27" t="s">
        <v>23</v>
      </c>
      <c r="B19" s="28">
        <v>2026</v>
      </c>
      <c r="C19" s="28">
        <v>2027</v>
      </c>
      <c r="D19" s="28">
        <v>2028</v>
      </c>
      <c r="E19" s="28">
        <v>2029</v>
      </c>
      <c r="F19" s="28">
        <v>2026</v>
      </c>
      <c r="G19" s="28">
        <v>2027</v>
      </c>
      <c r="H19" s="28">
        <v>2028</v>
      </c>
      <c r="I19" s="28">
        <v>2029</v>
      </c>
      <c r="K19" s="3"/>
      <c r="L19" s="3"/>
      <c r="M19" s="3"/>
      <c r="N19" s="3"/>
      <c r="O19" s="3"/>
    </row>
    <row r="20" spans="1:15" ht="13.5">
      <c r="A20" s="29" t="s">
        <v>24</v>
      </c>
      <c r="B20" s="30">
        <v>17.667999999999999</v>
      </c>
      <c r="C20" s="30">
        <v>18.25</v>
      </c>
      <c r="D20" s="30">
        <v>18.843</v>
      </c>
      <c r="E20" s="31">
        <v>19.448</v>
      </c>
      <c r="F20" s="32">
        <v>17.667999999999999</v>
      </c>
      <c r="G20" s="30">
        <f>F20*(1+3.25%)</f>
        <v>18.24221</v>
      </c>
      <c r="H20" s="30">
        <f>G20*(1+3.25%)</f>
        <v>18.835081825</v>
      </c>
      <c r="I20" s="30">
        <f>H20*(1+3.25%)</f>
        <v>19.447221984312499</v>
      </c>
      <c r="K20" s="3"/>
      <c r="L20" s="3"/>
      <c r="M20" s="3"/>
      <c r="N20" s="3"/>
      <c r="O20" s="3"/>
    </row>
    <row r="21" spans="1:15" ht="13.5">
      <c r="A21" s="29" t="s">
        <v>25</v>
      </c>
      <c r="B21" s="30">
        <v>21.109000000000002</v>
      </c>
      <c r="C21" s="30">
        <v>21.803000000000001</v>
      </c>
      <c r="D21" s="30">
        <v>22.512</v>
      </c>
      <c r="E21" s="31">
        <v>23.248000000000001</v>
      </c>
      <c r="F21" s="32">
        <v>21.109000000000002</v>
      </c>
      <c r="G21" s="30">
        <f>F21*(1+3.25%)</f>
        <v>21.795042500000001</v>
      </c>
      <c r="H21" s="30">
        <f>G21*(1+3.25%)</f>
        <v>22.503381381250001</v>
      </c>
      <c r="I21" s="30">
        <f>H21*(1+3.25%)</f>
        <v>23.2347412761406</v>
      </c>
      <c r="K21" s="3"/>
      <c r="L21" s="3"/>
      <c r="M21" s="3"/>
      <c r="N21" s="3"/>
      <c r="O21" s="3"/>
    </row>
    <row r="22" spans="1:15" ht="13.5">
      <c r="D22" s="30"/>
    </row>
    <row r="23" spans="1:15" ht="36.75">
      <c r="A23" s="33" t="s">
        <v>26</v>
      </c>
      <c r="B23" s="33" t="s">
        <v>27</v>
      </c>
      <c r="C23" s="33" t="s">
        <v>28</v>
      </c>
      <c r="D23" s="33" t="s">
        <v>29</v>
      </c>
      <c r="E23" s="33" t="s">
        <v>30</v>
      </c>
      <c r="F23" s="33" t="s">
        <v>31</v>
      </c>
      <c r="G23" s="33" t="s">
        <v>32</v>
      </c>
      <c r="H23" s="33" t="s">
        <v>33</v>
      </c>
      <c r="I23" s="33" t="s">
        <v>34</v>
      </c>
      <c r="J23" s="33" t="s">
        <v>35</v>
      </c>
      <c r="K23" s="33" t="s">
        <v>36</v>
      </c>
    </row>
    <row r="24" spans="1:15" ht="15" customHeight="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4"/>
      <c r="M24" s="34"/>
      <c r="N24" s="34"/>
    </row>
    <row r="25" spans="1:15" ht="13.5">
      <c r="A25" s="35" t="s">
        <v>38</v>
      </c>
      <c r="B25" s="36">
        <f>'ED PL CUBA'!G14</f>
        <v>875.16499999999996</v>
      </c>
      <c r="C25" s="36">
        <f>'ED PL CUBA'!H14</f>
        <v>-82.5</v>
      </c>
      <c r="D25" s="36">
        <f>'ED PL CUBA'!I14</f>
        <v>693.2</v>
      </c>
      <c r="E25" s="36">
        <f>'ED PL CUBA'!J14</f>
        <v>-95</v>
      </c>
      <c r="F25" s="36">
        <f>B25+D25</f>
        <v>1568.365</v>
      </c>
      <c r="G25" s="36">
        <f>ROUND(B25+C25,2)</f>
        <v>792.67</v>
      </c>
      <c r="H25" s="36">
        <f>ROUND(D25+E25,2)</f>
        <v>598.20000000000005</v>
      </c>
      <c r="I25" s="37">
        <f>ROUND(G25*F20,2)</f>
        <v>14004.89</v>
      </c>
      <c r="J25" s="37">
        <f>ROUND(H25*F21,2)</f>
        <v>12627.4</v>
      </c>
      <c r="K25" s="37">
        <f>$I25+$J25</f>
        <v>26632.29</v>
      </c>
    </row>
    <row r="26" spans="1:15" ht="15.75" customHeight="1">
      <c r="A26" s="1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ht="13.5">
      <c r="A27" s="35" t="s">
        <v>38</v>
      </c>
      <c r="B27" s="36">
        <f>'ED PL CUBA'!G23</f>
        <v>2626</v>
      </c>
      <c r="C27" s="36">
        <f>'ED PL CUBA'!H23</f>
        <v>-198</v>
      </c>
      <c r="D27" s="36">
        <f>'ED PL CUBA'!I23</f>
        <v>2080</v>
      </c>
      <c r="E27" s="36">
        <f>'ED PL CUBA'!J23</f>
        <v>-228</v>
      </c>
      <c r="F27" s="36">
        <f>B27+D27</f>
        <v>4706</v>
      </c>
      <c r="G27" s="36">
        <f>ROUND(B27+C27,2)</f>
        <v>2428</v>
      </c>
      <c r="H27" s="36">
        <f>ROUND(D27+E27,2)</f>
        <v>1852</v>
      </c>
      <c r="I27" s="37">
        <f>ROUND(G27*G20,2)</f>
        <v>44292.09</v>
      </c>
      <c r="J27" s="37">
        <f>ROUND(H27*G21,2)</f>
        <v>40364.42</v>
      </c>
      <c r="K27" s="37">
        <f>$I27+$J27</f>
        <v>84656.51</v>
      </c>
    </row>
    <row r="28" spans="1:15" ht="15.75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5" ht="13.5">
      <c r="A29" s="35" t="s">
        <v>38</v>
      </c>
      <c r="B29" s="36">
        <f>'ED PL CUBA'!G32</f>
        <v>2626</v>
      </c>
      <c r="C29" s="36">
        <f>'ED PL CUBA'!H32</f>
        <v>-198</v>
      </c>
      <c r="D29" s="36">
        <f>'ED PL CUBA'!I32</f>
        <v>2080</v>
      </c>
      <c r="E29" s="36">
        <f>'ED PL CUBA'!J32</f>
        <v>-228</v>
      </c>
      <c r="F29" s="36">
        <f>B29+D29</f>
        <v>4706</v>
      </c>
      <c r="G29" s="36">
        <f>ROUND(B29+C29,2)</f>
        <v>2428</v>
      </c>
      <c r="H29" s="36">
        <f>ROUND(D29+E29,2)</f>
        <v>1852</v>
      </c>
      <c r="I29" s="37">
        <f>ROUND(G29*H20,2)</f>
        <v>45731.58</v>
      </c>
      <c r="J29" s="37">
        <f>ROUND(H29*H21,2)</f>
        <v>41676.26</v>
      </c>
      <c r="K29" s="37">
        <f>I29+J29</f>
        <v>87407.84</v>
      </c>
    </row>
    <row r="30" spans="1:15" ht="13.5" customHeight="1">
      <c r="A30" s="1" t="s">
        <v>41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ht="13.5">
      <c r="A31" s="35" t="s">
        <v>38</v>
      </c>
      <c r="B31" s="36">
        <f>'ED PL CUBA'!G41</f>
        <v>1750.835</v>
      </c>
      <c r="C31" s="36">
        <f>'ED PL CUBA'!H41</f>
        <v>-115.5</v>
      </c>
      <c r="D31" s="36">
        <f>'ED PL CUBA'!I41</f>
        <v>1386.8</v>
      </c>
      <c r="E31" s="36">
        <f>'ED PL CUBA'!J41</f>
        <v>-133</v>
      </c>
      <c r="F31" s="36">
        <f>B31+D31</f>
        <v>3137.6350000000002</v>
      </c>
      <c r="G31" s="36">
        <f>ROUND(B31+C31,2)</f>
        <v>1635.34</v>
      </c>
      <c r="H31" s="36">
        <f>ROUND(D31+E31,2)</f>
        <v>1253.8</v>
      </c>
      <c r="I31" s="37">
        <f>G31*I20</f>
        <v>31802.819999825599</v>
      </c>
      <c r="J31" s="37">
        <f>H31*I21</f>
        <v>29131.718612025099</v>
      </c>
      <c r="K31" s="37">
        <f>I31+J31</f>
        <v>60934.538611850701</v>
      </c>
    </row>
    <row r="32" spans="1:15" ht="13.5">
      <c r="A32" s="38" t="s">
        <v>42</v>
      </c>
      <c r="B32" s="39"/>
      <c r="C32" s="39"/>
      <c r="D32" s="39"/>
      <c r="E32" s="39"/>
      <c r="F32" s="39"/>
      <c r="G32" s="40"/>
      <c r="K32" s="40">
        <f>+K25+K27+K29+K31</f>
        <v>259631.17861185101</v>
      </c>
    </row>
    <row r="33"/>
    <row r="34"/>
    <row r="35"/>
  </sheetData>
  <sheetProtection password="CC1B" sheet="1" objects="1" scenarios="1"/>
  <mergeCells count="14">
    <mergeCell ref="A24:K24"/>
    <mergeCell ref="A26:K26"/>
    <mergeCell ref="A28:K28"/>
    <mergeCell ref="A30:K30"/>
    <mergeCell ref="K5:L6"/>
    <mergeCell ref="K8:M12"/>
    <mergeCell ref="B18:E18"/>
    <mergeCell ref="F18:I18"/>
    <mergeCell ref="K18:O21"/>
    <mergeCell ref="C3:F3"/>
    <mergeCell ref="B5:C5"/>
    <mergeCell ref="D5:E5"/>
    <mergeCell ref="F5:G5"/>
    <mergeCell ref="H5:I5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tabSelected="1" zoomScaleNormal="100" workbookViewId="0">
      <pane ySplit="5" topLeftCell="A19" activePane="bottomLeft" state="frozen"/>
      <selection pane="bottomLeft"/>
    </sheetView>
  </sheetViews>
  <sheetFormatPr defaultColWidth="11.5703125" defaultRowHeight="12.75" customHeight="1"/>
  <cols>
    <col min="1" max="1" width="27.42578125" customWidth="1"/>
    <col min="2" max="2" width="20.7109375" customWidth="1"/>
    <col min="12" max="12" width="52.42578125" customWidth="1"/>
    <col min="15" max="15" width="12.140625" customWidth="1"/>
    <col min="16" max="16" width="16" customWidth="1"/>
  </cols>
  <sheetData>
    <row r="1" spans="1:16" ht="17.45">
      <c r="A1" s="12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2"/>
      <c r="N1" s="42"/>
      <c r="O1" s="41"/>
      <c r="P1" s="43"/>
    </row>
    <row r="2" spans="1:16" ht="18.75" customHeight="1">
      <c r="A2" s="41"/>
      <c r="B2" s="11" t="s">
        <v>44</v>
      </c>
      <c r="C2" s="11"/>
      <c r="D2" s="11"/>
      <c r="E2" s="11"/>
      <c r="F2" s="41"/>
      <c r="G2" s="41"/>
      <c r="H2" s="41"/>
      <c r="I2" s="41"/>
      <c r="J2" s="41"/>
      <c r="K2" s="42"/>
      <c r="L2" s="42"/>
      <c r="M2" s="42"/>
      <c r="N2" s="42"/>
      <c r="O2" s="41"/>
      <c r="P2" s="43"/>
    </row>
    <row r="3" spans="1:16" ht="13.5">
      <c r="A3" s="44" t="s">
        <v>23</v>
      </c>
      <c r="B3" s="28">
        <v>2026</v>
      </c>
      <c r="C3" s="28">
        <v>2027</v>
      </c>
      <c r="D3" s="28">
        <v>2028</v>
      </c>
      <c r="E3" s="28">
        <v>2029</v>
      </c>
      <c r="F3" s="45"/>
      <c r="G3" s="46"/>
      <c r="H3" s="47"/>
      <c r="I3" s="47"/>
      <c r="J3" s="47"/>
      <c r="K3" s="48"/>
      <c r="L3" s="48"/>
      <c r="M3" s="48"/>
      <c r="N3" s="48"/>
      <c r="O3" s="49"/>
      <c r="P3" s="49"/>
    </row>
    <row r="4" spans="1:16" ht="13.5">
      <c r="A4" s="50" t="s">
        <v>24</v>
      </c>
      <c r="B4" s="51">
        <f>+Resum!F20</f>
        <v>17.667999999999999</v>
      </c>
      <c r="C4" s="51">
        <f>+Resum!G20</f>
        <v>18.24221</v>
      </c>
      <c r="D4" s="51">
        <f>+Resum!H20</f>
        <v>18.835081825</v>
      </c>
      <c r="E4" s="51">
        <f>+Resum!I20</f>
        <v>19.447221984312499</v>
      </c>
      <c r="F4" s="45"/>
      <c r="G4" s="52"/>
      <c r="H4" s="53"/>
      <c r="I4" s="53"/>
      <c r="J4" s="53"/>
      <c r="K4" s="54"/>
      <c r="L4" s="54"/>
      <c r="M4" s="54"/>
      <c r="N4" s="54"/>
      <c r="O4" s="55"/>
      <c r="P4" s="54"/>
    </row>
    <row r="5" spans="1:16" ht="13.5">
      <c r="A5" s="50" t="s">
        <v>45</v>
      </c>
      <c r="B5" s="51">
        <f>+Resum!F21</f>
        <v>21.109000000000002</v>
      </c>
      <c r="C5" s="51">
        <f>+Resum!G21</f>
        <v>21.795042500000001</v>
      </c>
      <c r="D5" s="51">
        <f>+Resum!H21</f>
        <v>22.503381381250001</v>
      </c>
      <c r="E5" s="51">
        <f>+Resum!I21</f>
        <v>23.2347412761406</v>
      </c>
      <c r="F5" s="45"/>
      <c r="G5" s="52"/>
      <c r="H5" s="53"/>
      <c r="I5" s="53"/>
      <c r="J5" s="53"/>
      <c r="K5" s="54"/>
      <c r="L5" s="54"/>
      <c r="M5" s="54"/>
      <c r="N5" s="54"/>
      <c r="O5" s="55"/>
      <c r="P5" s="54"/>
    </row>
    <row r="6" spans="1:16" ht="13.5">
      <c r="A6" s="56"/>
      <c r="B6" s="56"/>
      <c r="C6" s="45"/>
      <c r="D6" s="45"/>
      <c r="E6" s="45"/>
      <c r="F6" s="45"/>
      <c r="G6" s="52"/>
      <c r="H6" s="53"/>
      <c r="I6" s="53"/>
      <c r="J6" s="53"/>
      <c r="K6" s="54"/>
      <c r="L6" s="54"/>
      <c r="M6" s="54"/>
      <c r="N6" s="54"/>
      <c r="O6" s="55"/>
      <c r="P6" s="54"/>
    </row>
    <row r="7" spans="1:16" ht="16.5" customHeight="1">
      <c r="A7" s="57"/>
      <c r="B7" s="10" t="s">
        <v>37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58"/>
    </row>
    <row r="8" spans="1:16" ht="32.25">
      <c r="A8" s="59" t="s">
        <v>46</v>
      </c>
      <c r="B8" s="59" t="s">
        <v>47</v>
      </c>
      <c r="C8" s="60" t="s">
        <v>48</v>
      </c>
      <c r="D8" s="60" t="s">
        <v>49</v>
      </c>
      <c r="E8" s="61" t="s">
        <v>50</v>
      </c>
      <c r="F8" s="61" t="s">
        <v>51</v>
      </c>
      <c r="G8" s="61" t="s">
        <v>52</v>
      </c>
      <c r="H8" s="61" t="s">
        <v>53</v>
      </c>
      <c r="I8" s="61" t="s">
        <v>54</v>
      </c>
      <c r="J8" s="61" t="s">
        <v>55</v>
      </c>
      <c r="K8" s="61" t="s">
        <v>56</v>
      </c>
      <c r="L8" s="61" t="s">
        <v>34</v>
      </c>
      <c r="M8" s="61" t="s">
        <v>33</v>
      </c>
      <c r="N8" s="61" t="s">
        <v>35</v>
      </c>
      <c r="O8" s="61" t="s">
        <v>57</v>
      </c>
      <c r="P8" s="62"/>
    </row>
    <row r="9" spans="1:16" ht="24.75">
      <c r="A9" s="63" t="s">
        <v>58</v>
      </c>
      <c r="B9" s="64" t="s">
        <v>59</v>
      </c>
      <c r="C9" s="65">
        <v>1</v>
      </c>
      <c r="D9" s="65">
        <v>17.329999999999998</v>
      </c>
      <c r="E9" s="66">
        <v>8</v>
      </c>
      <c r="F9" s="66">
        <f>+C9*E9</f>
        <v>8</v>
      </c>
      <c r="G9" s="66">
        <f>F9*D9</f>
        <v>138.63999999999999</v>
      </c>
      <c r="H9" s="67">
        <f>+E9*-5</f>
        <v>-40</v>
      </c>
      <c r="I9" s="68"/>
      <c r="J9" s="69"/>
      <c r="K9" s="70">
        <f>G9+H9</f>
        <v>98.64</v>
      </c>
      <c r="L9" s="71">
        <f>TRUNC(K9*$B$4,2)</f>
        <v>1742.77</v>
      </c>
      <c r="M9" s="70">
        <f>I9+J9</f>
        <v>0</v>
      </c>
      <c r="N9" s="71">
        <f>M9*$B$5</f>
        <v>0</v>
      </c>
      <c r="O9" s="71">
        <f>$L9+$N9</f>
        <v>1742.77</v>
      </c>
      <c r="P9" s="62"/>
    </row>
    <row r="10" spans="1:16" ht="24.75">
      <c r="A10" s="63" t="s">
        <v>60</v>
      </c>
      <c r="B10" s="64" t="s">
        <v>61</v>
      </c>
      <c r="C10" s="65">
        <v>5</v>
      </c>
      <c r="D10" s="65">
        <v>17.329999999999998</v>
      </c>
      <c r="E10" s="66">
        <v>8.5</v>
      </c>
      <c r="F10" s="66">
        <f>+C10*E10</f>
        <v>42.5</v>
      </c>
      <c r="G10" s="66">
        <f>F10*D10</f>
        <v>736.52499999999998</v>
      </c>
      <c r="H10" s="67">
        <f>+E10*-5</f>
        <v>-42.5</v>
      </c>
      <c r="I10" s="72"/>
      <c r="J10" s="72"/>
      <c r="K10" s="70">
        <f>ROUND(G10+H10,2)</f>
        <v>694.03</v>
      </c>
      <c r="L10" s="71">
        <f>K10*B4</f>
        <v>12262.12204</v>
      </c>
      <c r="M10" s="70">
        <f>I10+J10</f>
        <v>0</v>
      </c>
      <c r="N10" s="71">
        <f>M10*$B$5</f>
        <v>0</v>
      </c>
      <c r="O10" s="71">
        <f>$L10+$N10</f>
        <v>12262.12204</v>
      </c>
      <c r="P10" s="62"/>
    </row>
    <row r="11" spans="1:16" ht="24.75">
      <c r="A11" s="63" t="s">
        <v>62</v>
      </c>
      <c r="B11" s="64" t="s">
        <v>59</v>
      </c>
      <c r="C11" s="65">
        <v>1</v>
      </c>
      <c r="D11" s="65">
        <v>17.329999999999998</v>
      </c>
      <c r="E11" s="66">
        <v>5.5</v>
      </c>
      <c r="F11" s="66">
        <f>+C11*E11</f>
        <v>5.5</v>
      </c>
      <c r="G11" s="62"/>
      <c r="H11" s="62"/>
      <c r="I11" s="66">
        <f>F11*D11</f>
        <v>95.314999999999998</v>
      </c>
      <c r="J11" s="67">
        <f>+E11*-5</f>
        <v>-27.5</v>
      </c>
      <c r="K11" s="70">
        <f>G11+H11</f>
        <v>0</v>
      </c>
      <c r="L11" s="71">
        <f>K11*$B$4</f>
        <v>0</v>
      </c>
      <c r="M11" s="70">
        <f>I11+J11</f>
        <v>67.814999999999998</v>
      </c>
      <c r="N11" s="71">
        <f>M11*$B$5</f>
        <v>1431.5068349999999</v>
      </c>
      <c r="O11" s="71">
        <f>$L11+$N11</f>
        <v>1431.5068349999999</v>
      </c>
      <c r="P11" s="62"/>
    </row>
    <row r="12" spans="1:16" ht="24.75">
      <c r="A12" s="63" t="s">
        <v>63</v>
      </c>
      <c r="B12" s="64" t="s">
        <v>61</v>
      </c>
      <c r="C12" s="65">
        <v>4</v>
      </c>
      <c r="D12" s="65">
        <v>17.329999999999998</v>
      </c>
      <c r="E12" s="66">
        <v>7</v>
      </c>
      <c r="F12" s="66">
        <f>+C12*E12</f>
        <v>28</v>
      </c>
      <c r="G12" s="62"/>
      <c r="H12" s="62"/>
      <c r="I12" s="66">
        <f>F12*D12</f>
        <v>485.24</v>
      </c>
      <c r="J12" s="67">
        <f>+E12*-5</f>
        <v>-35</v>
      </c>
      <c r="K12" s="70">
        <f>G12+H12</f>
        <v>0</v>
      </c>
      <c r="L12" s="71">
        <f>K12*$B$4</f>
        <v>0</v>
      </c>
      <c r="M12" s="70">
        <f>I12+J12</f>
        <v>450.24</v>
      </c>
      <c r="N12" s="71">
        <f>M12*$B$5</f>
        <v>9504.1161599999996</v>
      </c>
      <c r="O12" s="71">
        <f>$L12+$N12</f>
        <v>9504.1161599999996</v>
      </c>
      <c r="P12" s="62"/>
    </row>
    <row r="13" spans="1:16" ht="24.75">
      <c r="A13" s="63" t="s">
        <v>63</v>
      </c>
      <c r="B13" s="73" t="s">
        <v>64</v>
      </c>
      <c r="C13" s="74">
        <v>1</v>
      </c>
      <c r="D13" s="65">
        <v>17.329999999999998</v>
      </c>
      <c r="E13" s="75">
        <v>6.5</v>
      </c>
      <c r="F13" s="66">
        <f>+C13*E13</f>
        <v>6.5</v>
      </c>
      <c r="G13" s="62"/>
      <c r="H13" s="62"/>
      <c r="I13" s="66">
        <f>F13*D13</f>
        <v>112.645</v>
      </c>
      <c r="J13" s="67">
        <f>+E13*-5</f>
        <v>-32.5</v>
      </c>
      <c r="K13" s="70">
        <f>G13+H13</f>
        <v>0</v>
      </c>
      <c r="L13" s="71">
        <f>K13*$B$4</f>
        <v>0</v>
      </c>
      <c r="M13" s="70">
        <f>I13+J13</f>
        <v>80.144999999999996</v>
      </c>
      <c r="N13" s="71">
        <f>M13*$B$5</f>
        <v>1691.7808050000001</v>
      </c>
      <c r="O13" s="71">
        <f>$L13+$N13</f>
        <v>1691.7808050000001</v>
      </c>
      <c r="P13" s="62"/>
    </row>
    <row r="14" spans="1:16" ht="13.5">
      <c r="A14" s="26"/>
      <c r="B14" s="58" t="s">
        <v>65</v>
      </c>
      <c r="C14" s="58"/>
      <c r="D14" s="58"/>
      <c r="E14" s="58"/>
      <c r="F14" s="76"/>
      <c r="G14" s="77">
        <f>SUM(G9:G13)</f>
        <v>875.16499999999996</v>
      </c>
      <c r="H14" s="77">
        <f>SUM(H9:H13)</f>
        <v>-82.5</v>
      </c>
      <c r="I14" s="77">
        <f>SUM(I9:I13)</f>
        <v>693.2</v>
      </c>
      <c r="J14" s="77">
        <f>SUM(J9:J13)</f>
        <v>-95</v>
      </c>
      <c r="K14" s="77">
        <f>SUM(K9:K13)</f>
        <v>792.67</v>
      </c>
      <c r="L14" s="78">
        <f>SUM(L9:L13)</f>
        <v>14004.892040000001</v>
      </c>
      <c r="M14" s="77">
        <f>SUM(M9:M13)</f>
        <v>598.20000000000005</v>
      </c>
      <c r="N14" s="78">
        <f>SUM(N9:N13)</f>
        <v>12627.4038</v>
      </c>
      <c r="O14" s="79">
        <f>SUM(O9:O13)</f>
        <v>26632.295839999999</v>
      </c>
      <c r="P14" s="80"/>
    </row>
    <row r="15" spans="1:16" ht="13.5">
      <c r="A15" s="81"/>
      <c r="B15" s="80"/>
      <c r="C15" s="80"/>
      <c r="D15" s="80"/>
      <c r="E15" s="82"/>
      <c r="F15" s="82"/>
      <c r="G15" s="82"/>
      <c r="H15" s="83"/>
      <c r="I15" s="83"/>
      <c r="J15" s="83"/>
      <c r="K15" s="82"/>
      <c r="L15" s="82"/>
      <c r="M15" s="82"/>
      <c r="N15" s="82"/>
      <c r="O15" s="82"/>
      <c r="P15" s="82"/>
    </row>
    <row r="16" spans="1:16" ht="16.5" customHeight="1">
      <c r="A16" s="26"/>
      <c r="B16" s="10" t="s">
        <v>39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82"/>
    </row>
    <row r="17" spans="1:16" ht="32.25">
      <c r="A17" s="59" t="s">
        <v>46</v>
      </c>
      <c r="B17" s="59" t="s">
        <v>47</v>
      </c>
      <c r="C17" s="60" t="s">
        <v>48</v>
      </c>
      <c r="D17" s="60" t="s">
        <v>49</v>
      </c>
      <c r="E17" s="61" t="s">
        <v>50</v>
      </c>
      <c r="F17" s="61" t="s">
        <v>51</v>
      </c>
      <c r="G17" s="61" t="s">
        <v>52</v>
      </c>
      <c r="H17" s="61" t="s">
        <v>53</v>
      </c>
      <c r="I17" s="61" t="s">
        <v>54</v>
      </c>
      <c r="J17" s="61" t="s">
        <v>55</v>
      </c>
      <c r="K17" s="61" t="s">
        <v>56</v>
      </c>
      <c r="L17" s="61" t="s">
        <v>34</v>
      </c>
      <c r="M17" s="61" t="s">
        <v>33</v>
      </c>
      <c r="N17" s="61" t="s">
        <v>35</v>
      </c>
      <c r="O17" s="61" t="s">
        <v>57</v>
      </c>
      <c r="P17" s="82"/>
    </row>
    <row r="18" spans="1:16" ht="24.75">
      <c r="A18" s="63" t="s">
        <v>58</v>
      </c>
      <c r="B18" s="64" t="s">
        <v>59</v>
      </c>
      <c r="C18" s="65">
        <v>1</v>
      </c>
      <c r="D18" s="65">
        <v>52</v>
      </c>
      <c r="E18" s="66">
        <v>8</v>
      </c>
      <c r="F18" s="66">
        <f>+C18*E18</f>
        <v>8</v>
      </c>
      <c r="G18" s="66">
        <f>F18*D18</f>
        <v>416</v>
      </c>
      <c r="H18" s="67">
        <f>+E18*-12</f>
        <v>-96</v>
      </c>
      <c r="I18" s="84"/>
      <c r="J18" s="84"/>
      <c r="K18" s="70">
        <f>G18+H18</f>
        <v>320</v>
      </c>
      <c r="L18" s="71">
        <f>K18*$C$4</f>
        <v>5837.5072</v>
      </c>
      <c r="M18" s="70">
        <f>I18+J18</f>
        <v>0</v>
      </c>
      <c r="N18" s="71">
        <f>M18*$C$5</f>
        <v>0</v>
      </c>
      <c r="O18" s="71">
        <f>$L18+$N18</f>
        <v>5837.5072</v>
      </c>
      <c r="P18" s="62"/>
    </row>
    <row r="19" spans="1:16" ht="24.75">
      <c r="A19" s="63" t="s">
        <v>60</v>
      </c>
      <c r="B19" s="64" t="s">
        <v>61</v>
      </c>
      <c r="C19" s="65">
        <v>5</v>
      </c>
      <c r="D19" s="65">
        <v>52</v>
      </c>
      <c r="E19" s="66">
        <v>8.5</v>
      </c>
      <c r="F19" s="66">
        <f>+C19*E19</f>
        <v>42.5</v>
      </c>
      <c r="G19" s="66">
        <f>F19*D19</f>
        <v>2210</v>
      </c>
      <c r="H19" s="67">
        <f>+E19*-12</f>
        <v>-102</v>
      </c>
      <c r="I19" s="36"/>
      <c r="J19" s="84"/>
      <c r="K19" s="70">
        <f>G19+H19</f>
        <v>2108</v>
      </c>
      <c r="L19" s="71">
        <f>K19*$C$4</f>
        <v>38454.578679999999</v>
      </c>
      <c r="M19" s="70">
        <f>I19+J19</f>
        <v>0</v>
      </c>
      <c r="N19" s="71">
        <f>M19*$C$5</f>
        <v>0</v>
      </c>
      <c r="O19" s="71">
        <f>$L19+$N19</f>
        <v>38454.578679999999</v>
      </c>
      <c r="P19" s="62"/>
    </row>
    <row r="20" spans="1:16" ht="24.75">
      <c r="A20" s="63" t="s">
        <v>62</v>
      </c>
      <c r="B20" s="64" t="s">
        <v>59</v>
      </c>
      <c r="C20" s="65">
        <v>1</v>
      </c>
      <c r="D20" s="65">
        <v>52</v>
      </c>
      <c r="E20" s="66">
        <v>5.5</v>
      </c>
      <c r="F20" s="66">
        <f>+C20*E20</f>
        <v>5.5</v>
      </c>
      <c r="I20" s="66">
        <f>F20*D20</f>
        <v>286</v>
      </c>
      <c r="J20" s="67">
        <f>+E20*-12</f>
        <v>-66</v>
      </c>
      <c r="K20" s="70">
        <f>G20+H20</f>
        <v>0</v>
      </c>
      <c r="L20" s="71">
        <f>K20*$C$4</f>
        <v>0</v>
      </c>
      <c r="M20" s="70">
        <f>I20+J20</f>
        <v>220</v>
      </c>
      <c r="N20" s="71">
        <f>M20*$C$5</f>
        <v>4794.9093499999999</v>
      </c>
      <c r="O20" s="71">
        <f>$L20+$N20</f>
        <v>4794.9093499999999</v>
      </c>
      <c r="P20" s="62"/>
    </row>
    <row r="21" spans="1:16" ht="24.75">
      <c r="A21" s="63" t="s">
        <v>63</v>
      </c>
      <c r="B21" s="65" t="s">
        <v>66</v>
      </c>
      <c r="C21" s="65">
        <v>4</v>
      </c>
      <c r="D21" s="65">
        <v>52</v>
      </c>
      <c r="E21" s="66">
        <v>7</v>
      </c>
      <c r="F21" s="66">
        <f>+C21*E21</f>
        <v>28</v>
      </c>
      <c r="I21" s="66">
        <f>F21*D21</f>
        <v>1456</v>
      </c>
      <c r="J21" s="67">
        <f>+E21*-12</f>
        <v>-84</v>
      </c>
      <c r="K21" s="70">
        <f>G21+H21</f>
        <v>0</v>
      </c>
      <c r="L21" s="71">
        <f>K21*$C$4</f>
        <v>0</v>
      </c>
      <c r="M21" s="70">
        <f>I21+J21</f>
        <v>1372</v>
      </c>
      <c r="N21" s="71">
        <f>M21*$C$5</f>
        <v>29902.798309999998</v>
      </c>
      <c r="O21" s="71">
        <f>$L21+$N21</f>
        <v>29902.798309999998</v>
      </c>
      <c r="P21" s="62"/>
    </row>
    <row r="22" spans="1:16" ht="24.75">
      <c r="A22" s="63" t="s">
        <v>63</v>
      </c>
      <c r="B22" s="64" t="s">
        <v>64</v>
      </c>
      <c r="C22" s="65">
        <v>1</v>
      </c>
      <c r="D22" s="65">
        <v>52</v>
      </c>
      <c r="E22" s="66">
        <v>6.5</v>
      </c>
      <c r="F22" s="66">
        <f>+C22*E22</f>
        <v>6.5</v>
      </c>
      <c r="I22" s="66">
        <f>F22*D22</f>
        <v>338</v>
      </c>
      <c r="J22" s="67">
        <f>+E22*-12</f>
        <v>-78</v>
      </c>
      <c r="K22" s="70">
        <f>G22+H22</f>
        <v>0</v>
      </c>
      <c r="L22" s="71">
        <f>K22*$C$4</f>
        <v>0</v>
      </c>
      <c r="M22" s="70">
        <f>I22+J22</f>
        <v>260</v>
      </c>
      <c r="N22" s="71">
        <f>M22*$C$5</f>
        <v>5666.7110499999999</v>
      </c>
      <c r="O22" s="71">
        <f>$L22+$N22</f>
        <v>5666.7110499999999</v>
      </c>
      <c r="P22" s="62"/>
    </row>
    <row r="23" spans="1:16" ht="13.5">
      <c r="A23" s="26"/>
      <c r="B23" s="58" t="s">
        <v>65</v>
      </c>
      <c r="C23" s="58"/>
      <c r="D23" s="58"/>
      <c r="E23" s="58"/>
      <c r="F23" s="76"/>
      <c r="G23" s="85">
        <f>SUM(G18:G22)</f>
        <v>2626</v>
      </c>
      <c r="H23" s="85">
        <f>SUM(H18:H22)</f>
        <v>-198</v>
      </c>
      <c r="I23" s="85">
        <f>SUM(I18:I22)</f>
        <v>2080</v>
      </c>
      <c r="J23" s="85">
        <f>SUM(J18:J22)</f>
        <v>-228</v>
      </c>
      <c r="K23" s="77">
        <f>SUM(K18:K22)</f>
        <v>2428</v>
      </c>
      <c r="L23" s="78">
        <f>SUM(L18:L22)</f>
        <v>44292.085879999999</v>
      </c>
      <c r="M23" s="77">
        <f>SUM(M18:M22)</f>
        <v>1852</v>
      </c>
      <c r="N23" s="78">
        <f>SUM(N18:N22)</f>
        <v>40364.418709999998</v>
      </c>
      <c r="O23" s="79">
        <f>SUM(O18:O22)</f>
        <v>84656.504589999997</v>
      </c>
      <c r="P23" s="62"/>
    </row>
    <row r="24" spans="1:16" ht="13.5">
      <c r="A24" s="26"/>
      <c r="B24" s="26"/>
      <c r="C24" s="54"/>
      <c r="D24" s="54"/>
      <c r="E24" s="62"/>
      <c r="F24" s="62"/>
      <c r="G24" s="62"/>
      <c r="H24" s="86"/>
      <c r="I24" s="86"/>
      <c r="J24" s="86"/>
      <c r="K24" s="62"/>
      <c r="L24" s="62"/>
      <c r="M24" s="62"/>
      <c r="N24" s="62"/>
      <c r="O24" s="62"/>
      <c r="P24" s="62"/>
    </row>
    <row r="25" spans="1:16" ht="16.5" customHeight="1">
      <c r="A25" s="26"/>
      <c r="B25" s="10" t="s">
        <v>40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62"/>
    </row>
    <row r="26" spans="1:16" ht="32.25">
      <c r="A26" s="59" t="s">
        <v>46</v>
      </c>
      <c r="B26" s="59" t="s">
        <v>47</v>
      </c>
      <c r="C26" s="60" t="s">
        <v>48</v>
      </c>
      <c r="D26" s="60" t="s">
        <v>49</v>
      </c>
      <c r="E26" s="61" t="s">
        <v>50</v>
      </c>
      <c r="F26" s="61" t="s">
        <v>51</v>
      </c>
      <c r="G26" s="61" t="s">
        <v>52</v>
      </c>
      <c r="H26" s="61" t="s">
        <v>53</v>
      </c>
      <c r="I26" s="61" t="s">
        <v>54</v>
      </c>
      <c r="J26" s="61" t="s">
        <v>55</v>
      </c>
      <c r="K26" s="61" t="s">
        <v>56</v>
      </c>
      <c r="L26" s="61" t="s">
        <v>34</v>
      </c>
      <c r="M26" s="61" t="s">
        <v>33</v>
      </c>
      <c r="N26" s="61" t="s">
        <v>35</v>
      </c>
      <c r="O26" s="61" t="s">
        <v>57</v>
      </c>
      <c r="P26" s="62"/>
    </row>
    <row r="27" spans="1:16" ht="24.75">
      <c r="A27" s="63" t="s">
        <v>58</v>
      </c>
      <c r="B27" s="64" t="s">
        <v>59</v>
      </c>
      <c r="C27" s="65">
        <v>1</v>
      </c>
      <c r="D27" s="65">
        <v>52</v>
      </c>
      <c r="E27" s="66">
        <v>8</v>
      </c>
      <c r="F27" s="66">
        <f>+C27*E27</f>
        <v>8</v>
      </c>
      <c r="G27" s="66">
        <f>F27*D27</f>
        <v>416</v>
      </c>
      <c r="H27" s="67">
        <f>+E27*-12</f>
        <v>-96</v>
      </c>
      <c r="I27" s="84"/>
      <c r="J27" s="84"/>
      <c r="K27" s="70">
        <f>G27+H27</f>
        <v>320</v>
      </c>
      <c r="L27" s="71">
        <f>K27*$D$4</f>
        <v>6027.2261840000001</v>
      </c>
      <c r="M27" s="70">
        <f>I27+J27</f>
        <v>0</v>
      </c>
      <c r="N27" s="71">
        <f>M27*$D$5</f>
        <v>0</v>
      </c>
      <c r="O27" s="71">
        <f>$L27+$N27</f>
        <v>6027.2261840000001</v>
      </c>
      <c r="P27" s="62"/>
    </row>
    <row r="28" spans="1:16" ht="24.75">
      <c r="A28" s="63" t="s">
        <v>60</v>
      </c>
      <c r="B28" s="64" t="s">
        <v>61</v>
      </c>
      <c r="C28" s="65">
        <v>5</v>
      </c>
      <c r="D28" s="65">
        <v>52</v>
      </c>
      <c r="E28" s="66">
        <v>8.5</v>
      </c>
      <c r="F28" s="66">
        <f>+C28*E28</f>
        <v>42.5</v>
      </c>
      <c r="G28" s="66">
        <f>F28*D28</f>
        <v>2210</v>
      </c>
      <c r="H28" s="67">
        <f>+E28*-12</f>
        <v>-102</v>
      </c>
      <c r="I28" s="36"/>
      <c r="J28" s="84"/>
      <c r="K28" s="70">
        <f>G28+H28</f>
        <v>2108</v>
      </c>
      <c r="L28" s="71">
        <f>K28*$D$4</f>
        <v>39704.352487099997</v>
      </c>
      <c r="M28" s="70">
        <f>I28+J28</f>
        <v>0</v>
      </c>
      <c r="N28" s="71">
        <f>M28*$D$5</f>
        <v>0</v>
      </c>
      <c r="O28" s="71">
        <f>$L28+$N28</f>
        <v>39704.352487099997</v>
      </c>
    </row>
    <row r="29" spans="1:16" ht="24.75">
      <c r="A29" s="63" t="s">
        <v>62</v>
      </c>
      <c r="B29" s="64" t="s">
        <v>59</v>
      </c>
      <c r="C29" s="65">
        <v>1</v>
      </c>
      <c r="D29" s="65">
        <v>52</v>
      </c>
      <c r="E29" s="66">
        <v>5.5</v>
      </c>
      <c r="F29" s="66">
        <f>+C29*E29</f>
        <v>5.5</v>
      </c>
      <c r="I29" s="66">
        <f>F29*D29</f>
        <v>286</v>
      </c>
      <c r="J29" s="67">
        <f>+E29*-12</f>
        <v>-66</v>
      </c>
      <c r="K29" s="70">
        <f>G29+H29</f>
        <v>0</v>
      </c>
      <c r="L29" s="71">
        <f>K29*$D$4</f>
        <v>0</v>
      </c>
      <c r="M29" s="70">
        <f>I29+J29</f>
        <v>220</v>
      </c>
      <c r="N29" s="71">
        <f>M29*$D$5</f>
        <v>4950.7439038749999</v>
      </c>
      <c r="O29" s="71">
        <f>$L29+$N29</f>
        <v>4950.7439038749999</v>
      </c>
    </row>
    <row r="30" spans="1:16" ht="24.75">
      <c r="A30" s="63" t="s">
        <v>63</v>
      </c>
      <c r="B30" s="65" t="s">
        <v>66</v>
      </c>
      <c r="C30" s="65">
        <v>4</v>
      </c>
      <c r="D30" s="65">
        <v>52</v>
      </c>
      <c r="E30" s="66">
        <v>7</v>
      </c>
      <c r="F30" s="66">
        <f>+C30*E30</f>
        <v>28</v>
      </c>
      <c r="I30" s="66">
        <f>F30*D30</f>
        <v>1456</v>
      </c>
      <c r="J30" s="67">
        <f>+E30*-12</f>
        <v>-84</v>
      </c>
      <c r="K30" s="70">
        <f>G30+H30</f>
        <v>0</v>
      </c>
      <c r="L30" s="71">
        <f>K30*$D$4</f>
        <v>0</v>
      </c>
      <c r="M30" s="70">
        <f>I30+J30</f>
        <v>1372</v>
      </c>
      <c r="N30" s="71">
        <f>M30*$D$5</f>
        <v>30874.639255074999</v>
      </c>
      <c r="O30" s="71">
        <f>$L30+$N30</f>
        <v>30874.639255074999</v>
      </c>
    </row>
    <row r="31" spans="1:16" ht="24.75">
      <c r="A31" s="63" t="s">
        <v>63</v>
      </c>
      <c r="B31" s="64" t="s">
        <v>64</v>
      </c>
      <c r="C31" s="65">
        <v>1</v>
      </c>
      <c r="D31" s="65">
        <v>52</v>
      </c>
      <c r="E31" s="66">
        <v>6.5</v>
      </c>
      <c r="F31" s="66">
        <f>+C31*E31</f>
        <v>6.5</v>
      </c>
      <c r="I31" s="66">
        <f>F31*D31</f>
        <v>338</v>
      </c>
      <c r="J31" s="67">
        <f>+E31*-12</f>
        <v>-78</v>
      </c>
      <c r="K31" s="70">
        <f>G31+H31</f>
        <v>0</v>
      </c>
      <c r="L31" s="71">
        <f>K31*$D$4</f>
        <v>0</v>
      </c>
      <c r="M31" s="70">
        <f>I31+J31</f>
        <v>260</v>
      </c>
      <c r="N31" s="71">
        <f>M31*$D$5</f>
        <v>5850.8791591250001</v>
      </c>
      <c r="O31" s="71">
        <f>$L31+$N31</f>
        <v>5850.8791591250001</v>
      </c>
    </row>
    <row r="32" spans="1:16" ht="13.5">
      <c r="A32" s="26"/>
      <c r="B32" s="58" t="s">
        <v>65</v>
      </c>
      <c r="C32" s="58"/>
      <c r="D32" s="58"/>
      <c r="E32" s="58"/>
      <c r="F32" s="76"/>
      <c r="G32" s="85">
        <f>SUM(G27:G31)</f>
        <v>2626</v>
      </c>
      <c r="H32" s="85">
        <f>SUM(H27:H31)</f>
        <v>-198</v>
      </c>
      <c r="I32" s="85">
        <f>SUM(I27:I31)</f>
        <v>2080</v>
      </c>
      <c r="J32" s="85">
        <f>SUM(J27:J31)</f>
        <v>-228</v>
      </c>
      <c r="K32" s="77">
        <f>SUM(K27:K31)</f>
        <v>2428</v>
      </c>
      <c r="L32" s="78">
        <f>SUM(L27:L31)</f>
        <v>45731.578671099996</v>
      </c>
      <c r="M32" s="77">
        <f>SUM(M27:M31)</f>
        <v>1852</v>
      </c>
      <c r="N32" s="78">
        <f>SUM(N27:N31)</f>
        <v>41676.262318075002</v>
      </c>
      <c r="O32" s="79">
        <f>ROUNDUP(SUM(O27:O31),2)</f>
        <v>87407.85</v>
      </c>
    </row>
    <row r="34" spans="1:27" ht="16.5" customHeight="1">
      <c r="A34" s="26"/>
      <c r="B34" s="10" t="s">
        <v>41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27" ht="32.25">
      <c r="A35" s="59" t="s">
        <v>46</v>
      </c>
      <c r="B35" s="59" t="s">
        <v>47</v>
      </c>
      <c r="C35" s="60" t="s">
        <v>48</v>
      </c>
      <c r="D35" s="60" t="s">
        <v>49</v>
      </c>
      <c r="E35" s="61" t="s">
        <v>50</v>
      </c>
      <c r="F35" s="61" t="s">
        <v>51</v>
      </c>
      <c r="G35" s="61" t="s">
        <v>52</v>
      </c>
      <c r="H35" s="61" t="s">
        <v>53</v>
      </c>
      <c r="I35" s="61" t="s">
        <v>54</v>
      </c>
      <c r="J35" s="61" t="s">
        <v>55</v>
      </c>
      <c r="K35" s="61"/>
      <c r="L35" s="61"/>
      <c r="M35" s="61"/>
      <c r="N35" s="61"/>
      <c r="O35" s="61" t="s">
        <v>57</v>
      </c>
    </row>
    <row r="36" spans="1:27" ht="24.75">
      <c r="A36" s="63" t="s">
        <v>58</v>
      </c>
      <c r="B36" s="64" t="s">
        <v>59</v>
      </c>
      <c r="C36" s="65">
        <v>1</v>
      </c>
      <c r="D36" s="65">
        <v>34.67</v>
      </c>
      <c r="E36" s="66">
        <v>8</v>
      </c>
      <c r="F36" s="66">
        <f>+C36*E36</f>
        <v>8</v>
      </c>
      <c r="G36" s="66">
        <f>F36*D36</f>
        <v>277.36</v>
      </c>
      <c r="H36" s="67">
        <f>+E36*-7</f>
        <v>-56</v>
      </c>
      <c r="I36" s="68"/>
      <c r="J36" s="69"/>
      <c r="K36" s="70">
        <f>G36+H36</f>
        <v>221.36</v>
      </c>
      <c r="L36" s="71">
        <f>K36*$E$4</f>
        <v>4304.8370584474196</v>
      </c>
      <c r="M36" s="70">
        <f>I36+J36</f>
        <v>0</v>
      </c>
      <c r="N36" s="71">
        <f>M36*$E$5</f>
        <v>0</v>
      </c>
      <c r="O36" s="71">
        <f>$L36+$N36</f>
        <v>4304.8370584474196</v>
      </c>
    </row>
    <row r="37" spans="1:27" ht="24.75">
      <c r="A37" s="63" t="s">
        <v>60</v>
      </c>
      <c r="B37" s="64" t="s">
        <v>61</v>
      </c>
      <c r="C37" s="65">
        <v>5</v>
      </c>
      <c r="D37" s="65">
        <v>34.67</v>
      </c>
      <c r="E37" s="66">
        <v>8.5</v>
      </c>
      <c r="F37" s="66">
        <f>+C37*E37</f>
        <v>42.5</v>
      </c>
      <c r="G37" s="66">
        <f>F37*D37</f>
        <v>1473.4749999999999</v>
      </c>
      <c r="H37" s="67">
        <f>+E37*-7</f>
        <v>-59.5</v>
      </c>
      <c r="I37" s="72"/>
      <c r="J37" s="72"/>
      <c r="K37" s="70">
        <f>ROUND(G37+H37,2)</f>
        <v>1413.98</v>
      </c>
      <c r="L37" s="71">
        <f>K37*$E$4</f>
        <v>27497.982941378199</v>
      </c>
      <c r="M37" s="70">
        <f>I37+J37</f>
        <v>0</v>
      </c>
      <c r="N37" s="71">
        <f>M37*$E$5</f>
        <v>0</v>
      </c>
      <c r="O37" s="71">
        <f>$L37+$N37</f>
        <v>27497.982941378199</v>
      </c>
    </row>
    <row r="38" spans="1:27" ht="24.75">
      <c r="A38" s="63" t="s">
        <v>62</v>
      </c>
      <c r="B38" s="64" t="s">
        <v>59</v>
      </c>
      <c r="C38" s="65">
        <v>1</v>
      </c>
      <c r="D38" s="65">
        <v>34.67</v>
      </c>
      <c r="E38" s="66">
        <v>5.5</v>
      </c>
      <c r="F38" s="66">
        <f>+C38*E38</f>
        <v>5.5</v>
      </c>
      <c r="G38" s="62"/>
      <c r="H38" s="62"/>
      <c r="I38" s="66">
        <f>F38*D38</f>
        <v>190.685</v>
      </c>
      <c r="J38" s="67">
        <f>+E38*-7</f>
        <v>-38.5</v>
      </c>
      <c r="K38" s="70">
        <f>G38+H38</f>
        <v>0</v>
      </c>
      <c r="L38" s="71">
        <f>K38*$E$4</f>
        <v>0</v>
      </c>
      <c r="M38" s="70">
        <f>I38+J38</f>
        <v>152.185</v>
      </c>
      <c r="N38" s="71">
        <f>M38*$E$5</f>
        <v>3535.9791011094599</v>
      </c>
      <c r="O38" s="71">
        <f>$L38+$N38</f>
        <v>3535.9791011094599</v>
      </c>
    </row>
    <row r="39" spans="1:27" ht="24.75">
      <c r="A39" s="63" t="s">
        <v>63</v>
      </c>
      <c r="B39" s="64" t="s">
        <v>61</v>
      </c>
      <c r="C39" s="65">
        <v>4</v>
      </c>
      <c r="D39" s="65">
        <v>34.67</v>
      </c>
      <c r="E39" s="66">
        <v>7</v>
      </c>
      <c r="F39" s="66">
        <f>+C39*E39</f>
        <v>28</v>
      </c>
      <c r="G39" s="62"/>
      <c r="H39" s="62"/>
      <c r="I39" s="66">
        <f>F39*D39</f>
        <v>970.76</v>
      </c>
      <c r="J39" s="67">
        <f>+E39*-7</f>
        <v>-49</v>
      </c>
      <c r="K39" s="70">
        <f>G39+H39</f>
        <v>0</v>
      </c>
      <c r="L39" s="71">
        <f>K39*$E$4</f>
        <v>0</v>
      </c>
      <c r="M39" s="70">
        <f>I39+J39</f>
        <v>921.76</v>
      </c>
      <c r="N39" s="71">
        <f>M39*$E$5</f>
        <v>21416.855118695399</v>
      </c>
      <c r="O39" s="71">
        <f>$L39+$N39</f>
        <v>21416.855118695399</v>
      </c>
    </row>
    <row r="40" spans="1:27" ht="24.75">
      <c r="A40" s="63" t="s">
        <v>63</v>
      </c>
      <c r="B40" s="73" t="s">
        <v>64</v>
      </c>
      <c r="C40" s="74">
        <v>1</v>
      </c>
      <c r="D40" s="65">
        <v>34.67</v>
      </c>
      <c r="E40" s="75">
        <v>6.5</v>
      </c>
      <c r="F40" s="66">
        <f>+C40*E40</f>
        <v>6.5</v>
      </c>
      <c r="G40" s="62"/>
      <c r="H40" s="62"/>
      <c r="I40" s="66">
        <f>F40*D40</f>
        <v>225.35499999999999</v>
      </c>
      <c r="J40" s="67">
        <f>+E40*-7</f>
        <v>-45.5</v>
      </c>
      <c r="K40" s="70">
        <f>G40+H40</f>
        <v>0</v>
      </c>
      <c r="L40" s="71">
        <f>K40*$E$4</f>
        <v>0</v>
      </c>
      <c r="M40" s="70">
        <f>I40+J40</f>
        <v>179.85499999999999</v>
      </c>
      <c r="N40" s="71">
        <f>M40*$E$5</f>
        <v>4178.8843922202695</v>
      </c>
      <c r="O40" s="71">
        <f>$L40+$N40</f>
        <v>4178.8843922202695</v>
      </c>
    </row>
    <row r="41" spans="1:27" ht="13.5">
      <c r="A41" s="26"/>
      <c r="B41" s="58" t="s">
        <v>65</v>
      </c>
      <c r="C41" s="58"/>
      <c r="D41" s="58"/>
      <c r="E41" s="58"/>
      <c r="F41" s="76"/>
      <c r="G41" s="85">
        <f>SUM(G36:G40)</f>
        <v>1750.835</v>
      </c>
      <c r="H41" s="85">
        <f>SUM(H36:H40)</f>
        <v>-115.5</v>
      </c>
      <c r="I41" s="85">
        <f>SUM(I36:I40)</f>
        <v>1386.8</v>
      </c>
      <c r="J41" s="85">
        <f>SUM(J36:J40)</f>
        <v>-133</v>
      </c>
      <c r="K41" s="77">
        <f>SUM(K36:K40)</f>
        <v>1635.34</v>
      </c>
      <c r="L41" s="78">
        <f>SUM(L36:L40)</f>
        <v>31802.819999825599</v>
      </c>
      <c r="M41" s="77">
        <f>SUM(M36:M40)</f>
        <v>1253.8</v>
      </c>
      <c r="N41" s="78">
        <f>SUM(N36:N40)</f>
        <v>29131.718612025099</v>
      </c>
      <c r="O41" s="79">
        <f>SUM(O36:O40)</f>
        <v>60934.538611850701</v>
      </c>
    </row>
    <row r="45" spans="1:27" ht="13.5">
      <c r="A45" s="26" t="s">
        <v>67</v>
      </c>
      <c r="B45" s="26"/>
      <c r="C45" s="54"/>
      <c r="D45" s="54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82"/>
      <c r="V45" s="82"/>
      <c r="W45" s="87"/>
      <c r="X45" s="87"/>
      <c r="Y45" s="87"/>
      <c r="Z45" s="87"/>
      <c r="AA45" s="88"/>
    </row>
  </sheetData>
  <sheetProtection password="CC1B" sheet="1" objects="1" scenarios="1"/>
  <mergeCells count="5">
    <mergeCell ref="B2:E2"/>
    <mergeCell ref="B7:O7"/>
    <mergeCell ref="B16:O16"/>
    <mergeCell ref="B25:O25"/>
    <mergeCell ref="B34:O3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Roman,Normal"&amp;12Pàgina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 xmlns="bd6b893e-6d98-4710-92c2-389b59b64829" xsi:nil="true"/>
    <Creaci_x00f3_ xmlns="bd6b893e-6d98-4710-92c2-389b59b64829" xsi:nil="true"/>
    <Assessor xmlns="bd6b893e-6d98-4710-92c2-389b59b64829" xsi:nil="true"/>
    <lcf76f155ced4ddcb4097134ff3c332f xmlns="bd6b893e-6d98-4710-92c2-389b59b64829">
      <Terms xmlns="http://schemas.microsoft.com/office/infopath/2007/PartnerControls"/>
    </lcf76f155ced4ddcb4097134ff3c332f>
    <GTM xmlns="bd6b893e-6d98-4710-92c2-389b59b64829">2025/0000</GTM>
    <TaxCatchAll xmlns="bdc334ff-fa8b-47d3-aaa3-b464e9aabb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F8D20-518A-4FB2-9471-3BED8FA709BF}"/>
</file>

<file path=customXml/itemProps2.xml><?xml version="1.0" encoding="utf-8"?>
<ds:datastoreItem xmlns:ds="http://schemas.openxmlformats.org/officeDocument/2006/customXml" ds:itemID="{8DD62C3F-28C5-4605-B38B-9616E9661C59}"/>
</file>

<file path=customXml/itemProps3.xml><?xml version="1.0" encoding="utf-8"?>
<ds:datastoreItem xmlns:ds="http://schemas.openxmlformats.org/officeDocument/2006/customXml" ds:itemID="{E5A84D20-A705-4F6B-B338-DFF1DEF19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García Reina, Fina</cp:lastModifiedBy>
  <cp:revision>56</cp:revision>
  <dcterms:created xsi:type="dcterms:W3CDTF">2026-03-17T08:24:10Z</dcterms:created>
  <dcterms:modified xsi:type="dcterms:W3CDTF">2026-06-19T09:44:19Z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