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21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xl/worksheets/sheet1.xml" ContentType="application/vnd.openxmlformats-officedocument.spreadsheetml.worksheet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<Relationship Id="rId14" Type="http://schemas.openxmlformats.org/officeDocument/2006/relationships/customXml" Target="../customXml/item10.xml"/><Relationship Id="rId15" Type="http://schemas.openxmlformats.org/officeDocument/2006/relationships/customXml" Target="../customXml/item11.xml"/><Relationship Id="rId16" Type="http://schemas.openxmlformats.org/officeDocument/2006/relationships/customXml" Target="../customXml/item12.xml"/><Relationship Id="rId17" Type="http://schemas.openxmlformats.org/officeDocument/2006/relationships/customXml" Target="../customXml/item13.xml"/><Relationship Id="rId18" Type="http://schemas.openxmlformats.org/officeDocument/2006/relationships/customXml" Target="../customXml/item14.xml"/><Relationship Id="rId19" Type="http://schemas.openxmlformats.org/officeDocument/2006/relationships/customXml" Target="../customXml/item15.xml"/><Relationship Id="rId20" Type="http://schemas.openxmlformats.org/officeDocument/2006/relationships/customXml" Target="../customXml/item16.xml"/><Relationship Id="rId21" Type="http://schemas.openxmlformats.org/officeDocument/2006/relationships/customXml" Target="../customXml/item17.xml"/><Relationship Id="rId22" Type="http://schemas.openxmlformats.org/officeDocument/2006/relationships/customXml" Target="../customXml/item18.xml"/><Relationship Id="rId23" Type="http://schemas.openxmlformats.org/officeDocument/2006/relationships/customXml" Target="../customXml/item19.xml"/><Relationship Id="rId24" Type="http://schemas.openxmlformats.org/officeDocument/2006/relationships/customXml" Target="../customXml/item20.xml"/><Relationship Id="rId25" Type="http://schemas.openxmlformats.org/officeDocument/2006/relationships/customXml" Target="../customXml/item2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os" sheetId="1" state="visible" r:id="rId3"/>
  </sheets>
  <definedNames>
    <definedName function="false" hidden="false" localSheetId="0" name="_xlnm.Print_Area" vbProcedure="false">costos!$A$1:$R$242</definedName>
    <definedName function="false" hidden="false" localSheetId="0" name="Print_Area_0" vbProcedure="false">costos!$A$1:$R$225</definedName>
    <definedName function="false" hidden="false" localSheetId="0" name="Print_Area_0_0" vbProcedure="false">costos!$A$1:$R$220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<sst xmlns="http://schemas.openxmlformats.org/spreadsheetml/2006/main" count="448" uniqueCount="104">
  <si>
    <t xml:space="preserve">CALCULS COSTOS CONTRACTE TUTORS DE JOCS</t>
  </si>
  <si>
    <t xml:space="preserve">% seg.social</t>
  </si>
  <si>
    <t xml:space="preserve">CC</t>
  </si>
  <si>
    <t xml:space="preserve">Atur</t>
  </si>
  <si>
    <t xml:space="preserve">durada det TC / TP</t>
  </si>
  <si>
    <t xml:space="preserve">Conveni col.lectiu del sector del lleure educatiu i sociocultural de Catalunya pels anys 2025 a 2028</t>
  </si>
  <si>
    <t xml:space="preserve">FP</t>
  </si>
  <si>
    <t xml:space="preserve">Codi 79002295012003</t>
  </si>
  <si>
    <t xml:space="preserve">MEI</t>
  </si>
  <si>
    <t xml:space="preserve">Darrera actualitzacio taules salarials DOGC 13/2/25</t>
  </si>
  <si>
    <t xml:space="preserve">AT</t>
  </si>
  <si>
    <t xml:space="preserve">CNAE 85 Educació</t>
  </si>
  <si>
    <t xml:space="preserve">Set 2025</t>
  </si>
  <si>
    <t xml:space="preserve">Set 2026</t>
  </si>
  <si>
    <t xml:space="preserve">Set 2027</t>
  </si>
  <si>
    <t xml:space="preserve">Set 2028</t>
  </si>
  <si>
    <t xml:space="preserve">1% minim</t>
  </si>
  <si>
    <t xml:space="preserve">Cap de Departament - Coordinador </t>
  </si>
  <si>
    <t xml:space="preserve">Monitor</t>
  </si>
  <si>
    <t xml:space="preserve">CURS 26/27 : 1/10/26-31/12/26</t>
  </si>
  <si>
    <t xml:space="preserve">COSTOS DIRECTES </t>
  </si>
  <si>
    <t xml:space="preserve">Categoria</t>
  </si>
  <si>
    <t xml:space="preserve">sou anual</t>
  </si>
  <si>
    <t xml:space="preserve">Seguretat social </t>
  </si>
  <si>
    <t xml:space="preserve">Baixes 1%</t>
  </si>
  <si>
    <t xml:space="preserve">Absentisme 5%</t>
  </si>
  <si>
    <t xml:space="preserve">Cost personal</t>
  </si>
  <si>
    <t xml:space="preserve">Hores any segons conveni</t>
  </si>
  <si>
    <t xml:space="preserve">Hores</t>
  </si>
  <si>
    <t xml:space="preserve">Nº persones necessari</t>
  </si>
  <si>
    <t xml:space="preserve">salaris</t>
  </si>
  <si>
    <t xml:space="preserve">maquinaria, estris, materials </t>
  </si>
  <si>
    <t xml:space="preserve">TOTAL COSTOS DIRECTES </t>
  </si>
  <si>
    <t xml:space="preserve">Cost hora personal</t>
  </si>
  <si>
    <t xml:space="preserve">Costos directes hora</t>
  </si>
  <si>
    <t xml:space="preserve">Cost dir+ind hora</t>
  </si>
  <si>
    <t xml:space="preserve">Coordinador/a -Cap de Departament</t>
  </si>
  <si>
    <t xml:space="preserve">Monitor/a</t>
  </si>
  <si>
    <t xml:space="preserve">Detall costos directes/indirectes sense IVA</t>
  </si>
  <si>
    <t xml:space="preserve">COSTOS INDIRECTES  </t>
  </si>
  <si>
    <t xml:space="preserve">Resum</t>
  </si>
  <si>
    <t xml:space="preserve">Despeses generals</t>
  </si>
  <si>
    <t xml:space="preserve">Benefici industrial</t>
  </si>
  <si>
    <t xml:space="preserve">TOTAL</t>
  </si>
  <si>
    <t xml:space="preserve">Costos salarials </t>
  </si>
  <si>
    <t xml:space="preserve">Maquinària </t>
  </si>
  <si>
    <t xml:space="preserve">COSTOS INDIRECTES </t>
  </si>
  <si>
    <t xml:space="preserve">Despeses generals  </t>
  </si>
  <si>
    <t xml:space="preserve">Benefici industrial </t>
  </si>
  <si>
    <t xml:space="preserve">TOTAL COSTOS INDIRECTES </t>
  </si>
  <si>
    <t xml:space="preserve">TOTAL COSTOS DIRECTES I INDIRECTES</t>
  </si>
  <si>
    <t xml:space="preserve">TOTAL COSTOS (directes + indirectes).</t>
  </si>
  <si>
    <t xml:space="preserve">ARRODONIT</t>
  </si>
  <si>
    <t xml:space="preserve">RESUM </t>
  </si>
  <si>
    <t xml:space="preserve">Preu hora actual s/IVA</t>
  </si>
  <si>
    <t xml:space="preserve">Hores  </t>
  </si>
  <si>
    <t xml:space="preserve">Cost preu hora  </t>
  </si>
  <si>
    <t xml:space="preserve">Total</t>
  </si>
  <si>
    <t xml:space="preserve">Inc %ACTUAL/COST</t>
  </si>
  <si>
    <t xml:space="preserve">CURS 26/27 : 1/1/27-31/8/27</t>
  </si>
  <si>
    <t xml:space="preserve">CURS 27/28 : 1/09/27-31/12/27</t>
  </si>
  <si>
    <t xml:space="preserve">CURS 27/28 : 1/1/28-31/8/28</t>
  </si>
  <si>
    <t xml:space="preserve">CURS 28/29 : 1/09/28-31/12/28</t>
  </si>
  <si>
    <t xml:space="preserve">CURS 28/29 : 1/1/29-31/8/29</t>
  </si>
  <si>
    <t xml:space="preserve">Coordinador/a</t>
  </si>
  <si>
    <t xml:space="preserve">PRORROGA CURS 29/30 : 1/09/29-31/12/29</t>
  </si>
  <si>
    <t xml:space="preserve">PRORROGA CURS 29/30 : 1/1/30-30/09/30</t>
  </si>
  <si>
    <t xml:space="preserve">DIRECTES/INDIRECTES DE TOT EL CONTRACTE</t>
  </si>
  <si>
    <t xml:space="preserve">S/iva</t>
  </si>
  <si>
    <t xml:space="preserve">VEC x curs</t>
  </si>
  <si>
    <t xml:space="preserve">TOTAL s/IVA</t>
  </si>
  <si>
    <t xml:space="preserve">x curs</t>
  </si>
  <si>
    <t xml:space="preserve">VEC</t>
  </si>
  <si>
    <t xml:space="preserve">ANY S/ IVA</t>
  </si>
  <si>
    <t xml:space="preserve"> ANY AMB IVA</t>
  </si>
  <si>
    <t xml:space="preserve">Curs 26/27 – Oct/des 2026</t>
  </si>
  <si>
    <t xml:space="preserve">INICIAL</t>
  </si>
  <si>
    <t xml:space="preserve">Curs 26/27 -Gen/Ag 2027</t>
  </si>
  <si>
    <t xml:space="preserve">Curs 27/28 – Set/des 2027</t>
  </si>
  <si>
    <t xml:space="preserve">Curs 27/28 – Gen/Ag 2028</t>
  </si>
  <si>
    <t xml:space="preserve">Curs 28/29 – Set/des 28</t>
  </si>
  <si>
    <t xml:space="preserve">Durada inicial</t>
  </si>
  <si>
    <t xml:space="preserve">PRORROGA</t>
  </si>
  <si>
    <t xml:space="preserve"> Curs 28/29 – Gen/Set 29</t>
  </si>
  <si>
    <t xml:space="preserve">Modificació 20%</t>
  </si>
  <si>
    <t xml:space="preserve">Modificació</t>
  </si>
  <si>
    <t xml:space="preserve">Prorroga 29</t>
  </si>
  <si>
    <t xml:space="preserve">TOTAL CTE INICIAL</t>
  </si>
  <si>
    <t xml:space="preserve">Prorroga 30</t>
  </si>
  <si>
    <t xml:space="preserve">Prorroga Curs 29/30 – Oct/des 29</t>
  </si>
  <si>
    <t xml:space="preserve">Prorroga Curs 29/30 – Gen/Set 30</t>
  </si>
  <si>
    <t xml:space="preserve">Solvencia economica</t>
  </si>
  <si>
    <t xml:space="preserve">TOTAL PRORROGA</t>
  </si>
  <si>
    <t xml:space="preserve">Solvència tecnica</t>
  </si>
  <si>
    <t xml:space="preserve">ajustant BI</t>
  </si>
  <si>
    <t xml:space="preserve">Preu hora</t>
  </si>
  <si>
    <t xml:space="preserve">Sense modif</t>
  </si>
  <si>
    <t xml:space="preserve">1/10/26 – 31/8/27</t>
  </si>
  <si>
    <t xml:space="preserve">Simplificat Màxim 143.000€</t>
  </si>
  <si>
    <t xml:space="preserve">SARHA Mes de 221.000 8excepte Annex IV)</t>
  </si>
  <si>
    <t xml:space="preserve">Decret Màxim 250.000</t>
  </si>
  <si>
    <t xml:space="preserve">1/9/2027 – 31/8/28</t>
  </si>
  <si>
    <t xml:space="preserve">1/9/28 – 30/9/29</t>
  </si>
  <si>
    <t xml:space="preserve">ajustant Maquinaria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</si>
</sst>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yy\ h:mm"/>
    <numFmt numFmtId="166" formatCode="_-* #,##0.00\ _€_-;\-* #,##0.00\ _€_-;_-* \-??\ _€_-;_-@_-"/>
    <numFmt numFmtId="167" formatCode="#,##0.00\ [$€-C0A];[RED]\-#,##0.00\ [$€-C0A]"/>
    <numFmt numFmtId="168" formatCode="0.00\ %"/>
    <numFmt numFmtId="169" formatCode="#,##0.00"/>
    <numFmt numFmtId="170" formatCode="#,##0"/>
    <numFmt numFmtId="171" formatCode="#,###.00"/>
    <numFmt numFmtId="172" formatCode="0\ %"/>
    <numFmt numFmtId="173" formatCode="0.00"/>
    <numFmt numFmtId="174" formatCode="dd/mm/yyyy;@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6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158466"/>
      <name val="Calibri"/>
      <family val="2"/>
      <charset val="1"/>
    </font>
    <font>
      <sz val="8"/>
      <color rgb="FF999999"/>
      <name val="Arial"/>
      <family val="2"/>
      <charset val="1"/>
    </font>
    <font>
      <sz val="8"/>
      <color rgb="FF999999"/>
      <name val="Calibri"/>
      <family val="2"/>
      <charset val="1"/>
    </font>
    <font>
      <sz val="8"/>
      <color rgb="FF00000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9D9D9"/>
      </patternFill>
    </fill>
    <fill>
      <patternFill patternType="solid">
        <fgColor rgb="FF8EB4E3"/>
        <bgColor rgb="FF95B3D7"/>
      </patternFill>
    </fill>
    <fill>
      <patternFill patternType="solid">
        <fgColor rgb="FFD9D9D9"/>
        <bgColor rgb="FFDEE6EF"/>
      </patternFill>
    </fill>
    <fill>
      <patternFill patternType="solid">
        <fgColor rgb="FF81D41A"/>
        <bgColor rgb="FF77BC65"/>
      </patternFill>
    </fill>
    <fill>
      <patternFill patternType="solid">
        <fgColor rgb="FFFF8000"/>
        <bgColor rgb="FFFF6600"/>
      </patternFill>
    </fill>
    <fill>
      <patternFill patternType="solid">
        <fgColor rgb="FFBFBFBF"/>
        <bgColor rgb="FFCCC1DA"/>
      </patternFill>
    </fill>
    <fill>
      <patternFill patternType="solid">
        <fgColor rgb="FFD99694"/>
        <bgColor rgb="FFFF99CC"/>
      </patternFill>
    </fill>
    <fill>
      <patternFill patternType="solid">
        <fgColor rgb="FFCCC1DA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95B3D7"/>
        <bgColor rgb="FF8EB4E3"/>
      </patternFill>
    </fill>
    <fill>
      <patternFill patternType="solid">
        <fgColor rgb="FFCCCCCC"/>
        <bgColor rgb="FFCCC1DA"/>
      </patternFill>
    </fill>
    <fill>
      <patternFill patternType="solid">
        <fgColor rgb="FFFF0000"/>
        <bgColor rgb="FFC9211E"/>
      </patternFill>
    </fill>
    <fill>
      <patternFill patternType="solid">
        <fgColor rgb="FF00A933"/>
        <bgColor rgb="FF158466"/>
      </patternFill>
    </fill>
    <fill>
      <patternFill patternType="solid">
        <fgColor rgb="FFFFBF00"/>
        <bgColor rgb="FFFF80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7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0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5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8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1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2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2" fontId="0" fillId="11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1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1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13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1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1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3" shrinkToFit="false"/>
      <protection locked="true" hidden="false"/>
    </xf>
    <xf numFmtId="166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1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1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1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1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1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4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1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6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FBFBF"/>
      <rgbColor rgb="FF77BC65"/>
      <rgbColor rgb="FF95B3D7"/>
      <rgbColor rgb="FF993366"/>
      <rgbColor rgb="FFFFFFCC"/>
      <rgbColor rgb="FFDEE6EF"/>
      <rgbColor rgb="FF660066"/>
      <rgbColor rgb="FFD99694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8EB4E3"/>
      <rgbColor rgb="FFFF99CC"/>
      <rgbColor rgb="FFCC99FF"/>
      <rgbColor rgb="FFCCCCCC"/>
      <rgbColor rgb="FF3366FF"/>
      <rgbColor rgb="FF33CCCC"/>
      <rgbColor rgb="FF81D41A"/>
      <rgbColor rgb="FFFFBF00"/>
      <rgbColor rgb="FFFF8000"/>
      <rgbColor rgb="FFFF6600"/>
      <rgbColor rgb="FF666699"/>
      <rgbColor rgb="FF999999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2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7BC65"/>
    <pageSetUpPr fitToPage="false"/>
  </sheetPr>
  <dimension ref="A2:AS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0" zoomScalePageLayoutView="85" workbookViewId="0">
      <pane xSplit="1" ySplit="14" topLeftCell="C201" activePane="bottomRight" state="frozen"/>
      <selection pane="topLeft" activeCell="A1" activeCellId="0" sqref="A1"/>
      <selection pane="topRight" activeCell="C1" activeCellId="0" sqref="C1"/>
      <selection pane="bottomLeft" activeCell="A201" activeCellId="0" sqref="A201"/>
      <selection pane="bottomRight" activeCell="M216" activeCellId="0" sqref="M216"/>
    </sheetView>
  </sheetViews>
  <sheetFormatPr defaultColWidth="11.5703125" defaultRowHeight="13.5" customHeight="fals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43.71"/>
    <col collapsed="false" customWidth="true" hidden="false" outlineLevel="0" max="3" min="3" style="1" width="15"/>
    <col collapsed="false" customWidth="true" hidden="false" outlineLevel="0" max="4" min="4" style="1" width="13.71"/>
    <col collapsed="false" customWidth="true" hidden="false" outlineLevel="0" max="5" min="5" style="1" width="15.71"/>
    <col collapsed="false" customWidth="true" hidden="false" outlineLevel="0" max="6" min="6" style="1" width="15.29"/>
    <col collapsed="false" customWidth="true" hidden="false" outlineLevel="0" max="7" min="7" style="1" width="16.57"/>
    <col collapsed="false" customWidth="true" hidden="false" outlineLevel="0" max="8" min="8" style="1" width="14.86"/>
    <col collapsed="false" customWidth="true" hidden="false" outlineLevel="0" max="9" min="9" style="1" width="19.82"/>
    <col collapsed="false" customWidth="true" hidden="false" outlineLevel="0" max="10" min="10" style="1" width="14.57"/>
    <col collapsed="false" customWidth="true" hidden="false" outlineLevel="0" max="11" min="11" style="1" width="15.65"/>
    <col collapsed="false" customWidth="true" hidden="false" outlineLevel="0" max="12" min="12" style="1" width="26.51"/>
    <col collapsed="false" customWidth="true" hidden="false" outlineLevel="0" max="13" min="13" style="1" width="15.42"/>
    <col collapsed="false" customWidth="true" hidden="false" outlineLevel="0" max="14" min="14" style="1" width="16"/>
    <col collapsed="false" customWidth="true" hidden="false" outlineLevel="0" max="15" min="15" style="1" width="15.85"/>
    <col collapsed="false" customWidth="true" hidden="false" outlineLevel="0" max="16" min="16" style="1" width="14.08"/>
    <col collapsed="false" customWidth="true" hidden="false" outlineLevel="0" max="17" min="17" style="1" width="13.29"/>
    <col collapsed="false" customWidth="true" hidden="false" outlineLevel="0" max="18" min="18" style="1" width="15.71"/>
    <col collapsed="false" customWidth="true" hidden="false" outlineLevel="0" max="21" min="19" style="1" width="11.71"/>
    <col collapsed="false" customWidth="true" hidden="false" outlineLevel="0" max="30" min="22" style="1" width="8.71"/>
  </cols>
  <sheetData>
    <row r="2" customFormat="false" ht="19.5" hidden="false" customHeight="false" outlineLevel="0" collapsed="false">
      <c r="B2" s="2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 t="n">
        <f aca="true">NOW()</f>
        <v>46176.5615943699</v>
      </c>
      <c r="Q2" s="5"/>
      <c r="R2" s="4"/>
      <c r="S2" s="6" t="s">
        <v>1</v>
      </c>
      <c r="T2" s="4" t="s">
        <v>2</v>
      </c>
      <c r="U2" s="4" t="n">
        <v>23.6</v>
      </c>
      <c r="V2" s="4"/>
      <c r="W2" s="4"/>
      <c r="X2" s="4"/>
    </row>
    <row r="3" customFormat="false" ht="17.25" hidden="false" customHeight="false" outlineLevel="0" collapsed="false">
      <c r="B3" s="3"/>
      <c r="C3" s="3"/>
      <c r="D3" s="4"/>
      <c r="E3" s="4"/>
      <c r="F3" s="4"/>
      <c r="G3" s="4"/>
      <c r="H3" s="4"/>
      <c r="I3" s="4"/>
      <c r="L3" s="4"/>
      <c r="M3" s="4"/>
      <c r="N3" s="4"/>
      <c r="O3" s="4"/>
      <c r="S3" s="4"/>
      <c r="T3" s="4" t="s">
        <v>3</v>
      </c>
      <c r="U3" s="7" t="n">
        <v>5.5</v>
      </c>
      <c r="V3" s="7" t="n">
        <v>6.7</v>
      </c>
      <c r="W3" s="7" t="s">
        <v>4</v>
      </c>
      <c r="X3" s="8"/>
    </row>
    <row r="4" customFormat="false" ht="13.5" hidden="false" customHeight="false" outlineLevel="0" collapsed="false">
      <c r="B4" s="1" t="s">
        <v>5</v>
      </c>
      <c r="D4" s="4"/>
      <c r="E4" s="4"/>
      <c r="F4" s="4"/>
      <c r="G4" s="4"/>
      <c r="H4" s="4"/>
      <c r="I4" s="4"/>
      <c r="L4" s="9"/>
      <c r="M4" s="4"/>
      <c r="N4" s="9"/>
      <c r="O4" s="9"/>
      <c r="S4" s="10"/>
      <c r="T4" s="4" t="s">
        <v>6</v>
      </c>
      <c r="U4" s="4" t="n">
        <v>0.6</v>
      </c>
      <c r="V4" s="4"/>
      <c r="W4" s="4"/>
      <c r="X4" s="4"/>
    </row>
    <row r="5" customFormat="false" ht="13.5" hidden="false" customHeight="false" outlineLevel="0" collapsed="false">
      <c r="B5" s="1" t="s">
        <v>7</v>
      </c>
      <c r="D5" s="4"/>
      <c r="E5" s="4"/>
      <c r="F5" s="4"/>
      <c r="G5" s="4"/>
      <c r="H5" s="4"/>
      <c r="I5" s="4"/>
      <c r="J5" s="4"/>
      <c r="K5" s="4"/>
      <c r="L5" s="9"/>
      <c r="M5" s="4"/>
      <c r="N5" s="9"/>
      <c r="O5" s="9"/>
      <c r="S5" s="10"/>
      <c r="T5" s="4" t="s">
        <v>8</v>
      </c>
      <c r="U5" s="4" t="n">
        <v>0.67</v>
      </c>
      <c r="V5" s="4"/>
      <c r="W5" s="4"/>
      <c r="X5" s="4"/>
    </row>
    <row r="6" customFormat="false" ht="13.5" hidden="false" customHeight="false" outlineLevel="0" collapsed="false">
      <c r="B6" s="1" t="s">
        <v>9</v>
      </c>
      <c r="D6" s="4"/>
      <c r="E6" s="4"/>
      <c r="J6" s="8"/>
      <c r="K6" s="11"/>
      <c r="L6" s="4"/>
      <c r="M6" s="4"/>
      <c r="N6" s="9"/>
      <c r="O6" s="9"/>
      <c r="S6" s="4"/>
      <c r="T6" s="4" t="s">
        <v>10</v>
      </c>
      <c r="U6" s="12" t="n">
        <v>1.5</v>
      </c>
      <c r="V6" s="4"/>
      <c r="W6" s="4" t="s">
        <v>11</v>
      </c>
    </row>
    <row r="7" customFormat="false" ht="13.5" hidden="false" customHeight="false" outlineLevel="0" collapsed="false">
      <c r="C7" s="13"/>
      <c r="D7" s="4"/>
      <c r="E7" s="4"/>
      <c r="J7" s="8"/>
      <c r="K7" s="11"/>
      <c r="L7" s="4"/>
      <c r="M7" s="4"/>
      <c r="N7" s="9"/>
      <c r="O7" s="9"/>
      <c r="S7" s="4"/>
      <c r="T7" s="4"/>
      <c r="U7" s="14" t="n">
        <f aca="false">SUM(U2:U6)</f>
        <v>31.87</v>
      </c>
      <c r="V7" s="15" t="n">
        <f aca="false">+U7-U3+V3</f>
        <v>33.07</v>
      </c>
      <c r="W7" s="4"/>
    </row>
    <row r="8" customFormat="false" ht="13.5" hidden="false" customHeight="false" outlineLevel="0" collapsed="false">
      <c r="B8" s="16"/>
      <c r="C8" s="17" t="s">
        <v>12</v>
      </c>
      <c r="D8" s="17" t="s">
        <v>13</v>
      </c>
      <c r="E8" s="17" t="s">
        <v>14</v>
      </c>
      <c r="F8" s="17" t="s">
        <v>15</v>
      </c>
      <c r="J8" s="18"/>
      <c r="K8" s="11"/>
      <c r="L8" s="4"/>
      <c r="M8" s="4"/>
      <c r="N8" s="9"/>
      <c r="O8" s="9"/>
    </row>
    <row r="9" customFormat="false" ht="13.5" hidden="false" customHeight="false" outlineLevel="0" collapsed="false">
      <c r="B9" s="16"/>
      <c r="C9" s="19"/>
      <c r="D9" s="19" t="n">
        <v>0.04</v>
      </c>
      <c r="E9" s="19" t="n">
        <v>0.0425</v>
      </c>
      <c r="F9" s="20" t="s">
        <v>16</v>
      </c>
      <c r="J9" s="18"/>
      <c r="K9" s="11"/>
      <c r="L9" s="4"/>
      <c r="M9" s="4"/>
      <c r="N9" s="9"/>
      <c r="O9" s="9"/>
    </row>
    <row r="10" customFormat="false" ht="13.5" hidden="false" customHeight="false" outlineLevel="0" collapsed="false">
      <c r="B10" s="21" t="s">
        <v>17</v>
      </c>
      <c r="C10" s="22" t="n">
        <v>25515.02</v>
      </c>
      <c r="D10" s="22" t="n">
        <f aca="false">(C10*D9)+C10</f>
        <v>26535.6208</v>
      </c>
      <c r="E10" s="22" t="n">
        <f aca="false">(D10*E9)+D10</f>
        <v>27663.384684</v>
      </c>
      <c r="F10" s="22" t="n">
        <f aca="false">(E10*1%)+E10</f>
        <v>27940.01853084</v>
      </c>
      <c r="H10" s="4"/>
      <c r="I10" s="4"/>
      <c r="J10" s="18"/>
      <c r="K10" s="11"/>
      <c r="L10" s="4"/>
      <c r="M10" s="4"/>
      <c r="N10" s="9"/>
      <c r="O10" s="9"/>
      <c r="S10" s="4"/>
      <c r="T10" s="4"/>
      <c r="U10" s="4"/>
      <c r="V10" s="4"/>
    </row>
    <row r="11" customFormat="false" ht="13.5" hidden="false" customHeight="false" outlineLevel="0" collapsed="false">
      <c r="B11" s="21" t="s">
        <v>18</v>
      </c>
      <c r="C11" s="22" t="n">
        <v>17860.51</v>
      </c>
      <c r="D11" s="22" t="n">
        <v>18574.93</v>
      </c>
      <c r="E11" s="22" t="n">
        <v>19364.37</v>
      </c>
      <c r="F11" s="22" t="n">
        <v>19558.01</v>
      </c>
      <c r="G11" s="4"/>
      <c r="H11" s="4"/>
      <c r="I11" s="4"/>
      <c r="J11" s="23"/>
      <c r="K11" s="11"/>
      <c r="L11" s="4"/>
      <c r="M11" s="4"/>
      <c r="N11" s="9"/>
      <c r="O11" s="9"/>
      <c r="P11" s="4"/>
      <c r="Q11" s="4"/>
      <c r="R11" s="4"/>
      <c r="S11" s="4"/>
      <c r="T11" s="4"/>
      <c r="V11" s="4"/>
      <c r="W11" s="4"/>
      <c r="X11" s="24"/>
      <c r="Y11" s="6"/>
    </row>
    <row r="12" customFormat="false" ht="13.5" hidden="false" customHeight="false" outlineLevel="0" collapsed="false">
      <c r="D12" s="4"/>
      <c r="E12" s="4"/>
      <c r="F12" s="4"/>
      <c r="G12" s="4"/>
      <c r="H12" s="4"/>
      <c r="I12" s="4"/>
      <c r="J12" s="25"/>
      <c r="K12" s="4"/>
      <c r="L12" s="4"/>
      <c r="M12" s="4"/>
      <c r="N12" s="9"/>
      <c r="O12" s="9"/>
      <c r="P12" s="4"/>
      <c r="Q12" s="4"/>
      <c r="R12" s="4"/>
      <c r="S12" s="4"/>
      <c r="T12" s="4"/>
      <c r="V12" s="4"/>
    </row>
    <row r="13" customFormat="false" ht="13.5" hidden="false" customHeight="false" outlineLevel="0" collapsed="false">
      <c r="B13" s="4"/>
      <c r="C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9.5" hidden="false" customHeight="false" outlineLevel="0" collapsed="false">
      <c r="B14" s="26" t="s">
        <v>19</v>
      </c>
      <c r="C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customFormat="false" ht="13.5" hidden="false" customHeight="false" outlineLevel="0" collapsed="false">
      <c r="B15" s="27" t="s">
        <v>20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customFormat="false" ht="33" hidden="false" customHeight="true" outlineLevel="0" collapsed="false">
      <c r="B16" s="28" t="s">
        <v>21</v>
      </c>
      <c r="C16" s="29" t="s">
        <v>22</v>
      </c>
      <c r="D16" s="29"/>
      <c r="E16" s="29" t="s">
        <v>23</v>
      </c>
      <c r="F16" s="29"/>
      <c r="G16" s="30" t="s">
        <v>24</v>
      </c>
      <c r="H16" s="31" t="s">
        <v>25</v>
      </c>
      <c r="I16" s="28" t="s">
        <v>26</v>
      </c>
      <c r="J16" s="29" t="s">
        <v>27</v>
      </c>
      <c r="K16" s="29" t="s">
        <v>28</v>
      </c>
      <c r="L16" s="29" t="s">
        <v>29</v>
      </c>
      <c r="M16" s="28" t="s">
        <v>30</v>
      </c>
      <c r="N16" s="29" t="s">
        <v>31</v>
      </c>
      <c r="O16" s="29"/>
      <c r="P16" s="32" t="s">
        <v>32</v>
      </c>
      <c r="S16" s="33" t="s">
        <v>33</v>
      </c>
      <c r="T16" s="33" t="s">
        <v>34</v>
      </c>
      <c r="U16" s="33" t="s">
        <v>35</v>
      </c>
      <c r="V16" s="4"/>
      <c r="W16" s="4"/>
      <c r="X16" s="4"/>
      <c r="Y16" s="4"/>
      <c r="Z16" s="4"/>
      <c r="AA16" s="4"/>
      <c r="AB16" s="4"/>
      <c r="AC16" s="4"/>
    </row>
    <row r="17" customFormat="false" ht="13.5" hidden="false" customHeight="false" outlineLevel="0" collapsed="false">
      <c r="B17" s="34" t="s">
        <v>36</v>
      </c>
      <c r="C17" s="35" t="n">
        <f aca="false">D10</f>
        <v>26535.6208</v>
      </c>
      <c r="D17" s="36"/>
      <c r="E17" s="37" t="n">
        <v>0.3397</v>
      </c>
      <c r="F17" s="35" t="n">
        <f aca="false">SUM(C17:D17)*E17</f>
        <v>9014.15038576</v>
      </c>
      <c r="G17" s="35" t="n">
        <f aca="false">(C17+D17)*1%</f>
        <v>265.356208</v>
      </c>
      <c r="H17" s="35" t="n">
        <f aca="false">(D17+C17)*5%</f>
        <v>1326.78104</v>
      </c>
      <c r="I17" s="35" t="n">
        <f aca="false">C17+D17+F17+G17+H17</f>
        <v>37141.90843376</v>
      </c>
      <c r="J17" s="38" t="n">
        <v>1695</v>
      </c>
      <c r="K17" s="39" t="n">
        <v>120</v>
      </c>
      <c r="L17" s="35" t="n">
        <f aca="false">K17/J17</f>
        <v>0.0707964601769912</v>
      </c>
      <c r="M17" s="40" t="n">
        <f aca="false">L17*I17</f>
        <v>2629.51564132814</v>
      </c>
      <c r="N17" s="41" t="n">
        <v>0.02</v>
      </c>
      <c r="O17" s="42" t="n">
        <f aca="false">M17*N17</f>
        <v>52.5903128265629</v>
      </c>
      <c r="P17" s="43" t="n">
        <f aca="false">M17+O17</f>
        <v>2682.10595415471</v>
      </c>
      <c r="S17" s="9" t="n">
        <f aca="false">+I17/J17</f>
        <v>21.9126303444012</v>
      </c>
      <c r="T17" s="9" t="n">
        <f aca="false">+P17/L17/J17</f>
        <v>22.3508829512892</v>
      </c>
      <c r="U17" s="9" t="n">
        <f aca="false">+(P17+E25)/L17/J17</f>
        <v>26.0611295212033</v>
      </c>
    </row>
    <row r="18" customFormat="false" ht="13.5" hidden="false" customHeight="false" outlineLevel="0" collapsed="false">
      <c r="B18" s="34" t="s">
        <v>37</v>
      </c>
      <c r="C18" s="35" t="n">
        <f aca="false">D11</f>
        <v>18574.93</v>
      </c>
      <c r="D18" s="35"/>
      <c r="E18" s="44" t="n">
        <v>0.3397</v>
      </c>
      <c r="F18" s="35" t="n">
        <f aca="false">SUM(C18:D18)*E18</f>
        <v>6309.903721</v>
      </c>
      <c r="G18" s="35" t="n">
        <f aca="false">(C18+D18)*1%</f>
        <v>185.7493</v>
      </c>
      <c r="H18" s="35" t="n">
        <f aca="false">(D18+C18)*5%</f>
        <v>928.7465</v>
      </c>
      <c r="I18" s="35" t="n">
        <f aca="false">C18+D18+F18+G18+H18</f>
        <v>25999.329521</v>
      </c>
      <c r="J18" s="38" t="n">
        <v>1695</v>
      </c>
      <c r="K18" s="39" t="n">
        <v>586.53</v>
      </c>
      <c r="L18" s="35" t="n">
        <f aca="false">K18/J18</f>
        <v>0.346035398230089</v>
      </c>
      <c r="M18" s="40" t="n">
        <f aca="false">L18*I18</f>
        <v>8996.68834451453</v>
      </c>
      <c r="N18" s="41" t="n">
        <v>0.08</v>
      </c>
      <c r="O18" s="42" t="n">
        <f aca="false">M18*N18</f>
        <v>719.735067561162</v>
      </c>
      <c r="P18" s="43" t="n">
        <f aca="false">M18+O18</f>
        <v>9716.42341207569</v>
      </c>
      <c r="S18" s="9" t="n">
        <f aca="false">+I18/J18</f>
        <v>15.3388374755162</v>
      </c>
      <c r="T18" s="9" t="n">
        <f aca="false">+P18/L18/J18</f>
        <v>16.5659444735575</v>
      </c>
      <c r="U18" s="9" t="n">
        <f aca="false">+(P18+E26)/L18/J18</f>
        <v>19.3158912561681</v>
      </c>
    </row>
    <row r="19" customFormat="false" ht="13.5" hidden="false" customHeight="false" outlineLevel="0" collapsed="false">
      <c r="B19" s="4"/>
      <c r="C19" s="45"/>
      <c r="D19" s="4"/>
      <c r="E19" s="4"/>
      <c r="F19" s="4"/>
      <c r="G19" s="46"/>
      <c r="H19" s="4"/>
      <c r="I19" s="9"/>
      <c r="J19" s="47"/>
      <c r="K19" s="48" t="n">
        <f aca="false">SUM(K17:K18)</f>
        <v>706.53</v>
      </c>
      <c r="L19" s="9"/>
      <c r="M19" s="49" t="n">
        <f aca="false">SUM(M17:M18)</f>
        <v>11626.2039858427</v>
      </c>
      <c r="N19" s="50"/>
      <c r="O19" s="49" t="n">
        <f aca="false">SUM(O17:O18)</f>
        <v>772.325380387725</v>
      </c>
      <c r="P19" s="51" t="n">
        <f aca="false">SUM(P17:P18)</f>
        <v>12398.5293662304</v>
      </c>
      <c r="Q19" s="4"/>
      <c r="R19" s="4"/>
      <c r="S19" s="9"/>
    </row>
    <row r="20" customFormat="false" ht="17.25" hidden="false" customHeight="false" outlineLevel="0" collapsed="false">
      <c r="B20" s="4"/>
      <c r="C20" s="4"/>
      <c r="D20" s="4"/>
      <c r="E20" s="4"/>
      <c r="F20" s="4"/>
      <c r="G20" s="4"/>
      <c r="H20" s="52" t="s">
        <v>38</v>
      </c>
      <c r="I20" s="53"/>
      <c r="J20" s="54"/>
      <c r="K20" s="4"/>
      <c r="L20" s="9"/>
      <c r="M20" s="55"/>
      <c r="N20" s="9"/>
      <c r="O20" s="9"/>
      <c r="P20" s="9"/>
      <c r="Q20" s="9"/>
      <c r="R20" s="9"/>
      <c r="S20" s="56"/>
      <c r="T20" s="4"/>
    </row>
    <row r="21" customFormat="false" ht="15" hidden="false" customHeight="false" outlineLevel="0" collapsed="false">
      <c r="B21" s="57" t="s">
        <v>39</v>
      </c>
      <c r="C21" s="57"/>
      <c r="D21" s="57"/>
      <c r="E21" s="57"/>
      <c r="F21" s="58"/>
      <c r="G21" s="58"/>
      <c r="H21" s="59" t="s">
        <v>20</v>
      </c>
      <c r="I21" s="60"/>
      <c r="J21" s="61" t="s">
        <v>40</v>
      </c>
      <c r="K21" s="4"/>
      <c r="L21" s="4"/>
      <c r="M21" s="4"/>
      <c r="N21" s="4"/>
      <c r="O21" s="4"/>
      <c r="P21" s="4"/>
      <c r="Q21" s="4"/>
      <c r="R21" s="4"/>
      <c r="S21" s="56"/>
      <c r="T21" s="9"/>
      <c r="U21" s="9"/>
    </row>
    <row r="22" customFormat="false" ht="15" hidden="false" customHeight="true" outlineLevel="0" collapsed="false">
      <c r="B22" s="62" t="s">
        <v>21</v>
      </c>
      <c r="C22" s="63" t="s">
        <v>41</v>
      </c>
      <c r="D22" s="64" t="s">
        <v>42</v>
      </c>
      <c r="E22" s="32" t="s">
        <v>43</v>
      </c>
      <c r="F22" s="58"/>
      <c r="G22" s="58"/>
      <c r="H22" s="65" t="s">
        <v>44</v>
      </c>
      <c r="I22" s="66"/>
      <c r="J22" s="35" t="n">
        <f aca="false">+M19</f>
        <v>11626.2039858427</v>
      </c>
      <c r="K22" s="4"/>
      <c r="L22" s="4"/>
      <c r="M22" s="4"/>
      <c r="N22" s="4"/>
      <c r="O22" s="4"/>
      <c r="P22" s="4"/>
      <c r="Q22" s="4"/>
      <c r="R22" s="4"/>
      <c r="S22" s="56"/>
      <c r="T22" s="9"/>
      <c r="U22" s="9"/>
    </row>
    <row r="23" customFormat="false" ht="15" hidden="false" customHeight="false" outlineLevel="0" collapsed="false">
      <c r="B23" s="62"/>
      <c r="C23" s="63"/>
      <c r="D23" s="64"/>
      <c r="E23" s="32"/>
      <c r="F23" s="58"/>
      <c r="G23" s="58"/>
      <c r="H23" s="65" t="s">
        <v>45</v>
      </c>
      <c r="I23" s="66"/>
      <c r="J23" s="40" t="n">
        <f aca="false">+O19</f>
        <v>772.325380387725</v>
      </c>
      <c r="K23" s="4"/>
      <c r="L23" s="4"/>
      <c r="M23" s="4"/>
      <c r="N23" s="4"/>
      <c r="O23" s="4"/>
      <c r="P23" s="4"/>
      <c r="Q23" s="4"/>
      <c r="R23" s="4"/>
      <c r="S23" s="56"/>
      <c r="T23" s="9"/>
      <c r="U23" s="9"/>
    </row>
    <row r="24" customFormat="false" ht="13.5" hidden="false" customHeight="false" outlineLevel="0" collapsed="false">
      <c r="B24" s="67"/>
      <c r="C24" s="68" t="n">
        <v>0.1</v>
      </c>
      <c r="D24" s="69" t="n">
        <v>0.06</v>
      </c>
      <c r="E24" s="32"/>
      <c r="F24" s="70"/>
      <c r="G24" s="58"/>
      <c r="H24" s="65" t="s">
        <v>32</v>
      </c>
      <c r="I24" s="66"/>
      <c r="J24" s="71" t="n">
        <f aca="false">SUM(J22:J23)</f>
        <v>12398.5293662304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customFormat="false" ht="13.5" hidden="false" customHeight="false" outlineLevel="0" collapsed="false">
      <c r="B25" s="72" t="str">
        <f aca="false">+B17</f>
        <v>Coordinador/a -Cap de Departament</v>
      </c>
      <c r="C25" s="73" t="n">
        <f aca="false">P17*C24</f>
        <v>268.210595415471</v>
      </c>
      <c r="D25" s="42" t="n">
        <f aca="false">(P17+C25)*$D$24</f>
        <v>177.018992974211</v>
      </c>
      <c r="E25" s="74" t="n">
        <f aca="false">SUM(C25:D25)</f>
        <v>445.229588389682</v>
      </c>
      <c r="F25" s="75"/>
      <c r="G25" s="9"/>
      <c r="H25" s="59" t="s">
        <v>46</v>
      </c>
      <c r="I25" s="60"/>
      <c r="J25" s="7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customFormat="false" ht="13.5" hidden="false" customHeight="false" outlineLevel="0" collapsed="false">
      <c r="B26" s="72" t="str">
        <f aca="false">+B18</f>
        <v>Monitor/a</v>
      </c>
      <c r="C26" s="73" t="n">
        <f aca="false">P18*$C$24</f>
        <v>971.642341207569</v>
      </c>
      <c r="D26" s="42" t="n">
        <f aca="false">(P18+C26)*$D$24</f>
        <v>641.283945196996</v>
      </c>
      <c r="E26" s="74" t="n">
        <f aca="false">SUM(C26:D26)</f>
        <v>1612.92628640457</v>
      </c>
      <c r="F26" s="9"/>
      <c r="G26" s="9"/>
      <c r="H26" s="77" t="s">
        <v>47</v>
      </c>
      <c r="I26" s="78"/>
      <c r="J26" s="40" t="n">
        <f aca="false">+C27</f>
        <v>1239.85293662304</v>
      </c>
      <c r="K26" s="4"/>
      <c r="L26" s="4"/>
      <c r="M26" s="4"/>
      <c r="N26" s="4"/>
      <c r="O26" s="4"/>
      <c r="P26" s="4"/>
      <c r="Q26" s="4"/>
      <c r="R26" s="24"/>
      <c r="S26" s="24"/>
      <c r="T26" s="4"/>
      <c r="U26" s="4"/>
    </row>
    <row r="27" customFormat="false" ht="15" hidden="false" customHeight="false" outlineLevel="0" collapsed="false">
      <c r="B27" s="4"/>
      <c r="C27" s="79" t="n">
        <f aca="false">SUM(C25:C26)</f>
        <v>1239.85293662304</v>
      </c>
      <c r="D27" s="79" t="n">
        <f aca="false">SUM(D25:D26)</f>
        <v>818.302938171207</v>
      </c>
      <c r="E27" s="80" t="n">
        <f aca="false">SUM(E25:E26)</f>
        <v>2058.15587479425</v>
      </c>
      <c r="F27" s="58"/>
      <c r="G27" s="58"/>
      <c r="H27" s="77" t="s">
        <v>48</v>
      </c>
      <c r="I27" s="78"/>
      <c r="J27" s="40" t="n">
        <f aca="false">+D27</f>
        <v>818.302938171207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3.5" hidden="false" customHeight="false" outlineLevel="0" collapsed="false">
      <c r="B28" s="4"/>
      <c r="C28" s="4"/>
      <c r="D28" s="4"/>
      <c r="E28" s="4"/>
      <c r="F28" s="4"/>
      <c r="G28" s="25"/>
      <c r="H28" s="65" t="s">
        <v>49</v>
      </c>
      <c r="I28" s="66"/>
      <c r="J28" s="71" t="n">
        <f aca="false">SUM(J26:J27)</f>
        <v>2058.15587479425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3.5" hidden="false" customHeight="false" outlineLevel="0" collapsed="false">
      <c r="B29" s="81" t="s">
        <v>50</v>
      </c>
      <c r="C29" s="82"/>
      <c r="D29" s="82"/>
      <c r="E29" s="83" t="n">
        <f aca="false">+E27+P19</f>
        <v>14456.6852410247</v>
      </c>
      <c r="F29" s="4"/>
      <c r="G29" s="25"/>
      <c r="H29" s="59" t="s">
        <v>51</v>
      </c>
      <c r="I29" s="60"/>
      <c r="J29" s="51" t="n">
        <f aca="false">J24+J28</f>
        <v>14456.6852410246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3.5" hidden="false" customHeight="false" outlineLevel="0" collapsed="false">
      <c r="B30" s="4"/>
      <c r="C30" s="4"/>
      <c r="D30" s="4"/>
      <c r="E30" s="4"/>
      <c r="F30" s="4"/>
      <c r="G30" s="25"/>
      <c r="K30" s="4"/>
      <c r="M30" s="84" t="s">
        <v>52</v>
      </c>
      <c r="N30" s="4"/>
      <c r="O30" s="4"/>
      <c r="P30" s="4"/>
      <c r="Q30" s="4"/>
      <c r="R30" s="4"/>
      <c r="S30" s="4"/>
      <c r="T30" s="4"/>
      <c r="U30" s="4"/>
    </row>
    <row r="31" customFormat="false" ht="23.25" hidden="false" customHeight="false" outlineLevel="0" collapsed="false">
      <c r="B31" s="85" t="s">
        <v>53</v>
      </c>
      <c r="C31" s="36" t="s">
        <v>54</v>
      </c>
      <c r="D31" s="29" t="s">
        <v>55</v>
      </c>
      <c r="E31" s="29" t="s">
        <v>56</v>
      </c>
      <c r="F31" s="29" t="s">
        <v>57</v>
      </c>
      <c r="G31" s="86" t="s">
        <v>58</v>
      </c>
      <c r="L31" s="85" t="s">
        <v>53</v>
      </c>
      <c r="M31" s="29" t="s">
        <v>56</v>
      </c>
      <c r="N31" s="29" t="s">
        <v>55</v>
      </c>
      <c r="O31" s="29" t="s">
        <v>57</v>
      </c>
      <c r="P31" s="6"/>
      <c r="Q31" s="4"/>
      <c r="R31" s="4"/>
      <c r="S31" s="4"/>
      <c r="T31" s="4"/>
      <c r="U31" s="4"/>
    </row>
    <row r="32" customFormat="false" ht="15" hidden="false" customHeight="false" outlineLevel="0" collapsed="false">
      <c r="B32" s="34" t="str">
        <f aca="false">+B17</f>
        <v>Coordinador/a -Cap de Departament</v>
      </c>
      <c r="C32" s="42" t="n">
        <v>23.05</v>
      </c>
      <c r="D32" s="40" t="n">
        <f aca="false">+K17</f>
        <v>120</v>
      </c>
      <c r="E32" s="87" t="n">
        <f aca="false">(P17+E25)/K17</f>
        <v>26.0611295212033</v>
      </c>
      <c r="F32" s="40" t="n">
        <f aca="false">D32*E32</f>
        <v>3127.33554254439</v>
      </c>
      <c r="G32" s="88" t="n">
        <f aca="false">+E32/C32-1</f>
        <v>0.130634686386259</v>
      </c>
      <c r="H32" s="89" t="n">
        <f aca="false">+E32-C32</f>
        <v>3.01112952120327</v>
      </c>
      <c r="L32" s="90" t="str">
        <f aca="false">B32</f>
        <v>Coordinador/a -Cap de Departament</v>
      </c>
      <c r="M32" s="91" t="n">
        <f aca="false">ROUND(E32,2)</f>
        <v>26.06</v>
      </c>
      <c r="N32" s="40" t="n">
        <f aca="false">D32</f>
        <v>120</v>
      </c>
      <c r="O32" s="40" t="n">
        <f aca="false">M32*N32</f>
        <v>3127.2</v>
      </c>
      <c r="P32" s="92"/>
      <c r="Q32" s="4"/>
      <c r="R32" s="4"/>
      <c r="S32" s="4"/>
      <c r="T32" s="4"/>
      <c r="U32" s="4"/>
    </row>
    <row r="33" customFormat="false" ht="15" hidden="false" customHeight="false" outlineLevel="0" collapsed="false">
      <c r="B33" s="34" t="str">
        <f aca="false">+B18</f>
        <v>Monitor/a</v>
      </c>
      <c r="C33" s="42" t="n">
        <v>17.57</v>
      </c>
      <c r="D33" s="40" t="n">
        <f aca="false">+K18</f>
        <v>586.53</v>
      </c>
      <c r="E33" s="93" t="n">
        <f aca="false">(P18+E26)/K18</f>
        <v>19.3158912561681</v>
      </c>
      <c r="F33" s="40" t="n">
        <f aca="false">D33*E33</f>
        <v>11329.3496984803</v>
      </c>
      <c r="G33" s="88" t="n">
        <f aca="false">+E33/C33-1</f>
        <v>0.0993677436635212</v>
      </c>
      <c r="H33" s="89" t="n">
        <f aca="false">+E33-C33</f>
        <v>1.74589125616807</v>
      </c>
      <c r="L33" s="90" t="str">
        <f aca="false">B33</f>
        <v>Monitor/a</v>
      </c>
      <c r="M33" s="91" t="n">
        <f aca="false">ROUND(E33,2)</f>
        <v>19.32</v>
      </c>
      <c r="N33" s="40" t="n">
        <f aca="false">D33</f>
        <v>586.53</v>
      </c>
      <c r="O33" s="40" t="n">
        <f aca="false">M33*N33</f>
        <v>11331.7596</v>
      </c>
      <c r="P33" s="92"/>
      <c r="Q33" s="4"/>
      <c r="R33" s="4"/>
      <c r="S33" s="4"/>
      <c r="T33" s="4"/>
      <c r="U33" s="4"/>
    </row>
    <row r="34" customFormat="false" ht="13.5" hidden="false" customHeight="false" outlineLevel="0" collapsed="false">
      <c r="B34" s="4"/>
      <c r="C34" s="4"/>
      <c r="D34" s="4"/>
      <c r="E34" s="4"/>
      <c r="F34" s="49" t="n">
        <f aca="false">SUM(F32:F33)</f>
        <v>14456.6852410246</v>
      </c>
      <c r="G34" s="25"/>
      <c r="H34" s="25"/>
      <c r="I34" s="4"/>
      <c r="J34" s="9"/>
      <c r="K34" s="4"/>
      <c r="L34" s="4"/>
      <c r="O34" s="49" t="n">
        <f aca="false">SUM(O32:O33)</f>
        <v>14458.9596</v>
      </c>
      <c r="P34" s="92" t="n">
        <f aca="false">+O34-F34</f>
        <v>2.27435897535179</v>
      </c>
      <c r="Q34" s="4"/>
      <c r="R34" s="4"/>
      <c r="S34" s="4"/>
      <c r="T34" s="4"/>
      <c r="U34" s="4"/>
    </row>
    <row r="35" customFormat="false" ht="13.5" hidden="false" customHeight="false" outlineLevel="0" collapsed="false">
      <c r="B35" s="4"/>
      <c r="C35" s="4"/>
      <c r="D35" s="4"/>
      <c r="E35" s="4"/>
      <c r="F35" s="4"/>
      <c r="G35" s="25"/>
      <c r="H35" s="25"/>
      <c r="I35" s="4"/>
      <c r="J35" s="4"/>
      <c r="K35" s="4"/>
      <c r="L35" s="4"/>
      <c r="N35" s="4"/>
      <c r="O35" s="4"/>
      <c r="P35" s="4"/>
      <c r="Q35" s="4"/>
      <c r="R35" s="4"/>
      <c r="S35" s="4"/>
    </row>
    <row r="36" customFormat="false" ht="13.5" hidden="false" customHeight="false" outlineLevel="0" collapsed="false">
      <c r="B36" s="4"/>
      <c r="C36" s="4"/>
      <c r="D36" s="4"/>
      <c r="E36" s="4"/>
      <c r="F36" s="4"/>
      <c r="G36" s="25"/>
      <c r="H36" s="2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8" customFormat="false" ht="19.5" hidden="false" customHeight="false" outlineLevel="0" collapsed="false">
      <c r="B38" s="26" t="s">
        <v>59</v>
      </c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customFormat="false" ht="13.5" hidden="false" customHeight="false" outlineLevel="0" collapsed="false">
      <c r="B39" s="27" t="s">
        <v>20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customFormat="false" ht="34.5" hidden="false" customHeight="true" outlineLevel="0" collapsed="false">
      <c r="B40" s="28" t="s">
        <v>21</v>
      </c>
      <c r="C40" s="29" t="s">
        <v>22</v>
      </c>
      <c r="D40" s="29"/>
      <c r="E40" s="29" t="s">
        <v>23</v>
      </c>
      <c r="F40" s="29"/>
      <c r="G40" s="30" t="s">
        <v>24</v>
      </c>
      <c r="H40" s="31" t="s">
        <v>25</v>
      </c>
      <c r="I40" s="28" t="s">
        <v>26</v>
      </c>
      <c r="J40" s="29" t="s">
        <v>27</v>
      </c>
      <c r="K40" s="29" t="s">
        <v>28</v>
      </c>
      <c r="L40" s="29" t="s">
        <v>29</v>
      </c>
      <c r="M40" s="28" t="s">
        <v>30</v>
      </c>
      <c r="N40" s="29" t="s">
        <v>31</v>
      </c>
      <c r="O40" s="29"/>
      <c r="P40" s="32" t="s">
        <v>32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customFormat="false" ht="18.75" hidden="false" customHeight="true" outlineLevel="0" collapsed="false">
      <c r="B41" s="34" t="str">
        <f aca="false">B32</f>
        <v>Coordinador/a -Cap de Departament</v>
      </c>
      <c r="C41" s="35" t="n">
        <f aca="false">D10</f>
        <v>26535.6208</v>
      </c>
      <c r="D41" s="36"/>
      <c r="E41" s="37" t="n">
        <f aca="false">E17</f>
        <v>0.3397</v>
      </c>
      <c r="F41" s="35" t="n">
        <f aca="false">SUM(C41:D41)*E41</f>
        <v>9014.15038576</v>
      </c>
      <c r="G41" s="35" t="n">
        <f aca="false">(C41+D41)*1%</f>
        <v>265.356208</v>
      </c>
      <c r="H41" s="35" t="n">
        <f aca="false">(D41+C41)*5%</f>
        <v>1326.78104</v>
      </c>
      <c r="I41" s="35" t="n">
        <f aca="false">C41+D41+F41+G41+H41</f>
        <v>37141.90843376</v>
      </c>
      <c r="J41" s="38" t="n">
        <v>1695</v>
      </c>
      <c r="K41" s="39" t="n">
        <v>180</v>
      </c>
      <c r="L41" s="35" t="n">
        <f aca="false">K41/J41</f>
        <v>0.106194690265487</v>
      </c>
      <c r="M41" s="40" t="n">
        <f aca="false">L41*I41</f>
        <v>3944.27346199222</v>
      </c>
      <c r="N41" s="41" t="n">
        <f aca="false">N17</f>
        <v>0.02</v>
      </c>
      <c r="O41" s="42" t="n">
        <f aca="false">M41*N41</f>
        <v>78.8854692398445</v>
      </c>
      <c r="P41" s="43" t="n">
        <f aca="false">M41+O41</f>
        <v>4023.15893123207</v>
      </c>
      <c r="S41" s="33"/>
      <c r="T41" s="33"/>
      <c r="U41" s="33"/>
      <c r="V41" s="4"/>
      <c r="W41" s="4"/>
      <c r="X41" s="4"/>
      <c r="Y41" s="4"/>
      <c r="Z41" s="4"/>
      <c r="AA41" s="4"/>
      <c r="AB41" s="4"/>
      <c r="AC41" s="4"/>
    </row>
    <row r="42" customFormat="false" ht="18.75" hidden="false" customHeight="true" outlineLevel="0" collapsed="false">
      <c r="B42" s="34" t="str">
        <f aca="false">B33</f>
        <v>Monitor/a</v>
      </c>
      <c r="C42" s="35" t="n">
        <f aca="false">D11</f>
        <v>18574.93</v>
      </c>
      <c r="D42" s="35"/>
      <c r="E42" s="37" t="n">
        <v>0.3397</v>
      </c>
      <c r="F42" s="35" t="n">
        <f aca="false">SUM(C42:D42)*E42</f>
        <v>6309.903721</v>
      </c>
      <c r="G42" s="35" t="n">
        <f aca="false">(C42+D42)*1%</f>
        <v>185.7493</v>
      </c>
      <c r="H42" s="35" t="n">
        <f aca="false">(D42+C42)*5%</f>
        <v>928.7465</v>
      </c>
      <c r="I42" s="35" t="n">
        <f aca="false">C42+D42+F42+G42+H42</f>
        <v>25999.329521</v>
      </c>
      <c r="J42" s="38" t="n">
        <v>1695</v>
      </c>
      <c r="K42" s="39" t="n">
        <v>1171.47</v>
      </c>
      <c r="L42" s="35" t="n">
        <f aca="false">K42/J42</f>
        <v>0.691132743362832</v>
      </c>
      <c r="M42" s="40" t="n">
        <f aca="false">L42*I42</f>
        <v>17968.987937443</v>
      </c>
      <c r="N42" s="41" t="n">
        <f aca="false">N18</f>
        <v>0.08</v>
      </c>
      <c r="O42" s="42" t="n">
        <f aca="false">M42*N42</f>
        <v>1437.51903499544</v>
      </c>
      <c r="P42" s="43" t="n">
        <f aca="false">M42+O42</f>
        <v>19406.5069724384</v>
      </c>
      <c r="S42" s="9"/>
      <c r="T42" s="9"/>
      <c r="U42" s="9"/>
    </row>
    <row r="43" customFormat="false" ht="13.5" hidden="false" customHeight="false" outlineLevel="0" collapsed="false">
      <c r="B43" s="4"/>
      <c r="C43" s="45"/>
      <c r="D43" s="4"/>
      <c r="E43" s="4"/>
      <c r="F43" s="4"/>
      <c r="G43" s="46"/>
      <c r="H43" s="4"/>
      <c r="I43" s="9"/>
      <c r="J43" s="47"/>
      <c r="K43" s="48" t="n">
        <f aca="false">SUM(K41:K42)</f>
        <v>1351.47</v>
      </c>
      <c r="L43" s="9"/>
      <c r="M43" s="49" t="n">
        <f aca="false">SUM(M41:M42)</f>
        <v>21913.2613994352</v>
      </c>
      <c r="N43" s="50"/>
      <c r="O43" s="49" t="n">
        <f aca="false">SUM(O41:O42)</f>
        <v>1516.40450423528</v>
      </c>
      <c r="P43" s="51" t="n">
        <f aca="false">SUM(P41:P42)</f>
        <v>23429.6659036705</v>
      </c>
      <c r="S43" s="9"/>
      <c r="T43" s="9"/>
      <c r="U43" s="9"/>
    </row>
    <row r="44" customFormat="false" ht="17.25" hidden="false" customHeight="false" outlineLevel="0" collapsed="false">
      <c r="B44" s="4"/>
      <c r="C44" s="4"/>
      <c r="D44" s="4"/>
      <c r="E44" s="4"/>
      <c r="F44" s="4"/>
      <c r="G44" s="4"/>
      <c r="H44" s="52" t="s">
        <v>38</v>
      </c>
      <c r="I44" s="53"/>
      <c r="J44" s="54"/>
      <c r="K44" s="4"/>
      <c r="L44" s="9"/>
      <c r="M44" s="55"/>
      <c r="N44" s="9"/>
      <c r="O44" s="9"/>
      <c r="P44" s="9"/>
      <c r="Q44" s="9"/>
      <c r="R44" s="9"/>
      <c r="S44" s="9"/>
      <c r="T44" s="9"/>
    </row>
    <row r="45" customFormat="false" ht="13.5" hidden="false" customHeight="false" outlineLevel="0" collapsed="false">
      <c r="B45" s="57" t="s">
        <v>39</v>
      </c>
      <c r="C45" s="57"/>
      <c r="D45" s="57"/>
      <c r="E45" s="57"/>
      <c r="F45" s="58"/>
      <c r="G45" s="58"/>
      <c r="H45" s="59" t="s">
        <v>20</v>
      </c>
      <c r="I45" s="60"/>
      <c r="J45" s="61" t="s">
        <v>40</v>
      </c>
      <c r="K45" s="4"/>
      <c r="L45" s="4"/>
      <c r="M45" s="4"/>
      <c r="N45" s="4"/>
      <c r="O45" s="4"/>
      <c r="P45" s="4"/>
      <c r="Q45" s="4"/>
      <c r="R45" s="4"/>
      <c r="S45" s="9"/>
      <c r="T45" s="9"/>
      <c r="U45" s="9"/>
    </row>
    <row r="46" customFormat="false" ht="13.5" hidden="false" customHeight="true" outlineLevel="0" collapsed="false">
      <c r="B46" s="62" t="s">
        <v>21</v>
      </c>
      <c r="C46" s="63" t="s">
        <v>41</v>
      </c>
      <c r="D46" s="64" t="s">
        <v>42</v>
      </c>
      <c r="E46" s="32" t="s">
        <v>43</v>
      </c>
      <c r="F46" s="58"/>
      <c r="G46" s="58"/>
      <c r="H46" s="65" t="s">
        <v>44</v>
      </c>
      <c r="I46" s="66"/>
      <c r="J46" s="35" t="n">
        <f aca="false">+M43</f>
        <v>21913.2613994352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9"/>
    </row>
    <row r="47" customFormat="false" ht="15" hidden="false" customHeight="false" outlineLevel="0" collapsed="false">
      <c r="B47" s="62"/>
      <c r="C47" s="63"/>
      <c r="D47" s="64"/>
      <c r="E47" s="32"/>
      <c r="F47" s="58"/>
      <c r="G47" s="58"/>
      <c r="H47" s="65" t="s">
        <v>45</v>
      </c>
      <c r="I47" s="66"/>
      <c r="J47" s="40" t="n">
        <f aca="false">+O43</f>
        <v>1516.40450423528</v>
      </c>
      <c r="K47" s="4"/>
      <c r="L47" s="4"/>
      <c r="M47" s="4"/>
      <c r="N47" s="4"/>
      <c r="O47" s="4"/>
      <c r="P47" s="4"/>
      <c r="Q47" s="4"/>
      <c r="R47" s="4"/>
      <c r="S47" s="56"/>
      <c r="T47" s="4"/>
      <c r="U47" s="9"/>
    </row>
    <row r="48" customFormat="false" ht="15" hidden="false" customHeight="false" outlineLevel="0" collapsed="false">
      <c r="B48" s="67"/>
      <c r="C48" s="94" t="n">
        <f aca="false">C24</f>
        <v>0.1</v>
      </c>
      <c r="D48" s="69" t="n">
        <v>0.06</v>
      </c>
      <c r="E48" s="32"/>
      <c r="F48" s="70"/>
      <c r="G48" s="58"/>
      <c r="H48" s="65" t="s">
        <v>32</v>
      </c>
      <c r="I48" s="66"/>
      <c r="J48" s="71" t="n">
        <f aca="false">SUM(J46:J47)</f>
        <v>23429.6659036705</v>
      </c>
      <c r="K48" s="4"/>
      <c r="L48" s="4"/>
      <c r="M48" s="4"/>
      <c r="N48" s="4"/>
      <c r="O48" s="4"/>
      <c r="P48" s="4"/>
      <c r="Q48" s="4"/>
      <c r="R48" s="4"/>
      <c r="S48" s="56"/>
      <c r="T48" s="9"/>
      <c r="U48" s="9"/>
    </row>
    <row r="49" customFormat="false" ht="15" hidden="false" customHeight="true" outlineLevel="0" collapsed="false">
      <c r="B49" s="72" t="str">
        <f aca="false">+B41</f>
        <v>Coordinador/a -Cap de Departament</v>
      </c>
      <c r="C49" s="73" t="n">
        <f aca="false">P41*$C$48</f>
        <v>402.315893123207</v>
      </c>
      <c r="D49" s="42" t="n">
        <f aca="false">(P41+C49)*D48</f>
        <v>265.528489461317</v>
      </c>
      <c r="E49" s="74" t="n">
        <f aca="false">SUM(C49:D49)</f>
        <v>667.844382584524</v>
      </c>
      <c r="F49" s="75"/>
      <c r="G49" s="9"/>
      <c r="H49" s="59" t="s">
        <v>46</v>
      </c>
      <c r="I49" s="60"/>
      <c r="J49" s="76"/>
      <c r="K49" s="4"/>
      <c r="L49" s="4"/>
      <c r="M49" s="4"/>
      <c r="N49" s="4"/>
      <c r="O49" s="4"/>
      <c r="P49" s="4"/>
      <c r="Q49" s="4"/>
      <c r="R49" s="4"/>
      <c r="S49" s="56"/>
      <c r="T49" s="9"/>
      <c r="U49" s="9"/>
    </row>
    <row r="50" customFormat="false" ht="15" hidden="false" customHeight="false" outlineLevel="0" collapsed="false">
      <c r="B50" s="72" t="str">
        <f aca="false">+B42</f>
        <v>Monitor/a</v>
      </c>
      <c r="C50" s="73" t="n">
        <f aca="false">P42*C48</f>
        <v>1940.65069724384</v>
      </c>
      <c r="D50" s="42" t="n">
        <f aca="false">(P42+C50)*D48</f>
        <v>1280.82946018094</v>
      </c>
      <c r="E50" s="74" t="n">
        <f aca="false">SUM(C50:D50)</f>
        <v>3221.48015742478</v>
      </c>
      <c r="F50" s="9"/>
      <c r="G50" s="9"/>
      <c r="H50" s="77" t="s">
        <v>47</v>
      </c>
      <c r="I50" s="78"/>
      <c r="J50" s="40" t="n">
        <f aca="false">+C51</f>
        <v>2342.96659036705</v>
      </c>
      <c r="K50" s="4"/>
      <c r="L50" s="4"/>
      <c r="M50" s="4"/>
      <c r="N50" s="4"/>
      <c r="O50" s="4"/>
      <c r="P50" s="4"/>
      <c r="Q50" s="4"/>
      <c r="R50" s="24"/>
      <c r="S50" s="56"/>
      <c r="T50" s="9"/>
      <c r="U50" s="9"/>
    </row>
    <row r="51" customFormat="false" ht="15" hidden="false" customHeight="false" outlineLevel="0" collapsed="false">
      <c r="B51" s="4"/>
      <c r="C51" s="79" t="n">
        <f aca="false">SUM(C49:C50)</f>
        <v>2342.96659036705</v>
      </c>
      <c r="D51" s="79" t="n">
        <f aca="false">SUM(D49:D50)</f>
        <v>1546.35794964225</v>
      </c>
      <c r="E51" s="80" t="n">
        <f aca="false">SUM(E49:E50)</f>
        <v>3889.3245400093</v>
      </c>
      <c r="F51" s="58"/>
      <c r="G51" s="58"/>
      <c r="H51" s="77" t="s">
        <v>48</v>
      </c>
      <c r="I51" s="78"/>
      <c r="J51" s="40" t="n">
        <f aca="false">+D51</f>
        <v>1546.35794964225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customFormat="false" ht="13.5" hidden="false" customHeight="false" outlineLevel="0" collapsed="false">
      <c r="B52" s="4"/>
      <c r="C52" s="4"/>
      <c r="D52" s="4"/>
      <c r="E52" s="4"/>
      <c r="F52" s="4"/>
      <c r="G52" s="25"/>
      <c r="H52" s="65" t="s">
        <v>49</v>
      </c>
      <c r="I52" s="66"/>
      <c r="J52" s="71" t="n">
        <f aca="false">SUM(J50:J51)</f>
        <v>3889.3245400093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customFormat="false" ht="13.5" hidden="false" customHeight="false" outlineLevel="0" collapsed="false">
      <c r="B53" s="81" t="s">
        <v>50</v>
      </c>
      <c r="C53" s="82"/>
      <c r="D53" s="82"/>
      <c r="E53" s="83" t="n">
        <f aca="false">+E51+P43</f>
        <v>27318.9904436798</v>
      </c>
      <c r="F53" s="4"/>
      <c r="G53" s="25"/>
      <c r="H53" s="59" t="s">
        <v>51</v>
      </c>
      <c r="I53" s="60"/>
      <c r="J53" s="51" t="n">
        <f aca="false">J48+J52</f>
        <v>27318.9904436798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customFormat="false" ht="13.5" hidden="false" customHeight="false" outlineLevel="0" collapsed="false">
      <c r="B54" s="4"/>
      <c r="C54" s="4"/>
      <c r="D54" s="4"/>
      <c r="E54" s="4"/>
      <c r="F54" s="4"/>
      <c r="G54" s="25"/>
      <c r="K54" s="4"/>
      <c r="M54" s="84" t="s">
        <v>52</v>
      </c>
      <c r="N54" s="4"/>
      <c r="O54" s="4"/>
      <c r="P54" s="4"/>
      <c r="Q54" s="4"/>
      <c r="R54" s="4"/>
      <c r="S54" s="4"/>
      <c r="T54" s="4"/>
      <c r="U54" s="4"/>
    </row>
    <row r="55" customFormat="false" ht="23.25" hidden="false" customHeight="false" outlineLevel="0" collapsed="false">
      <c r="B55" s="85" t="s">
        <v>53</v>
      </c>
      <c r="C55" s="36" t="s">
        <v>54</v>
      </c>
      <c r="D55" s="29" t="s">
        <v>55</v>
      </c>
      <c r="E55" s="29" t="s">
        <v>56</v>
      </c>
      <c r="F55" s="29" t="s">
        <v>57</v>
      </c>
      <c r="G55" s="86" t="s">
        <v>58</v>
      </c>
      <c r="L55" s="85" t="s">
        <v>53</v>
      </c>
      <c r="M55" s="29" t="s">
        <v>56</v>
      </c>
      <c r="N55" s="29" t="s">
        <v>55</v>
      </c>
      <c r="O55" s="29" t="s">
        <v>57</v>
      </c>
      <c r="P55" s="6"/>
      <c r="Q55" s="4"/>
      <c r="R55" s="4"/>
      <c r="S55" s="24"/>
      <c r="T55" s="4"/>
      <c r="U55" s="4"/>
    </row>
    <row r="56" customFormat="false" ht="15" hidden="false" customHeight="false" outlineLevel="0" collapsed="false">
      <c r="B56" s="34" t="str">
        <f aca="false">+B41</f>
        <v>Coordinador/a -Cap de Departament</v>
      </c>
      <c r="C56" s="42" t="n">
        <f aca="false">C32</f>
        <v>23.05</v>
      </c>
      <c r="D56" s="40" t="n">
        <f aca="false">+K41</f>
        <v>180</v>
      </c>
      <c r="E56" s="87" t="n">
        <f aca="false">(P41+E49)/K41</f>
        <v>26.0611295212033</v>
      </c>
      <c r="F56" s="40" t="n">
        <f aca="false">D56*E56</f>
        <v>4691.00331381659</v>
      </c>
      <c r="G56" s="88" t="n">
        <f aca="false">+E56/C56-1</f>
        <v>0.13063468638626</v>
      </c>
      <c r="H56" s="89" t="n">
        <f aca="false">+E56-C56</f>
        <v>3.0111295212033</v>
      </c>
      <c r="L56" s="90" t="str">
        <f aca="false">B56</f>
        <v>Coordinador/a -Cap de Departament</v>
      </c>
      <c r="M56" s="91" t="n">
        <f aca="false">ROUND(E56,2)</f>
        <v>26.06</v>
      </c>
      <c r="N56" s="40" t="n">
        <f aca="false">D56</f>
        <v>180</v>
      </c>
      <c r="O56" s="40" t="n">
        <f aca="false">M56*N56</f>
        <v>4690.8</v>
      </c>
      <c r="P56" s="92"/>
      <c r="Q56" s="4"/>
      <c r="R56" s="4"/>
      <c r="S56" s="4"/>
      <c r="T56" s="4"/>
      <c r="U56" s="4"/>
    </row>
    <row r="57" customFormat="false" ht="15" hidden="false" customHeight="false" outlineLevel="0" collapsed="false">
      <c r="B57" s="34" t="str">
        <f aca="false">+B42</f>
        <v>Monitor/a</v>
      </c>
      <c r="C57" s="42" t="n">
        <f aca="false">C33</f>
        <v>17.57</v>
      </c>
      <c r="D57" s="40" t="n">
        <f aca="false">+K42</f>
        <v>1171.47</v>
      </c>
      <c r="E57" s="93" t="n">
        <f aca="false">(P42+E50)/K42</f>
        <v>19.3158912561681</v>
      </c>
      <c r="F57" s="40" t="n">
        <f aca="false">D57*E57</f>
        <v>22627.9871298632</v>
      </c>
      <c r="G57" s="88" t="n">
        <f aca="false">+E57/C57-1</f>
        <v>0.0993677436635212</v>
      </c>
      <c r="H57" s="89" t="n">
        <f aca="false">+E57-C57</f>
        <v>1.74589125616807</v>
      </c>
      <c r="L57" s="90" t="str">
        <f aca="false">B57</f>
        <v>Monitor/a</v>
      </c>
      <c r="M57" s="91" t="n">
        <f aca="false">ROUND(E57,2)</f>
        <v>19.32</v>
      </c>
      <c r="N57" s="40" t="n">
        <f aca="false">D57</f>
        <v>1171.47</v>
      </c>
      <c r="O57" s="40" t="n">
        <f aca="false">M57*N57</f>
        <v>22632.8004</v>
      </c>
      <c r="P57" s="92"/>
      <c r="Q57" s="4"/>
      <c r="R57" s="4"/>
      <c r="S57" s="4"/>
      <c r="T57" s="4"/>
      <c r="U57" s="4"/>
    </row>
    <row r="58" customFormat="false" ht="13.5" hidden="false" customHeight="false" outlineLevel="0" collapsed="false">
      <c r="B58" s="4"/>
      <c r="C58" s="4"/>
      <c r="D58" s="4"/>
      <c r="E58" s="4"/>
      <c r="F58" s="49" t="n">
        <f aca="false">SUM(F56:F57)</f>
        <v>27318.9904436798</v>
      </c>
      <c r="G58" s="25"/>
      <c r="H58" s="25"/>
      <c r="I58" s="4"/>
      <c r="J58" s="9"/>
      <c r="K58" s="4"/>
      <c r="L58" s="4"/>
      <c r="O58" s="49" t="n">
        <f aca="false">SUM(O56:O57)</f>
        <v>27323.6004</v>
      </c>
      <c r="P58" s="92" t="n">
        <f aca="false">+O58-F58</f>
        <v>4.60995632020058</v>
      </c>
      <c r="Q58" s="4"/>
      <c r="R58" s="4"/>
      <c r="S58" s="4"/>
      <c r="T58" s="4"/>
      <c r="U58" s="4"/>
    </row>
    <row r="59" customFormat="false" ht="13.5" hidden="false" customHeight="false" outlineLevel="0" collapsed="false">
      <c r="B59" s="4"/>
      <c r="C59" s="4"/>
      <c r="D59" s="4"/>
      <c r="E59" s="4"/>
      <c r="F59" s="4"/>
      <c r="G59" s="25"/>
      <c r="H59" s="25"/>
      <c r="I59" s="4"/>
      <c r="J59" s="4"/>
      <c r="K59" s="4"/>
      <c r="L59" s="4"/>
      <c r="N59" s="4"/>
      <c r="O59" s="4"/>
      <c r="P59" s="4"/>
      <c r="Q59" s="4"/>
      <c r="R59" s="4"/>
      <c r="S59" s="4"/>
    </row>
    <row r="60" customFormat="false" ht="13.5" hidden="false" customHeight="false" outlineLevel="0" collapsed="false">
      <c r="B60" s="4"/>
      <c r="C60" s="4"/>
      <c r="D60" s="4"/>
      <c r="E60" s="4"/>
      <c r="F60" s="4"/>
      <c r="G60" s="25"/>
      <c r="H60" s="2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2" customFormat="false" ht="19.5" hidden="false" customHeight="false" outlineLevel="0" collapsed="false">
      <c r="B62" s="26" t="s">
        <v>60</v>
      </c>
      <c r="C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customFormat="false" ht="13.5" hidden="false" customHeight="false" outlineLevel="0" collapsed="false">
      <c r="B63" s="27" t="s">
        <v>20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customFormat="false" ht="34.5" hidden="false" customHeight="true" outlineLevel="0" collapsed="false">
      <c r="B64" s="28" t="s">
        <v>21</v>
      </c>
      <c r="C64" s="29" t="s">
        <v>22</v>
      </c>
      <c r="D64" s="29"/>
      <c r="E64" s="29" t="s">
        <v>23</v>
      </c>
      <c r="F64" s="29"/>
      <c r="G64" s="30" t="s">
        <v>24</v>
      </c>
      <c r="H64" s="31" t="s">
        <v>25</v>
      </c>
      <c r="I64" s="28" t="s">
        <v>26</v>
      </c>
      <c r="J64" s="29" t="s">
        <v>27</v>
      </c>
      <c r="K64" s="29" t="s">
        <v>28</v>
      </c>
      <c r="L64" s="29" t="s">
        <v>29</v>
      </c>
      <c r="M64" s="28" t="s">
        <v>30</v>
      </c>
      <c r="N64" s="29" t="s">
        <v>31</v>
      </c>
      <c r="O64" s="29"/>
      <c r="P64" s="32" t="s">
        <v>32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customFormat="false" ht="18.75" hidden="false" customHeight="true" outlineLevel="0" collapsed="false">
      <c r="B65" s="34" t="str">
        <f aca="false">B56</f>
        <v>Coordinador/a -Cap de Departament</v>
      </c>
      <c r="C65" s="35" t="n">
        <f aca="false">E10</f>
        <v>27663.384684</v>
      </c>
      <c r="D65" s="36"/>
      <c r="E65" s="37" t="n">
        <f aca="false">E41</f>
        <v>0.3397</v>
      </c>
      <c r="F65" s="35" t="n">
        <f aca="false">SUM(C65:D65)*E65</f>
        <v>9397.2517771548</v>
      </c>
      <c r="G65" s="35" t="n">
        <f aca="false">(C65+D65)*1%</f>
        <v>276.63384684</v>
      </c>
      <c r="H65" s="35" t="n">
        <f aca="false">(D65+C65)*5%</f>
        <v>1383.1692342</v>
      </c>
      <c r="I65" s="35" t="n">
        <f aca="false">C65+D65+F65+G65+H65</f>
        <v>38720.4395421948</v>
      </c>
      <c r="J65" s="38" t="n">
        <v>1695</v>
      </c>
      <c r="K65" s="39" t="n">
        <v>120</v>
      </c>
      <c r="L65" s="35" t="n">
        <f aca="false">K65/J65</f>
        <v>0.0707964601769912</v>
      </c>
      <c r="M65" s="40" t="n">
        <f aca="false">L65*I65</f>
        <v>2741.27005608459</v>
      </c>
      <c r="N65" s="41" t="n">
        <f aca="false">N41</f>
        <v>0.02</v>
      </c>
      <c r="O65" s="42" t="n">
        <f aca="false">M65*N65</f>
        <v>54.8254011216918</v>
      </c>
      <c r="P65" s="43" t="n">
        <f aca="false">M65+O65</f>
        <v>2796.09545720628</v>
      </c>
      <c r="S65" s="33"/>
      <c r="T65" s="33"/>
      <c r="U65" s="33"/>
      <c r="V65" s="4"/>
      <c r="W65" s="4"/>
      <c r="X65" s="4"/>
      <c r="Y65" s="4"/>
      <c r="Z65" s="4"/>
      <c r="AA65" s="4"/>
      <c r="AB65" s="4"/>
      <c r="AC65" s="4"/>
    </row>
    <row r="66" customFormat="false" ht="18.75" hidden="false" customHeight="true" outlineLevel="0" collapsed="false">
      <c r="B66" s="34" t="str">
        <f aca="false">B57</f>
        <v>Monitor/a</v>
      </c>
      <c r="C66" s="35" t="n">
        <f aca="false">E11</f>
        <v>19364.37</v>
      </c>
      <c r="D66" s="35"/>
      <c r="E66" s="37" t="n">
        <v>0.3397</v>
      </c>
      <c r="F66" s="35" t="n">
        <f aca="false">SUM(C66:D66)*E66</f>
        <v>6578.076489</v>
      </c>
      <c r="G66" s="35" t="n">
        <f aca="false">(C66+D66)*1%</f>
        <v>193.6437</v>
      </c>
      <c r="H66" s="35" t="n">
        <f aca="false">(D66+C66)*5%</f>
        <v>968.2185</v>
      </c>
      <c r="I66" s="35" t="n">
        <f aca="false">C66+D66+F66+G66+H66</f>
        <v>27104.308689</v>
      </c>
      <c r="J66" s="38" t="n">
        <v>1695</v>
      </c>
      <c r="K66" s="39" t="n">
        <v>586.53</v>
      </c>
      <c r="L66" s="35" t="n">
        <f aca="false">K66/J66</f>
        <v>0.346035398230089</v>
      </c>
      <c r="M66" s="40" t="n">
        <f aca="false">L66*I66</f>
        <v>9379.05025094936</v>
      </c>
      <c r="N66" s="41" t="n">
        <f aca="false">N42</f>
        <v>0.08</v>
      </c>
      <c r="O66" s="42" t="n">
        <f aca="false">M66*N66</f>
        <v>750.324020075949</v>
      </c>
      <c r="P66" s="43" t="n">
        <f aca="false">M66+O66</f>
        <v>10129.3742710253</v>
      </c>
      <c r="S66" s="9"/>
      <c r="T66" s="9"/>
      <c r="U66" s="9"/>
    </row>
    <row r="67" customFormat="false" ht="13.5" hidden="false" customHeight="false" outlineLevel="0" collapsed="false">
      <c r="B67" s="4"/>
      <c r="C67" s="45"/>
      <c r="D67" s="4"/>
      <c r="E67" s="4"/>
      <c r="F67" s="4"/>
      <c r="G67" s="46"/>
      <c r="H67" s="4"/>
      <c r="I67" s="9"/>
      <c r="J67" s="47"/>
      <c r="K67" s="48" t="n">
        <f aca="false">SUM(K65:K66)</f>
        <v>706.53</v>
      </c>
      <c r="L67" s="9"/>
      <c r="M67" s="49" t="n">
        <f aca="false">SUM(M65:M66)</f>
        <v>12120.320307034</v>
      </c>
      <c r="N67" s="50"/>
      <c r="O67" s="49" t="n">
        <f aca="false">SUM(O65:O66)</f>
        <v>805.149421197641</v>
      </c>
      <c r="P67" s="51" t="n">
        <f aca="false">SUM(P65:P66)</f>
        <v>12925.4697282316</v>
      </c>
      <c r="S67" s="9"/>
      <c r="T67" s="9"/>
      <c r="U67" s="9"/>
    </row>
    <row r="68" customFormat="false" ht="17.25" hidden="false" customHeight="false" outlineLevel="0" collapsed="false">
      <c r="B68" s="4"/>
      <c r="C68" s="4"/>
      <c r="D68" s="4"/>
      <c r="E68" s="4"/>
      <c r="F68" s="4"/>
      <c r="G68" s="4"/>
      <c r="H68" s="52" t="s">
        <v>38</v>
      </c>
      <c r="I68" s="53"/>
      <c r="J68" s="54"/>
      <c r="K68" s="4"/>
      <c r="L68" s="9"/>
      <c r="M68" s="55"/>
      <c r="N68" s="9"/>
      <c r="O68" s="9"/>
      <c r="P68" s="9"/>
      <c r="Q68" s="9"/>
      <c r="R68" s="9"/>
      <c r="S68" s="9"/>
      <c r="T68" s="9"/>
    </row>
    <row r="69" customFormat="false" ht="13.5" hidden="false" customHeight="false" outlineLevel="0" collapsed="false">
      <c r="B69" s="57" t="s">
        <v>39</v>
      </c>
      <c r="C69" s="57"/>
      <c r="D69" s="57"/>
      <c r="E69" s="57"/>
      <c r="F69" s="58"/>
      <c r="G69" s="58"/>
      <c r="H69" s="59" t="s">
        <v>20</v>
      </c>
      <c r="I69" s="60"/>
      <c r="J69" s="61" t="s">
        <v>40</v>
      </c>
      <c r="K69" s="4"/>
      <c r="L69" s="4"/>
      <c r="M69" s="4"/>
      <c r="N69" s="4"/>
      <c r="O69" s="4"/>
      <c r="P69" s="4"/>
      <c r="Q69" s="4"/>
      <c r="R69" s="4"/>
      <c r="S69" s="9"/>
      <c r="T69" s="9"/>
      <c r="U69" s="9"/>
    </row>
    <row r="70" customFormat="false" ht="13.5" hidden="false" customHeight="true" outlineLevel="0" collapsed="false">
      <c r="B70" s="62" t="s">
        <v>21</v>
      </c>
      <c r="C70" s="63" t="s">
        <v>41</v>
      </c>
      <c r="D70" s="64" t="s">
        <v>42</v>
      </c>
      <c r="E70" s="32" t="s">
        <v>43</v>
      </c>
      <c r="F70" s="58"/>
      <c r="G70" s="58"/>
      <c r="H70" s="65" t="s">
        <v>44</v>
      </c>
      <c r="I70" s="66"/>
      <c r="J70" s="35" t="n">
        <f aca="false">+M67</f>
        <v>12120.320307034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9"/>
    </row>
    <row r="71" customFormat="false" ht="15" hidden="false" customHeight="false" outlineLevel="0" collapsed="false">
      <c r="B71" s="62"/>
      <c r="C71" s="63"/>
      <c r="D71" s="64"/>
      <c r="E71" s="32"/>
      <c r="F71" s="58"/>
      <c r="G71" s="58"/>
      <c r="H71" s="65" t="s">
        <v>45</v>
      </c>
      <c r="I71" s="66"/>
      <c r="J71" s="40" t="n">
        <f aca="false">+O67</f>
        <v>805.149421197641</v>
      </c>
      <c r="K71" s="4"/>
      <c r="L71" s="4"/>
      <c r="M71" s="4"/>
      <c r="N71" s="4"/>
      <c r="O71" s="4"/>
      <c r="P71" s="4"/>
      <c r="Q71" s="4"/>
      <c r="R71" s="4"/>
      <c r="S71" s="56"/>
      <c r="T71" s="4"/>
      <c r="U71" s="9"/>
    </row>
    <row r="72" customFormat="false" ht="15" hidden="false" customHeight="false" outlineLevel="0" collapsed="false">
      <c r="B72" s="67"/>
      <c r="C72" s="94" t="n">
        <f aca="false">C48</f>
        <v>0.1</v>
      </c>
      <c r="D72" s="69" t="n">
        <v>0.06</v>
      </c>
      <c r="E72" s="32"/>
      <c r="F72" s="70"/>
      <c r="G72" s="58"/>
      <c r="H72" s="65" t="s">
        <v>32</v>
      </c>
      <c r="I72" s="66"/>
      <c r="J72" s="71" t="n">
        <f aca="false">SUM(J70:J71)</f>
        <v>12925.4697282316</v>
      </c>
      <c r="K72" s="4"/>
      <c r="L72" s="4"/>
      <c r="M72" s="4"/>
      <c r="N72" s="4"/>
      <c r="O72" s="4"/>
      <c r="P72" s="4"/>
      <c r="Q72" s="4"/>
      <c r="R72" s="4"/>
      <c r="S72" s="56"/>
      <c r="T72" s="9"/>
      <c r="U72" s="9"/>
    </row>
    <row r="73" customFormat="false" ht="15" hidden="false" customHeight="true" outlineLevel="0" collapsed="false">
      <c r="B73" s="72" t="str">
        <f aca="false">+B65</f>
        <v>Coordinador/a -Cap de Departament</v>
      </c>
      <c r="C73" s="73" t="n">
        <f aca="false">P65*C72</f>
        <v>279.609545720628</v>
      </c>
      <c r="D73" s="42" t="n">
        <f aca="false">(P65+C73)*D72</f>
        <v>184.542300175614</v>
      </c>
      <c r="E73" s="74" t="n">
        <f aca="false">SUM(C73:D73)</f>
        <v>464.151845896243</v>
      </c>
      <c r="F73" s="75"/>
      <c r="G73" s="9"/>
      <c r="H73" s="59" t="s">
        <v>46</v>
      </c>
      <c r="I73" s="60"/>
      <c r="J73" s="76"/>
      <c r="K73" s="4"/>
      <c r="L73" s="4"/>
      <c r="M73" s="4"/>
      <c r="N73" s="4"/>
      <c r="O73" s="4"/>
      <c r="P73" s="4"/>
      <c r="Q73" s="4"/>
      <c r="R73" s="4"/>
      <c r="S73" s="56"/>
      <c r="T73" s="9"/>
      <c r="U73" s="9"/>
    </row>
    <row r="74" customFormat="false" ht="15" hidden="false" customHeight="false" outlineLevel="0" collapsed="false">
      <c r="B74" s="72" t="str">
        <f aca="false">+B66</f>
        <v>Monitor/a</v>
      </c>
      <c r="C74" s="73" t="n">
        <f aca="false">P66*C72</f>
        <v>1012.93742710253</v>
      </c>
      <c r="D74" s="42" t="n">
        <f aca="false">(P66+C74)*D72</f>
        <v>668.538701887671</v>
      </c>
      <c r="E74" s="74" t="n">
        <f aca="false">SUM(C74:D74)</f>
        <v>1681.4761289902</v>
      </c>
      <c r="F74" s="9"/>
      <c r="G74" s="9"/>
      <c r="H74" s="77" t="s">
        <v>47</v>
      </c>
      <c r="I74" s="78"/>
      <c r="J74" s="40" t="n">
        <f aca="false">+C75</f>
        <v>1292.54697282316</v>
      </c>
      <c r="K74" s="4"/>
      <c r="L74" s="4"/>
      <c r="M74" s="4"/>
      <c r="N74" s="4"/>
      <c r="O74" s="4"/>
      <c r="P74" s="4"/>
      <c r="Q74" s="4"/>
      <c r="R74" s="24"/>
      <c r="S74" s="56"/>
      <c r="T74" s="9"/>
      <c r="U74" s="9"/>
    </row>
    <row r="75" customFormat="false" ht="15" hidden="false" customHeight="false" outlineLevel="0" collapsed="false">
      <c r="B75" s="4"/>
      <c r="C75" s="79" t="n">
        <f aca="false">SUM(C73:C74)</f>
        <v>1292.54697282316</v>
      </c>
      <c r="D75" s="79" t="n">
        <f aca="false">SUM(D73:D74)</f>
        <v>853.081002063285</v>
      </c>
      <c r="E75" s="80" t="n">
        <f aca="false">SUM(E73:E74)</f>
        <v>2145.62797488645</v>
      </c>
      <c r="F75" s="58"/>
      <c r="G75" s="58"/>
      <c r="H75" s="77" t="s">
        <v>48</v>
      </c>
      <c r="I75" s="78"/>
      <c r="J75" s="40" t="n">
        <f aca="false">+D75</f>
        <v>853.081002063285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3.5" hidden="false" customHeight="false" outlineLevel="0" collapsed="false">
      <c r="B76" s="4"/>
      <c r="C76" s="4"/>
      <c r="D76" s="4"/>
      <c r="E76" s="4"/>
      <c r="F76" s="4"/>
      <c r="G76" s="25"/>
      <c r="H76" s="65" t="s">
        <v>49</v>
      </c>
      <c r="I76" s="66"/>
      <c r="J76" s="71" t="n">
        <f aca="false">SUM(J74:J75)</f>
        <v>2145.62797488644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3.5" hidden="false" customHeight="false" outlineLevel="0" collapsed="false">
      <c r="B77" s="81" t="s">
        <v>50</v>
      </c>
      <c r="C77" s="82"/>
      <c r="D77" s="82"/>
      <c r="E77" s="83" t="n">
        <f aca="false">+E75+P67</f>
        <v>15071.097703118</v>
      </c>
      <c r="F77" s="4"/>
      <c r="G77" s="25"/>
      <c r="H77" s="59" t="s">
        <v>51</v>
      </c>
      <c r="I77" s="60"/>
      <c r="J77" s="51" t="n">
        <f aca="false">J72+J76</f>
        <v>15071.097703118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customFormat="false" ht="13.5" hidden="false" customHeight="false" outlineLevel="0" collapsed="false">
      <c r="B78" s="4"/>
      <c r="C78" s="4"/>
      <c r="D78" s="4"/>
      <c r="E78" s="4"/>
      <c r="F78" s="4"/>
      <c r="G78" s="25"/>
      <c r="K78" s="4"/>
      <c r="M78" s="84" t="s">
        <v>52</v>
      </c>
      <c r="N78" s="4"/>
      <c r="O78" s="4"/>
      <c r="P78" s="4"/>
      <c r="Q78" s="4"/>
      <c r="R78" s="4"/>
      <c r="S78" s="4"/>
      <c r="T78" s="4"/>
      <c r="U78" s="4"/>
    </row>
    <row r="79" customFormat="false" ht="23.25" hidden="false" customHeight="false" outlineLevel="0" collapsed="false">
      <c r="B79" s="85" t="s">
        <v>53</v>
      </c>
      <c r="C79" s="36" t="s">
        <v>54</v>
      </c>
      <c r="D79" s="29" t="s">
        <v>55</v>
      </c>
      <c r="E79" s="29" t="s">
        <v>56</v>
      </c>
      <c r="F79" s="29" t="s">
        <v>57</v>
      </c>
      <c r="G79" s="86" t="s">
        <v>58</v>
      </c>
      <c r="L79" s="85" t="s">
        <v>53</v>
      </c>
      <c r="M79" s="29" t="s">
        <v>56</v>
      </c>
      <c r="N79" s="29" t="s">
        <v>55</v>
      </c>
      <c r="O79" s="29" t="s">
        <v>57</v>
      </c>
      <c r="P79" s="6"/>
      <c r="Q79" s="4"/>
      <c r="R79" s="4"/>
      <c r="S79" s="24"/>
      <c r="T79" s="4"/>
      <c r="U79" s="4"/>
    </row>
    <row r="80" customFormat="false" ht="15" hidden="false" customHeight="false" outlineLevel="0" collapsed="false">
      <c r="B80" s="34" t="str">
        <f aca="false">+B65</f>
        <v>Coordinador/a -Cap de Departament</v>
      </c>
      <c r="C80" s="42" t="n">
        <f aca="false">C56</f>
        <v>23.05</v>
      </c>
      <c r="D80" s="40" t="n">
        <f aca="false">+K65</f>
        <v>120</v>
      </c>
      <c r="E80" s="87" t="n">
        <f aca="false">(P65+E73)/K65</f>
        <v>27.1687275258544</v>
      </c>
      <c r="F80" s="40" t="n">
        <f aca="false">D80*E80</f>
        <v>3260.24730310252</v>
      </c>
      <c r="G80" s="88" t="n">
        <f aca="false">+E80/C80-1</f>
        <v>0.178686660557673</v>
      </c>
      <c r="H80" s="89" t="n">
        <f aca="false">+E80-C80</f>
        <v>4.11872752585436</v>
      </c>
      <c r="L80" s="90" t="str">
        <f aca="false">B80</f>
        <v>Coordinador/a -Cap de Departament</v>
      </c>
      <c r="M80" s="91" t="n">
        <f aca="false">ROUND(E80,2)</f>
        <v>27.17</v>
      </c>
      <c r="N80" s="40" t="n">
        <f aca="false">D80</f>
        <v>120</v>
      </c>
      <c r="O80" s="40" t="n">
        <f aca="false">M80*N80</f>
        <v>3260.4</v>
      </c>
      <c r="P80" s="92"/>
      <c r="Q80" s="4"/>
      <c r="R80" s="4"/>
      <c r="S80" s="4"/>
      <c r="T80" s="4"/>
      <c r="U80" s="4"/>
    </row>
    <row r="81" customFormat="false" ht="15" hidden="false" customHeight="false" outlineLevel="0" collapsed="false">
      <c r="B81" s="34" t="str">
        <f aca="false">+B66</f>
        <v>Monitor/a</v>
      </c>
      <c r="C81" s="42" t="n">
        <f aca="false">C57</f>
        <v>17.57</v>
      </c>
      <c r="D81" s="40" t="n">
        <f aca="false">+K66</f>
        <v>586.53</v>
      </c>
      <c r="E81" s="93" t="n">
        <f aca="false">(P66+E74)/K66</f>
        <v>20.1368223279551</v>
      </c>
      <c r="F81" s="40" t="n">
        <f aca="false">D81*E81</f>
        <v>11810.8504000155</v>
      </c>
      <c r="G81" s="88" t="n">
        <f aca="false">+E81/C81-1</f>
        <v>0.146091196810194</v>
      </c>
      <c r="H81" s="89" t="n">
        <f aca="false">+E81-C81</f>
        <v>2.56682232795512</v>
      </c>
      <c r="L81" s="90" t="str">
        <f aca="false">B81</f>
        <v>Monitor/a</v>
      </c>
      <c r="M81" s="91" t="n">
        <f aca="false">ROUND(E81,2)</f>
        <v>20.14</v>
      </c>
      <c r="N81" s="40" t="n">
        <f aca="false">D81</f>
        <v>586.53</v>
      </c>
      <c r="O81" s="40" t="n">
        <f aca="false">M81*N81</f>
        <v>11812.7142</v>
      </c>
      <c r="P81" s="92"/>
      <c r="Q81" s="4"/>
      <c r="R81" s="4"/>
      <c r="S81" s="4"/>
      <c r="T81" s="4"/>
      <c r="U81" s="4"/>
    </row>
    <row r="82" customFormat="false" ht="13.5" hidden="false" customHeight="false" outlineLevel="0" collapsed="false">
      <c r="B82" s="4"/>
      <c r="C82" s="4"/>
      <c r="D82" s="4"/>
      <c r="E82" s="4"/>
      <c r="F82" s="49" t="n">
        <f aca="false">SUM(F80:F81)</f>
        <v>15071.097703118</v>
      </c>
      <c r="G82" s="25"/>
      <c r="H82" s="25"/>
      <c r="I82" s="4"/>
      <c r="J82" s="9"/>
      <c r="K82" s="4"/>
      <c r="L82" s="4"/>
      <c r="O82" s="49" t="n">
        <f aca="false">SUM(O80:O81)</f>
        <v>15073.1142</v>
      </c>
      <c r="P82" s="92" t="n">
        <f aca="false">+O82-F82</f>
        <v>2.0164968819663</v>
      </c>
      <c r="Q82" s="4"/>
      <c r="R82" s="4"/>
      <c r="S82" s="4"/>
      <c r="T82" s="4"/>
      <c r="U82" s="4"/>
    </row>
    <row r="83" customFormat="false" ht="13.5" hidden="false" customHeight="false" outlineLevel="0" collapsed="false">
      <c r="B83" s="4"/>
      <c r="C83" s="4"/>
      <c r="D83" s="4"/>
      <c r="E83" s="4"/>
      <c r="F83" s="4"/>
      <c r="G83" s="25"/>
      <c r="H83" s="25"/>
      <c r="I83" s="4"/>
      <c r="J83" s="4"/>
      <c r="K83" s="4"/>
      <c r="L83" s="4"/>
      <c r="N83" s="4"/>
      <c r="O83" s="4"/>
      <c r="P83" s="4"/>
      <c r="Q83" s="4"/>
      <c r="R83" s="4"/>
      <c r="S83" s="4"/>
    </row>
    <row r="84" customFormat="false" ht="13.5" hidden="false" customHeight="false" outlineLevel="0" collapsed="false">
      <c r="B84" s="4"/>
      <c r="C84" s="4"/>
      <c r="D84" s="4"/>
      <c r="E84" s="4"/>
      <c r="F84" s="4"/>
      <c r="G84" s="25"/>
      <c r="H84" s="2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6" customFormat="false" ht="19.5" hidden="false" customHeight="false" outlineLevel="0" collapsed="false">
      <c r="B86" s="26" t="s">
        <v>61</v>
      </c>
      <c r="C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customFormat="false" ht="13.5" hidden="false" customHeight="false" outlineLevel="0" collapsed="false">
      <c r="A87" s="27" t="s">
        <v>20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customFormat="false" ht="34.5" hidden="false" customHeight="true" outlineLevel="0" collapsed="false">
      <c r="B88" s="28" t="s">
        <v>21</v>
      </c>
      <c r="C88" s="29" t="s">
        <v>22</v>
      </c>
      <c r="D88" s="29"/>
      <c r="E88" s="29" t="s">
        <v>23</v>
      </c>
      <c r="F88" s="29"/>
      <c r="G88" s="30" t="s">
        <v>24</v>
      </c>
      <c r="H88" s="31" t="s">
        <v>25</v>
      </c>
      <c r="I88" s="28" t="s">
        <v>26</v>
      </c>
      <c r="J88" s="29" t="s">
        <v>27</v>
      </c>
      <c r="K88" s="29" t="s">
        <v>28</v>
      </c>
      <c r="L88" s="29" t="s">
        <v>29</v>
      </c>
      <c r="M88" s="28" t="s">
        <v>30</v>
      </c>
      <c r="N88" s="29" t="s">
        <v>31</v>
      </c>
      <c r="O88" s="29"/>
      <c r="P88" s="32" t="s">
        <v>32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customFormat="false" ht="18.75" hidden="false" customHeight="true" outlineLevel="0" collapsed="false">
      <c r="B89" s="34" t="str">
        <f aca="false">B80</f>
        <v>Coordinador/a -Cap de Departament</v>
      </c>
      <c r="C89" s="35" t="n">
        <f aca="false">E10</f>
        <v>27663.384684</v>
      </c>
      <c r="D89" s="36"/>
      <c r="E89" s="37" t="n">
        <f aca="false">E65</f>
        <v>0.3397</v>
      </c>
      <c r="F89" s="35" t="n">
        <f aca="false">SUM(C89:D89)*E89</f>
        <v>9397.2517771548</v>
      </c>
      <c r="G89" s="35" t="n">
        <f aca="false">(C89+D89)*1%</f>
        <v>276.63384684</v>
      </c>
      <c r="H89" s="35" t="n">
        <f aca="false">(D89+C89)*5%</f>
        <v>1383.1692342</v>
      </c>
      <c r="I89" s="35" t="n">
        <f aca="false">C89+D89+F89+G89+H89</f>
        <v>38720.4395421948</v>
      </c>
      <c r="J89" s="38" t="n">
        <v>1695</v>
      </c>
      <c r="K89" s="39" t="n">
        <v>180</v>
      </c>
      <c r="L89" s="35" t="n">
        <f aca="false">K89/J89</f>
        <v>0.106194690265487</v>
      </c>
      <c r="M89" s="40" t="n">
        <f aca="false">L89*I89</f>
        <v>4111.90508412689</v>
      </c>
      <c r="N89" s="41" t="n">
        <f aca="false">N65</f>
        <v>0.02</v>
      </c>
      <c r="O89" s="42" t="n">
        <f aca="false">M89*N89</f>
        <v>82.2381016825379</v>
      </c>
      <c r="P89" s="43" t="n">
        <f aca="false">M89+O89</f>
        <v>4194.14318580943</v>
      </c>
      <c r="S89" s="33"/>
      <c r="T89" s="33"/>
      <c r="U89" s="33"/>
      <c r="V89" s="4"/>
      <c r="W89" s="4"/>
      <c r="X89" s="4"/>
      <c r="Y89" s="4"/>
      <c r="Z89" s="4"/>
      <c r="AA89" s="4"/>
      <c r="AB89" s="4"/>
      <c r="AC89" s="4"/>
    </row>
    <row r="90" customFormat="false" ht="18.75" hidden="false" customHeight="true" outlineLevel="0" collapsed="false">
      <c r="B90" s="34" t="str">
        <f aca="false">B81</f>
        <v>Monitor/a</v>
      </c>
      <c r="C90" s="35" t="n">
        <f aca="false">E11</f>
        <v>19364.37</v>
      </c>
      <c r="D90" s="35"/>
      <c r="E90" s="37" t="n">
        <v>0.3397</v>
      </c>
      <c r="F90" s="35" t="n">
        <f aca="false">SUM(C90:D90)*E90</f>
        <v>6578.076489</v>
      </c>
      <c r="G90" s="35" t="n">
        <f aca="false">(C90+D90)*1%</f>
        <v>193.6437</v>
      </c>
      <c r="H90" s="35" t="n">
        <f aca="false">(D90+C90)*5%</f>
        <v>968.2185</v>
      </c>
      <c r="I90" s="35" t="n">
        <f aca="false">C90+D90+F90+G90+H90</f>
        <v>27104.308689</v>
      </c>
      <c r="J90" s="38" t="n">
        <v>1695</v>
      </c>
      <c r="K90" s="39" t="n">
        <v>1171.47</v>
      </c>
      <c r="L90" s="35" t="n">
        <f aca="false">K90/J90</f>
        <v>0.691132743362832</v>
      </c>
      <c r="M90" s="40" t="n">
        <f aca="false">L90*I90</f>
        <v>18732.6752211816</v>
      </c>
      <c r="N90" s="41" t="n">
        <f aca="false">N66</f>
        <v>0.08</v>
      </c>
      <c r="O90" s="42" t="n">
        <f aca="false">M90*N90</f>
        <v>1498.61401769453</v>
      </c>
      <c r="P90" s="43" t="n">
        <f aca="false">M90+O90</f>
        <v>20231.2892388761</v>
      </c>
      <c r="S90" s="9"/>
      <c r="T90" s="9"/>
      <c r="U90" s="9"/>
    </row>
    <row r="91" customFormat="false" ht="13.5" hidden="false" customHeight="false" outlineLevel="0" collapsed="false">
      <c r="B91" s="4"/>
      <c r="C91" s="45"/>
      <c r="D91" s="4"/>
      <c r="E91" s="4"/>
      <c r="F91" s="4"/>
      <c r="G91" s="46"/>
      <c r="H91" s="4"/>
      <c r="I91" s="9"/>
      <c r="J91" s="47"/>
      <c r="K91" s="48" t="n">
        <f aca="false">SUM(K89:K90)</f>
        <v>1351.47</v>
      </c>
      <c r="L91" s="9"/>
      <c r="M91" s="49" t="n">
        <f aca="false">SUM(M89:M90)</f>
        <v>22844.5803053085</v>
      </c>
      <c r="N91" s="50"/>
      <c r="O91" s="49" t="n">
        <f aca="false">SUM(O89:O90)</f>
        <v>1580.85211937707</v>
      </c>
      <c r="P91" s="51" t="n">
        <f aca="false">SUM(P89:P90)</f>
        <v>24425.4324246856</v>
      </c>
      <c r="S91" s="9"/>
      <c r="T91" s="9"/>
      <c r="U91" s="9"/>
    </row>
    <row r="92" customFormat="false" ht="17.25" hidden="false" customHeight="false" outlineLevel="0" collapsed="false">
      <c r="B92" s="4"/>
      <c r="C92" s="4"/>
      <c r="D92" s="4"/>
      <c r="E92" s="4"/>
      <c r="F92" s="4"/>
      <c r="G92" s="4"/>
      <c r="H92" s="52" t="s">
        <v>38</v>
      </c>
      <c r="I92" s="53"/>
      <c r="J92" s="54"/>
      <c r="K92" s="4"/>
      <c r="L92" s="9"/>
      <c r="M92" s="55"/>
      <c r="N92" s="9"/>
      <c r="O92" s="9"/>
      <c r="P92" s="9"/>
      <c r="Q92" s="9"/>
      <c r="R92" s="9"/>
      <c r="S92" s="9"/>
      <c r="T92" s="9"/>
    </row>
    <row r="93" customFormat="false" ht="13.5" hidden="false" customHeight="false" outlineLevel="0" collapsed="false">
      <c r="B93" s="57" t="s">
        <v>39</v>
      </c>
      <c r="C93" s="57"/>
      <c r="D93" s="57"/>
      <c r="E93" s="57"/>
      <c r="F93" s="58"/>
      <c r="G93" s="58"/>
      <c r="H93" s="59" t="s">
        <v>20</v>
      </c>
      <c r="I93" s="60"/>
      <c r="J93" s="61" t="s">
        <v>40</v>
      </c>
      <c r="K93" s="4"/>
      <c r="L93" s="4"/>
      <c r="M93" s="4"/>
      <c r="N93" s="4"/>
      <c r="O93" s="4"/>
      <c r="P93" s="4"/>
      <c r="Q93" s="4"/>
      <c r="R93" s="4"/>
      <c r="S93" s="9"/>
      <c r="T93" s="9"/>
      <c r="U93" s="9"/>
    </row>
    <row r="94" customFormat="false" ht="13.5" hidden="false" customHeight="true" outlineLevel="0" collapsed="false">
      <c r="B94" s="62" t="s">
        <v>21</v>
      </c>
      <c r="C94" s="63" t="s">
        <v>41</v>
      </c>
      <c r="D94" s="64" t="s">
        <v>42</v>
      </c>
      <c r="E94" s="32" t="s">
        <v>43</v>
      </c>
      <c r="F94" s="58"/>
      <c r="G94" s="58"/>
      <c r="H94" s="65" t="s">
        <v>44</v>
      </c>
      <c r="I94" s="66"/>
      <c r="J94" s="35" t="n">
        <f aca="false">+M91</f>
        <v>22844.5803053085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9"/>
    </row>
    <row r="95" customFormat="false" ht="15" hidden="false" customHeight="false" outlineLevel="0" collapsed="false">
      <c r="B95" s="62"/>
      <c r="C95" s="63"/>
      <c r="D95" s="64"/>
      <c r="E95" s="32"/>
      <c r="F95" s="58"/>
      <c r="G95" s="58"/>
      <c r="H95" s="65" t="s">
        <v>45</v>
      </c>
      <c r="I95" s="66"/>
      <c r="J95" s="40" t="n">
        <f aca="false">+O91</f>
        <v>1580.85211937707</v>
      </c>
      <c r="K95" s="4"/>
      <c r="L95" s="4"/>
      <c r="M95" s="4"/>
      <c r="N95" s="4"/>
      <c r="O95" s="4"/>
      <c r="P95" s="4"/>
      <c r="Q95" s="4"/>
      <c r="R95" s="4"/>
      <c r="S95" s="56"/>
      <c r="T95" s="4"/>
      <c r="U95" s="9"/>
    </row>
    <row r="96" customFormat="false" ht="15" hidden="false" customHeight="false" outlineLevel="0" collapsed="false">
      <c r="B96" s="67"/>
      <c r="C96" s="94" t="n">
        <f aca="false">C72</f>
        <v>0.1</v>
      </c>
      <c r="D96" s="69" t="n">
        <v>0.06</v>
      </c>
      <c r="E96" s="32"/>
      <c r="F96" s="70"/>
      <c r="G96" s="58"/>
      <c r="H96" s="65" t="s">
        <v>32</v>
      </c>
      <c r="I96" s="66"/>
      <c r="J96" s="71" t="n">
        <f aca="false">SUM(J94:J95)</f>
        <v>24425.4324246856</v>
      </c>
      <c r="K96" s="4"/>
      <c r="L96" s="4"/>
      <c r="M96" s="4"/>
      <c r="N96" s="4"/>
      <c r="O96" s="4"/>
      <c r="P96" s="4"/>
      <c r="Q96" s="4"/>
      <c r="R96" s="4"/>
      <c r="S96" s="56"/>
      <c r="T96" s="9"/>
      <c r="U96" s="9"/>
    </row>
    <row r="97" customFormat="false" ht="15" hidden="false" customHeight="true" outlineLevel="0" collapsed="false">
      <c r="B97" s="72" t="str">
        <f aca="false">+B89</f>
        <v>Coordinador/a -Cap de Departament</v>
      </c>
      <c r="C97" s="73" t="n">
        <f aca="false">P89*C96</f>
        <v>419.414318580943</v>
      </c>
      <c r="D97" s="42" t="n">
        <f aca="false">(P89+C97)*D96</f>
        <v>276.813450263422</v>
      </c>
      <c r="E97" s="74" t="n">
        <f aca="false">SUM(C97:D97)</f>
        <v>696.227768844365</v>
      </c>
      <c r="F97" s="75"/>
      <c r="G97" s="9"/>
      <c r="H97" s="59" t="s">
        <v>46</v>
      </c>
      <c r="I97" s="60"/>
      <c r="J97" s="76"/>
      <c r="K97" s="4"/>
      <c r="L97" s="4"/>
      <c r="M97" s="4"/>
      <c r="N97" s="4"/>
      <c r="O97" s="4"/>
      <c r="P97" s="4"/>
      <c r="Q97" s="4"/>
      <c r="R97" s="4"/>
      <c r="S97" s="56"/>
      <c r="T97" s="9"/>
      <c r="U97" s="9"/>
    </row>
    <row r="98" customFormat="false" ht="15" hidden="false" customHeight="false" outlineLevel="0" collapsed="false">
      <c r="B98" s="72" t="str">
        <f aca="false">+B90</f>
        <v>Monitor/a</v>
      </c>
      <c r="C98" s="73" t="n">
        <f aca="false">P90*C96</f>
        <v>2023.12892388761</v>
      </c>
      <c r="D98" s="42" t="n">
        <f aca="false">(P90+C98)*D96</f>
        <v>1335.26508976583</v>
      </c>
      <c r="E98" s="74" t="n">
        <f aca="false">SUM(C98:D98)</f>
        <v>3358.39401365344</v>
      </c>
      <c r="F98" s="9"/>
      <c r="G98" s="9"/>
      <c r="H98" s="77" t="s">
        <v>47</v>
      </c>
      <c r="I98" s="78"/>
      <c r="J98" s="40" t="n">
        <f aca="false">+C99</f>
        <v>2442.54324246856</v>
      </c>
      <c r="K98" s="4"/>
      <c r="L98" s="4"/>
      <c r="M98" s="4"/>
      <c r="N98" s="4"/>
      <c r="O98" s="4"/>
      <c r="P98" s="4"/>
      <c r="Q98" s="4"/>
      <c r="R98" s="24"/>
      <c r="S98" s="56"/>
      <c r="T98" s="9"/>
      <c r="U98" s="9"/>
    </row>
    <row r="99" customFormat="false" ht="15" hidden="false" customHeight="false" outlineLevel="0" collapsed="false">
      <c r="B99" s="4"/>
      <c r="C99" s="79" t="n">
        <f aca="false">SUM(C97:C98)</f>
        <v>2442.54324246856</v>
      </c>
      <c r="D99" s="79" t="n">
        <f aca="false">SUM(D97:D98)</f>
        <v>1612.07854002925</v>
      </c>
      <c r="E99" s="80" t="n">
        <f aca="false">SUM(E97:E98)</f>
        <v>4054.62178249781</v>
      </c>
      <c r="F99" s="58"/>
      <c r="G99" s="58"/>
      <c r="H99" s="77" t="s">
        <v>48</v>
      </c>
      <c r="I99" s="78"/>
      <c r="J99" s="40" t="n">
        <f aca="false">+D99</f>
        <v>1612.07854002925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3.5" hidden="false" customHeight="false" outlineLevel="0" collapsed="false">
      <c r="B100" s="4"/>
      <c r="C100" s="4"/>
      <c r="D100" s="4"/>
      <c r="E100" s="4"/>
      <c r="F100" s="4"/>
      <c r="G100" s="25"/>
      <c r="H100" s="65" t="s">
        <v>49</v>
      </c>
      <c r="I100" s="66"/>
      <c r="J100" s="71" t="n">
        <f aca="false">SUM(J98:J99)</f>
        <v>4054.62178249781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3.5" hidden="false" customHeight="false" outlineLevel="0" collapsed="false">
      <c r="B101" s="81" t="s">
        <v>50</v>
      </c>
      <c r="C101" s="82"/>
      <c r="D101" s="82"/>
      <c r="E101" s="83" t="n">
        <f aca="false">+E99+P91</f>
        <v>28480.0542071834</v>
      </c>
      <c r="F101" s="4"/>
      <c r="G101" s="25"/>
      <c r="H101" s="59" t="s">
        <v>51</v>
      </c>
      <c r="I101" s="60"/>
      <c r="J101" s="51" t="n">
        <f aca="false">J96+J100</f>
        <v>28480.0542071834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customFormat="false" ht="13.5" hidden="false" customHeight="false" outlineLevel="0" collapsed="false">
      <c r="B102" s="4"/>
      <c r="C102" s="4"/>
      <c r="D102" s="4"/>
      <c r="E102" s="4"/>
      <c r="F102" s="4"/>
      <c r="G102" s="25"/>
      <c r="K102" s="4"/>
      <c r="M102" s="84" t="s">
        <v>52</v>
      </c>
      <c r="N102" s="4"/>
      <c r="O102" s="4"/>
      <c r="P102" s="4"/>
      <c r="Q102" s="4"/>
      <c r="R102" s="4"/>
      <c r="S102" s="4"/>
      <c r="T102" s="4"/>
      <c r="U102" s="4"/>
    </row>
    <row r="103" customFormat="false" ht="23.25" hidden="false" customHeight="false" outlineLevel="0" collapsed="false">
      <c r="B103" s="85" t="s">
        <v>53</v>
      </c>
      <c r="C103" s="36" t="s">
        <v>54</v>
      </c>
      <c r="D103" s="29" t="s">
        <v>55</v>
      </c>
      <c r="E103" s="29" t="s">
        <v>56</v>
      </c>
      <c r="F103" s="29" t="s">
        <v>57</v>
      </c>
      <c r="G103" s="86" t="s">
        <v>58</v>
      </c>
      <c r="L103" s="85" t="s">
        <v>53</v>
      </c>
      <c r="M103" s="29" t="s">
        <v>56</v>
      </c>
      <c r="N103" s="29" t="s">
        <v>55</v>
      </c>
      <c r="O103" s="29" t="s">
        <v>57</v>
      </c>
      <c r="P103" s="6"/>
      <c r="Q103" s="4"/>
      <c r="R103" s="4"/>
      <c r="S103" s="24"/>
      <c r="T103" s="4"/>
      <c r="U103" s="4"/>
    </row>
    <row r="104" customFormat="false" ht="15" hidden="false" customHeight="false" outlineLevel="0" collapsed="false">
      <c r="B104" s="34" t="str">
        <f aca="false">+B89</f>
        <v>Coordinador/a -Cap de Departament</v>
      </c>
      <c r="C104" s="42" t="n">
        <f aca="false">C80</f>
        <v>23.05</v>
      </c>
      <c r="D104" s="40" t="n">
        <f aca="false">+K89</f>
        <v>180</v>
      </c>
      <c r="E104" s="87" t="n">
        <f aca="false">(P89+E97)/K89</f>
        <v>27.1687275258544</v>
      </c>
      <c r="F104" s="40" t="n">
        <f aca="false">D104*E104</f>
        <v>4890.3709546538</v>
      </c>
      <c r="G104" s="88" t="n">
        <f aca="false">+E104/C104-1</f>
        <v>0.178686660557676</v>
      </c>
      <c r="H104" s="89" t="n">
        <f aca="false">+E104-C104</f>
        <v>4.11872752585442</v>
      </c>
      <c r="L104" s="90" t="str">
        <f aca="false">B104</f>
        <v>Coordinador/a -Cap de Departament</v>
      </c>
      <c r="M104" s="91" t="n">
        <f aca="false">ROUND(E104,2)</f>
        <v>27.17</v>
      </c>
      <c r="N104" s="40" t="n">
        <f aca="false">D104</f>
        <v>180</v>
      </c>
      <c r="O104" s="40" t="n">
        <f aca="false">M104*N104</f>
        <v>4890.6</v>
      </c>
      <c r="P104" s="92"/>
      <c r="Q104" s="4"/>
      <c r="R104" s="4"/>
      <c r="S104" s="4"/>
      <c r="T104" s="4"/>
      <c r="U104" s="4"/>
    </row>
    <row r="105" customFormat="false" ht="15" hidden="false" customHeight="false" outlineLevel="0" collapsed="false">
      <c r="B105" s="34" t="str">
        <f aca="false">+B90</f>
        <v>Monitor/a</v>
      </c>
      <c r="C105" s="42" t="n">
        <f aca="false">C81</f>
        <v>17.57</v>
      </c>
      <c r="D105" s="40" t="n">
        <f aca="false">+K90</f>
        <v>1171.47</v>
      </c>
      <c r="E105" s="93" t="n">
        <f aca="false">(P90+E98)/K90</f>
        <v>20.1368223279551</v>
      </c>
      <c r="F105" s="40" t="n">
        <f aca="false">D105*E105</f>
        <v>23589.6832525296</v>
      </c>
      <c r="G105" s="88" t="n">
        <f aca="false">+E105/C105-1</f>
        <v>0.146091196810195</v>
      </c>
      <c r="H105" s="89" t="n">
        <f aca="false">+E105-C105</f>
        <v>2.56682232795512</v>
      </c>
      <c r="L105" s="90" t="str">
        <f aca="false">B105</f>
        <v>Monitor/a</v>
      </c>
      <c r="M105" s="91" t="n">
        <f aca="false">ROUND(E105,2)</f>
        <v>20.14</v>
      </c>
      <c r="N105" s="40" t="n">
        <f aca="false">D105</f>
        <v>1171.47</v>
      </c>
      <c r="O105" s="40" t="n">
        <f aca="false">M105*N105</f>
        <v>23593.4058</v>
      </c>
      <c r="P105" s="92"/>
      <c r="Q105" s="4"/>
      <c r="R105" s="4"/>
      <c r="S105" s="4"/>
      <c r="T105" s="4"/>
      <c r="U105" s="4"/>
    </row>
    <row r="106" customFormat="false" ht="13.5" hidden="false" customHeight="false" outlineLevel="0" collapsed="false">
      <c r="B106" s="4"/>
      <c r="C106" s="4"/>
      <c r="D106" s="4"/>
      <c r="E106" s="4"/>
      <c r="F106" s="49" t="n">
        <f aca="false">SUM(F104:F105)</f>
        <v>28480.0542071834</v>
      </c>
      <c r="G106" s="25"/>
      <c r="H106" s="25"/>
      <c r="I106" s="4"/>
      <c r="J106" s="9"/>
      <c r="K106" s="4"/>
      <c r="L106" s="4"/>
      <c r="O106" s="49" t="n">
        <f aca="false">SUM(O104:O105)</f>
        <v>28484.0058</v>
      </c>
      <c r="P106" s="92" t="n">
        <f aca="false">+O106-F106</f>
        <v>3.95159281661472</v>
      </c>
      <c r="Q106" s="4"/>
      <c r="R106" s="4"/>
      <c r="S106" s="4"/>
      <c r="T106" s="4"/>
      <c r="U106" s="4"/>
    </row>
    <row r="107" customFormat="false" ht="13.5" hidden="false" customHeight="false" outlineLevel="0" collapsed="false">
      <c r="B107" s="4"/>
      <c r="C107" s="4"/>
      <c r="D107" s="4"/>
      <c r="E107" s="4"/>
      <c r="F107" s="4"/>
      <c r="G107" s="25"/>
      <c r="H107" s="25"/>
      <c r="I107" s="4"/>
      <c r="J107" s="4"/>
      <c r="K107" s="4"/>
      <c r="L107" s="4"/>
      <c r="N107" s="4"/>
      <c r="O107" s="4"/>
      <c r="P107" s="4"/>
      <c r="Q107" s="4"/>
      <c r="R107" s="4"/>
      <c r="S107" s="4"/>
    </row>
    <row r="108" customFormat="false" ht="7.5" hidden="false" customHeight="true" outlineLevel="0" collapsed="false">
      <c r="B108" s="4"/>
      <c r="C108" s="4"/>
      <c r="D108" s="4"/>
      <c r="E108" s="4"/>
      <c r="F108" s="4"/>
      <c r="G108" s="25"/>
      <c r="H108" s="2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customFormat="false" ht="13.5" hidden="false" customHeight="false" outlineLevel="0" collapsed="false">
      <c r="B109" s="4"/>
      <c r="C109" s="4"/>
      <c r="D109" s="4"/>
      <c r="E109" s="4"/>
      <c r="F109" s="4"/>
      <c r="G109" s="25"/>
      <c r="H109" s="25"/>
      <c r="I109" s="4"/>
      <c r="J109" s="4"/>
      <c r="K109" s="4"/>
      <c r="L109" s="4"/>
      <c r="N109" s="4"/>
      <c r="O109" s="4"/>
      <c r="P109" s="4"/>
      <c r="Q109" s="4"/>
      <c r="R109" s="4"/>
      <c r="S109" s="4"/>
    </row>
    <row r="110" customFormat="false" ht="19.5" hidden="false" customHeight="false" outlineLevel="0" collapsed="false">
      <c r="B110" s="26" t="s">
        <v>62</v>
      </c>
      <c r="C110" s="4"/>
      <c r="E110" s="4"/>
      <c r="F110" s="9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customFormat="false" ht="13.5" hidden="false" customHeight="false" outlineLevel="0" collapsed="false">
      <c r="B111" s="27" t="s">
        <v>20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4"/>
      <c r="R111" s="4"/>
      <c r="S111" s="4"/>
      <c r="T111" s="4"/>
      <c r="U111" s="4"/>
    </row>
    <row r="112" customFormat="false" ht="30.75" hidden="false" customHeight="true" outlineLevel="0" collapsed="false">
      <c r="B112" s="28" t="s">
        <v>21</v>
      </c>
      <c r="C112" s="29" t="s">
        <v>22</v>
      </c>
      <c r="D112" s="29"/>
      <c r="E112" s="29" t="s">
        <v>23</v>
      </c>
      <c r="F112" s="29"/>
      <c r="G112" s="30" t="s">
        <v>24</v>
      </c>
      <c r="H112" s="31" t="s">
        <v>25</v>
      </c>
      <c r="I112" s="28" t="s">
        <v>26</v>
      </c>
      <c r="J112" s="29" t="s">
        <v>27</v>
      </c>
      <c r="K112" s="29" t="s">
        <v>28</v>
      </c>
      <c r="L112" s="29" t="s">
        <v>29</v>
      </c>
      <c r="M112" s="28" t="s">
        <v>30</v>
      </c>
      <c r="N112" s="29" t="s">
        <v>31</v>
      </c>
      <c r="O112" s="29"/>
      <c r="P112" s="32" t="s">
        <v>32</v>
      </c>
      <c r="S112" s="4"/>
      <c r="T112" s="4"/>
      <c r="U112" s="4"/>
    </row>
    <row r="113" customFormat="false" ht="13.5" hidden="false" customHeight="false" outlineLevel="0" collapsed="false">
      <c r="B113" s="34" t="str">
        <f aca="false">B80</f>
        <v>Coordinador/a -Cap de Departament</v>
      </c>
      <c r="C113" s="35" t="n">
        <f aca="false">F10</f>
        <v>27940.01853084</v>
      </c>
      <c r="D113" s="36"/>
      <c r="E113" s="37" t="n">
        <f aca="false">E65</f>
        <v>0.3397</v>
      </c>
      <c r="F113" s="35" t="n">
        <f aca="false">SUM(C113:D113)*E113</f>
        <v>9491.22429492635</v>
      </c>
      <c r="G113" s="35" t="n">
        <f aca="false">(C113+D113)*1%</f>
        <v>279.4001853084</v>
      </c>
      <c r="H113" s="35" t="n">
        <f aca="false">(D113+C113)*5%</f>
        <v>1397.000926542</v>
      </c>
      <c r="I113" s="35" t="n">
        <f aca="false">C113+D113+F113+G113+H113</f>
        <v>39107.6439376168</v>
      </c>
      <c r="J113" s="38" t="n">
        <v>1695</v>
      </c>
      <c r="K113" s="39" t="n">
        <v>120</v>
      </c>
      <c r="L113" s="35" t="n">
        <f aca="false">K113/J113</f>
        <v>0.0707964601769912</v>
      </c>
      <c r="M113" s="40" t="n">
        <f aca="false">L113*I113</f>
        <v>2768.68275664544</v>
      </c>
      <c r="N113" s="41" t="n">
        <f aca="false">N65</f>
        <v>0.02</v>
      </c>
      <c r="O113" s="42" t="n">
        <f aca="false">M113*N113</f>
        <v>55.3736551329087</v>
      </c>
      <c r="P113" s="43" t="n">
        <f aca="false">M113+O113</f>
        <v>2824.05641177834</v>
      </c>
      <c r="R113" s="4"/>
      <c r="S113" s="4"/>
      <c r="T113" s="4"/>
      <c r="U113" s="4"/>
    </row>
    <row r="114" customFormat="false" ht="13.5" hidden="false" customHeight="false" outlineLevel="0" collapsed="false">
      <c r="B114" s="34" t="str">
        <f aca="false">B81</f>
        <v>Monitor/a</v>
      </c>
      <c r="C114" s="35" t="n">
        <f aca="false">F11</f>
        <v>19558.01</v>
      </c>
      <c r="D114" s="35"/>
      <c r="E114" s="37" t="n">
        <v>0.3397</v>
      </c>
      <c r="F114" s="35" t="n">
        <f aca="false">SUM(C114:D114)*E114</f>
        <v>6643.855997</v>
      </c>
      <c r="G114" s="35" t="n">
        <f aca="false">(C114+D114)*1%</f>
        <v>195.5801</v>
      </c>
      <c r="H114" s="35" t="n">
        <f aca="false">(D114+C114)*5%</f>
        <v>977.9005</v>
      </c>
      <c r="I114" s="35" t="n">
        <f aca="false">C114+D114+F114+G114+H114</f>
        <v>27375.346597</v>
      </c>
      <c r="J114" s="38" t="n">
        <v>1695</v>
      </c>
      <c r="K114" s="39" t="n">
        <v>586.53</v>
      </c>
      <c r="L114" s="35" t="n">
        <f aca="false">K114/J114</f>
        <v>0.346035398230089</v>
      </c>
      <c r="M114" s="40" t="n">
        <f aca="false">L114*I114</f>
        <v>9472.83896137959</v>
      </c>
      <c r="N114" s="41" t="n">
        <f aca="false">N66</f>
        <v>0.08</v>
      </c>
      <c r="O114" s="42" t="n">
        <f aca="false">M114*N114</f>
        <v>757.827116910368</v>
      </c>
      <c r="P114" s="43" t="n">
        <f aca="false">M114+O114</f>
        <v>10230.66607829</v>
      </c>
      <c r="S114" s="4"/>
      <c r="T114" s="4"/>
      <c r="U114" s="4"/>
    </row>
    <row r="115" s="96" customFormat="true" ht="13.5" hidden="false" customHeight="false" outlineLevel="0" collapsed="false">
      <c r="A115" s="1"/>
      <c r="B115" s="4"/>
      <c r="C115" s="45"/>
      <c r="D115" s="4"/>
      <c r="E115" s="4"/>
      <c r="F115" s="4"/>
      <c r="G115" s="46"/>
      <c r="H115" s="4"/>
      <c r="I115" s="9"/>
      <c r="J115" s="47"/>
      <c r="K115" s="48" t="n">
        <f aca="false">SUM(K113:K114)</f>
        <v>706.53</v>
      </c>
      <c r="L115" s="9"/>
      <c r="M115" s="49" t="n">
        <f aca="false">SUM(M113:M114)</f>
        <v>12241.521718025</v>
      </c>
      <c r="N115" s="50"/>
      <c r="O115" s="49" t="n">
        <f aca="false">SUM(O113:O114)</f>
        <v>813.200772043276</v>
      </c>
      <c r="P115" s="51" t="n">
        <f aca="false">SUM(P113:P114)</f>
        <v>13054.7224900683</v>
      </c>
      <c r="Q115" s="1"/>
      <c r="R115" s="1"/>
      <c r="S115" s="4"/>
      <c r="T115" s="4"/>
      <c r="U115" s="4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="96" customFormat="true" ht="17.25" hidden="false" customHeight="false" outlineLevel="0" collapsed="false">
      <c r="A116" s="1"/>
      <c r="B116" s="4"/>
      <c r="C116" s="4"/>
      <c r="D116" s="4"/>
      <c r="E116" s="4"/>
      <c r="F116" s="4"/>
      <c r="G116" s="4"/>
      <c r="H116" s="52" t="s">
        <v>38</v>
      </c>
      <c r="I116" s="53"/>
      <c r="J116" s="54"/>
      <c r="K116" s="4"/>
      <c r="L116" s="9"/>
      <c r="M116" s="55"/>
      <c r="N116" s="9"/>
      <c r="O116" s="9"/>
      <c r="P116" s="9"/>
      <c r="Q116" s="9"/>
      <c r="R116" s="9"/>
      <c r="S116" s="4"/>
      <c r="T116" s="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="96" customFormat="true" ht="13.5" hidden="false" customHeight="false" outlineLevel="0" collapsed="false">
      <c r="A117" s="1"/>
      <c r="B117" s="57" t="s">
        <v>39</v>
      </c>
      <c r="C117" s="57"/>
      <c r="D117" s="57"/>
      <c r="E117" s="57"/>
      <c r="F117" s="58"/>
      <c r="G117" s="58"/>
      <c r="H117" s="59" t="s">
        <v>20</v>
      </c>
      <c r="I117" s="60"/>
      <c r="J117" s="61" t="s">
        <v>40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="96" customFormat="true" ht="13.5" hidden="false" customHeight="true" outlineLevel="0" collapsed="false">
      <c r="A118" s="1"/>
      <c r="B118" s="62" t="s">
        <v>21</v>
      </c>
      <c r="C118" s="63" t="s">
        <v>41</v>
      </c>
      <c r="D118" s="64" t="s">
        <v>42</v>
      </c>
      <c r="E118" s="32" t="s">
        <v>43</v>
      </c>
      <c r="F118" s="58"/>
      <c r="G118" s="58"/>
      <c r="H118" s="65" t="s">
        <v>44</v>
      </c>
      <c r="I118" s="66"/>
      <c r="J118" s="35" t="n">
        <f aca="false">+M115</f>
        <v>12241.521718025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="96" customFormat="true" ht="13.5" hidden="false" customHeight="false" outlineLevel="0" collapsed="false">
      <c r="A119" s="1"/>
      <c r="B119" s="62"/>
      <c r="C119" s="63"/>
      <c r="D119" s="64"/>
      <c r="E119" s="32"/>
      <c r="F119" s="58"/>
      <c r="G119" s="58"/>
      <c r="H119" s="65" t="s">
        <v>45</v>
      </c>
      <c r="I119" s="66"/>
      <c r="J119" s="40" t="n">
        <f aca="false">+O115</f>
        <v>813.200772043276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="96" customFormat="true" ht="13.5" hidden="false" customHeight="false" outlineLevel="0" collapsed="false">
      <c r="A120" s="1"/>
      <c r="B120" s="67"/>
      <c r="C120" s="94" t="n">
        <f aca="false">C72</f>
        <v>0.1</v>
      </c>
      <c r="D120" s="69" t="n">
        <v>0.06</v>
      </c>
      <c r="E120" s="32"/>
      <c r="F120" s="70"/>
      <c r="G120" s="58"/>
      <c r="H120" s="65" t="s">
        <v>32</v>
      </c>
      <c r="I120" s="66"/>
      <c r="J120" s="71" t="n">
        <f aca="false">SUM(J118:J119)</f>
        <v>13054.7224900683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="96" customFormat="true" ht="13.5" hidden="false" customHeight="false" outlineLevel="0" collapsed="false">
      <c r="A121" s="1"/>
      <c r="B121" s="72" t="str">
        <f aca="false">+B113</f>
        <v>Coordinador/a -Cap de Departament</v>
      </c>
      <c r="C121" s="73" t="n">
        <f aca="false">P113*C120</f>
        <v>282.405641177834</v>
      </c>
      <c r="D121" s="42" t="n">
        <f aca="false">(P113+C121)*D120</f>
        <v>186.38772317737</v>
      </c>
      <c r="E121" s="74" t="n">
        <f aca="false">SUM(C121:D121)</f>
        <v>468.793364355204</v>
      </c>
      <c r="F121" s="75"/>
      <c r="G121" s="9"/>
      <c r="H121" s="59" t="s">
        <v>46</v>
      </c>
      <c r="I121" s="60"/>
      <c r="J121" s="7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="96" customFormat="true" ht="13.5" hidden="false" customHeight="false" outlineLevel="0" collapsed="false">
      <c r="A122" s="1"/>
      <c r="B122" s="72" t="str">
        <f aca="false">+B114</f>
        <v>Monitor/a</v>
      </c>
      <c r="C122" s="73" t="n">
        <f aca="false">P114*C120</f>
        <v>1023.066607829</v>
      </c>
      <c r="D122" s="42" t="n">
        <f aca="false">(P114+C122)*D120</f>
        <v>675.223961167137</v>
      </c>
      <c r="E122" s="74" t="n">
        <f aca="false">SUM(C122:D122)</f>
        <v>1698.29056899613</v>
      </c>
      <c r="F122" s="9"/>
      <c r="G122" s="9"/>
      <c r="H122" s="77" t="s">
        <v>47</v>
      </c>
      <c r="I122" s="78"/>
      <c r="J122" s="40" t="n">
        <f aca="false">+C123</f>
        <v>1305.47224900683</v>
      </c>
      <c r="K122" s="4"/>
      <c r="L122" s="4"/>
      <c r="M122" s="4"/>
      <c r="N122" s="4"/>
      <c r="O122" s="4"/>
      <c r="P122" s="4"/>
      <c r="Q122" s="4"/>
      <c r="R122" s="24"/>
      <c r="S122" s="4"/>
      <c r="T122" s="4"/>
      <c r="U122" s="4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="96" customFormat="true" ht="15" hidden="false" customHeight="false" outlineLevel="0" collapsed="false">
      <c r="A123" s="1"/>
      <c r="B123" s="4"/>
      <c r="C123" s="79" t="n">
        <f aca="false">SUM(C121:C122)</f>
        <v>1305.47224900683</v>
      </c>
      <c r="D123" s="79" t="n">
        <f aca="false">SUM(D121:D122)</f>
        <v>861.611684344508</v>
      </c>
      <c r="E123" s="80" t="n">
        <f aca="false">SUM(E121:E122)</f>
        <v>2167.08393335134</v>
      </c>
      <c r="F123" s="58"/>
      <c r="G123" s="58"/>
      <c r="H123" s="77" t="s">
        <v>48</v>
      </c>
      <c r="I123" s="78"/>
      <c r="J123" s="40" t="n">
        <f aca="false">+D123</f>
        <v>861.611684344508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="96" customFormat="true" ht="13.5" hidden="false" customHeight="false" outlineLevel="0" collapsed="false">
      <c r="A124" s="1"/>
      <c r="B124" s="4"/>
      <c r="C124" s="4"/>
      <c r="D124" s="4"/>
      <c r="E124" s="4"/>
      <c r="F124" s="4"/>
      <c r="G124" s="25"/>
      <c r="H124" s="65" t="s">
        <v>49</v>
      </c>
      <c r="I124" s="66"/>
      <c r="J124" s="71" t="n">
        <f aca="false">SUM(J122:J123)</f>
        <v>2167.08393335134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="96" customFormat="true" ht="13.5" hidden="false" customHeight="false" outlineLevel="0" collapsed="false">
      <c r="A125" s="1"/>
      <c r="B125" s="81" t="s">
        <v>50</v>
      </c>
      <c r="C125" s="82"/>
      <c r="D125" s="82"/>
      <c r="E125" s="83" t="n">
        <f aca="false">+E123+P115</f>
        <v>15221.8064234196</v>
      </c>
      <c r="F125" s="4"/>
      <c r="G125" s="25"/>
      <c r="H125" s="59" t="s">
        <v>51</v>
      </c>
      <c r="I125" s="60"/>
      <c r="J125" s="51" t="n">
        <f aca="false">J120+J124</f>
        <v>15221.8064234196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="96" customFormat="true" ht="13.5" hidden="false" customHeight="false" outlineLevel="0" collapsed="false">
      <c r="A126" s="1"/>
      <c r="B126" s="4"/>
      <c r="C126" s="4"/>
      <c r="D126" s="4"/>
      <c r="E126" s="4"/>
      <c r="F126" s="4"/>
      <c r="G126" s="25"/>
      <c r="H126" s="1"/>
      <c r="I126" s="1"/>
      <c r="J126" s="1"/>
      <c r="K126" s="4"/>
      <c r="L126" s="1"/>
      <c r="M126" s="84" t="s">
        <v>52</v>
      </c>
      <c r="N126" s="4"/>
      <c r="O126" s="4"/>
      <c r="P126" s="4"/>
      <c r="Q126" s="4"/>
      <c r="R126" s="4"/>
      <c r="S126" s="4"/>
      <c r="T126" s="4"/>
      <c r="U126" s="4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="98" customFormat="true" ht="23.25" hidden="false" customHeight="false" outlineLevel="0" collapsed="false">
      <c r="A127" s="97"/>
      <c r="B127" s="85" t="s">
        <v>53</v>
      </c>
      <c r="C127" s="36" t="s">
        <v>54</v>
      </c>
      <c r="D127" s="29" t="s">
        <v>55</v>
      </c>
      <c r="E127" s="29" t="s">
        <v>56</v>
      </c>
      <c r="F127" s="29" t="s">
        <v>57</v>
      </c>
      <c r="G127" s="86" t="s">
        <v>58</v>
      </c>
      <c r="H127" s="97"/>
      <c r="I127" s="97"/>
      <c r="J127" s="97"/>
      <c r="K127" s="97"/>
      <c r="L127" s="85" t="s">
        <v>53</v>
      </c>
      <c r="M127" s="29" t="s">
        <v>56</v>
      </c>
      <c r="N127" s="29" t="s">
        <v>55</v>
      </c>
      <c r="O127" s="29" t="s">
        <v>57</v>
      </c>
      <c r="P127" s="6"/>
      <c r="Q127" s="4"/>
      <c r="R127" s="4"/>
      <c r="S127" s="4"/>
      <c r="T127" s="4"/>
      <c r="U127" s="4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</row>
    <row r="128" s="96" customFormat="true" ht="15" hidden="false" customHeight="false" outlineLevel="0" collapsed="false">
      <c r="A128" s="1"/>
      <c r="B128" s="34" t="str">
        <f aca="false">+B113</f>
        <v>Coordinador/a -Cap de Departament</v>
      </c>
      <c r="C128" s="42" t="n">
        <f aca="false">C80</f>
        <v>23.05</v>
      </c>
      <c r="D128" s="40" t="n">
        <f aca="false">+K113</f>
        <v>120</v>
      </c>
      <c r="E128" s="87" t="n">
        <f aca="false">(P113+E121)/K113</f>
        <v>27.4404148011129</v>
      </c>
      <c r="F128" s="40" t="n">
        <f aca="false">D128*E128</f>
        <v>3292.84977613354</v>
      </c>
      <c r="G128" s="88" t="n">
        <f aca="false">+E128/C128-1</f>
        <v>0.190473527163248</v>
      </c>
      <c r="H128" s="89" t="n">
        <f aca="false">+E128-C128</f>
        <v>4.39041480111287</v>
      </c>
      <c r="I128" s="1"/>
      <c r="J128" s="1"/>
      <c r="K128" s="1"/>
      <c r="L128" s="90" t="str">
        <f aca="false">B128</f>
        <v>Coordinador/a -Cap de Departament</v>
      </c>
      <c r="M128" s="91" t="n">
        <f aca="false">ROUND(E128,2)</f>
        <v>27.44</v>
      </c>
      <c r="N128" s="40" t="n">
        <f aca="false">D128</f>
        <v>120</v>
      </c>
      <c r="O128" s="40" t="n">
        <f aca="false">M128*N128</f>
        <v>3292.8</v>
      </c>
      <c r="P128" s="92"/>
      <c r="Q128" s="4"/>
      <c r="R128" s="4"/>
      <c r="S128" s="4"/>
      <c r="T128" s="4"/>
      <c r="U128" s="4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customFormat="false" ht="15" hidden="false" customHeight="false" outlineLevel="0" collapsed="false">
      <c r="B129" s="34" t="str">
        <f aca="false">+B114</f>
        <v>Monitor/a</v>
      </c>
      <c r="C129" s="42" t="n">
        <f aca="false">C81</f>
        <v>17.57</v>
      </c>
      <c r="D129" s="40" t="n">
        <f aca="false">+K114</f>
        <v>586.53</v>
      </c>
      <c r="E129" s="87" t="n">
        <f aca="false">(P114+E122)/K114</f>
        <v>20.3381867036402</v>
      </c>
      <c r="F129" s="40" t="n">
        <f aca="false">D129*E129</f>
        <v>11928.9566472861</v>
      </c>
      <c r="G129" s="88" t="n">
        <f aca="false">+E129/C129-1</f>
        <v>0.157551889791703</v>
      </c>
      <c r="H129" s="89" t="n">
        <f aca="false">+E129-C129</f>
        <v>2.76818670364021</v>
      </c>
      <c r="L129" s="90" t="str">
        <f aca="false">B129</f>
        <v>Monitor/a</v>
      </c>
      <c r="M129" s="91" t="n">
        <f aca="false">ROUND(E129,2)</f>
        <v>20.34</v>
      </c>
      <c r="N129" s="40" t="n">
        <f aca="false">D129</f>
        <v>586.53</v>
      </c>
      <c r="O129" s="40" t="n">
        <f aca="false">M129*N129</f>
        <v>11930.0202</v>
      </c>
      <c r="P129" s="92"/>
      <c r="Q129" s="4"/>
      <c r="R129" s="4"/>
      <c r="S129" s="4"/>
      <c r="T129" s="4"/>
      <c r="U129" s="4"/>
    </row>
    <row r="130" customFormat="false" ht="13.5" hidden="false" customHeight="false" outlineLevel="0" collapsed="false">
      <c r="B130" s="4"/>
      <c r="C130" s="4"/>
      <c r="D130" s="4"/>
      <c r="E130" s="4"/>
      <c r="F130" s="49" t="n">
        <f aca="false">SUM(F128:F129)</f>
        <v>15221.8064234196</v>
      </c>
      <c r="G130" s="25"/>
      <c r="H130" s="25"/>
      <c r="I130" s="4"/>
      <c r="J130" s="9"/>
      <c r="K130" s="4"/>
      <c r="L130" s="4"/>
      <c r="O130" s="49" t="n">
        <f aca="false">SUM(O128:O129)</f>
        <v>15222.8202</v>
      </c>
      <c r="P130" s="92" t="n">
        <f aca="false">+O130-F130</f>
        <v>1.0137765803629</v>
      </c>
      <c r="Q130" s="4"/>
      <c r="R130" s="4"/>
      <c r="S130" s="4"/>
      <c r="T130" s="4"/>
      <c r="U130" s="4"/>
    </row>
    <row r="131" customFormat="false" ht="13.5" hidden="false" customHeight="false" outlineLevel="0" collapsed="false">
      <c r="B131" s="4"/>
      <c r="C131" s="4"/>
      <c r="D131" s="4"/>
      <c r="E131" s="4"/>
      <c r="F131" s="4"/>
      <c r="G131" s="25"/>
      <c r="H131" s="25"/>
      <c r="I131" s="4"/>
      <c r="J131" s="4"/>
      <c r="K131" s="4"/>
      <c r="L131" s="4"/>
      <c r="N131" s="4"/>
      <c r="O131" s="4"/>
      <c r="P131" s="4"/>
      <c r="Q131" s="4"/>
      <c r="R131" s="4"/>
      <c r="S131" s="4"/>
      <c r="T131" s="4"/>
      <c r="U131" s="4"/>
    </row>
    <row r="132" customFormat="false" ht="8.25" hidden="false" customHeight="true" outlineLevel="0" collapsed="false">
      <c r="B132" s="99"/>
      <c r="C132" s="99"/>
      <c r="D132" s="99"/>
      <c r="E132" s="99"/>
      <c r="F132" s="99"/>
      <c r="G132" s="100"/>
      <c r="H132" s="100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7"/>
      <c r="W132" s="97"/>
      <c r="X132" s="97"/>
      <c r="Y132" s="97"/>
      <c r="Z132" s="97"/>
      <c r="AA132" s="97"/>
      <c r="AB132" s="97"/>
      <c r="AC132" s="97"/>
      <c r="AD132" s="97"/>
    </row>
    <row r="133" customFormat="false" ht="13.5" hidden="false" customHeight="false" outlineLevel="0" collapsed="false">
      <c r="B133" s="4"/>
      <c r="C133" s="4"/>
      <c r="D133" s="4"/>
      <c r="E133" s="4"/>
      <c r="F133" s="4"/>
      <c r="G133" s="25"/>
      <c r="H133" s="25"/>
      <c r="I133" s="4"/>
      <c r="J133" s="4"/>
      <c r="K133" s="4"/>
      <c r="L133" s="4"/>
      <c r="N133" s="4"/>
      <c r="O133" s="4"/>
      <c r="P133" s="4"/>
      <c r="Q133" s="4"/>
      <c r="R133" s="4"/>
      <c r="S133" s="4"/>
      <c r="T133" s="4"/>
      <c r="U133" s="4"/>
    </row>
    <row r="134" customFormat="false" ht="13.5" hidden="false" customHeight="false" outlineLevel="0" collapsed="false">
      <c r="B134" s="4"/>
      <c r="C134" s="4"/>
      <c r="D134" s="4"/>
      <c r="E134" s="4"/>
      <c r="F134" s="4"/>
      <c r="G134" s="25"/>
      <c r="H134" s="2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customFormat="false" ht="13.5" hidden="false" customHeight="false" outlineLevel="0" collapsed="false">
      <c r="B135" s="4"/>
      <c r="C135" s="4"/>
      <c r="D135" s="4"/>
      <c r="E135" s="4"/>
      <c r="F135" s="4"/>
      <c r="G135" s="25"/>
      <c r="H135" s="2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customFormat="false" ht="19.5" hidden="false" customHeight="false" outlineLevel="0" collapsed="false">
      <c r="B136" s="26" t="s">
        <v>63</v>
      </c>
      <c r="C136" s="4"/>
      <c r="E136" s="4"/>
      <c r="F136" s="9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customFormat="false" ht="13.5" hidden="false" customHeight="false" outlineLevel="0" collapsed="false">
      <c r="B137" s="27" t="s">
        <v>20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4"/>
      <c r="R137" s="4"/>
      <c r="S137" s="4"/>
      <c r="T137" s="4"/>
      <c r="U137" s="4"/>
    </row>
    <row r="138" customFormat="false" ht="36" hidden="false" customHeight="true" outlineLevel="0" collapsed="false">
      <c r="B138" s="28" t="s">
        <v>21</v>
      </c>
      <c r="C138" s="29" t="s">
        <v>22</v>
      </c>
      <c r="D138" s="29"/>
      <c r="E138" s="29" t="s">
        <v>23</v>
      </c>
      <c r="F138" s="29"/>
      <c r="G138" s="30" t="s">
        <v>24</v>
      </c>
      <c r="H138" s="31" t="s">
        <v>25</v>
      </c>
      <c r="I138" s="28" t="s">
        <v>26</v>
      </c>
      <c r="J138" s="29" t="s">
        <v>27</v>
      </c>
      <c r="K138" s="29" t="s">
        <v>28</v>
      </c>
      <c r="L138" s="29" t="s">
        <v>29</v>
      </c>
      <c r="M138" s="28" t="s">
        <v>30</v>
      </c>
      <c r="N138" s="29" t="s">
        <v>31</v>
      </c>
      <c r="O138" s="29"/>
      <c r="P138" s="32" t="s">
        <v>32</v>
      </c>
      <c r="S138" s="4"/>
      <c r="T138" s="4"/>
      <c r="U138" s="4"/>
    </row>
    <row r="139" customFormat="false" ht="13.5" hidden="false" customHeight="false" outlineLevel="0" collapsed="false">
      <c r="B139" s="34" t="s">
        <v>64</v>
      </c>
      <c r="C139" s="35" t="n">
        <f aca="false">F10</f>
        <v>27940.01853084</v>
      </c>
      <c r="D139" s="36"/>
      <c r="E139" s="37" t="n">
        <f aca="false">E17</f>
        <v>0.3397</v>
      </c>
      <c r="F139" s="35" t="n">
        <f aca="false">SUM(C139:D139)*E139</f>
        <v>9491.22429492635</v>
      </c>
      <c r="G139" s="35" t="n">
        <f aca="false">(C139+D139)*1%</f>
        <v>279.4001853084</v>
      </c>
      <c r="H139" s="35" t="n">
        <f aca="false">(D139+C139)*5%</f>
        <v>1397.000926542</v>
      </c>
      <c r="I139" s="35" t="n">
        <f aca="false">C139+D139+F139+G139+H139</f>
        <v>39107.6439376168</v>
      </c>
      <c r="J139" s="38" t="n">
        <v>1695</v>
      </c>
      <c r="K139" s="39" t="n">
        <v>180</v>
      </c>
      <c r="L139" s="35" t="n">
        <f aca="false">K139/J139</f>
        <v>0.106194690265487</v>
      </c>
      <c r="M139" s="40" t="n">
        <f aca="false">L139*I139</f>
        <v>4153.02413496816</v>
      </c>
      <c r="N139" s="41" t="n">
        <f aca="false">N113</f>
        <v>0.02</v>
      </c>
      <c r="O139" s="42" t="n">
        <f aca="false">M139*N139</f>
        <v>83.0604826993632</v>
      </c>
      <c r="P139" s="43" t="n">
        <f aca="false">M139+O139</f>
        <v>4236.08461766752</v>
      </c>
      <c r="S139" s="4"/>
      <c r="T139" s="4"/>
      <c r="U139" s="4"/>
    </row>
    <row r="140" customFormat="false" ht="13.5" hidden="false" customHeight="false" outlineLevel="0" collapsed="false">
      <c r="B140" s="34" t="s">
        <v>18</v>
      </c>
      <c r="C140" s="35" t="n">
        <f aca="false">F11</f>
        <v>19558.01</v>
      </c>
      <c r="D140" s="35"/>
      <c r="E140" s="37" t="n">
        <v>0.3397</v>
      </c>
      <c r="F140" s="35" t="n">
        <f aca="false">SUM(C140:D140)*E140</f>
        <v>6643.855997</v>
      </c>
      <c r="G140" s="35" t="n">
        <f aca="false">(C140+D140)*1%</f>
        <v>195.5801</v>
      </c>
      <c r="H140" s="35" t="n">
        <f aca="false">(D140+C140)*5%</f>
        <v>977.9005</v>
      </c>
      <c r="I140" s="35" t="n">
        <f aca="false">C140+D140+F140+G140+H140</f>
        <v>27375.346597</v>
      </c>
      <c r="J140" s="38" t="n">
        <v>1695</v>
      </c>
      <c r="K140" s="39" t="n">
        <v>1171.47</v>
      </c>
      <c r="L140" s="35" t="n">
        <f aca="false">K140/J140</f>
        <v>0.691132743362832</v>
      </c>
      <c r="M140" s="40" t="n">
        <f aca="false">L140*I140</f>
        <v>18919.998394093</v>
      </c>
      <c r="N140" s="41" t="n">
        <f aca="false">N114</f>
        <v>0.08</v>
      </c>
      <c r="O140" s="42" t="n">
        <f aca="false">M140*N140</f>
        <v>1513.59987152744</v>
      </c>
      <c r="P140" s="43" t="n">
        <f aca="false">M140+O140</f>
        <v>20433.5982656204</v>
      </c>
      <c r="S140" s="4"/>
      <c r="T140" s="4"/>
      <c r="U140" s="4"/>
    </row>
    <row r="141" customFormat="false" ht="13.5" hidden="false" customHeight="false" outlineLevel="0" collapsed="false">
      <c r="B141" s="4"/>
      <c r="C141" s="45"/>
      <c r="D141" s="4"/>
      <c r="E141" s="4"/>
      <c r="F141" s="4"/>
      <c r="G141" s="46"/>
      <c r="H141" s="4"/>
      <c r="I141" s="9"/>
      <c r="J141" s="47"/>
      <c r="K141" s="48" t="n">
        <f aca="false">SUM(K139:K140)</f>
        <v>1351.47</v>
      </c>
      <c r="L141" s="9"/>
      <c r="M141" s="49" t="n">
        <f aca="false">SUM(M139:M140)</f>
        <v>23073.0225290611</v>
      </c>
      <c r="N141" s="50"/>
      <c r="O141" s="49" t="n">
        <f aca="false">SUM(O139:O140)</f>
        <v>1596.6603542268</v>
      </c>
      <c r="P141" s="51" t="n">
        <f aca="false">SUM(P139:P140)</f>
        <v>24669.6828832879</v>
      </c>
      <c r="S141" s="4"/>
      <c r="T141" s="4"/>
      <c r="U141" s="4"/>
    </row>
    <row r="142" customFormat="false" ht="17.25" hidden="false" customHeight="false" outlineLevel="0" collapsed="false">
      <c r="B142" s="4"/>
      <c r="C142" s="4"/>
      <c r="D142" s="4"/>
      <c r="E142" s="4"/>
      <c r="F142" s="4"/>
      <c r="G142" s="4"/>
      <c r="H142" s="52" t="s">
        <v>38</v>
      </c>
      <c r="I142" s="53"/>
      <c r="J142" s="54"/>
      <c r="K142" s="4"/>
      <c r="L142" s="9"/>
      <c r="M142" s="55"/>
      <c r="N142" s="9"/>
      <c r="O142" s="9"/>
      <c r="P142" s="9"/>
      <c r="Q142" s="9"/>
      <c r="R142" s="9"/>
      <c r="S142" s="4"/>
      <c r="T142" s="4"/>
    </row>
    <row r="143" customFormat="false" ht="13.5" hidden="false" customHeight="false" outlineLevel="0" collapsed="false">
      <c r="B143" s="57" t="s">
        <v>39</v>
      </c>
      <c r="C143" s="57"/>
      <c r="D143" s="57"/>
      <c r="E143" s="57"/>
      <c r="F143" s="58"/>
      <c r="G143" s="58"/>
      <c r="H143" s="59" t="s">
        <v>20</v>
      </c>
      <c r="I143" s="60"/>
      <c r="J143" s="61" t="s">
        <v>40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3.5" hidden="false" customHeight="true" outlineLevel="0" collapsed="false">
      <c r="B144" s="62" t="s">
        <v>21</v>
      </c>
      <c r="C144" s="63" t="s">
        <v>41</v>
      </c>
      <c r="D144" s="64" t="s">
        <v>42</v>
      </c>
      <c r="E144" s="32" t="s">
        <v>43</v>
      </c>
      <c r="F144" s="58"/>
      <c r="G144" s="58"/>
      <c r="H144" s="65" t="s">
        <v>44</v>
      </c>
      <c r="I144" s="66"/>
      <c r="J144" s="35" t="n">
        <f aca="false">+M141</f>
        <v>23073.0225290611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3.5" hidden="false" customHeight="false" outlineLevel="0" collapsed="false">
      <c r="B145" s="62"/>
      <c r="C145" s="63"/>
      <c r="D145" s="64"/>
      <c r="E145" s="32"/>
      <c r="F145" s="58"/>
      <c r="G145" s="58"/>
      <c r="H145" s="65" t="s">
        <v>45</v>
      </c>
      <c r="I145" s="66"/>
      <c r="J145" s="40" t="n">
        <f aca="false">+O141</f>
        <v>1596.6603542268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3.5" hidden="false" customHeight="false" outlineLevel="0" collapsed="false">
      <c r="B146" s="67"/>
      <c r="C146" s="94" t="n">
        <f aca="false">C120</f>
        <v>0.1</v>
      </c>
      <c r="D146" s="69" t="n">
        <v>0.06</v>
      </c>
      <c r="E146" s="32"/>
      <c r="F146" s="70"/>
      <c r="G146" s="58"/>
      <c r="H146" s="65" t="s">
        <v>32</v>
      </c>
      <c r="I146" s="66"/>
      <c r="J146" s="71" t="n">
        <f aca="false">SUM(J144:J145)</f>
        <v>24669.6828832879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3.5" hidden="false" customHeight="false" outlineLevel="0" collapsed="false">
      <c r="B147" s="72" t="str">
        <f aca="false">+B139</f>
        <v>Coordinador/a</v>
      </c>
      <c r="C147" s="73" t="n">
        <f aca="false">P139*C146</f>
        <v>423.608461766752</v>
      </c>
      <c r="D147" s="42" t="n">
        <f aca="false">(P139+C147)*D146</f>
        <v>279.581584766056</v>
      </c>
      <c r="E147" s="74" t="n">
        <f aca="false">SUM(C147:D147)</f>
        <v>703.190046532808</v>
      </c>
      <c r="F147" s="75"/>
      <c r="G147" s="9"/>
      <c r="H147" s="59" t="s">
        <v>46</v>
      </c>
      <c r="I147" s="60"/>
      <c r="J147" s="76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customFormat="false" ht="13.5" hidden="false" customHeight="false" outlineLevel="0" collapsed="false">
      <c r="B148" s="72" t="str">
        <f aca="false">+B140</f>
        <v>Monitor</v>
      </c>
      <c r="C148" s="73" t="n">
        <f aca="false">P140*C146</f>
        <v>2043.35982656204</v>
      </c>
      <c r="D148" s="42" t="n">
        <f aca="false">(P140+C148)*D146</f>
        <v>1348.61748553095</v>
      </c>
      <c r="E148" s="74" t="n">
        <f aca="false">SUM(C148:D148)</f>
        <v>3391.97731209299</v>
      </c>
      <c r="F148" s="9"/>
      <c r="G148" s="9"/>
      <c r="H148" s="77" t="s">
        <v>47</v>
      </c>
      <c r="I148" s="78"/>
      <c r="J148" s="40" t="n">
        <f aca="false">+C149</f>
        <v>2466.96828832879</v>
      </c>
      <c r="K148" s="4"/>
      <c r="L148" s="4"/>
      <c r="M148" s="4"/>
      <c r="N148" s="4"/>
      <c r="O148" s="4"/>
      <c r="P148" s="4"/>
      <c r="Q148" s="4"/>
      <c r="R148" s="24"/>
      <c r="S148" s="4"/>
      <c r="T148" s="4"/>
      <c r="U148" s="4"/>
    </row>
    <row r="149" customFormat="false" ht="15" hidden="false" customHeight="false" outlineLevel="0" collapsed="false">
      <c r="B149" s="4"/>
      <c r="C149" s="79" t="n">
        <f aca="false">SUM(C147:C148)</f>
        <v>2466.96828832879</v>
      </c>
      <c r="D149" s="79" t="n">
        <f aca="false">SUM(D147:D148)</f>
        <v>1628.199070297</v>
      </c>
      <c r="E149" s="80" t="n">
        <f aca="false">SUM(E147:E148)</f>
        <v>4095.1673586258</v>
      </c>
      <c r="F149" s="58"/>
      <c r="G149" s="58"/>
      <c r="H149" s="77" t="s">
        <v>48</v>
      </c>
      <c r="I149" s="78"/>
      <c r="J149" s="40" t="n">
        <f aca="false">+D149</f>
        <v>1628.199070297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customFormat="false" ht="13.5" hidden="false" customHeight="false" outlineLevel="0" collapsed="false">
      <c r="B150" s="4"/>
      <c r="C150" s="4"/>
      <c r="D150" s="4"/>
      <c r="E150" s="4"/>
      <c r="F150" s="4"/>
      <c r="G150" s="25"/>
      <c r="H150" s="65" t="s">
        <v>49</v>
      </c>
      <c r="I150" s="66"/>
      <c r="J150" s="71" t="n">
        <f aca="false">SUM(J148:J149)</f>
        <v>4095.1673586258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customFormat="false" ht="13.5" hidden="false" customHeight="false" outlineLevel="0" collapsed="false">
      <c r="B151" s="81" t="s">
        <v>50</v>
      </c>
      <c r="C151" s="82"/>
      <c r="D151" s="82"/>
      <c r="E151" s="83" t="n">
        <f aca="false">+E149+P141</f>
        <v>28764.8502419137</v>
      </c>
      <c r="F151" s="4"/>
      <c r="G151" s="25"/>
      <c r="H151" s="59" t="s">
        <v>51</v>
      </c>
      <c r="I151" s="60"/>
      <c r="J151" s="51" t="n">
        <f aca="false">J146+J150</f>
        <v>28764.8502419137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3.5" hidden="false" customHeight="false" outlineLevel="0" collapsed="false">
      <c r="B152" s="4"/>
      <c r="C152" s="4"/>
      <c r="D152" s="4"/>
      <c r="E152" s="4"/>
      <c r="F152" s="4"/>
      <c r="G152" s="25"/>
      <c r="K152" s="4"/>
      <c r="M152" s="84" t="s">
        <v>52</v>
      </c>
      <c r="N152" s="4"/>
      <c r="O152" s="4"/>
      <c r="P152" s="4"/>
      <c r="Q152" s="4"/>
      <c r="R152" s="4"/>
      <c r="S152" s="4"/>
      <c r="T152" s="4"/>
      <c r="U152" s="4"/>
    </row>
    <row r="153" customFormat="false" ht="23.25" hidden="false" customHeight="false" outlineLevel="0" collapsed="false">
      <c r="B153" s="85" t="s">
        <v>53</v>
      </c>
      <c r="C153" s="36" t="s">
        <v>54</v>
      </c>
      <c r="D153" s="29" t="s">
        <v>55</v>
      </c>
      <c r="E153" s="29" t="s">
        <v>56</v>
      </c>
      <c r="F153" s="29" t="s">
        <v>57</v>
      </c>
      <c r="G153" s="86" t="s">
        <v>58</v>
      </c>
      <c r="L153" s="85" t="s">
        <v>53</v>
      </c>
      <c r="M153" s="29" t="s">
        <v>56</v>
      </c>
      <c r="N153" s="29" t="s">
        <v>55</v>
      </c>
      <c r="O153" s="29" t="s">
        <v>57</v>
      </c>
      <c r="P153" s="6"/>
      <c r="Q153" s="4"/>
      <c r="R153" s="4"/>
      <c r="S153" s="4"/>
      <c r="T153" s="4"/>
      <c r="U153" s="4"/>
    </row>
    <row r="154" customFormat="false" ht="15" hidden="false" customHeight="false" outlineLevel="0" collapsed="false">
      <c r="B154" s="34" t="str">
        <f aca="false">+B139</f>
        <v>Coordinador/a</v>
      </c>
      <c r="C154" s="42" t="n">
        <f aca="false">C128</f>
        <v>23.05</v>
      </c>
      <c r="D154" s="40" t="n">
        <f aca="false">+K139</f>
        <v>180</v>
      </c>
      <c r="E154" s="87" t="n">
        <f aca="false">(P139+E147)/K139</f>
        <v>27.4404148011129</v>
      </c>
      <c r="F154" s="40" t="n">
        <f aca="false">D154*E154</f>
        <v>4939.27466420033</v>
      </c>
      <c r="G154" s="88" t="n">
        <f aca="false">+E154/C154-1</f>
        <v>0.190473527163251</v>
      </c>
      <c r="H154" s="89" t="n">
        <f aca="false">+E154-C154</f>
        <v>4.39041480111294</v>
      </c>
      <c r="L154" s="90" t="str">
        <f aca="false">B154</f>
        <v>Coordinador/a</v>
      </c>
      <c r="M154" s="91" t="n">
        <f aca="false">ROUND(E154,2)</f>
        <v>27.44</v>
      </c>
      <c r="N154" s="40" t="n">
        <f aca="false">D154</f>
        <v>180</v>
      </c>
      <c r="O154" s="40" t="n">
        <f aca="false">M154*N154</f>
        <v>4939.2</v>
      </c>
      <c r="P154" s="92"/>
      <c r="Q154" s="4"/>
      <c r="R154" s="4"/>
      <c r="S154" s="4"/>
      <c r="T154" s="4"/>
      <c r="U154" s="4"/>
    </row>
    <row r="155" customFormat="false" ht="15" hidden="false" customHeight="false" outlineLevel="0" collapsed="false">
      <c r="B155" s="34" t="str">
        <f aca="false">+B140</f>
        <v>Monitor</v>
      </c>
      <c r="C155" s="42" t="n">
        <f aca="false">C129</f>
        <v>17.57</v>
      </c>
      <c r="D155" s="40" t="n">
        <f aca="false">+K140</f>
        <v>1171.47</v>
      </c>
      <c r="E155" s="93" t="n">
        <f aca="false">(P140+E148)/K140</f>
        <v>20.3381867036402</v>
      </c>
      <c r="F155" s="40" t="n">
        <f aca="false">D155*E155</f>
        <v>23825.5755777134</v>
      </c>
      <c r="G155" s="88" t="n">
        <f aca="false">+E155/C155-1</f>
        <v>0.157551889791702</v>
      </c>
      <c r="H155" s="89" t="n">
        <f aca="false">+E155-C155</f>
        <v>2.76818670364021</v>
      </c>
      <c r="L155" s="90" t="str">
        <f aca="false">B155</f>
        <v>Monitor</v>
      </c>
      <c r="M155" s="91" t="n">
        <f aca="false">ROUND(E155,2)</f>
        <v>20.34</v>
      </c>
      <c r="N155" s="40" t="n">
        <f aca="false">D155</f>
        <v>1171.47</v>
      </c>
      <c r="O155" s="40" t="n">
        <f aca="false">M155*N155</f>
        <v>23827.6998</v>
      </c>
      <c r="P155" s="92"/>
      <c r="Q155" s="4"/>
      <c r="R155" s="4"/>
      <c r="S155" s="4"/>
      <c r="T155" s="4"/>
      <c r="U155" s="4"/>
    </row>
    <row r="156" customFormat="false" ht="13.5" hidden="false" customHeight="false" outlineLevel="0" collapsed="false">
      <c r="B156" s="4"/>
      <c r="C156" s="4"/>
      <c r="D156" s="4"/>
      <c r="E156" s="4"/>
      <c r="F156" s="49" t="n">
        <f aca="false">SUM(F154:F155)</f>
        <v>28764.8502419137</v>
      </c>
      <c r="G156" s="25"/>
      <c r="H156" s="25"/>
      <c r="I156" s="4"/>
      <c r="J156" s="9"/>
      <c r="K156" s="4"/>
      <c r="L156" s="4"/>
      <c r="O156" s="49" t="n">
        <f aca="false">SUM(O154:O155)</f>
        <v>28766.8998</v>
      </c>
      <c r="P156" s="92" t="n">
        <f aca="false">+O156-F156</f>
        <v>2.04955808627346</v>
      </c>
      <c r="Q156" s="4"/>
      <c r="R156" s="4"/>
      <c r="S156" s="4"/>
      <c r="T156" s="4"/>
      <c r="U156" s="4"/>
    </row>
    <row r="157" customFormat="false" ht="13.5" hidden="false" customHeight="false" outlineLevel="0" collapsed="false">
      <c r="B157" s="4"/>
      <c r="C157" s="4"/>
      <c r="D157" s="4"/>
      <c r="E157" s="4"/>
      <c r="F157" s="4"/>
      <c r="G157" s="25"/>
      <c r="H157" s="2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customFormat="false" ht="13.5" hidden="false" customHeight="false" outlineLevel="0" collapsed="false">
      <c r="B158" s="4"/>
      <c r="C158" s="4"/>
      <c r="D158" s="4"/>
      <c r="E158" s="4"/>
      <c r="F158" s="4"/>
      <c r="G158" s="25"/>
      <c r="H158" s="2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customFormat="false" ht="13.5" hidden="false" customHeight="false" outlineLevel="0" collapsed="false">
      <c r="B159" s="4"/>
      <c r="C159" s="4"/>
      <c r="D159" s="4"/>
      <c r="E159" s="4"/>
      <c r="F159" s="4"/>
      <c r="G159" s="25"/>
      <c r="H159" s="2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customFormat="false" ht="19.5" hidden="false" customHeight="false" outlineLevel="0" collapsed="false">
      <c r="B160" s="101" t="s">
        <v>65</v>
      </c>
      <c r="C160" s="102"/>
      <c r="D160" s="103"/>
      <c r="E160" s="4"/>
      <c r="F160" s="9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3.5" hidden="false" customHeight="false" outlineLevel="0" collapsed="false">
      <c r="B161" s="27" t="s">
        <v>20</v>
      </c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4"/>
      <c r="R161" s="4"/>
      <c r="S161" s="4"/>
      <c r="T161" s="4"/>
      <c r="U161" s="4"/>
    </row>
    <row r="162" customFormat="false" ht="31.5" hidden="false" customHeight="true" outlineLevel="0" collapsed="false">
      <c r="B162" s="28" t="s">
        <v>21</v>
      </c>
      <c r="C162" s="29" t="s">
        <v>22</v>
      </c>
      <c r="D162" s="29"/>
      <c r="E162" s="29" t="s">
        <v>23</v>
      </c>
      <c r="F162" s="29"/>
      <c r="G162" s="30" t="s">
        <v>24</v>
      </c>
      <c r="H162" s="31" t="s">
        <v>25</v>
      </c>
      <c r="I162" s="28" t="s">
        <v>26</v>
      </c>
      <c r="J162" s="29" t="s">
        <v>27</v>
      </c>
      <c r="K162" s="29" t="s">
        <v>28</v>
      </c>
      <c r="L162" s="29" t="s">
        <v>29</v>
      </c>
      <c r="M162" s="28" t="s">
        <v>30</v>
      </c>
      <c r="N162" s="29" t="s">
        <v>31</v>
      </c>
      <c r="O162" s="29"/>
      <c r="P162" s="32" t="s">
        <v>32</v>
      </c>
      <c r="S162" s="4"/>
      <c r="T162" s="4"/>
      <c r="U162" s="4"/>
    </row>
    <row r="163" customFormat="false" ht="13.5" hidden="false" customHeight="false" outlineLevel="0" collapsed="false">
      <c r="B163" s="34" t="str">
        <f aca="false">B154</f>
        <v>Coordinador/a</v>
      </c>
      <c r="C163" s="35" t="n">
        <f aca="false">F10</f>
        <v>27940.01853084</v>
      </c>
      <c r="D163" s="36"/>
      <c r="E163" s="37" t="n">
        <f aca="false">E139</f>
        <v>0.3397</v>
      </c>
      <c r="F163" s="35" t="n">
        <f aca="false">SUM(C163:D163)*E163</f>
        <v>9491.22429492635</v>
      </c>
      <c r="G163" s="35" t="n">
        <f aca="false">(C163+D163)*1%</f>
        <v>279.4001853084</v>
      </c>
      <c r="H163" s="35" t="n">
        <f aca="false">(D163+C163)*5%</f>
        <v>1397.000926542</v>
      </c>
      <c r="I163" s="35" t="n">
        <f aca="false">C163+D163+F163+G163+H163</f>
        <v>39107.6439376168</v>
      </c>
      <c r="J163" s="38" t="n">
        <v>1695</v>
      </c>
      <c r="K163" s="39" t="n">
        <v>120</v>
      </c>
      <c r="L163" s="35" t="n">
        <f aca="false">K163/J163</f>
        <v>0.0707964601769912</v>
      </c>
      <c r="M163" s="40" t="n">
        <f aca="false">L163*I163</f>
        <v>2768.68275664544</v>
      </c>
      <c r="N163" s="41" t="n">
        <f aca="false">N139</f>
        <v>0.02</v>
      </c>
      <c r="O163" s="42" t="n">
        <f aca="false">M163*N163</f>
        <v>55.3736551329087</v>
      </c>
      <c r="P163" s="43" t="n">
        <f aca="false">M163+O163</f>
        <v>2824.05641177834</v>
      </c>
      <c r="S163" s="4"/>
      <c r="T163" s="4"/>
      <c r="U163" s="4"/>
    </row>
    <row r="164" customFormat="false" ht="13.5" hidden="false" customHeight="false" outlineLevel="0" collapsed="false">
      <c r="B164" s="34" t="str">
        <f aca="false">B155</f>
        <v>Monitor</v>
      </c>
      <c r="C164" s="35" t="n">
        <f aca="false">F11</f>
        <v>19558.01</v>
      </c>
      <c r="D164" s="35"/>
      <c r="E164" s="37" t="n">
        <v>0.3397</v>
      </c>
      <c r="F164" s="35" t="n">
        <f aca="false">SUM(C164:D164)*E164</f>
        <v>6643.855997</v>
      </c>
      <c r="G164" s="35" t="n">
        <f aca="false">(C164+D164)*1%</f>
        <v>195.5801</v>
      </c>
      <c r="H164" s="35" t="n">
        <f aca="false">(D164+C164)*5%</f>
        <v>977.9005</v>
      </c>
      <c r="I164" s="35" t="n">
        <f aca="false">C164+D164+F164+G164+H164</f>
        <v>27375.346597</v>
      </c>
      <c r="J164" s="38" t="n">
        <v>1695</v>
      </c>
      <c r="K164" s="39" t="n">
        <v>586.53</v>
      </c>
      <c r="L164" s="35" t="n">
        <f aca="false">K164/J164</f>
        <v>0.346035398230089</v>
      </c>
      <c r="M164" s="40" t="n">
        <f aca="false">L164*I164</f>
        <v>9472.83896137959</v>
      </c>
      <c r="N164" s="41" t="n">
        <f aca="false">N140</f>
        <v>0.08</v>
      </c>
      <c r="O164" s="42" t="n">
        <f aca="false">M164*N164</f>
        <v>757.827116910368</v>
      </c>
      <c r="P164" s="43" t="n">
        <f aca="false">M164+O164</f>
        <v>10230.66607829</v>
      </c>
      <c r="S164" s="4"/>
      <c r="T164" s="4"/>
      <c r="U164" s="4"/>
    </row>
    <row r="165" customFormat="false" ht="13.5" hidden="false" customHeight="false" outlineLevel="0" collapsed="false">
      <c r="B165" s="4"/>
      <c r="C165" s="45"/>
      <c r="D165" s="4"/>
      <c r="E165" s="4"/>
      <c r="F165" s="4"/>
      <c r="G165" s="46"/>
      <c r="H165" s="4"/>
      <c r="I165" s="9"/>
      <c r="J165" s="47"/>
      <c r="K165" s="48" t="n">
        <f aca="false">SUM(K163:K164)</f>
        <v>706.53</v>
      </c>
      <c r="L165" s="9"/>
      <c r="M165" s="49" t="n">
        <f aca="false">SUM(M163:M164)</f>
        <v>12241.521718025</v>
      </c>
      <c r="N165" s="50"/>
      <c r="O165" s="49" t="n">
        <f aca="false">SUM(O163:O164)</f>
        <v>813.200772043276</v>
      </c>
      <c r="P165" s="51" t="n">
        <f aca="false">SUM(P163:P164)</f>
        <v>13054.7224900683</v>
      </c>
      <c r="S165" s="4"/>
      <c r="T165" s="4"/>
      <c r="U165" s="4"/>
    </row>
    <row r="166" customFormat="false" ht="17.25" hidden="false" customHeight="false" outlineLevel="0" collapsed="false">
      <c r="B166" s="4"/>
      <c r="C166" s="4"/>
      <c r="D166" s="4"/>
      <c r="E166" s="4"/>
      <c r="F166" s="4"/>
      <c r="G166" s="4"/>
      <c r="H166" s="52" t="s">
        <v>38</v>
      </c>
      <c r="I166" s="53"/>
      <c r="J166" s="54"/>
      <c r="K166" s="4"/>
      <c r="L166" s="9"/>
      <c r="M166" s="55"/>
      <c r="N166" s="9"/>
      <c r="O166" s="9"/>
      <c r="P166" s="9"/>
      <c r="Q166" s="9"/>
      <c r="R166" s="9"/>
      <c r="S166" s="4"/>
      <c r="T166" s="4"/>
    </row>
    <row r="167" customFormat="false" ht="13.5" hidden="false" customHeight="false" outlineLevel="0" collapsed="false">
      <c r="B167" s="57" t="s">
        <v>39</v>
      </c>
      <c r="C167" s="57"/>
      <c r="D167" s="57"/>
      <c r="E167" s="57"/>
      <c r="F167" s="58"/>
      <c r="G167" s="58"/>
      <c r="H167" s="59" t="s">
        <v>20</v>
      </c>
      <c r="I167" s="60"/>
      <c r="J167" s="61" t="s">
        <v>40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customFormat="false" ht="13.5" hidden="false" customHeight="true" outlineLevel="0" collapsed="false">
      <c r="B168" s="62" t="s">
        <v>21</v>
      </c>
      <c r="C168" s="63" t="s">
        <v>41</v>
      </c>
      <c r="D168" s="64" t="s">
        <v>42</v>
      </c>
      <c r="E168" s="32" t="s">
        <v>43</v>
      </c>
      <c r="F168" s="58"/>
      <c r="G168" s="58"/>
      <c r="H168" s="65" t="s">
        <v>44</v>
      </c>
      <c r="I168" s="66"/>
      <c r="J168" s="35" t="n">
        <f aca="false">+M165</f>
        <v>12241.521718025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customFormat="false" ht="13.5" hidden="false" customHeight="false" outlineLevel="0" collapsed="false">
      <c r="B169" s="62"/>
      <c r="C169" s="63"/>
      <c r="D169" s="64"/>
      <c r="E169" s="32"/>
      <c r="F169" s="58"/>
      <c r="G169" s="58"/>
      <c r="H169" s="65" t="s">
        <v>45</v>
      </c>
      <c r="I169" s="66"/>
      <c r="J169" s="40" t="n">
        <f aca="false">+O165</f>
        <v>813.200772043276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3.5" hidden="false" customHeight="false" outlineLevel="0" collapsed="false">
      <c r="B170" s="67"/>
      <c r="C170" s="94" t="n">
        <f aca="false">C146</f>
        <v>0.1</v>
      </c>
      <c r="D170" s="69" t="n">
        <v>0.06</v>
      </c>
      <c r="E170" s="32"/>
      <c r="F170" s="70"/>
      <c r="G170" s="58"/>
      <c r="H170" s="65" t="s">
        <v>32</v>
      </c>
      <c r="I170" s="66"/>
      <c r="J170" s="71" t="n">
        <f aca="false">SUM(J168:J169)</f>
        <v>13054.7224900683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3.5" hidden="false" customHeight="false" outlineLevel="0" collapsed="false">
      <c r="B171" s="72" t="str">
        <f aca="false">+B163</f>
        <v>Coordinador/a</v>
      </c>
      <c r="C171" s="73" t="n">
        <f aca="false">P163*C170</f>
        <v>282.405641177834</v>
      </c>
      <c r="D171" s="42" t="n">
        <f aca="false">(P163+C171)*D170</f>
        <v>186.38772317737</v>
      </c>
      <c r="E171" s="74" t="n">
        <f aca="false">SUM(C171:D171)</f>
        <v>468.793364355204</v>
      </c>
      <c r="F171" s="75"/>
      <c r="G171" s="9"/>
      <c r="H171" s="59" t="s">
        <v>46</v>
      </c>
      <c r="I171" s="60"/>
      <c r="J171" s="76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3.5" hidden="false" customHeight="false" outlineLevel="0" collapsed="false">
      <c r="B172" s="72" t="str">
        <f aca="false">+B164</f>
        <v>Monitor</v>
      </c>
      <c r="C172" s="73" t="n">
        <f aca="false">P164*C170</f>
        <v>1023.066607829</v>
      </c>
      <c r="D172" s="42" t="n">
        <f aca="false">(P164+C172)*D170</f>
        <v>675.223961167137</v>
      </c>
      <c r="E172" s="74" t="n">
        <f aca="false">SUM(C172:D172)</f>
        <v>1698.29056899613</v>
      </c>
      <c r="F172" s="9"/>
      <c r="G172" s="9"/>
      <c r="H172" s="77" t="s">
        <v>47</v>
      </c>
      <c r="I172" s="78"/>
      <c r="J172" s="40" t="n">
        <f aca="false">+C173</f>
        <v>1305.47224900683</v>
      </c>
      <c r="K172" s="4"/>
      <c r="L172" s="4"/>
      <c r="M172" s="4"/>
      <c r="N172" s="4"/>
      <c r="O172" s="4"/>
      <c r="P172" s="4"/>
      <c r="Q172" s="4"/>
      <c r="R172" s="24"/>
      <c r="S172" s="4"/>
      <c r="T172" s="4"/>
      <c r="U172" s="4"/>
    </row>
    <row r="173" customFormat="false" ht="15" hidden="false" customHeight="false" outlineLevel="0" collapsed="false">
      <c r="B173" s="4"/>
      <c r="C173" s="79" t="n">
        <f aca="false">SUM(C171:C172)</f>
        <v>1305.47224900683</v>
      </c>
      <c r="D173" s="79" t="n">
        <f aca="false">SUM(D171:D172)</f>
        <v>861.611684344508</v>
      </c>
      <c r="E173" s="80" t="n">
        <f aca="false">SUM(E171:E172)</f>
        <v>2167.08393335134</v>
      </c>
      <c r="F173" s="58"/>
      <c r="G173" s="58"/>
      <c r="H173" s="77" t="s">
        <v>48</v>
      </c>
      <c r="I173" s="78"/>
      <c r="J173" s="40" t="n">
        <f aca="false">+D173</f>
        <v>861.611684344508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customFormat="false" ht="13.5" hidden="false" customHeight="false" outlineLevel="0" collapsed="false">
      <c r="B174" s="4"/>
      <c r="C174" s="4"/>
      <c r="D174" s="4"/>
      <c r="E174" s="4"/>
      <c r="F174" s="4"/>
      <c r="G174" s="25"/>
      <c r="H174" s="65" t="s">
        <v>49</v>
      </c>
      <c r="I174" s="66"/>
      <c r="J174" s="71" t="n">
        <f aca="false">SUM(J172:J173)</f>
        <v>2167.08393335134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customFormat="false" ht="13.5" hidden="false" customHeight="false" outlineLevel="0" collapsed="false">
      <c r="B175" s="81" t="s">
        <v>50</v>
      </c>
      <c r="C175" s="82"/>
      <c r="D175" s="82"/>
      <c r="E175" s="83" t="n">
        <f aca="false">+E173+P165</f>
        <v>15221.8064234196</v>
      </c>
      <c r="F175" s="4"/>
      <c r="G175" s="25"/>
      <c r="H175" s="59" t="s">
        <v>51</v>
      </c>
      <c r="I175" s="60"/>
      <c r="J175" s="51" t="n">
        <f aca="false">J170+J174</f>
        <v>15221.8064234196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customFormat="false" ht="13.5" hidden="false" customHeight="false" outlineLevel="0" collapsed="false">
      <c r="B176" s="4"/>
      <c r="C176" s="4"/>
      <c r="D176" s="4"/>
      <c r="E176" s="4"/>
      <c r="F176" s="4"/>
      <c r="G176" s="25"/>
      <c r="K176" s="4"/>
      <c r="M176" s="84" t="s">
        <v>52</v>
      </c>
      <c r="N176" s="4"/>
      <c r="O176" s="4"/>
      <c r="P176" s="4"/>
      <c r="Q176" s="4"/>
      <c r="R176" s="4"/>
      <c r="S176" s="4"/>
      <c r="T176" s="4"/>
      <c r="U176" s="4"/>
    </row>
    <row r="177" customFormat="false" ht="23.25" hidden="false" customHeight="false" outlineLevel="0" collapsed="false">
      <c r="B177" s="85" t="s">
        <v>53</v>
      </c>
      <c r="C177" s="36" t="s">
        <v>54</v>
      </c>
      <c r="D177" s="29" t="s">
        <v>55</v>
      </c>
      <c r="E177" s="29" t="s">
        <v>56</v>
      </c>
      <c r="F177" s="29" t="s">
        <v>57</v>
      </c>
      <c r="G177" s="86" t="s">
        <v>58</v>
      </c>
      <c r="L177" s="85" t="s">
        <v>53</v>
      </c>
      <c r="M177" s="29" t="s">
        <v>56</v>
      </c>
      <c r="N177" s="29" t="s">
        <v>55</v>
      </c>
      <c r="O177" s="29" t="s">
        <v>57</v>
      </c>
      <c r="P177" s="6"/>
      <c r="Q177" s="4"/>
      <c r="R177" s="4"/>
      <c r="S177" s="4"/>
      <c r="T177" s="4"/>
      <c r="U177" s="4"/>
    </row>
    <row r="178" customFormat="false" ht="15" hidden="false" customHeight="false" outlineLevel="0" collapsed="false">
      <c r="B178" s="34" t="str">
        <f aca="false">+B163</f>
        <v>Coordinador/a</v>
      </c>
      <c r="C178" s="42" t="n">
        <f aca="false">C154</f>
        <v>23.05</v>
      </c>
      <c r="D178" s="40" t="n">
        <f aca="false">+K163</f>
        <v>120</v>
      </c>
      <c r="E178" s="87" t="n">
        <f aca="false">(P163+E171)/K163</f>
        <v>27.4404148011129</v>
      </c>
      <c r="F178" s="40" t="n">
        <f aca="false">D178*E178</f>
        <v>3292.84977613354</v>
      </c>
      <c r="G178" s="88" t="n">
        <f aca="false">+E178/C178-1</f>
        <v>0.190473527163248</v>
      </c>
      <c r="H178" s="89" t="n">
        <f aca="false">+E178-C178</f>
        <v>4.39041480111287</v>
      </c>
      <c r="L178" s="90" t="str">
        <f aca="false">B178</f>
        <v>Coordinador/a</v>
      </c>
      <c r="M178" s="91" t="n">
        <f aca="false">ROUND(E178,2)</f>
        <v>27.44</v>
      </c>
      <c r="N178" s="40" t="n">
        <f aca="false">D178</f>
        <v>120</v>
      </c>
      <c r="O178" s="40" t="n">
        <f aca="false">M178*N178</f>
        <v>3292.8</v>
      </c>
      <c r="P178" s="92"/>
      <c r="Q178" s="4"/>
      <c r="R178" s="4"/>
      <c r="S178" s="4"/>
      <c r="T178" s="4"/>
      <c r="U178" s="4"/>
    </row>
    <row r="179" customFormat="false" ht="15" hidden="false" customHeight="false" outlineLevel="0" collapsed="false">
      <c r="B179" s="34" t="str">
        <f aca="false">+B164</f>
        <v>Monitor</v>
      </c>
      <c r="C179" s="42" t="n">
        <f aca="false">C155</f>
        <v>17.57</v>
      </c>
      <c r="D179" s="40" t="n">
        <f aca="false">+K164</f>
        <v>586.53</v>
      </c>
      <c r="E179" s="93" t="n">
        <f aca="false">(P164+E172)/K164</f>
        <v>20.3381867036402</v>
      </c>
      <c r="F179" s="40" t="n">
        <f aca="false">D179*E179</f>
        <v>11928.9566472861</v>
      </c>
      <c r="G179" s="88" t="n">
        <f aca="false">+E179/C179-1</f>
        <v>0.157551889791703</v>
      </c>
      <c r="H179" s="89" t="n">
        <f aca="false">+E179-C179</f>
        <v>2.76818670364021</v>
      </c>
      <c r="L179" s="90" t="str">
        <f aca="false">B179</f>
        <v>Monitor</v>
      </c>
      <c r="M179" s="91" t="n">
        <f aca="false">ROUND(E179,2)</f>
        <v>20.34</v>
      </c>
      <c r="N179" s="40" t="n">
        <f aca="false">D179</f>
        <v>586.53</v>
      </c>
      <c r="O179" s="40" t="n">
        <f aca="false">M179*N179</f>
        <v>11930.0202</v>
      </c>
      <c r="P179" s="92"/>
      <c r="Q179" s="4"/>
      <c r="R179" s="4"/>
      <c r="S179" s="4"/>
      <c r="T179" s="4"/>
      <c r="U179" s="4"/>
    </row>
    <row r="180" customFormat="false" ht="13.5" hidden="false" customHeight="false" outlineLevel="0" collapsed="false">
      <c r="B180" s="4"/>
      <c r="C180" s="4"/>
      <c r="D180" s="4"/>
      <c r="E180" s="4"/>
      <c r="F180" s="49" t="n">
        <f aca="false">SUM(F178:F179)</f>
        <v>15221.8064234196</v>
      </c>
      <c r="G180" s="25"/>
      <c r="H180" s="25"/>
      <c r="I180" s="4"/>
      <c r="J180" s="9"/>
      <c r="K180" s="4"/>
      <c r="L180" s="4"/>
      <c r="O180" s="49" t="n">
        <f aca="false">SUM(O178:O179)</f>
        <v>15222.8202</v>
      </c>
      <c r="P180" s="92" t="n">
        <f aca="false">+O180-F180</f>
        <v>1.0137765803629</v>
      </c>
      <c r="Q180" s="4"/>
      <c r="R180" s="4"/>
      <c r="S180" s="4"/>
      <c r="T180" s="4"/>
      <c r="U180" s="4"/>
    </row>
    <row r="181" customFormat="false" ht="13.5" hidden="false" customHeight="false" outlineLevel="0" collapsed="false">
      <c r="B181" s="4"/>
      <c r="C181" s="4"/>
      <c r="D181" s="4"/>
      <c r="E181" s="4"/>
      <c r="F181" s="4"/>
      <c r="G181" s="25"/>
      <c r="H181" s="2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customFormat="false" ht="13.5" hidden="false" customHeight="false" outlineLevel="0" collapsed="false">
      <c r="B182" s="4"/>
      <c r="C182" s="4"/>
      <c r="D182" s="4"/>
      <c r="E182" s="4"/>
      <c r="F182" s="4"/>
      <c r="G182" s="25"/>
      <c r="H182" s="2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customFormat="false" ht="13.5" hidden="false" customHeight="false" outlineLevel="0" collapsed="false">
      <c r="B183" s="4"/>
      <c r="C183" s="4"/>
      <c r="D183" s="4"/>
      <c r="E183" s="4"/>
      <c r="F183" s="4"/>
      <c r="G183" s="25"/>
      <c r="H183" s="2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customFormat="false" ht="19.5" hidden="false" customHeight="false" outlineLevel="0" collapsed="false">
      <c r="B184" s="101" t="s">
        <v>66</v>
      </c>
      <c r="C184" s="102"/>
      <c r="D184" s="103"/>
      <c r="E184" s="4"/>
      <c r="F184" s="9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customFormat="false" ht="13.5" hidden="false" customHeight="false" outlineLevel="0" collapsed="false">
      <c r="B185" s="27" t="s">
        <v>20</v>
      </c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4"/>
      <c r="R185" s="4"/>
      <c r="S185" s="4"/>
      <c r="T185" s="4"/>
      <c r="U185" s="4"/>
    </row>
    <row r="186" customFormat="false" ht="24" hidden="false" customHeight="true" outlineLevel="0" collapsed="false">
      <c r="B186" s="28" t="s">
        <v>21</v>
      </c>
      <c r="C186" s="29" t="s">
        <v>22</v>
      </c>
      <c r="D186" s="29"/>
      <c r="E186" s="29" t="s">
        <v>23</v>
      </c>
      <c r="F186" s="29"/>
      <c r="G186" s="30" t="s">
        <v>24</v>
      </c>
      <c r="H186" s="31" t="s">
        <v>25</v>
      </c>
      <c r="I186" s="28" t="s">
        <v>26</v>
      </c>
      <c r="J186" s="29" t="s">
        <v>27</v>
      </c>
      <c r="K186" s="29" t="s">
        <v>28</v>
      </c>
      <c r="L186" s="29" t="s">
        <v>29</v>
      </c>
      <c r="M186" s="28" t="s">
        <v>30</v>
      </c>
      <c r="N186" s="29" t="s">
        <v>31</v>
      </c>
      <c r="O186" s="29"/>
      <c r="P186" s="32" t="s">
        <v>32</v>
      </c>
      <c r="S186" s="4"/>
      <c r="T186" s="4"/>
      <c r="U186" s="4"/>
    </row>
    <row r="187" customFormat="false" ht="13.5" hidden="false" customHeight="false" outlineLevel="0" collapsed="false">
      <c r="B187" s="34" t="str">
        <f aca="false">B178</f>
        <v>Coordinador/a</v>
      </c>
      <c r="C187" s="35" t="n">
        <f aca="false">F10</f>
        <v>27940.01853084</v>
      </c>
      <c r="D187" s="36"/>
      <c r="E187" s="37" t="n">
        <f aca="false">E163</f>
        <v>0.3397</v>
      </c>
      <c r="F187" s="35" t="n">
        <f aca="false">SUM(C187:D187)*E187</f>
        <v>9491.22429492635</v>
      </c>
      <c r="G187" s="35" t="n">
        <f aca="false">(C187+D187)*1%</f>
        <v>279.4001853084</v>
      </c>
      <c r="H187" s="35" t="n">
        <f aca="false">(D187+C187)*5%</f>
        <v>1397.000926542</v>
      </c>
      <c r="I187" s="35" t="n">
        <f aca="false">C187+D187+F187+G187+H187</f>
        <v>39107.6439376168</v>
      </c>
      <c r="J187" s="38" t="n">
        <v>1695</v>
      </c>
      <c r="K187" s="39" t="n">
        <v>180</v>
      </c>
      <c r="L187" s="35" t="n">
        <f aca="false">K187/J187</f>
        <v>0.106194690265487</v>
      </c>
      <c r="M187" s="40" t="n">
        <f aca="false">L187*I187</f>
        <v>4153.02413496816</v>
      </c>
      <c r="N187" s="41" t="n">
        <f aca="false">N163</f>
        <v>0.02</v>
      </c>
      <c r="O187" s="42" t="n">
        <f aca="false">M187*N187</f>
        <v>83.0604826993632</v>
      </c>
      <c r="P187" s="43" t="n">
        <f aca="false">M187+O187</f>
        <v>4236.08461766752</v>
      </c>
      <c r="S187" s="4"/>
      <c r="T187" s="4"/>
      <c r="U187" s="4"/>
    </row>
    <row r="188" customFormat="false" ht="13.5" hidden="false" customHeight="false" outlineLevel="0" collapsed="false">
      <c r="B188" s="34" t="str">
        <f aca="false">B179</f>
        <v>Monitor</v>
      </c>
      <c r="C188" s="35" t="n">
        <f aca="false">F11</f>
        <v>19558.01</v>
      </c>
      <c r="D188" s="35"/>
      <c r="E188" s="37" t="n">
        <v>0.3397</v>
      </c>
      <c r="F188" s="35" t="n">
        <f aca="false">SUM(C188:D188)*E188</f>
        <v>6643.855997</v>
      </c>
      <c r="G188" s="35" t="n">
        <f aca="false">(C188+D188)*1%</f>
        <v>195.5801</v>
      </c>
      <c r="H188" s="35" t="n">
        <f aca="false">(D188+C188)*5%</f>
        <v>977.9005</v>
      </c>
      <c r="I188" s="35" t="n">
        <f aca="false">C188+D188+F188+G188+H188</f>
        <v>27375.346597</v>
      </c>
      <c r="J188" s="38" t="n">
        <v>1695</v>
      </c>
      <c r="K188" s="39" t="n">
        <v>1171.47</v>
      </c>
      <c r="L188" s="35" t="n">
        <f aca="false">K188/J188</f>
        <v>0.691132743362832</v>
      </c>
      <c r="M188" s="40" t="n">
        <f aca="false">L188*I188</f>
        <v>18919.998394093</v>
      </c>
      <c r="N188" s="41" t="n">
        <f aca="false">N164</f>
        <v>0.08</v>
      </c>
      <c r="O188" s="42" t="n">
        <f aca="false">M188*N188</f>
        <v>1513.59987152744</v>
      </c>
      <c r="P188" s="43" t="n">
        <f aca="false">M188+O188</f>
        <v>20433.5982656204</v>
      </c>
      <c r="S188" s="4"/>
      <c r="T188" s="4"/>
      <c r="U188" s="4"/>
    </row>
    <row r="189" customFormat="false" ht="13.5" hidden="false" customHeight="false" outlineLevel="0" collapsed="false">
      <c r="B189" s="4"/>
      <c r="C189" s="45"/>
      <c r="D189" s="4"/>
      <c r="E189" s="4"/>
      <c r="F189" s="4"/>
      <c r="G189" s="46"/>
      <c r="H189" s="4"/>
      <c r="I189" s="9"/>
      <c r="J189" s="47"/>
      <c r="K189" s="48" t="n">
        <f aca="false">SUM(K187:K188)</f>
        <v>1351.47</v>
      </c>
      <c r="L189" s="9"/>
      <c r="M189" s="49" t="n">
        <f aca="false">SUM(M187:M188)</f>
        <v>23073.0225290611</v>
      </c>
      <c r="N189" s="50"/>
      <c r="O189" s="49" t="n">
        <f aca="false">SUM(O187:O188)</f>
        <v>1596.6603542268</v>
      </c>
      <c r="P189" s="51" t="n">
        <f aca="false">SUM(P187:P188)</f>
        <v>24669.6828832879</v>
      </c>
      <c r="S189" s="4"/>
      <c r="T189" s="4"/>
      <c r="U189" s="4"/>
    </row>
    <row r="190" customFormat="false" ht="17.25" hidden="false" customHeight="false" outlineLevel="0" collapsed="false">
      <c r="B190" s="4"/>
      <c r="C190" s="4"/>
      <c r="D190" s="4"/>
      <c r="E190" s="4"/>
      <c r="F190" s="4"/>
      <c r="G190" s="4"/>
      <c r="H190" s="52" t="s">
        <v>38</v>
      </c>
      <c r="I190" s="53"/>
      <c r="J190" s="54"/>
      <c r="K190" s="4"/>
      <c r="L190" s="9"/>
      <c r="M190" s="55"/>
      <c r="N190" s="9"/>
      <c r="O190" s="9"/>
      <c r="P190" s="9"/>
      <c r="Q190" s="9"/>
      <c r="R190" s="9"/>
      <c r="S190" s="4"/>
      <c r="T190" s="4"/>
    </row>
    <row r="191" customFormat="false" ht="13.5" hidden="false" customHeight="false" outlineLevel="0" collapsed="false">
      <c r="B191" s="57" t="s">
        <v>39</v>
      </c>
      <c r="C191" s="57"/>
      <c r="D191" s="57"/>
      <c r="E191" s="57"/>
      <c r="F191" s="58"/>
      <c r="G191" s="58"/>
      <c r="H191" s="59" t="s">
        <v>20</v>
      </c>
      <c r="I191" s="60"/>
      <c r="J191" s="61" t="s">
        <v>40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customFormat="false" ht="13.5" hidden="false" customHeight="true" outlineLevel="0" collapsed="false">
      <c r="B192" s="62" t="s">
        <v>21</v>
      </c>
      <c r="C192" s="63" t="s">
        <v>41</v>
      </c>
      <c r="D192" s="64" t="s">
        <v>42</v>
      </c>
      <c r="E192" s="32" t="s">
        <v>43</v>
      </c>
      <c r="F192" s="58"/>
      <c r="G192" s="58"/>
      <c r="H192" s="65" t="s">
        <v>44</v>
      </c>
      <c r="I192" s="66"/>
      <c r="J192" s="35" t="n">
        <f aca="false">+M189</f>
        <v>23073.0225290611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customFormat="false" ht="13.5" hidden="false" customHeight="false" outlineLevel="0" collapsed="false">
      <c r="B193" s="62"/>
      <c r="C193" s="63"/>
      <c r="D193" s="64"/>
      <c r="E193" s="32"/>
      <c r="F193" s="58"/>
      <c r="G193" s="58"/>
      <c r="H193" s="65" t="s">
        <v>45</v>
      </c>
      <c r="I193" s="66"/>
      <c r="J193" s="40" t="n">
        <f aca="false">+O189</f>
        <v>1596.6603542268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customFormat="false" ht="13.5" hidden="false" customHeight="false" outlineLevel="0" collapsed="false">
      <c r="B194" s="67"/>
      <c r="C194" s="94" t="n">
        <f aca="false">C170</f>
        <v>0.1</v>
      </c>
      <c r="D194" s="69" t="n">
        <v>0.06</v>
      </c>
      <c r="E194" s="32"/>
      <c r="F194" s="70"/>
      <c r="G194" s="58"/>
      <c r="H194" s="65" t="s">
        <v>32</v>
      </c>
      <c r="I194" s="66"/>
      <c r="J194" s="71" t="n">
        <f aca="false">SUM(J192:J193)</f>
        <v>24669.6828832879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customFormat="false" ht="13.5" hidden="false" customHeight="false" outlineLevel="0" collapsed="false">
      <c r="B195" s="72" t="str">
        <f aca="false">+B187</f>
        <v>Coordinador/a</v>
      </c>
      <c r="C195" s="73" t="n">
        <f aca="false">P187*C194</f>
        <v>423.608461766752</v>
      </c>
      <c r="D195" s="42" t="n">
        <f aca="false">(P187+C195)*D194</f>
        <v>279.581584766056</v>
      </c>
      <c r="E195" s="74" t="n">
        <f aca="false">SUM(C195:D195)</f>
        <v>703.190046532808</v>
      </c>
      <c r="F195" s="75"/>
      <c r="G195" s="9"/>
      <c r="H195" s="59" t="s">
        <v>46</v>
      </c>
      <c r="I195" s="60"/>
      <c r="J195" s="76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3.5" hidden="false" customHeight="false" outlineLevel="0" collapsed="false">
      <c r="B196" s="72" t="str">
        <f aca="false">+B188</f>
        <v>Monitor</v>
      </c>
      <c r="C196" s="73" t="n">
        <f aca="false">P188*C194</f>
        <v>2043.35982656204</v>
      </c>
      <c r="D196" s="42" t="n">
        <f aca="false">(P188+C196)*D194</f>
        <v>1348.61748553095</v>
      </c>
      <c r="E196" s="74" t="n">
        <f aca="false">SUM(C196:D196)</f>
        <v>3391.97731209299</v>
      </c>
      <c r="F196" s="9"/>
      <c r="G196" s="9"/>
      <c r="H196" s="77" t="s">
        <v>47</v>
      </c>
      <c r="I196" s="78"/>
      <c r="J196" s="40" t="n">
        <f aca="false">+C197</f>
        <v>2466.96828832879</v>
      </c>
      <c r="K196" s="4"/>
      <c r="L196" s="4"/>
      <c r="M196" s="4"/>
      <c r="N196" s="4"/>
      <c r="O196" s="4"/>
      <c r="P196" s="4"/>
      <c r="Q196" s="4"/>
      <c r="R196" s="24"/>
      <c r="S196" s="4"/>
      <c r="T196" s="4"/>
      <c r="U196" s="4"/>
    </row>
    <row r="197" customFormat="false" ht="15" hidden="false" customHeight="false" outlineLevel="0" collapsed="false">
      <c r="B197" s="4"/>
      <c r="C197" s="79" t="n">
        <f aca="false">SUM(C195:C196)</f>
        <v>2466.96828832879</v>
      </c>
      <c r="D197" s="79" t="n">
        <f aca="false">SUM(D195:D196)</f>
        <v>1628.199070297</v>
      </c>
      <c r="E197" s="80" t="n">
        <f aca="false">SUM(E195:E196)</f>
        <v>4095.1673586258</v>
      </c>
      <c r="F197" s="58"/>
      <c r="G197" s="58"/>
      <c r="H197" s="77" t="s">
        <v>48</v>
      </c>
      <c r="I197" s="78"/>
      <c r="J197" s="40" t="n">
        <f aca="false">+D197</f>
        <v>1628.199070297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3.5" hidden="false" customHeight="false" outlineLevel="0" collapsed="false">
      <c r="B198" s="4"/>
      <c r="C198" s="4"/>
      <c r="D198" s="4"/>
      <c r="E198" s="4"/>
      <c r="F198" s="4"/>
      <c r="G198" s="25"/>
      <c r="H198" s="65" t="s">
        <v>49</v>
      </c>
      <c r="I198" s="66"/>
      <c r="J198" s="71" t="n">
        <f aca="false">SUM(J196:J197)</f>
        <v>4095.1673586258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customFormat="false" ht="13.5" hidden="false" customHeight="false" outlineLevel="0" collapsed="false">
      <c r="B199" s="81" t="s">
        <v>50</v>
      </c>
      <c r="C199" s="82"/>
      <c r="D199" s="82"/>
      <c r="E199" s="83" t="n">
        <f aca="false">+E197+P189</f>
        <v>28764.8502419137</v>
      </c>
      <c r="F199" s="4"/>
      <c r="G199" s="25"/>
      <c r="H199" s="59" t="s">
        <v>51</v>
      </c>
      <c r="I199" s="60"/>
      <c r="J199" s="51" t="n">
        <f aca="false">J194+J198</f>
        <v>28764.8502419137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customFormat="false" ht="13.5" hidden="false" customHeight="false" outlineLevel="0" collapsed="false">
      <c r="B200" s="4"/>
      <c r="C200" s="4"/>
      <c r="D200" s="4"/>
      <c r="E200" s="4"/>
      <c r="F200" s="4"/>
      <c r="G200" s="25"/>
      <c r="K200" s="4"/>
      <c r="M200" s="84" t="s">
        <v>52</v>
      </c>
      <c r="N200" s="4"/>
      <c r="O200" s="4"/>
      <c r="P200" s="4"/>
      <c r="Q200" s="4"/>
      <c r="R200" s="4"/>
      <c r="S200" s="4"/>
      <c r="T200" s="4"/>
      <c r="U200" s="4"/>
    </row>
    <row r="201" customFormat="false" ht="23.25" hidden="false" customHeight="false" outlineLevel="0" collapsed="false">
      <c r="B201" s="85" t="s">
        <v>53</v>
      </c>
      <c r="C201" s="36" t="s">
        <v>54</v>
      </c>
      <c r="D201" s="29" t="s">
        <v>55</v>
      </c>
      <c r="E201" s="29" t="s">
        <v>56</v>
      </c>
      <c r="F201" s="29" t="s">
        <v>57</v>
      </c>
      <c r="G201" s="86" t="s">
        <v>58</v>
      </c>
      <c r="L201" s="85" t="s">
        <v>53</v>
      </c>
      <c r="M201" s="29" t="s">
        <v>56</v>
      </c>
      <c r="N201" s="29" t="s">
        <v>55</v>
      </c>
      <c r="O201" s="29" t="s">
        <v>57</v>
      </c>
      <c r="P201" s="6"/>
      <c r="Q201" s="4"/>
      <c r="R201" s="4"/>
      <c r="S201" s="4"/>
      <c r="T201" s="4"/>
      <c r="U201" s="4"/>
    </row>
    <row r="202" customFormat="false" ht="15" hidden="false" customHeight="false" outlineLevel="0" collapsed="false">
      <c r="B202" s="34" t="str">
        <f aca="false">+B187</f>
        <v>Coordinador/a</v>
      </c>
      <c r="C202" s="42" t="n">
        <f aca="false">C178</f>
        <v>23.05</v>
      </c>
      <c r="D202" s="40" t="n">
        <f aca="false">+K187</f>
        <v>180</v>
      </c>
      <c r="E202" s="87" t="n">
        <f aca="false">(P187+E195)/K187</f>
        <v>27.4404148011129</v>
      </c>
      <c r="F202" s="40" t="n">
        <f aca="false">D202*E202</f>
        <v>4939.27466420033</v>
      </c>
      <c r="G202" s="88" t="n">
        <f aca="false">+E202/C202-1</f>
        <v>0.190473527163251</v>
      </c>
      <c r="H202" s="89" t="n">
        <f aca="false">+E202-C202</f>
        <v>4.39041480111294</v>
      </c>
      <c r="L202" s="90" t="str">
        <f aca="false">B202</f>
        <v>Coordinador/a</v>
      </c>
      <c r="M202" s="91" t="n">
        <f aca="false">ROUND(E202,2)</f>
        <v>27.44</v>
      </c>
      <c r="N202" s="40" t="n">
        <f aca="false">D202</f>
        <v>180</v>
      </c>
      <c r="O202" s="40" t="n">
        <f aca="false">M202*N202</f>
        <v>4939.2</v>
      </c>
      <c r="P202" s="92"/>
      <c r="Q202" s="4"/>
      <c r="R202" s="4"/>
      <c r="S202" s="4"/>
      <c r="T202" s="4"/>
      <c r="U202" s="4"/>
    </row>
    <row r="203" customFormat="false" ht="15" hidden="false" customHeight="false" outlineLevel="0" collapsed="false">
      <c r="B203" s="34" t="str">
        <f aca="false">+B188</f>
        <v>Monitor</v>
      </c>
      <c r="C203" s="42" t="n">
        <f aca="false">C179</f>
        <v>17.57</v>
      </c>
      <c r="D203" s="40" t="n">
        <f aca="false">+K188</f>
        <v>1171.47</v>
      </c>
      <c r="E203" s="93" t="n">
        <f aca="false">(P188+E196)/K188</f>
        <v>20.3381867036402</v>
      </c>
      <c r="F203" s="40" t="n">
        <f aca="false">D203*E203</f>
        <v>23825.5755777134</v>
      </c>
      <c r="G203" s="88" t="n">
        <f aca="false">+E203/C203-1</f>
        <v>0.157551889791702</v>
      </c>
      <c r="H203" s="89" t="n">
        <f aca="false">+E203-C203</f>
        <v>2.76818670364021</v>
      </c>
      <c r="L203" s="90" t="str">
        <f aca="false">B203</f>
        <v>Monitor</v>
      </c>
      <c r="M203" s="91" t="n">
        <f aca="false">ROUND(E203,2)</f>
        <v>20.34</v>
      </c>
      <c r="N203" s="40" t="n">
        <f aca="false">D203</f>
        <v>1171.47</v>
      </c>
      <c r="O203" s="40" t="n">
        <f aca="false">M203*N203</f>
        <v>23827.6998</v>
      </c>
      <c r="P203" s="92"/>
      <c r="Q203" s="4"/>
      <c r="R203" s="4"/>
      <c r="S203" s="4"/>
      <c r="T203" s="4"/>
      <c r="U203" s="4"/>
    </row>
    <row r="204" customFormat="false" ht="13.5" hidden="false" customHeight="false" outlineLevel="0" collapsed="false">
      <c r="B204" s="4"/>
      <c r="C204" s="4"/>
      <c r="D204" s="4"/>
      <c r="E204" s="4"/>
      <c r="F204" s="49" t="n">
        <f aca="false">SUM(F202:F203)</f>
        <v>28764.8502419137</v>
      </c>
      <c r="G204" s="25"/>
      <c r="H204" s="25"/>
      <c r="I204" s="4"/>
      <c r="J204" s="9"/>
      <c r="K204" s="4"/>
      <c r="L204" s="4"/>
      <c r="O204" s="49" t="n">
        <f aca="false">SUM(O202:O203)</f>
        <v>28766.8998</v>
      </c>
      <c r="P204" s="92" t="n">
        <f aca="false">+O204-F204</f>
        <v>2.04955808627346</v>
      </c>
      <c r="Q204" s="4"/>
      <c r="R204" s="4"/>
      <c r="S204" s="4"/>
      <c r="T204" s="4"/>
      <c r="U204" s="4"/>
    </row>
    <row r="205" customFormat="false" ht="13.5" hidden="false" customHeight="false" outlineLevel="0" collapsed="false">
      <c r="B205" s="4"/>
      <c r="C205" s="4"/>
      <c r="D205" s="4"/>
      <c r="E205" s="4"/>
      <c r="F205" s="4"/>
      <c r="G205" s="25"/>
      <c r="H205" s="2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customFormat="false" ht="8.25" hidden="false" customHeight="true" outlineLevel="0" collapsed="false">
      <c r="A206" s="97"/>
      <c r="B206" s="99"/>
      <c r="C206" s="99"/>
      <c r="D206" s="99"/>
      <c r="E206" s="99"/>
      <c r="F206" s="99"/>
      <c r="G206" s="100"/>
      <c r="H206" s="100"/>
      <c r="I206" s="99"/>
      <c r="J206" s="99"/>
      <c r="K206" s="99"/>
      <c r="L206" s="99"/>
      <c r="M206" s="97"/>
      <c r="N206" s="99"/>
      <c r="O206" s="99"/>
      <c r="P206" s="99"/>
      <c r="Q206" s="99"/>
      <c r="R206" s="99"/>
      <c r="S206" s="99"/>
      <c r="T206" s="99"/>
      <c r="U206" s="99"/>
      <c r="V206" s="97"/>
      <c r="W206" s="97"/>
      <c r="X206" s="97"/>
      <c r="Y206" s="97"/>
      <c r="Z206" s="97"/>
      <c r="AA206" s="97"/>
      <c r="AB206" s="97"/>
      <c r="AC206" s="97"/>
      <c r="AD206" s="97"/>
    </row>
    <row r="207" customFormat="false" ht="13.5" hidden="false" customHeight="false" outlineLevel="0" collapsed="false">
      <c r="B207" s="4"/>
      <c r="C207" s="4"/>
      <c r="D207" s="4"/>
      <c r="E207" s="4"/>
      <c r="F207" s="4"/>
      <c r="G207" s="25"/>
      <c r="H207" s="2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customFormat="false" ht="13.5" hidden="false" customHeight="false" outlineLevel="0" collapsed="false">
      <c r="B208" s="4"/>
      <c r="C208" s="4"/>
      <c r="D208" s="4"/>
      <c r="E208" s="4"/>
      <c r="F208" s="4"/>
      <c r="G208" s="25"/>
      <c r="H208" s="2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customFormat="false" ht="13.5" hidden="false" customHeight="false" outlineLevel="0" collapsed="false">
      <c r="L209" s="8"/>
    </row>
    <row r="210" customFormat="false" ht="17.25" hidden="false" customHeight="false" outlineLevel="0" collapsed="false">
      <c r="B210" s="52" t="s">
        <v>67</v>
      </c>
      <c r="C210" s="53"/>
      <c r="D210" s="54"/>
      <c r="H210" s="84" t="s">
        <v>52</v>
      </c>
      <c r="M210" s="104" t="n">
        <v>0.1</v>
      </c>
      <c r="P210" s="84" t="s">
        <v>52</v>
      </c>
      <c r="Q210" s="4"/>
      <c r="R210" s="4"/>
    </row>
    <row r="211" customFormat="false" ht="13.5" hidden="false" customHeight="false" outlineLevel="0" collapsed="false">
      <c r="B211" s="59" t="s">
        <v>20</v>
      </c>
      <c r="C211" s="60"/>
      <c r="D211" s="61" t="s">
        <v>68</v>
      </c>
      <c r="F211" s="105" t="s">
        <v>69</v>
      </c>
      <c r="G211" s="106"/>
      <c r="H211" s="107" t="s">
        <v>70</v>
      </c>
      <c r="I211" s="107" t="s">
        <v>71</v>
      </c>
      <c r="K211" s="108" t="s">
        <v>72</v>
      </c>
      <c r="L211" s="109" t="s">
        <v>73</v>
      </c>
      <c r="M211" s="109" t="s">
        <v>74</v>
      </c>
      <c r="O211" s="110" t="s">
        <v>53</v>
      </c>
      <c r="P211" s="111" t="s">
        <v>55</v>
      </c>
      <c r="Q211" s="111" t="s">
        <v>57</v>
      </c>
      <c r="R211" s="6"/>
    </row>
    <row r="212" customFormat="false" ht="13.5" hidden="false" customHeight="false" outlineLevel="0" collapsed="false">
      <c r="B212" s="65" t="s">
        <v>44</v>
      </c>
      <c r="C212" s="66"/>
      <c r="D212" s="35" t="n">
        <f aca="false">+J22+J46+J70+J94+J118+J144</f>
        <v>103818.910244707</v>
      </c>
      <c r="F212" s="112" t="s">
        <v>75</v>
      </c>
      <c r="G212" s="113"/>
      <c r="H212" s="114" t="n">
        <f aca="false">O34</f>
        <v>14458.9596</v>
      </c>
      <c r="K212" s="115" t="n">
        <v>2026</v>
      </c>
      <c r="L212" s="114" t="n">
        <f aca="false">H212</f>
        <v>14458.9596</v>
      </c>
      <c r="M212" s="114" t="n">
        <f aca="false">ROUND(L212*(1+$M$210),2)</f>
        <v>15904.86</v>
      </c>
      <c r="O212" s="116" t="s">
        <v>76</v>
      </c>
    </row>
    <row r="213" customFormat="false" ht="13.5" hidden="false" customHeight="false" outlineLevel="0" collapsed="false">
      <c r="B213" s="65" t="s">
        <v>45</v>
      </c>
      <c r="C213" s="66"/>
      <c r="D213" s="35" t="n">
        <f aca="false">+J23+J47+J71+J95+J119+J145</f>
        <v>7084.59255146779</v>
      </c>
      <c r="F213" s="112" t="s">
        <v>77</v>
      </c>
      <c r="G213" s="113"/>
      <c r="H213" s="114" t="n">
        <f aca="false">O58</f>
        <v>27323.6004</v>
      </c>
      <c r="I213" s="114" t="n">
        <f aca="false">+H213+H212</f>
        <v>41782.56</v>
      </c>
      <c r="K213" s="115" t="n">
        <v>2027</v>
      </c>
      <c r="L213" s="114" t="n">
        <f aca="false">H213+H214</f>
        <v>42396.7146</v>
      </c>
      <c r="M213" s="114" t="n">
        <f aca="false">ROUND(L213*(1+$M$210),2)</f>
        <v>46636.39</v>
      </c>
      <c r="O213" s="90" t="str">
        <f aca="false">L202</f>
        <v>Coordinador/a</v>
      </c>
      <c r="P213" s="40" t="n">
        <f aca="false">+K17+K41+K65+K89+K113+K139</f>
        <v>900</v>
      </c>
      <c r="Q213" s="40" t="n">
        <f aca="false">O32+O56+O80+O104+O128+O154</f>
        <v>24201</v>
      </c>
      <c r="R213" s="92"/>
    </row>
    <row r="214" customFormat="false" ht="13.5" hidden="false" customHeight="false" outlineLevel="0" collapsed="false">
      <c r="B214" s="65" t="s">
        <v>32</v>
      </c>
      <c r="C214" s="66"/>
      <c r="D214" s="71" t="n">
        <f aca="false">SUM(D212:D213)</f>
        <v>110903.502796174</v>
      </c>
      <c r="F214" s="112" t="s">
        <v>78</v>
      </c>
      <c r="G214" s="113"/>
      <c r="H214" s="114" t="n">
        <f aca="false">O82</f>
        <v>15073.1142</v>
      </c>
      <c r="K214" s="115" t="n">
        <v>2028</v>
      </c>
      <c r="L214" s="114" t="n">
        <f aca="false">H216+H215</f>
        <v>43706.826</v>
      </c>
      <c r="M214" s="114" t="n">
        <f aca="false">ROUND(L214*(1+$M$210),2)</f>
        <v>48077.51</v>
      </c>
      <c r="O214" s="90" t="str">
        <f aca="false">L203</f>
        <v>Monitor</v>
      </c>
      <c r="P214" s="40" t="n">
        <f aca="false">+K18+K42+K66+K90+K114+K140</f>
        <v>5274</v>
      </c>
      <c r="Q214" s="40" t="n">
        <f aca="false">O33+O57+O81+O105+O129+O155</f>
        <v>105128.4</v>
      </c>
    </row>
    <row r="215" customFormat="false" ht="13.8" hidden="false" customHeight="false" outlineLevel="0" collapsed="false">
      <c r="B215" s="59" t="s">
        <v>46</v>
      </c>
      <c r="C215" s="60"/>
      <c r="D215" s="76"/>
      <c r="F215" s="112" t="s">
        <v>79</v>
      </c>
      <c r="G215" s="113"/>
      <c r="H215" s="114" t="n">
        <f aca="false">O106</f>
        <v>28484.0058</v>
      </c>
      <c r="I215" s="114" t="n">
        <f aca="false">+H215+H214</f>
        <v>43557.12</v>
      </c>
      <c r="K215" s="115" t="n">
        <v>2029</v>
      </c>
      <c r="L215" s="114" t="n">
        <f aca="false">+H217</f>
        <v>28766.8998</v>
      </c>
      <c r="M215" s="114" t="n">
        <f aca="false">ROUND(L215*(1+$M$210),2)</f>
        <v>31643.59</v>
      </c>
      <c r="O215" s="4"/>
      <c r="P215" s="49" t="n">
        <f aca="false">SUM(P213:P214)</f>
        <v>6174</v>
      </c>
      <c r="Q215" s="51" t="n">
        <f aca="false">SUM(Q213:Q214)</f>
        <v>129329.4</v>
      </c>
      <c r="R215" s="92"/>
    </row>
    <row r="216" customFormat="false" ht="13.8" hidden="false" customHeight="false" outlineLevel="0" collapsed="false">
      <c r="B216" s="77" t="s">
        <v>47</v>
      </c>
      <c r="C216" s="78"/>
      <c r="D216" s="35" t="n">
        <f aca="false">D214*10%</f>
        <v>11090.3502796174</v>
      </c>
      <c r="F216" s="112" t="s">
        <v>80</v>
      </c>
      <c r="G216" s="113"/>
      <c r="H216" s="114" t="n">
        <f aca="false">O130</f>
        <v>15222.8202</v>
      </c>
      <c r="K216" s="117" t="s">
        <v>81</v>
      </c>
      <c r="L216" s="51" t="n">
        <f aca="false">SUM(L212:L215)</f>
        <v>129329.4</v>
      </c>
      <c r="M216" s="118" t="n">
        <f aca="false">(L216*M210)+L216</f>
        <v>142262.34</v>
      </c>
      <c r="O216" s="116" t="s">
        <v>82</v>
      </c>
    </row>
    <row r="217" customFormat="false" ht="13.5" hidden="false" customHeight="false" outlineLevel="0" collapsed="false">
      <c r="B217" s="77" t="s">
        <v>48</v>
      </c>
      <c r="C217" s="78"/>
      <c r="D217" s="35" t="n">
        <f aca="false">(D214+D216)*6%</f>
        <v>7319.6311845475</v>
      </c>
      <c r="F217" s="112" t="s">
        <v>83</v>
      </c>
      <c r="G217" s="113"/>
      <c r="H217" s="114" t="n">
        <f aca="false">O156</f>
        <v>28766.8998</v>
      </c>
      <c r="I217" s="114" t="n">
        <f aca="false">+H217+H216</f>
        <v>43989.72</v>
      </c>
      <c r="K217" s="119" t="s">
        <v>84</v>
      </c>
      <c r="L217" s="114" t="n">
        <f aca="false">0.2*L216</f>
        <v>25865.88</v>
      </c>
      <c r="O217" s="90" t="str">
        <f aca="false">O213</f>
        <v>Coordinador/a</v>
      </c>
      <c r="P217" s="40" t="n">
        <f aca="false">+K163+K187</f>
        <v>300</v>
      </c>
      <c r="Q217" s="40" t="n">
        <f aca="false">O178+O202</f>
        <v>8232</v>
      </c>
      <c r="R217" s="92"/>
    </row>
    <row r="218" customFormat="false" ht="13.8" hidden="false" customHeight="false" outlineLevel="0" collapsed="false">
      <c r="B218" s="65" t="s">
        <v>49</v>
      </c>
      <c r="C218" s="66"/>
      <c r="D218" s="71" t="n">
        <f aca="false">SUM(D216:D217)</f>
        <v>18409.9814641649</v>
      </c>
      <c r="G218" s="113"/>
      <c r="H218" s="51" t="n">
        <f aca="false">SUM(H212:H217)</f>
        <v>129329.4</v>
      </c>
      <c r="I218" s="118" t="n">
        <f aca="false">SUM(I212:I217)</f>
        <v>129329.4</v>
      </c>
      <c r="K218" s="112"/>
      <c r="L218" s="118" t="n">
        <f aca="false">SUM(L216:L217)</f>
        <v>155195.28</v>
      </c>
      <c r="O218" s="90" t="str">
        <f aca="false">O214</f>
        <v>Monitor</v>
      </c>
      <c r="P218" s="40" t="n">
        <f aca="false">+K164+K188</f>
        <v>1758</v>
      </c>
      <c r="Q218" s="40" t="n">
        <f aca="false">O179+O203</f>
        <v>35757.72</v>
      </c>
      <c r="R218" s="92"/>
    </row>
    <row r="219" customFormat="false" ht="13.5" hidden="false" customHeight="false" outlineLevel="0" collapsed="false">
      <c r="B219" s="59" t="s">
        <v>51</v>
      </c>
      <c r="C219" s="60"/>
      <c r="D219" s="51" t="n">
        <f aca="false">D214+D218</f>
        <v>129313.484260339</v>
      </c>
      <c r="F219" s="120" t="s">
        <v>85</v>
      </c>
      <c r="G219" s="121" t="n">
        <v>0.2</v>
      </c>
      <c r="H219" s="114" t="n">
        <f aca="false">(SUM(H218)*G219)</f>
        <v>25865.88</v>
      </c>
      <c r="I219" s="114" t="n">
        <f aca="false">(SUM(I218)*G219)</f>
        <v>25865.88</v>
      </c>
      <c r="K219" s="1" t="s">
        <v>86</v>
      </c>
      <c r="L219" s="92" t="n">
        <f aca="false">H222</f>
        <v>15222.8202</v>
      </c>
      <c r="O219" s="4"/>
      <c r="P219" s="49" t="n">
        <f aca="false">SUM(P217:P218)</f>
        <v>2058</v>
      </c>
      <c r="Q219" s="49" t="n">
        <f aca="false">SUM(Q217:Q218)</f>
        <v>43989.72</v>
      </c>
      <c r="R219" s="92" t="n">
        <f aca="false">+Q219-H224</f>
        <v>0</v>
      </c>
    </row>
    <row r="220" customFormat="false" ht="13.5" hidden="false" customHeight="false" outlineLevel="0" collapsed="false">
      <c r="F220" s="51" t="s">
        <v>87</v>
      </c>
      <c r="G220" s="51"/>
      <c r="H220" s="51" t="n">
        <f aca="false">H219+H218</f>
        <v>155195.28</v>
      </c>
      <c r="I220" s="51" t="n">
        <f aca="false">I219+I218</f>
        <v>155195.28</v>
      </c>
      <c r="K220" s="1" t="s">
        <v>88</v>
      </c>
      <c r="L220" s="92" t="n">
        <f aca="false">H223</f>
        <v>28766.8998</v>
      </c>
    </row>
    <row r="221" customFormat="false" ht="13.5" hidden="false" customHeight="false" outlineLevel="0" collapsed="false">
      <c r="K221" s="116"/>
      <c r="L221" s="118" t="n">
        <f aca="false">SUM(L218:L220)</f>
        <v>199185</v>
      </c>
      <c r="O221" s="116" t="s">
        <v>43</v>
      </c>
      <c r="P221" s="122" t="n">
        <f aca="false">+P219+P215</f>
        <v>8232</v>
      </c>
      <c r="Q221" s="122" t="n">
        <f aca="false">+Q219+Q215</f>
        <v>173319.12</v>
      </c>
    </row>
    <row r="222" customFormat="false" ht="13.5" hidden="false" customHeight="false" outlineLevel="0" collapsed="false">
      <c r="F222" s="112" t="s">
        <v>89</v>
      </c>
      <c r="G222" s="113"/>
      <c r="H222" s="114" t="n">
        <f aca="false">O180</f>
        <v>15222.8202</v>
      </c>
      <c r="I222" s="114" t="n">
        <f aca="false">+H222+H223</f>
        <v>43989.72</v>
      </c>
    </row>
    <row r="223" customFormat="false" ht="13.5" hidden="false" customHeight="false" outlineLevel="0" collapsed="false">
      <c r="D223" s="84" t="s">
        <v>52</v>
      </c>
      <c r="F223" s="112" t="s">
        <v>90</v>
      </c>
      <c r="G223" s="113"/>
      <c r="H223" s="114" t="n">
        <f aca="false">O204</f>
        <v>28766.8998</v>
      </c>
      <c r="I223" s="114"/>
      <c r="K223" s="1" t="s">
        <v>91</v>
      </c>
      <c r="L223" s="123" t="n">
        <f aca="false">L216/3</f>
        <v>43109.8</v>
      </c>
      <c r="M223" s="123" t="n">
        <f aca="false">+L223*1.5</f>
        <v>64664.7</v>
      </c>
    </row>
    <row r="224" customFormat="false" ht="17.25" hidden="false" customHeight="false" outlineLevel="0" collapsed="false">
      <c r="B224" s="124" t="s">
        <v>67</v>
      </c>
      <c r="C224" s="125"/>
      <c r="D224" s="126"/>
      <c r="F224" s="116" t="s">
        <v>92</v>
      </c>
      <c r="H224" s="118" t="n">
        <f aca="false">SUM(H221:H223)</f>
        <v>43989.72</v>
      </c>
      <c r="I224" s="118" t="n">
        <f aca="false">SUM(I221:I223)</f>
        <v>43989.72</v>
      </c>
      <c r="K224" s="1" t="s">
        <v>93</v>
      </c>
      <c r="L224" s="123" t="n">
        <f aca="false">L223</f>
        <v>43109.8</v>
      </c>
      <c r="M224" s="123" t="n">
        <f aca="false">+L224*0.7</f>
        <v>30176.86</v>
      </c>
    </row>
    <row r="225" customFormat="false" ht="13.5" hidden="false" customHeight="false" outlineLevel="0" collapsed="false">
      <c r="B225" s="59" t="s">
        <v>20</v>
      </c>
      <c r="C225" s="60"/>
      <c r="D225" s="61" t="s">
        <v>68</v>
      </c>
      <c r="E225" s="127" t="s">
        <v>94</v>
      </c>
      <c r="F225" s="128" t="s">
        <v>43</v>
      </c>
      <c r="G225" s="129"/>
      <c r="H225" s="130" t="n">
        <f aca="false">H224+H220</f>
        <v>199185</v>
      </c>
      <c r="I225" s="130" t="n">
        <f aca="false">I224+I220</f>
        <v>199185</v>
      </c>
      <c r="O225" s="131"/>
      <c r="P225" s="132" t="s">
        <v>55</v>
      </c>
      <c r="Q225" s="132" t="s">
        <v>95</v>
      </c>
      <c r="R225" s="132" t="s">
        <v>57</v>
      </c>
    </row>
    <row r="226" customFormat="false" ht="13.5" hidden="false" customHeight="false" outlineLevel="0" collapsed="false">
      <c r="B226" s="65" t="s">
        <v>44</v>
      </c>
      <c r="C226" s="66"/>
      <c r="D226" s="35" t="n">
        <f aca="false">ROUND(D212,2)</f>
        <v>103818.91</v>
      </c>
      <c r="O226" s="116"/>
    </row>
    <row r="227" customFormat="false" ht="13.5" hidden="false" customHeight="false" outlineLevel="0" collapsed="false">
      <c r="B227" s="65" t="s">
        <v>45</v>
      </c>
      <c r="C227" s="66"/>
      <c r="D227" s="35" t="n">
        <f aca="false">ROUND(D213,2)</f>
        <v>7084.59</v>
      </c>
      <c r="F227" s="1" t="s">
        <v>96</v>
      </c>
      <c r="H227" s="123" t="n">
        <f aca="false">+H225-H219</f>
        <v>173319.12</v>
      </c>
      <c r="O227" s="133" t="s">
        <v>97</v>
      </c>
    </row>
    <row r="228" customFormat="false" ht="13.5" hidden="false" customHeight="false" outlineLevel="0" collapsed="false">
      <c r="B228" s="65" t="s">
        <v>32</v>
      </c>
      <c r="C228" s="66"/>
      <c r="D228" s="71" t="n">
        <f aca="false">SUM(D226:D227)</f>
        <v>110903.5</v>
      </c>
      <c r="E228" s="134" t="n">
        <f aca="false">+D228+D227</f>
        <v>117988.09</v>
      </c>
      <c r="O228" s="90" t="s">
        <v>64</v>
      </c>
      <c r="P228" s="40" t="n">
        <f aca="false">N32+N56</f>
        <v>300</v>
      </c>
      <c r="Q228" s="42" t="n">
        <f aca="false">M32</f>
        <v>26.06</v>
      </c>
      <c r="R228" s="40" t="n">
        <f aca="false">P228*Q228</f>
        <v>7818</v>
      </c>
    </row>
    <row r="229" customFormat="false" ht="13.5" hidden="false" customHeight="false" outlineLevel="0" collapsed="false">
      <c r="B229" s="59" t="s">
        <v>46</v>
      </c>
      <c r="C229" s="60"/>
      <c r="D229" s="76"/>
      <c r="E229" s="135"/>
      <c r="O229" s="90" t="s">
        <v>37</v>
      </c>
      <c r="P229" s="40" t="n">
        <f aca="false">N33+N57</f>
        <v>1758</v>
      </c>
      <c r="Q229" s="42" t="n">
        <f aca="false">M33</f>
        <v>19.32</v>
      </c>
      <c r="R229" s="40" t="n">
        <f aca="false">P229*Q229</f>
        <v>33964.56</v>
      </c>
    </row>
    <row r="230" customFormat="false" ht="13.5" hidden="false" customHeight="false" outlineLevel="0" collapsed="false">
      <c r="B230" s="77" t="s">
        <v>47</v>
      </c>
      <c r="C230" s="78"/>
      <c r="D230" s="35" t="n">
        <f aca="false">ROUND(D228*C194,2)</f>
        <v>11090.35</v>
      </c>
      <c r="E230" s="135"/>
      <c r="K230" s="6" t="s">
        <v>98</v>
      </c>
      <c r="O230" s="136"/>
      <c r="P230" s="49" t="n">
        <f aca="false">SUM(P228:P229)</f>
        <v>2058</v>
      </c>
      <c r="Q230" s="137"/>
      <c r="R230" s="49" t="n">
        <f aca="false">SUM(R228:R229)</f>
        <v>41782.56</v>
      </c>
    </row>
    <row r="231" customFormat="false" ht="13.5" hidden="false" customHeight="false" outlineLevel="0" collapsed="false">
      <c r="B231" s="77" t="s">
        <v>48</v>
      </c>
      <c r="C231" s="78"/>
      <c r="D231" s="35" t="n">
        <f aca="false">D232-D230</f>
        <v>7335.54999999999</v>
      </c>
      <c r="K231" s="6" t="s">
        <v>99</v>
      </c>
      <c r="O231" s="4"/>
    </row>
    <row r="232" customFormat="false" ht="13.5" hidden="false" customHeight="false" outlineLevel="0" collapsed="false">
      <c r="B232" s="65" t="s">
        <v>49</v>
      </c>
      <c r="C232" s="66"/>
      <c r="D232" s="71" t="n">
        <f aca="false">Q215-D228</f>
        <v>18425.9</v>
      </c>
      <c r="E232" s="134" t="n">
        <f aca="false">+D231+D230</f>
        <v>18425.9</v>
      </c>
      <c r="F232" s="92" t="n">
        <f aca="false">+D232-E232</f>
        <v>0</v>
      </c>
      <c r="K232" s="6" t="s">
        <v>100</v>
      </c>
      <c r="O232" s="133" t="s">
        <v>101</v>
      </c>
      <c r="Q232" s="23"/>
    </row>
    <row r="233" customFormat="false" ht="13.5" hidden="false" customHeight="false" outlineLevel="0" collapsed="false">
      <c r="B233" s="59" t="s">
        <v>51</v>
      </c>
      <c r="C233" s="60"/>
      <c r="D233" s="51" t="n">
        <f aca="false">D228+D232</f>
        <v>129329.4</v>
      </c>
      <c r="E233" s="138" t="e">
        <f aca="false">#REF!+(1+#REF!)*#REF!</f>
        <v>#REF!</v>
      </c>
      <c r="O233" s="90" t="s">
        <v>64</v>
      </c>
      <c r="P233" s="40" t="n">
        <f aca="false">N80+N104</f>
        <v>300</v>
      </c>
      <c r="Q233" s="42" t="n">
        <f aca="false">M80</f>
        <v>27.17</v>
      </c>
      <c r="R233" s="40" t="n">
        <f aca="false">+Q233*P233</f>
        <v>8151</v>
      </c>
    </row>
    <row r="234" customFormat="false" ht="13.5" hidden="false" customHeight="false" outlineLevel="0" collapsed="false">
      <c r="O234" s="90" t="s">
        <v>37</v>
      </c>
      <c r="P234" s="40" t="n">
        <f aca="false">N81+N105</f>
        <v>1758</v>
      </c>
      <c r="Q234" s="42" t="n">
        <f aca="false">M81</f>
        <v>20.14</v>
      </c>
      <c r="R234" s="40" t="n">
        <f aca="false">+Q234*P234</f>
        <v>35406.12</v>
      </c>
    </row>
    <row r="235" customFormat="false" ht="13.5" hidden="false" customHeight="false" outlineLevel="0" collapsed="false">
      <c r="O235" s="136"/>
      <c r="P235" s="49" t="n">
        <f aca="false">SUM(P233:P234)</f>
        <v>2058</v>
      </c>
      <c r="Q235" s="137"/>
      <c r="R235" s="49" t="n">
        <f aca="false">SUM(R233:R234)</f>
        <v>43557.12</v>
      </c>
    </row>
    <row r="236" customFormat="false" ht="13.5" hidden="false" customHeight="false" outlineLevel="0" collapsed="false">
      <c r="O236" s="4"/>
    </row>
    <row r="237" customFormat="false" ht="13.5" hidden="false" customHeight="false" outlineLevel="0" collapsed="false">
      <c r="O237" s="133" t="s">
        <v>102</v>
      </c>
      <c r="Q237" s="23"/>
    </row>
    <row r="238" customFormat="false" ht="13.5" hidden="false" customHeight="false" outlineLevel="0" collapsed="false">
      <c r="O238" s="90" t="s">
        <v>64</v>
      </c>
      <c r="P238" s="40" t="n">
        <f aca="false">N128+N154</f>
        <v>300</v>
      </c>
      <c r="Q238" s="42" t="n">
        <f aca="false">M128</f>
        <v>27.44</v>
      </c>
      <c r="R238" s="40" t="n">
        <f aca="false">+Q238*P238</f>
        <v>8232</v>
      </c>
    </row>
    <row r="239" customFormat="false" ht="13.5" hidden="false" customHeight="false" outlineLevel="0" collapsed="false">
      <c r="D239" s="84" t="s">
        <v>52</v>
      </c>
      <c r="O239" s="90" t="s">
        <v>37</v>
      </c>
      <c r="P239" s="40" t="n">
        <f aca="false">N129+N155</f>
        <v>1758</v>
      </c>
      <c r="Q239" s="42" t="n">
        <f aca="false">M129</f>
        <v>20.34</v>
      </c>
      <c r="R239" s="40" t="n">
        <f aca="false">+Q239*P239</f>
        <v>35757.72</v>
      </c>
    </row>
    <row r="240" customFormat="false" ht="17.25" hidden="false" customHeight="false" outlineLevel="0" collapsed="false">
      <c r="B240" s="124" t="s">
        <v>67</v>
      </c>
      <c r="C240" s="125"/>
      <c r="D240" s="126"/>
      <c r="O240" s="136"/>
      <c r="P240" s="49" t="n">
        <f aca="false">SUM(P238:P239)</f>
        <v>2058</v>
      </c>
      <c r="Q240" s="139"/>
      <c r="R240" s="49" t="n">
        <f aca="false">SUM(R238:R239)</f>
        <v>43989.72</v>
      </c>
    </row>
    <row r="241" customFormat="false" ht="13.5" hidden="false" customHeight="false" outlineLevel="0" collapsed="false">
      <c r="B241" s="59" t="s">
        <v>20</v>
      </c>
      <c r="C241" s="60"/>
      <c r="D241" s="61" t="s">
        <v>68</v>
      </c>
      <c r="E241" s="127" t="s">
        <v>103</v>
      </c>
      <c r="O241" s="4"/>
    </row>
    <row r="242" customFormat="false" ht="13.8" hidden="false" customHeight="false" outlineLevel="0" collapsed="false">
      <c r="B242" s="65" t="s">
        <v>44</v>
      </c>
      <c r="C242" s="66"/>
      <c r="D242" s="35" t="n">
        <f aca="false">D212</f>
        <v>103818.910244707</v>
      </c>
      <c r="O242" s="116" t="s">
        <v>43</v>
      </c>
      <c r="P242" s="122" t="n">
        <f aca="false">+P240+P235+P230</f>
        <v>6174</v>
      </c>
      <c r="Q242" s="122"/>
      <c r="R242" s="51" t="n">
        <f aca="false">+R240+R235+R230</f>
        <v>129329.4</v>
      </c>
    </row>
    <row r="243" customFormat="false" ht="13.8" hidden="false" customHeight="false" outlineLevel="0" collapsed="false">
      <c r="B243" s="65" t="s">
        <v>45</v>
      </c>
      <c r="C243" s="66"/>
      <c r="D243" s="35" t="e">
        <f aca="false">D244-D242</f>
        <v>#REF!</v>
      </c>
    </row>
    <row r="244" customFormat="false" ht="13.5" hidden="false" customHeight="false" outlineLevel="0" collapsed="false">
      <c r="B244" s="65" t="s">
        <v>32</v>
      </c>
      <c r="C244" s="66"/>
      <c r="D244" s="71" t="e">
        <f aca="false">D219/(1+E249)</f>
        <v>#REF!</v>
      </c>
      <c r="E244" s="134" t="e">
        <f aca="false">+D242+D243</f>
        <v>#REF!</v>
      </c>
    </row>
    <row r="245" customFormat="false" ht="13.5" hidden="false" customHeight="false" outlineLevel="0" collapsed="false">
      <c r="B245" s="59" t="s">
        <v>46</v>
      </c>
      <c r="C245" s="60"/>
      <c r="D245" s="76"/>
      <c r="E245" s="135"/>
    </row>
    <row r="246" customFormat="false" ht="13.5" hidden="false" customHeight="false" outlineLevel="0" collapsed="false">
      <c r="B246" s="77" t="s">
        <v>47</v>
      </c>
      <c r="C246" s="78"/>
      <c r="D246" s="35" t="e">
        <f aca="false">+D244*#REF!</f>
        <v>#REF!</v>
      </c>
      <c r="E246" s="135"/>
    </row>
    <row r="247" customFormat="false" ht="13.5" hidden="false" customHeight="false" outlineLevel="0" collapsed="false">
      <c r="B247" s="77" t="s">
        <v>48</v>
      </c>
      <c r="C247" s="78"/>
      <c r="D247" s="35" t="e">
        <f aca="false">(D244+D246)*#REF!</f>
        <v>#REF!</v>
      </c>
    </row>
    <row r="248" customFormat="false" ht="13.5" hidden="false" customHeight="false" outlineLevel="0" collapsed="false">
      <c r="B248" s="65" t="s">
        <v>49</v>
      </c>
      <c r="C248" s="66"/>
      <c r="D248" s="71" t="e">
        <f aca="false">D247+D246</f>
        <v>#REF!</v>
      </c>
      <c r="E248" s="134" t="e">
        <f aca="false">+D247+D246</f>
        <v>#REF!</v>
      </c>
      <c r="F248" s="92"/>
    </row>
    <row r="249" customFormat="false" ht="13.5" hidden="false" customHeight="false" outlineLevel="0" collapsed="false">
      <c r="B249" s="59" t="s">
        <v>51</v>
      </c>
      <c r="C249" s="60"/>
      <c r="D249" s="51" t="e">
        <f aca="false">D244+D248</f>
        <v>#REF!</v>
      </c>
      <c r="E249" s="138" t="e">
        <f aca="false">E233</f>
        <v>#REF!</v>
      </c>
    </row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  <row r="1048512" customFormat="false" ht="12.75" hidden="false" customHeight="false" outlineLevel="0" collapsed="false"/>
    <row r="1048513" customFormat="false" ht="12.75" hidden="false" customHeight="false" outlineLevel="0" collapsed="false"/>
    <row r="1048514" customFormat="false" ht="12.75" hidden="false" customHeight="false" outlineLevel="0" collapsed="false"/>
    <row r="1048515" customFormat="false" ht="12.75" hidden="false" customHeight="false" outlineLevel="0" collapsed="false"/>
    <row r="1048516" customFormat="false" ht="12.75" hidden="false" customHeight="false" outlineLevel="0" collapsed="false"/>
    <row r="1048517" customFormat="false" ht="12.75" hidden="false" customHeight="false" outlineLevel="0" collapsed="false"/>
    <row r="1048518" customFormat="false" ht="12.75" hidden="false" customHeight="false" outlineLevel="0" collapsed="false"/>
    <row r="1048519" customFormat="false" ht="12.75" hidden="false" customHeight="false" outlineLevel="0" collapsed="false"/>
    <row r="1048520" customFormat="false" ht="12.75" hidden="false" customHeight="false" outlineLevel="0" collapsed="false"/>
    <row r="1048521" customFormat="false" ht="12.75" hidden="false" customHeight="false" outlineLevel="0" collapsed="false"/>
    <row r="1048522" customFormat="false" ht="12.75" hidden="false" customHeight="false" outlineLevel="0" collapsed="false"/>
    <row r="1048523" customFormat="false" ht="12.75" hidden="false" customHeight="false" outlineLevel="0" collapsed="false"/>
    <row r="1048524" customFormat="false" ht="12.75" hidden="false" customHeight="false" outlineLevel="0" collapsed="false"/>
    <row r="1048525" customFormat="false" ht="12.75" hidden="false" customHeight="false" outlineLevel="0" collapsed="false"/>
    <row r="1048526" customFormat="false" ht="12.75" hidden="false" customHeight="false" outlineLevel="0" collapsed="false"/>
    <row r="1048527" customFormat="false" ht="12.75" hidden="false" customHeight="false" outlineLevel="0" collapsed="false"/>
    <row r="1048528" customFormat="false" ht="12.75" hidden="false" customHeight="false" outlineLevel="0" collapsed="false"/>
    <row r="1048529" customFormat="false" ht="12.75" hidden="false" customHeight="false" outlineLevel="0" collapsed="false"/>
    <row r="1048530" customFormat="false" ht="12.75" hidden="false" customHeight="false" outlineLevel="0" collapsed="false"/>
    <row r="1048531" customFormat="false" ht="12.75" hidden="false" customHeight="false" outlineLevel="0" collapsed="false"/>
    <row r="1048532" customFormat="false" ht="12.75" hidden="false" customHeight="false" outlineLevel="0" collapsed="false"/>
    <row r="1048533" customFormat="false" ht="12.75" hidden="false" customHeight="false" outlineLevel="0" collapsed="false"/>
    <row r="1048534" customFormat="false" ht="12.75" hidden="false" customHeight="false" outlineLevel="0" collapsed="false"/>
    <row r="1048535" customFormat="false" ht="12.75" hidden="false" customHeight="false" outlineLevel="0" collapsed="false"/>
    <row r="1048536" customFormat="false" ht="12.75" hidden="false" customHeight="false" outlineLevel="0" collapsed="false"/>
    <row r="1048537" customFormat="false" ht="12.75" hidden="false" customHeight="false" outlineLevel="0" collapsed="false"/>
    <row r="1048538" customFormat="false" ht="12.75" hidden="false" customHeight="false" outlineLevel="0" collapsed="false"/>
    <row r="1048539" customFormat="false" ht="12.75" hidden="false" customHeight="false" outlineLevel="0" collapsed="false"/>
    <row r="1048540" customFormat="false" ht="12.75" hidden="false" customHeight="false" outlineLevel="0" collapsed="false"/>
    <row r="1048541" customFormat="false" ht="12.75" hidden="false" customHeight="false" outlineLevel="0" collapsed="false"/>
    <row r="1048542" customFormat="false" ht="12.75" hidden="false" customHeight="false" outlineLevel="0" collapsed="false"/>
    <row r="1048543" customFormat="false" ht="12.75" hidden="false" customHeight="false" outlineLevel="0" collapsed="false"/>
    <row r="1048544" customFormat="false" ht="12.75" hidden="false" customHeight="false" outlineLevel="0" collapsed="false"/>
    <row r="1048545" customFormat="false" ht="12.75" hidden="false" customHeight="false" outlineLevel="0" collapsed="false"/>
    <row r="1048546" customFormat="false" ht="12.75" hidden="false" customHeight="false" outlineLevel="0" collapsed="false"/>
    <row r="1048547" customFormat="false" ht="12.75" hidden="false" customHeight="false" outlineLevel="0" collapsed="false"/>
    <row r="1048548" customFormat="false" ht="12.75" hidden="false" customHeight="false" outlineLevel="0" collapsed="false"/>
    <row r="1048549" customFormat="false" ht="12.75" hidden="false" customHeight="false" outlineLevel="0" collapsed="false"/>
    <row r="1048550" customFormat="false" ht="12.75" hidden="false" customHeight="false" outlineLevel="0" collapsed="false"/>
    <row r="1048551" customFormat="false" ht="12.75" hidden="false" customHeight="false" outlineLevel="0" collapsed="false"/>
    <row r="1048552" customFormat="false" ht="12.75" hidden="false" customHeight="false" outlineLevel="0" collapsed="false"/>
    <row r="1048553" customFormat="false" ht="12.75" hidden="false" customHeight="false" outlineLevel="0" collapsed="false"/>
    <row r="1048554" customFormat="false" ht="12.75" hidden="false" customHeight="false" outlineLevel="0" collapsed="false"/>
    <row r="1048555" customFormat="false" ht="12.75" hidden="false" customHeight="false" outlineLevel="0" collapsed="false"/>
    <row r="1048556" customFormat="false" ht="12.75" hidden="false" customHeight="false" outlineLevel="0" collapsed="false"/>
    <row r="1048557" customFormat="false" ht="12.75" hidden="false" customHeight="false" outlineLevel="0" collapsed="false"/>
    <row r="1048558" customFormat="false" ht="12.75" hidden="false" customHeight="false" outlineLevel="0" collapsed="false"/>
    <row r="1048559" customFormat="false" ht="12.75" hidden="false" customHeight="false" outlineLevel="0" collapsed="false"/>
    <row r="1048560" customFormat="false" ht="12.75" hidden="false" customHeight="false" outlineLevel="0" collapsed="false"/>
    <row r="1048561" customFormat="false" ht="12.75" hidden="false" customHeight="false" outlineLevel="0" collapsed="false"/>
    <row r="1048562" customFormat="false" ht="12.75" hidden="false" customHeight="false" outlineLevel="0" collapsed="false"/>
    <row r="1048563" customFormat="false" ht="12.75" hidden="false" customHeight="false" outlineLevel="0" collapsed="false"/>
    <row r="1048564" customFormat="false" ht="12.75" hidden="false" customHeight="false" outlineLevel="0" collapsed="false"/>
    <row r="1048565" customFormat="false" ht="12.75" hidden="false" customHeight="false" outlineLevel="0" collapsed="false"/>
    <row r="1048566" customFormat="false" ht="12.75" hidden="false" customHeight="false" outlineLevel="0" collapsed="false"/>
    <row r="1048567" customFormat="false" ht="12.75" hidden="false" customHeight="false" outlineLevel="0" collapsed="false"/>
    <row r="1048568" customFormat="false" ht="12.75" hidden="false" customHeight="false" outlineLevel="0" collapsed="false"/>
    <row r="1048569" customFormat="false" ht="12.75" hidden="false" customHeight="false" outlineLevel="0" collapsed="false"/>
    <row r="1048570" customFormat="false" ht="12.75" hidden="false" customHeight="false" outlineLevel="0" collapsed="false"/>
    <row r="1048571" customFormat="false" ht="12.75" hidden="false" customHeight="false" outlineLevel="0" collapsed="false"/>
    <row r="1048572" customFormat="false" ht="12.75" hidden="false" customHeight="false" outlineLevel="0" collapsed="false"/>
    <row r="1048573" customFormat="false" ht="12.75" hidden="false" customHeight="false" outlineLevel="0" collapsed="false"/>
    <row r="1048574" customFormat="false" ht="12.75" hidden="false" customHeight="false" outlineLevel="0" collapsed="false"/>
    <row r="1048575" customFormat="false" ht="12.75" hidden="false" customHeight="false" outlineLevel="0" collapsed="false"/>
    <row r="1048576" customFormat="false" ht="12.75" hidden="false" customHeight="false" outlineLevel="0" collapsed="false"/>
  </sheetData>
  <mergeCells count="65">
    <mergeCell ref="P2:Q2"/>
    <mergeCell ref="B15:P15"/>
    <mergeCell ref="E16:F16"/>
    <mergeCell ref="N16:O16"/>
    <mergeCell ref="B21:E21"/>
    <mergeCell ref="B22:B23"/>
    <mergeCell ref="C22:C23"/>
    <mergeCell ref="D22:D23"/>
    <mergeCell ref="E22:E24"/>
    <mergeCell ref="B39:P39"/>
    <mergeCell ref="E40:F40"/>
    <mergeCell ref="N40:O40"/>
    <mergeCell ref="B45:E45"/>
    <mergeCell ref="B46:B47"/>
    <mergeCell ref="C46:C47"/>
    <mergeCell ref="D46:D47"/>
    <mergeCell ref="E46:E48"/>
    <mergeCell ref="B63:P63"/>
    <mergeCell ref="E64:F64"/>
    <mergeCell ref="N64:O64"/>
    <mergeCell ref="B69:E69"/>
    <mergeCell ref="B70:B71"/>
    <mergeCell ref="C70:C71"/>
    <mergeCell ref="D70:D71"/>
    <mergeCell ref="E70:E72"/>
    <mergeCell ref="A87:O87"/>
    <mergeCell ref="E88:F88"/>
    <mergeCell ref="N88:O88"/>
    <mergeCell ref="B93:E93"/>
    <mergeCell ref="B94:B95"/>
    <mergeCell ref="C94:C95"/>
    <mergeCell ref="D94:D95"/>
    <mergeCell ref="E94:E96"/>
    <mergeCell ref="B111:P111"/>
    <mergeCell ref="E112:F112"/>
    <mergeCell ref="N112:O112"/>
    <mergeCell ref="B117:E117"/>
    <mergeCell ref="B118:B119"/>
    <mergeCell ref="C118:C119"/>
    <mergeCell ref="D118:D119"/>
    <mergeCell ref="E118:E120"/>
    <mergeCell ref="B137:P137"/>
    <mergeCell ref="E138:F138"/>
    <mergeCell ref="N138:O138"/>
    <mergeCell ref="B143:E143"/>
    <mergeCell ref="B144:B145"/>
    <mergeCell ref="C144:C145"/>
    <mergeCell ref="D144:D145"/>
    <mergeCell ref="E144:E146"/>
    <mergeCell ref="B161:P161"/>
    <mergeCell ref="E162:F162"/>
    <mergeCell ref="N162:O162"/>
    <mergeCell ref="B167:E167"/>
    <mergeCell ref="B168:B169"/>
    <mergeCell ref="C168:C169"/>
    <mergeCell ref="D168:D169"/>
    <mergeCell ref="E168:E170"/>
    <mergeCell ref="B185:P185"/>
    <mergeCell ref="E186:F186"/>
    <mergeCell ref="N186:O186"/>
    <mergeCell ref="B191:E191"/>
    <mergeCell ref="B192:B193"/>
    <mergeCell ref="C192:C193"/>
    <mergeCell ref="D192:D193"/>
    <mergeCell ref="E192:E194"/>
  </mergeCells>
  <printOptions headings="false" gridLines="false" gridLinesSet="true" horizontalCentered="false" verticalCentered="false"/>
  <pageMargins left="0.192361111111111" right="0.193055555555556" top="0.524305555555556" bottom="0.434027777777778" header="0.259027777777778" footer="0.16875"/>
  <pageSetup paperSize="8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Roman,Normal"&amp;12&amp;KffffffPàgina &amp;P</oddFooter>
  </headerFooter>
  <rowBreaks count="3" manualBreakCount="3">
    <brk id="60" man="true" max="16383" min="0"/>
    <brk id="109" man="true" max="16383" min="0"/>
    <brk id="206" man="true" max="16383" min="0"/>
  </rowBreaks>
  <colBreaks count="1" manualBreakCount="1">
    <brk id="18" man="true" max="65535" min="0"/>
  </col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?>
<Relationships xmlns="http://schemas.openxmlformats.org/package/2006/relationships"><Relationship Id="rId1" Type="http://schemas.openxmlformats.org/officeDocument/2006/relationships/customXmlProps" Target="itemProps10.xml"/>
</Relationships>
</file>

<file path=customXml/_rels/item11.xml.rels><?xml version="1.0" encoding="UTF-8"?>
<Relationships xmlns="http://schemas.openxmlformats.org/package/2006/relationships"><Relationship Id="rId1" Type="http://schemas.openxmlformats.org/officeDocument/2006/relationships/customXmlProps" Target="itemProps11.xml"/>
</Relationships>
</file>

<file path=customXml/_rels/item12.xml.rels><?xml version="1.0" encoding="UTF-8"?>
<Relationships xmlns="http://schemas.openxmlformats.org/package/2006/relationships"><Relationship Id="rId1" Type="http://schemas.openxmlformats.org/officeDocument/2006/relationships/customXmlProps" Target="itemProps12.xml"/>
</Relationships>
</file>

<file path=customXml/_rels/item13.xml.rels><?xml version="1.0" encoding="UTF-8"?>
<Relationships xmlns="http://schemas.openxmlformats.org/package/2006/relationships"><Relationship Id="rId1" Type="http://schemas.openxmlformats.org/officeDocument/2006/relationships/customXmlProps" Target="itemProps13.xml"/>
</Relationships>
</file>

<file path=customXml/_rels/item14.xml.rels><?xml version="1.0" encoding="UTF-8"?>
<Relationships xmlns="http://schemas.openxmlformats.org/package/2006/relationships"><Relationship Id="rId1" Type="http://schemas.openxmlformats.org/officeDocument/2006/relationships/customXmlProps" Target="itemProps14.xml"/>
</Relationships>
</file>

<file path=customXml/_rels/item15.xml.rels><?xml version="1.0" encoding="UTF-8"?>
<Relationships xmlns="http://schemas.openxmlformats.org/package/2006/relationships"><Relationship Id="rId1" Type="http://schemas.openxmlformats.org/officeDocument/2006/relationships/customXmlProps" Target="itemProps15.xml"/>
</Relationships>
</file>

<file path=customXml/_rels/item16.xml.rels><?xml version="1.0" encoding="UTF-8"?>
<Relationships xmlns="http://schemas.openxmlformats.org/package/2006/relationships"><Relationship Id="rId1" Type="http://schemas.openxmlformats.org/officeDocument/2006/relationships/customXmlProps" Target="itemProps16.xml"/>
</Relationships>
</file>

<file path=customXml/_rels/item17.xml.rels><?xml version="1.0" encoding="UTF-8"?>
<Relationships xmlns="http://schemas.openxmlformats.org/package/2006/relationships"><Relationship Id="rId1" Type="http://schemas.openxmlformats.org/officeDocument/2006/relationships/customXmlProps" Target="itemProps17.xml"/>
</Relationships>
</file>

<file path=customXml/_rels/item18.xml.rels><?xml version="1.0" encoding="UTF-8"?>
<Relationships xmlns="http://schemas.openxmlformats.org/package/2006/relationships"><Relationship Id="rId1" Type="http://schemas.openxmlformats.org/officeDocument/2006/relationships/customXmlProps" Target="itemProps18.xml"/>
</Relationships>
</file>

<file path=customXml/_rels/item19.xml.rels><?xml version="1.0" encoding="UTF-8"?>
<Relationships xmlns="http://schemas.openxmlformats.org/package/2006/relationships"><Relationship Id="rId1" Type="http://schemas.openxmlformats.org/officeDocument/2006/relationships/customXmlProps" Target="itemProps19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20.xml.rels><?xml version="1.0" encoding="UTF-8"?>
<Relationships xmlns="http://schemas.openxmlformats.org/package/2006/relationships"><Relationship Id="rId1" Type="http://schemas.openxmlformats.org/officeDocument/2006/relationships/customXmlProps" Target="itemProps20.xml"/>
</Relationships>
</file>

<file path=customXml/_rels/item21.xml.rels><?xml version="1.0" encoding="UTF-8"?>
<Relationships xmlns="http://schemas.openxmlformats.org/package/2006/relationships"><Relationship Id="rId1" Type="http://schemas.openxmlformats.org/officeDocument/2006/relationships/customXmlProps" Target="itemProps21.xml"/>
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b893e-6d98-4710-92c2-389b59b64829">
      <Terms xmlns="http://schemas.microsoft.com/office/infopath/2007/PartnerControls"/>
    </lcf76f155ced4ddcb4097134ff3c332f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</documentManagement>
</p:properties>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630C1C3473D498DA6E29CFD5A0502" ma:contentTypeVersion="10" ma:contentTypeDescription="Crea un document nou" ma:contentTypeScope="" ma:versionID="f34473c856dbbd2a7ddea985eb9a915f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2ca6a19180c1cc169e493f25866fe988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630C1C3473D498DA6E29CFD5A0502" ma:contentTypeVersion="10" ma:contentTypeDescription="Crea un document nou" ma:contentTypeScope="" ma:versionID="f34473c856dbbd2a7ddea985eb9a915f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2ca6a19180c1cc169e493f25866fe988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630C1C3473D498DA6E29CFD5A0502" ma:contentTypeVersion="10" ma:contentTypeDescription="Crea un document nou" ma:contentTypeScope="" ma:versionID="f34473c856dbbd2a7ddea985eb9a915f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2ca6a19180c1cc169e493f25866fe988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30C1C3473D498DA6E29CFD5A0502" ma:contentTypeVersion="10" ma:contentTypeDescription="Crear nuevo documento." ma:contentTypeScope="" ma:versionID="83e465b840c696e175538ab610b8e6be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0dc93cf15b072e3c3f99a90ee086ed49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630C1C3473D498DA6E29CFD5A0502" ma:contentTypeVersion="10" ma:contentTypeDescription="Crea un document nou" ma:contentTypeScope="" ma:versionID="f34473c856dbbd2a7ddea985eb9a915f">
  <xsd:schema xmlns:xsd="http://www.w3.org/2001/XMLSchema" xmlns:xs="http://www.w3.org/2001/XMLSchema" xmlns:p="http://schemas.microsoft.com/office/2006/metadata/properties" xmlns:ns2="81aa88db-b54f-4aef-b416-141c5085d926" xmlns:ns3="bef72615-63e4-49d4-afab-c13aa9c69e5a" targetNamespace="http://schemas.microsoft.com/office/2006/metadata/properties" ma:root="true" ma:fieldsID="2ca6a19180c1cc169e493f25866fe988" ns2:_="" ns3:_="">
    <xsd:import namespace="81aa88db-b54f-4aef-b416-141c5085d926"/>
    <xsd:import namespace="bef72615-63e4-49d4-afab-c13aa9c69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a88db-b54f-4aef-b416-141c5085d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72615-63e4-49d4-afab-c13aa9c69e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44dffa-e8fc-4fc4-8373-a0561e5e13e8}" ma:internalName="TaxCatchAll" ma:showField="CatchAllData" ma:web="bef72615-63e4-49d4-afab-c13aa9c69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C8850-66A1-4048-9120-5135B08A226C}"/>
</file>

<file path=customXml/itemProps10.xml><?xml version="1.0" encoding="utf-8"?>
<ds:datastoreItem xmlns:ds="http://schemas.openxmlformats.org/officeDocument/2006/customXml" ds:itemID="{46F81895-9741-48C3-AA2F-82A75A2EE43E}"/>
</file>

<file path=customXml/itemProps11.xml><?xml version="1.0" encoding="utf-8"?>
<ds:datastoreItem xmlns:ds="http://schemas.openxmlformats.org/officeDocument/2006/customXml" ds:itemID="{66E70A02-75CD-41A4-952E-8FC062EB2476}"/>
</file>

<file path=customXml/itemProps12.xml><?xml version="1.0" encoding="utf-8"?>
<ds:datastoreItem xmlns:ds="http://schemas.openxmlformats.org/officeDocument/2006/customXml" ds:itemID="{ABF77739-0E4D-48C6-B523-F8693DAE5CCA}"/>
</file>

<file path=customXml/itemProps13.xml><?xml version="1.0" encoding="utf-8"?>
<ds:datastoreItem xmlns:ds="http://schemas.openxmlformats.org/officeDocument/2006/customXml" ds:itemID="{FCE84874-B020-4961-8B70-0A67EB0DEAD5}"/>
</file>

<file path=customXml/itemProps14.xml><?xml version="1.0" encoding="utf-8"?>
<ds:datastoreItem xmlns:ds="http://schemas.openxmlformats.org/officeDocument/2006/customXml" ds:itemID="{F3B5E0A8-4B88-4E47-B8E4-DA4A3A7CF960}"/>
</file>

<file path=customXml/itemProps15.xml><?xml version="1.0" encoding="utf-8"?>
<ds:datastoreItem xmlns:ds="http://schemas.openxmlformats.org/officeDocument/2006/customXml" ds:itemID="{101CC85A-3A80-4CF8-AD86-AA772EB50709}"/>
</file>

<file path=customXml/itemProps16.xml><?xml version="1.0" encoding="utf-8"?>
<ds:datastoreItem xmlns:ds="http://schemas.openxmlformats.org/officeDocument/2006/customXml" ds:itemID="{F5A5ED10-C739-4BEE-9843-D8EA07091A38}"/>
</file>

<file path=customXml/itemProps17.xml><?xml version="1.0" encoding="utf-8"?>
<ds:datastoreItem xmlns:ds="http://schemas.openxmlformats.org/officeDocument/2006/customXml" ds:itemID="{F37FDCA7-1A4A-4AE9-A97E-EB10F515589F}"/>
</file>

<file path=customXml/itemProps18.xml><?xml version="1.0" encoding="utf-8"?>
<ds:datastoreItem xmlns:ds="http://schemas.openxmlformats.org/officeDocument/2006/customXml" ds:itemID="{80EB11B8-AEF3-4E51-A55A-8B9A28DEA5FF}"/>
</file>

<file path=customXml/itemProps19.xml><?xml version="1.0" encoding="utf-8"?>
<ds:datastoreItem xmlns:ds="http://schemas.openxmlformats.org/officeDocument/2006/customXml" ds:itemID="{6CBF44AF-B4F8-4EE5-9AF7-34EA0A4C765E}"/>
</file>

<file path=customXml/itemProps2.xml><?xml version="1.0" encoding="utf-8"?>
<ds:datastoreItem xmlns:ds="http://schemas.openxmlformats.org/officeDocument/2006/customXml" ds:itemID="{9CC8D6D9-128A-4533-B3B9-A42B03A75E2A}"/>
</file>

<file path=customXml/itemProps20.xml><?xml version="1.0" encoding="utf-8"?>
<ds:datastoreItem xmlns:ds="http://schemas.openxmlformats.org/officeDocument/2006/customXml" ds:itemID="{289AA781-AB24-401F-BF4B-E1C8E959F35B}"/>
</file>

<file path=customXml/itemProps21.xml><?xml version="1.0" encoding="utf-8"?>
<ds:datastoreItem xmlns:ds="http://schemas.openxmlformats.org/officeDocument/2006/customXml" ds:itemID="{0A5DC2BA-94DB-4D33-B511-EC49CCA05C8E}"/>
</file>

<file path=customXml/itemProps22.xml><?xml version="1.0" encoding="utf-8"?>
<ds:datastoreItem xmlns:ds="http://schemas.openxmlformats.org/officeDocument/2006/customXml" ds:itemID="{E3915225-721B-4653-8757-8F77E1F9B608}"/>
</file>

<file path=customXml/itemProps23.xml><?xml version="1.0" encoding="utf-8"?>
<ds:datastoreItem xmlns:ds="http://schemas.openxmlformats.org/officeDocument/2006/customXml" ds:itemID="{E026F577-9001-4070-B766-E20BA6D8D963}"/>
</file>

<file path=customXml/itemProps3.xml><?xml version="1.0" encoding="utf-8"?>
<ds:datastoreItem xmlns:ds="http://schemas.openxmlformats.org/officeDocument/2006/customXml" ds:itemID="{131580FA-E6E2-4B93-A1E2-9D1A86CCF382}"/>
</file>

<file path=customXml/itemProps4.xml><?xml version="1.0" encoding="utf-8"?>
<ds:datastoreItem xmlns:ds="http://schemas.openxmlformats.org/officeDocument/2006/customXml" ds:itemID="{C15108D9-BA50-4C49-A4F7-8E1E37127739}"/>
</file>

<file path=customXml/itemProps5.xml><?xml version="1.0" encoding="utf-8"?>
<ds:datastoreItem xmlns:ds="http://schemas.openxmlformats.org/officeDocument/2006/customXml" ds:itemID="{1F3D83F9-468F-4FE9-BEC4-75547C797CB1}"/>
</file>

<file path=customXml/itemProps6.xml><?xml version="1.0" encoding="utf-8"?>
<ds:datastoreItem xmlns:ds="http://schemas.openxmlformats.org/officeDocument/2006/customXml" ds:itemID="{EE58A013-8DD5-48CD-9446-ECB2245C4FE9}"/>
</file>

<file path=customXml/itemProps7.xml><?xml version="1.0" encoding="utf-8"?>
<ds:datastoreItem xmlns:ds="http://schemas.openxmlformats.org/officeDocument/2006/customXml" ds:itemID="{4EB076BE-8883-49DC-A771-772EF2CFE200}"/>
</file>

<file path=customXml/itemProps8.xml><?xml version="1.0" encoding="utf-8"?>
<ds:datastoreItem xmlns:ds="http://schemas.openxmlformats.org/officeDocument/2006/customXml" ds:itemID="{CE80D969-C077-4F9E-A4BC-DC4138F86344}"/>
</file>

<file path=customXml/itemProps9.xml><?xml version="1.0" encoding="utf-8"?>
<ds:datastoreItem xmlns:ds="http://schemas.openxmlformats.org/officeDocument/2006/customXml" ds:itemID="{73DE9C0B-4361-46E5-9BE6-F01BAA446A8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rmvila</dc:creator>
  <dc:description/>
  <cp:lastModifiedBy/>
  <cp:revision>126</cp:revision>
  <cp:lastPrinted>2026-06-02T11:31:17Z</cp:lastPrinted>
  <dcterms:created xsi:type="dcterms:W3CDTF">2023-04-01T15:41:09Z</dcterms:created>
  <dcterms:modified xsi:type="dcterms:W3CDTF">2026-06-03T13:29:31Z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0x010100009B3D7587CA3D4FB0564F7D0C54EAB7</vt:lpwstr>
  </property>
  <property fmtid="{D5CDD505-2E9C-101B-9397-08002B2CF9AE}" pid="4" name="MediaServiceImageTags">
    <vt:lpwstr/>
  </property>
  <property fmtid="{D5CDD505-2E9C-101B-9397-08002B2CF9AE}" pid="5" name="Order">
    <vt:r8>1181300</vt:r8>
  </property>
  <property fmtid="{D5CDD505-2E9C-101B-9397-08002B2CF9AE}" pid="6" name="ProgId">
    <vt:lpwstr>Excel.Sheet</vt:lpwstr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_ExtendedDescription">
    <vt:lpwstr/>
  </property>
  <property fmtid="{D5CDD505-2E9C-101B-9397-08002B2CF9AE}" pid="10" name="_SharedFileIndex">
    <vt:lpwstr/>
  </property>
  <property fmtid="{D5CDD505-2E9C-101B-9397-08002B2CF9AE}" pid="11" name="_SourceUrl">
    <vt:lpwstr/>
  </property>
  <property fmtid="{D5CDD505-2E9C-101B-9397-08002B2CF9AE}" pid="12" name="xd_ProgID">
    <vt:lpwstr/>
  </property>
  <property fmtid="{D5CDD505-2E9C-101B-9397-08002B2CF9AE}" pid="13" name="xd_Signature">
    <vt:bool>false</vt:bool>
  </property>
</Properties>
</file>