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_Projectes Oberts\22\biomassa Taradell Pinediques\plecs\actualització de preus\"/>
    </mc:Choice>
  </mc:AlternateContent>
  <xr:revisionPtr revIDLastSave="0" documentId="13_ncr:1_{4F0ADC26-3CE7-458D-9B9B-31A60B73ADE0}" xr6:coauthVersionLast="47" xr6:coauthVersionMax="47" xr10:uidLastSave="{00000000-0000-0000-0000-000000000000}"/>
  <bookViews>
    <workbookView xWindow="-108" yWindow="-108" windowWidth="30936" windowHeight="16896" xr2:uid="{00000000-000D-0000-FFFF-FFFF00000000}"/>
  </bookViews>
  <sheets>
    <sheet name="Full 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 l="1"/>
  <c r="G6" i="1"/>
  <c r="F8" i="1"/>
  <c r="G8" i="1"/>
  <c r="F10" i="1"/>
  <c r="G10" i="1"/>
  <c r="F12" i="1"/>
  <c r="G12" i="1"/>
  <c r="F44" i="1"/>
  <c r="G44" i="1"/>
  <c r="F42" i="1"/>
  <c r="G42" i="1"/>
  <c r="F40" i="1"/>
  <c r="G40" i="1"/>
  <c r="F38" i="1"/>
  <c r="G38" i="1"/>
  <c r="F36" i="1"/>
  <c r="G36" i="1"/>
  <c r="F34" i="1"/>
  <c r="G34" i="1"/>
  <c r="F32" i="1"/>
  <c r="G32" i="1"/>
  <c r="F30" i="1"/>
  <c r="G30" i="1"/>
  <c r="F28" i="1"/>
  <c r="G28" i="1"/>
  <c r="F26" i="1"/>
  <c r="G26" i="1"/>
  <c r="F24" i="1"/>
  <c r="G24" i="1"/>
  <c r="F22" i="1"/>
  <c r="G22" i="1"/>
  <c r="F20" i="1"/>
  <c r="G20" i="1"/>
  <c r="F18" i="1"/>
  <c r="G18" i="1"/>
  <c r="F16" i="1"/>
  <c r="G16" i="1"/>
  <c r="F14" i="1"/>
  <c r="G14" i="1"/>
  <c r="F46" i="1"/>
  <c r="G46" i="1"/>
  <c r="F48" i="1"/>
  <c r="G48" i="1"/>
  <c r="F50" i="1"/>
  <c r="G50" i="1"/>
  <c r="F52" i="1"/>
  <c r="G52" i="1"/>
  <c r="F54" i="1"/>
  <c r="G54" i="1"/>
  <c r="F70" i="1"/>
  <c r="G70" i="1"/>
  <c r="F68" i="1"/>
  <c r="G68" i="1"/>
  <c r="F66" i="1"/>
  <c r="G66" i="1"/>
  <c r="F64" i="1"/>
  <c r="G64" i="1"/>
  <c r="F62" i="1"/>
  <c r="G62" i="1"/>
  <c r="F60" i="1"/>
  <c r="G60" i="1"/>
  <c r="F58" i="1"/>
  <c r="G58" i="1"/>
  <c r="F56" i="1"/>
  <c r="G56" i="1"/>
  <c r="F72" i="1"/>
  <c r="G72" i="1"/>
  <c r="F74" i="1"/>
  <c r="G74" i="1"/>
  <c r="F76" i="1"/>
  <c r="G76" i="1"/>
  <c r="F78" i="1"/>
  <c r="G78" i="1"/>
  <c r="F80" i="1"/>
  <c r="G80" i="1"/>
  <c r="F100" i="1"/>
  <c r="G100" i="1"/>
  <c r="F98" i="1"/>
  <c r="G98" i="1"/>
  <c r="F96" i="1"/>
  <c r="G96" i="1"/>
  <c r="F94" i="1"/>
  <c r="G94" i="1"/>
  <c r="F92" i="1"/>
  <c r="G92" i="1"/>
  <c r="F90" i="1"/>
  <c r="G90" i="1"/>
  <c r="F88" i="1"/>
  <c r="G88" i="1"/>
  <c r="F86" i="1"/>
  <c r="G86" i="1"/>
  <c r="F84" i="1"/>
  <c r="G84" i="1"/>
  <c r="F82" i="1"/>
  <c r="G82" i="1"/>
  <c r="F102" i="1"/>
  <c r="G102" i="1"/>
  <c r="F104" i="1"/>
  <c r="G104" i="1"/>
  <c r="F106" i="1"/>
  <c r="G106" i="1"/>
  <c r="F108" i="1"/>
  <c r="G108" i="1"/>
  <c r="F110" i="1"/>
  <c r="G110" i="1"/>
  <c r="F142" i="1"/>
  <c r="G142" i="1"/>
  <c r="F140" i="1"/>
  <c r="G140" i="1"/>
  <c r="F138" i="1"/>
  <c r="G138" i="1"/>
  <c r="F136" i="1"/>
  <c r="G136" i="1"/>
  <c r="F134" i="1"/>
  <c r="G134" i="1"/>
  <c r="F132" i="1"/>
  <c r="G132" i="1"/>
  <c r="F130" i="1"/>
  <c r="G130" i="1"/>
  <c r="F128" i="1"/>
  <c r="G128" i="1"/>
  <c r="F126" i="1"/>
  <c r="G126" i="1"/>
  <c r="F124" i="1"/>
  <c r="G124" i="1"/>
  <c r="F122" i="1"/>
  <c r="G122" i="1"/>
  <c r="F120" i="1"/>
  <c r="G120" i="1"/>
  <c r="F118" i="1"/>
  <c r="G118" i="1"/>
  <c r="F116" i="1"/>
  <c r="G116" i="1"/>
  <c r="F114" i="1"/>
  <c r="G114" i="1"/>
  <c r="F112" i="1"/>
  <c r="G112" i="1"/>
  <c r="F144" i="1"/>
  <c r="G144" i="1"/>
  <c r="F408" i="1"/>
  <c r="G408" i="1"/>
  <c r="F410" i="1"/>
  <c r="G410" i="1"/>
  <c r="F412" i="1"/>
  <c r="G412" i="1"/>
  <c r="F414" i="1"/>
  <c r="G414" i="1"/>
  <c r="F416" i="1"/>
  <c r="G416" i="1"/>
  <c r="F418" i="1"/>
  <c r="G418" i="1"/>
  <c r="F351" i="1"/>
  <c r="G351" i="1"/>
  <c r="F353" i="1"/>
  <c r="G353" i="1"/>
  <c r="F355" i="1"/>
  <c r="G355" i="1"/>
  <c r="F357" i="1"/>
  <c r="G357" i="1"/>
  <c r="F403" i="1"/>
  <c r="G403" i="1"/>
  <c r="F401" i="1"/>
  <c r="G401" i="1"/>
  <c r="F399" i="1"/>
  <c r="G399" i="1"/>
  <c r="F397" i="1"/>
  <c r="G397" i="1"/>
  <c r="F395" i="1"/>
  <c r="G395" i="1"/>
  <c r="F393" i="1"/>
  <c r="G393" i="1"/>
  <c r="F391" i="1"/>
  <c r="G391" i="1"/>
  <c r="F389" i="1"/>
  <c r="G389" i="1"/>
  <c r="F387" i="1"/>
  <c r="G387" i="1"/>
  <c r="F385" i="1"/>
  <c r="G385" i="1"/>
  <c r="F383" i="1"/>
  <c r="G383" i="1"/>
  <c r="F381" i="1"/>
  <c r="G381" i="1"/>
  <c r="F379" i="1"/>
  <c r="G379" i="1"/>
  <c r="F377" i="1"/>
  <c r="G377" i="1"/>
  <c r="F375" i="1"/>
  <c r="G375" i="1"/>
  <c r="F373" i="1"/>
  <c r="G373" i="1"/>
  <c r="F371" i="1"/>
  <c r="G371" i="1"/>
  <c r="F369" i="1"/>
  <c r="G369" i="1"/>
  <c r="F367" i="1"/>
  <c r="G367" i="1"/>
  <c r="F365" i="1"/>
  <c r="G365" i="1"/>
  <c r="F363" i="1"/>
  <c r="G363" i="1"/>
  <c r="F361" i="1"/>
  <c r="G361" i="1"/>
  <c r="F359" i="1"/>
  <c r="G359" i="1"/>
  <c r="F405" i="1"/>
  <c r="G405" i="1"/>
  <c r="F406" i="1"/>
  <c r="G406" i="1"/>
  <c r="F207" i="1"/>
  <c r="G207" i="1"/>
  <c r="F209" i="1"/>
  <c r="G209" i="1"/>
  <c r="F211" i="1"/>
  <c r="G211" i="1"/>
  <c r="F213" i="1"/>
  <c r="G213" i="1"/>
  <c r="F223" i="1"/>
  <c r="G223" i="1"/>
  <c r="F221" i="1"/>
  <c r="G221" i="1"/>
  <c r="F219" i="1"/>
  <c r="G219" i="1"/>
  <c r="F217" i="1"/>
  <c r="G217" i="1"/>
  <c r="F215" i="1"/>
  <c r="G215" i="1"/>
  <c r="F225" i="1"/>
  <c r="G225" i="1"/>
  <c r="F227" i="1"/>
  <c r="G227" i="1"/>
  <c r="F229" i="1"/>
  <c r="G229" i="1"/>
  <c r="F231" i="1"/>
  <c r="G231" i="1"/>
  <c r="F233" i="1"/>
  <c r="G233" i="1"/>
  <c r="F237" i="1"/>
  <c r="G237" i="1"/>
  <c r="F235" i="1"/>
  <c r="G235" i="1"/>
  <c r="F239" i="1"/>
  <c r="G239" i="1"/>
  <c r="F241" i="1"/>
  <c r="G241" i="1"/>
  <c r="F243" i="1"/>
  <c r="G243" i="1"/>
  <c r="F245" i="1"/>
  <c r="G245" i="1"/>
  <c r="F247" i="1"/>
  <c r="G247" i="1"/>
  <c r="F271" i="1"/>
  <c r="G271" i="1"/>
  <c r="F269" i="1"/>
  <c r="G269" i="1"/>
  <c r="F267" i="1"/>
  <c r="G267" i="1"/>
  <c r="F265" i="1"/>
  <c r="G265" i="1"/>
  <c r="F263" i="1"/>
  <c r="G263" i="1"/>
  <c r="F261" i="1"/>
  <c r="G261" i="1"/>
  <c r="F259" i="1"/>
  <c r="G259" i="1"/>
  <c r="F257" i="1"/>
  <c r="G257" i="1"/>
  <c r="F255" i="1"/>
  <c r="G255" i="1"/>
  <c r="F253" i="1"/>
  <c r="G253" i="1"/>
  <c r="F251" i="1"/>
  <c r="G251" i="1"/>
  <c r="F249" i="1"/>
  <c r="G249" i="1"/>
  <c r="F273" i="1"/>
  <c r="G273" i="1"/>
  <c r="F275" i="1"/>
  <c r="G275" i="1"/>
  <c r="F277" i="1"/>
  <c r="G277" i="1"/>
  <c r="F279" i="1"/>
  <c r="G279" i="1"/>
  <c r="F281" i="1"/>
  <c r="G281" i="1"/>
  <c r="F283" i="1"/>
  <c r="G283" i="1"/>
  <c r="F285" i="1"/>
  <c r="G285" i="1"/>
  <c r="F337" i="1"/>
  <c r="G337" i="1"/>
  <c r="F339" i="1"/>
  <c r="G339" i="1"/>
  <c r="F341" i="1"/>
  <c r="G341" i="1"/>
  <c r="F343" i="1"/>
  <c r="G343" i="1"/>
  <c r="F345" i="1"/>
  <c r="G345" i="1"/>
  <c r="F347" i="1"/>
  <c r="G347" i="1"/>
  <c r="F325" i="1"/>
  <c r="G325" i="1"/>
  <c r="F327" i="1"/>
  <c r="G327" i="1"/>
  <c r="F329" i="1"/>
  <c r="G329" i="1"/>
  <c r="F331" i="1"/>
  <c r="G331" i="1"/>
  <c r="F333" i="1"/>
  <c r="G333" i="1"/>
  <c r="F335" i="1"/>
  <c r="G335" i="1"/>
  <c r="F307" i="1"/>
  <c r="G307" i="1"/>
  <c r="F309" i="1"/>
  <c r="G309" i="1"/>
  <c r="F311" i="1"/>
  <c r="G311" i="1"/>
  <c r="F313" i="1"/>
  <c r="G313" i="1"/>
  <c r="F321" i="1"/>
  <c r="G321" i="1"/>
  <c r="F319" i="1"/>
  <c r="G319" i="1"/>
  <c r="F317" i="1"/>
  <c r="G317" i="1"/>
  <c r="F315" i="1"/>
  <c r="G315" i="1"/>
  <c r="F323" i="1"/>
  <c r="G323" i="1"/>
  <c r="F299" i="1"/>
  <c r="G299" i="1"/>
  <c r="F301" i="1"/>
  <c r="G301" i="1"/>
  <c r="F303" i="1"/>
  <c r="G303" i="1"/>
  <c r="F305" i="1"/>
  <c r="G305" i="1"/>
  <c r="F287" i="1"/>
  <c r="G287" i="1"/>
  <c r="F289" i="1"/>
  <c r="G289" i="1"/>
  <c r="F291" i="1"/>
  <c r="G291" i="1"/>
  <c r="F293" i="1"/>
  <c r="G293" i="1"/>
  <c r="F295" i="1"/>
  <c r="G295" i="1"/>
  <c r="F297" i="1"/>
  <c r="G297" i="1"/>
  <c r="F348" i="1"/>
  <c r="G348" i="1"/>
  <c r="F198" i="1"/>
  <c r="G198" i="1"/>
  <c r="F200" i="1"/>
  <c r="G200" i="1"/>
  <c r="F202" i="1"/>
  <c r="G202" i="1"/>
  <c r="F204" i="1"/>
  <c r="G204" i="1"/>
  <c r="F194" i="1"/>
  <c r="G194" i="1"/>
  <c r="F196" i="1"/>
  <c r="G196" i="1"/>
  <c r="F180" i="1"/>
  <c r="G180" i="1"/>
  <c r="F182" i="1"/>
  <c r="G182" i="1"/>
  <c r="F184" i="1"/>
  <c r="G184" i="1"/>
  <c r="F186" i="1"/>
  <c r="G186" i="1"/>
  <c r="F190" i="1"/>
  <c r="G190" i="1"/>
  <c r="F188" i="1"/>
  <c r="G188" i="1"/>
  <c r="F192" i="1"/>
  <c r="G192" i="1"/>
  <c r="F147" i="1"/>
  <c r="G147" i="1"/>
  <c r="F149" i="1"/>
  <c r="G149" i="1"/>
  <c r="F151" i="1"/>
  <c r="G151" i="1"/>
  <c r="F153" i="1"/>
  <c r="G153" i="1"/>
  <c r="F171" i="1"/>
  <c r="G171" i="1"/>
  <c r="F169" i="1"/>
  <c r="G169" i="1"/>
  <c r="F167" i="1"/>
  <c r="G167" i="1"/>
  <c r="F165" i="1"/>
  <c r="G165" i="1"/>
  <c r="F163" i="1"/>
  <c r="G163" i="1"/>
  <c r="F161" i="1"/>
  <c r="G161" i="1"/>
  <c r="F159" i="1"/>
  <c r="G159" i="1"/>
  <c r="F157" i="1"/>
  <c r="G157" i="1"/>
  <c r="F155" i="1"/>
  <c r="G155" i="1"/>
  <c r="F173" i="1"/>
  <c r="G173" i="1"/>
  <c r="F175" i="1"/>
  <c r="G175" i="1"/>
  <c r="F177" i="1"/>
  <c r="G177" i="1"/>
  <c r="F178" i="1"/>
  <c r="G178" i="1"/>
  <c r="F419" i="1"/>
  <c r="G419" i="1"/>
  <c r="F407" i="1"/>
  <c r="G407" i="1"/>
  <c r="F350" i="1"/>
  <c r="G350" i="1"/>
  <c r="F349" i="1"/>
  <c r="G349" i="1"/>
  <c r="F336" i="1"/>
  <c r="G336" i="1"/>
  <c r="F324" i="1"/>
  <c r="G324" i="1"/>
  <c r="F306" i="1"/>
  <c r="G306" i="1"/>
  <c r="F298" i="1"/>
  <c r="G298" i="1"/>
  <c r="F286" i="1"/>
  <c r="G286" i="1"/>
  <c r="F274" i="1"/>
  <c r="G274" i="1"/>
  <c r="F240" i="1"/>
  <c r="G240" i="1"/>
  <c r="F226" i="1"/>
  <c r="G226" i="1"/>
  <c r="F206" i="1"/>
  <c r="G206" i="1"/>
  <c r="F205" i="1"/>
  <c r="G205" i="1"/>
  <c r="F197" i="1"/>
  <c r="G197" i="1"/>
  <c r="F193" i="1"/>
  <c r="G193" i="1"/>
  <c r="F179" i="1"/>
  <c r="G179" i="1"/>
  <c r="F174" i="1"/>
  <c r="G174" i="1"/>
  <c r="F146" i="1"/>
  <c r="G146" i="1"/>
  <c r="F145" i="1"/>
  <c r="G145" i="1"/>
  <c r="F103" i="1"/>
  <c r="G103" i="1"/>
  <c r="F73" i="1"/>
  <c r="G73" i="1"/>
  <c r="F47" i="1"/>
  <c r="G47" i="1"/>
  <c r="F5" i="1"/>
  <c r="G5" i="1"/>
  <c r="F4" i="1"/>
  <c r="G4" i="1"/>
</calcChain>
</file>

<file path=xl/sharedStrings.xml><?xml version="1.0" encoding="utf-8"?>
<sst xmlns="http://schemas.openxmlformats.org/spreadsheetml/2006/main" count="1027" uniqueCount="1027">
  <si>
    <t>Obra:</t>
  </si>
  <si>
    <t>Projecte executiu per a la instal·lació d'una caldera de biomassa a l'escola Pinediques delmunicipi de Taradell</t>
  </si>
  <si>
    <t>Pressupost</t>
  </si>
  <si>
    <t>% C.I.</t>
  </si>
  <si>
    <t>Codi</t>
  </si>
  <si>
    <t>Tipus</t>
  </si>
  <si>
    <t>U</t>
  </si>
  <si>
    <t>Resum</t>
  </si>
  <si>
    <t>Quantitat</t>
  </si>
  <si>
    <t>Preu (€)</t>
  </si>
  <si>
    <t>Import (€)</t>
  </si>
  <si>
    <t>PRESSUPOST BIOMASSA TARADELL_EXECUTIU2</t>
  </si>
  <si>
    <t>Capítol</t>
  </si>
  <si>
    <t>Projecte executiu per a la instal·lació d'una caldera de biomassa a l'escola Pinediques delmunicipi de Taradell</t>
  </si>
  <si>
    <t>1.01</t>
  </si>
  <si>
    <t>Capítol</t>
  </si>
  <si>
    <t>Producció tèrmica amb biomassa</t>
  </si>
  <si>
    <t>EE2BUB150</t>
  </si>
  <si>
    <t>Partida</t>
  </si>
  <si>
    <t>u</t>
  </si>
  <si>
    <t>Caldera i sistema d'alimentació d'estella de 250kW</t>
  </si>
  <si>
    <t>Caldera d’estella forestal de 250kW, llit de la caldera mòbil per mitjà de cadena, extracció i recollit automàtic de cendres (mitjançant la basculació de l'últim tram del llit mòbil) i dipositades a contenidor amb el vis sens fi, neteja automatica d'intercanviadors de calor per mitja de vis sens fi, càmara de combustió ciclònica recoberta amb refractari. Suministre d'aire primari i secundari amb torbulències creuades, recirculació de fums, cambra de combustio de doble etapa per augment de temperatura de combustió, extractor de fums amb variador de freqüència, gestionats per sonda lmbda per obtenir uns valors de combustió i emissions reduïts. Encesa elèctrica automàtica. Tots els mecanismes de la caldera amb motor reductor independent. Pes del cos de la caldera buit de 3.730kg, contingut d'aigua de 1.220l, superficie de l'intercanviador de 29,6m2, tempertura màxima de la caldera de 95ºC i pressió de treball de 3 bar. Limitació de les emisions màximes de gasos de combustió segons normativa vigent aplicables.
Característiques generals:
1. Capacitat de funcionar amb diferents tipus de combustibles (estella, pèl•let), podent adaptar el seu funcionament al combustible disponible en cada moment. 
2. Funcionament totalment automàtic i programable de manera que no sigui necessària la intervenció per part de l’usuari. Es requereix per tant que disposi d’automatisme en el procés d’alimentació, en l’encesa, en la neteja de la cambra de combustió i descendratge, en la recollida de cendres i en la neteja dels bescanviadors.
3. Modulant entre el 30 i el 100%, amb tipus de funcionament de cos fred o cos calent (en aquest cas sense manteniment de brases per garantir el correcte funcionament, sinó que engegui i pari quan en funció de la demanda).
4. Rendiments a plena càrrega i a càrrega parcial superiors al 90%.
5. Sistema de control que permeti opcionalment connectar-la a un PC, PLC, mòdem o sistema d’avis per SMS, per a realitzar un seguiment a distància del sistema i dels principals paràmetres.
6. Sistema d’extracció dels productes de la combustió mitjançant ventilador amb velocitat variable. Diàmetre de sortida de fums de 300mm.
7. Sistema de filtratge i neteja de gasos de combustió, per evitar l’emissió de pols fina, bé sigui inserit en la pròpia caldera o bé mitjançant la instal•lació d’un cicló separador de partícules. Complint en quant a límits d’emissions amb la norma UNE-EN-303-5 de 2013.
8. Sistema d’aportació d’aire primari i secundaris mitjançant ventilador de velocitat variable per a millorar la combustió.
9. Sonda lambda que permeti regular i optimitzar la quantitat d’oxigen a aportar millorant així la combustió.
10. Pressió de treball com a mínim de 3 bar.
11. Control amb pantalla que permeti observar els principals paràmetres de funcionament i la seva modificació. Així mateix aquest control registrarà les seves hores de funcionament.
12. Sistema d' alimentació per visenfí amb canal en forma de romb. Vis sens fí d'alimentació amb eix massís de 50mm de diàmetre i amb l'espiral del cargol soldades de cap a cap en tot el seu recorregut. Canal amb geometria progressiva, cònic i descompactant. El capdamunt del vis sens fí está equipat amb 2 robustes ganivetes per triturar i evitar bloquejos en l'alimentació. Ruixador de seguretat incorporat connectat a la xarxa d'aigua.
13. Control amb pantalla que permeti observar els principals paràmetres de funcionament i la seva modificació. Així mateix aquest control registrarà les seves hores de funcionament.
14. Configuració dels passos de fums en vertical, proporcionant així un millor rendiment de la caldera, un elevat nivell d'eficiència, baix consum de combustible i un menor manteniment de la caldera degut a que es redueix la disposició de particules. 
I amb les següents condicions particulars:
•Classe d’emissió categoria 5 UNE-EN-303-5 de 2013 i Reglament UE 2015/1189 d’Ecodisseny
• Certificat TÜV SÜD Industrue Service al 10% O2: Rendiment del 95%/CO 48mg/m3/ NOx de 119 g/m3 / Particula 10 mg/m3
•Certificació CE
•Potència nominal: 250 kW
•Mecanisme d’avanç del combustible a l’interior de la cambra automatitzat per mitjà de lleves i cadena sobre llit pla horitzontal.
•Sistema d’aire primari i secundari de la combustió creuats
•Regulació per sonda lambda de temperatura sortida fums integrada al sistema de control de la caldera.
•Sistema de regulació automàtica amb panell i protecció contra sobrealimentacions, monitorització de la temperatura en el sistema d’alimentació, mesura del buit i sistema de regulació de pressió a cambra de combustió.
•Drets d’accés i configuració del sistema de control gratuïts de per vida per a tots els usuaris, indefinidament, tant en local com en remot, i per la totalitat de funcions del sistema, incloent totes les llicències de software necessàries sense caducitat.
•Limitador de temperatura de seguretat, connexió i accés remot per a configuració dels paràmetres de funcionament des de qualsevol terminal informàtic amb connexió a Internet, sistema d’alarma remota per a manteniment i/o integrable a sistema de control especificat.
•Inclou connexions i peces de forma de la sortida de fums fins a xemeneia, dipòsit de cendres, interruptor de flux de seguretat
•Vàlvula de seguretat per antiretorn de flama al sistema d’alimentació amb dipòsit d’aigua
•Vàlvula de seguretat tarada a la pressió de treball màxima de la caldera
•Vàlvula de 3 vies, o una bomba de recirculació anticondensats o dispositiu similar, per tal de garantir que la temperatura del retorn a la caldera sigui superior a 55ºC, per evitar efectes de corrosió dins la caldera (evitant problemes de condensació).
•Regulador de tir D300 amb clapeta de sobrepressió per a xemeneia
•Quadre d’alimentació, control i maniobra, incloent cablejat de potència i comandament amb recobriment de silicona. Interconnexió hidràulica, elèctrica i de control de tots els elements des de sistema de control centralitzat i quadre elèctric de la sala.
Incloent els sistemes i elements funcionals i auxiliars següents, o equivalents:
•Rotor de l'interior de la sitja amb sistema de braç articulat telescòpic o ballesta i de 3,5 m de diàmetre, conjunt reductor amb engranatges.
•Vis sens fí d'extracció amb l'espiral del cargol. Canal amb passamurs.
•Ruixador de seguretat incorporat.
•Sistema d'alimentació de caldera amb vàlvula rotativa amb ganiveta tallant, formant alvèols amb funció antiretrocés de flama i dosificació, amb motor dedicat.
•Sistema extractor de fums amb variador de freqüència
•Integració del sistema d'alarmes de la caldera al sistema de control centralitzat de les instal•lacions
S’inclou, en el subministrament de la caldera, els conceptes següents:
•Transport fins a la zona d’actuació i grua necessària per a col·locació i posició final a sala de calderes
•Col·locació, muntatge i instal·lació per part del servei tècnic oficial
•Ajudes de paleteria i mitjans auxiliars necessaris per a la col·locació i instal·lació final de l'equip.
•Posta en marxa i programació per part del servei tècnic oficial
•Assessorament tècnic als instal·ladors i formació al personal de manteniment i usuaris
•Manual tècnic de la instal·lació
•Manual d'usuari de la instal·lació
•Colzes i accessoris d’unió i forma per a conducte xemeneia
•Connexions a desguassos del punt de buidat, punt de descàrrega de la vàlvula de seguretat i punt de recollida de condensats a la xemeneia
•Connexió a circuïts hidràulics d’entrada i sortida amb maniguets flexibles
•Quadre de regulació i control amb proteccions elèctriques i tots els elements de regulació i comandament necessaris per al seu funcionament totalment automàtic.
•Accessoris de fixació i muntatge
Les connexions descrites (circuit hidràulic, desguassos, xemeneia i cicló) no han de produir cap esforç sobre els ràcords de la caldera. La caldera es col·locarà perfectament anivellada.
Inclou transport.
Marca i model: Heizomat HSK-RA 250P, o equivalent</t>
  </si>
  <si>
    <t>2.03.09.01</t>
  </si>
  <si>
    <t>Partida</t>
  </si>
  <si>
    <t>u</t>
  </si>
  <si>
    <t>Conjunt d'alimentació combustible omplerta pneumàtica</t>
  </si>
  <si>
    <t>Conjunt d'alimentació de combustible per omplerta pneumàtica de la sitja per a estella forestal, amb dues boques (impulsió i aspiració) de tub de diàmetre D150mm d'acer galvanitzat, amb terminal de connexió tipus boca amb ròtula compost per mascle soldat al tub amb estany i femella de tap, tancament amb grapes, del fabricant Trabet o equivalent, de 150mm de diàmetre, amb cadenes de lligam al tap de la boca i cadenat de seguretat amb obertura amb clau, incloent material auxiliar de fixació muntatge i connexio a la presa de terra de la instal·lació. Segons plànols</t>
  </si>
  <si>
    <t>EA2BAR11</t>
  </si>
  <si>
    <t>Partida</t>
  </si>
  <si>
    <t>u</t>
  </si>
  <si>
    <t>Instal·lació, connexionat i cablejat del conjunt de producció tèrmica</t>
  </si>
  <si>
    <t>Instal·lació de tots els equips i sistemes propis de la caldera de biomassa i els seus elements auxiliars, ensamblat, fixacions i col·locació, connexió elèctrica, hidràulica i de maniobra, i de tots els equips i sistemes propis del mòdul de producció tèrmica amb caldera de biomassa i els seus elements auxiliars així com l'acabat del muntatge de xemeneia.</t>
  </si>
  <si>
    <t>MA2BAR11</t>
  </si>
  <si>
    <t>Partida</t>
  </si>
  <si>
    <t>u</t>
  </si>
  <si>
    <t>Mitjans d'elevació i transport per al muntatge del conjunt de producció tèrmica</t>
  </si>
  <si>
    <t>Mitjans d'elevació i transport per al muntatge del conjunt de producció tèrmica</t>
  </si>
  <si>
    <t>EE41D300</t>
  </si>
  <si>
    <t>Partida</t>
  </si>
  <si>
    <t>u</t>
  </si>
  <si>
    <t>Xemeneia D300/360 inox,5m alçada</t>
  </si>
  <si>
    <t>Xemeneia d'extracció de fums de tub d'acer inoxidable DN300mm, doble concèntric amb aïllament tèrmic interior, 8m d'alçada respecte sortida caldera, amb jet d'expusió, incloent accessoris d'enllaç, connexions a caldera, té i registres per a neteja i connexions.
Inclou elements de suportació, anclatge i fixació al llarg de tot el seu traçat.</t>
  </si>
  <si>
    <t>P44C-DP2b</t>
  </si>
  <si>
    <t>Partida</t>
  </si>
  <si>
    <t>u</t>
  </si>
  <si>
    <t>Estructura d'acer laminat per a suport de xemeneia</t>
  </si>
  <si>
    <t>Estructura d'acer laminat en calent S355J0 segons UNE-EN 10025-2, per estructura auxiliar de reforç de la xemeneia, amb anclatge a paviment de formigó amb placa d'anclatje i perns de fixació. Inclou materials auxiliars, elements de fixació i capa d'imprimació antioxidant.</t>
  </si>
  <si>
    <t>PF1A-DUQS</t>
  </si>
  <si>
    <t>Partida</t>
  </si>
  <si>
    <t>m</t>
  </si>
  <si>
    <t>Tub d'acer negre sense soldadura, fabricat amb acer S195 T, de 3'' de mida de rosca (diàmetre exterior especificat=88,9 mm i DN=80 mm), sèrie M segons UNE-EN 10255,roscat,dific.mitjà,col.superf.</t>
  </si>
  <si>
    <t>Tub d'acer negre sense soldadura, fabricat amb acer S195 T, de 3'' de mida de rosca (diàmetre exterior especificat=88,9 mm i DN=80 mm), sèrie M segons UNE-EN 10255, roscat, amb grau de dificultat mitjà i col·locat superficialment</t>
  </si>
  <si>
    <t>PFQ0-3KWW</t>
  </si>
  <si>
    <t>Partida</t>
  </si>
  <si>
    <t>m</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</si>
  <si>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7000superf.mitjà</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</si>
  <si>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mitjà</t>
  </si>
  <si>
    <t>PN38-EC2M</t>
  </si>
  <si>
    <t>Partida</t>
  </si>
  <si>
    <t>u</t>
  </si>
  <si>
    <t>Vàlvula bola manual rosca,2peces,pas tot.,llautó,DN=3,PN=25bar,superf.</t>
  </si>
  <si>
    <t>Vàlvula de bola manual amb rosca, de dues peces amb pas total, de llautó, de diàmetre nominal 3, de 25 bar de PN i preu alt, muntada superficialment</t>
  </si>
  <si>
    <t>PN72-H7VC</t>
  </si>
  <si>
    <t>Partida</t>
  </si>
  <si>
    <t>u</t>
  </si>
  <si>
    <t>Vàlvula seient 3 vies,brides DN80,kvs=100,16bar,r&gt;30mm,fosa,servomotor 3 punts</t>
  </si>
  <si>
    <t>Vàlvula de regulació de seient de 3 vies amb brides, de diàmetre nominal 80 mm i kvs=100, de 16 bar de PN, recorregut mínim de 30 mm, cos de fosa i servomotor de senyal de 3 punts, acoblat a la vàlvula, instal·lada i connectada</t>
  </si>
  <si>
    <t>PNE2-767R</t>
  </si>
  <si>
    <t>Partida</t>
  </si>
  <si>
    <t>u</t>
  </si>
  <si>
    <t>Filtre colador,llautó,DN=3'',PN=16bar,roscat,munt.superf.</t>
  </si>
  <si>
    <t>Filtre colador de llautó, de diàmetre nominal 3'', de 16 bar de PN, roscat, muntat superficialment</t>
  </si>
  <si>
    <t>PEU7-6RUH</t>
  </si>
  <si>
    <t>Partida</t>
  </si>
  <si>
    <t>u</t>
  </si>
  <si>
    <t>Dipòsit inercia acer negre,aïllam.escum.poliur.,+plàstic,vol.=2000l,,connex. Rosc.1 1/2¬,pressió màx=6bar,Tmàx=95°C,col.vert.fix.mural+connec.</t>
  </si>
  <si>
    <t>Dipòsit d'inercia d'acer negre amb aïllament tèrmic d'escuma de poliuretà i revestiment exterior de plàstic, de 2000 l de capacitat, de purga d'aire amb connexions de rosca 1 1/2*, de pressió màxima de servei 6 bar i 95°C de temperatura màxima, col·locat en posició vertical amb fixacions murals i connectat</t>
  </si>
  <si>
    <t>PEUE-6YPZ</t>
  </si>
  <si>
    <t>Partida</t>
  </si>
  <si>
    <t>u</t>
  </si>
  <si>
    <t>Termòmetre bimetàl·lic,beina D=1/2'',esfera 65mm,&lt;= 120°C,col.roscat</t>
  </si>
  <si>
    <t>Termòmetre bimetàl·lic, amb beina de 1/2'' de diàmetre, d'esfera de 65 mm, de &lt;= 120°C, col·locat roscat</t>
  </si>
  <si>
    <t>PJMA-HAH3</t>
  </si>
  <si>
    <t>Partida</t>
  </si>
  <si>
    <t>u</t>
  </si>
  <si>
    <t>Manòmetre glicerina,0-10bar,esfera 63mm,rosca D=1/4'',roscat</t>
  </si>
  <si>
    <t>Manòmetre de glicerina per a una pressió de 0 a 10 bar, d'esfera de 63 mm i rosca d'1/4' de D, col·locat roscat</t>
  </si>
  <si>
    <t>PEUC-51AT</t>
  </si>
  <si>
    <t>Partida</t>
  </si>
  <si>
    <t>u</t>
  </si>
  <si>
    <t>Purgador automàt.aire,llautó,vert.+vàlvula obt.,D=3/8''</t>
  </si>
  <si>
    <t>Purgador automàtic d'aire, de llautó, per flotador, de posició vertical i vàlvula d'obturació incorporada, amb rosca de 3/8'' de diàmetre, roscat</t>
  </si>
  <si>
    <t>ENL11103</t>
  </si>
  <si>
    <t>Partida</t>
  </si>
  <si>
    <t>u</t>
  </si>
  <si>
    <t>Bomba b01 primari caldera biomassa</t>
  </si>
  <si>
    <t>Bomba circuladora simple, de rotor humit, tipus ´´in line´´, electrònica, sonda de pressió diferencial incorporada, incloent maniguets antivibratòris, pressòstat de seguretat i pont de comprovació manomètrica, connectada i controlada pel sistema de control, incloent part proporcional de canalització i cablejat d'alimentació i de maniobra. Caracteristiques:
Cabal, l/s: 3,99
Pressio  disponible, kPa: 18
Marca i model: MAGNA 1 65-60 F 220 1X230V PN6/10, o equivalent</t>
  </si>
  <si>
    <t>PEV3-HAHO</t>
  </si>
  <si>
    <t>Partida</t>
  </si>
  <si>
    <t>u</t>
  </si>
  <si>
    <t>Comptador calor.hidrodin.Q=25,0m3/h,PN=16bar,DN=65mm,T.màx=90°C,a/sonda temp.,muntat</t>
  </si>
  <si>
    <t>Comptador de calories de tipus hidrodinàmic, sense peces mòbils, per a un cabal nominal de 25,0 m3/h i una pressió nominal de 16 bar, de 65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</si>
  <si>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ICS05</t>
  </si>
  <si>
    <t>Partida</t>
  </si>
  <si>
    <t>u</t>
  </si>
  <si>
    <t>Punt de buidatge format per 5 m de tub de policlorur de vinil clorat (PVC-C), de 25 mm de diàmetre exterior, PN=16 atm, per a calefacció, col·locat superficialment.</t>
  </si>
  <si>
    <t>Punt de buidatge de xarxa de distribució d'aigua, vàlvules de seguretat i purga d'equips i xemeneia, per a sistema de calefacció, format per 5 m de tub de policlorur de vinil clorat (PVC-C), de 25 mm de diàmetre exterior, PN=16 atm i 1,9 mm de gruix, col·locat superficialment i vàlvula de tall. Fins i tot p/p de material auxiliar per a muntatge i subjecció a l'obra, accessoris i peces especials. Totalment muntat, connexionat i provat.</t>
  </si>
  <si>
    <t>ICS005b</t>
  </si>
  <si>
    <t>Partida</t>
  </si>
  <si>
    <t>u</t>
  </si>
  <si>
    <t>Punt d'omplert format per 125 m de tub de polietilè reticulat (PE-Xa), amb barrera d'oxigen (EVOH), de 32 mm de diàmetre exterior i 2,9 mm de gruix, PN=6 atm, per a calefacció, col·locat superficialment, amb aïllament mitjançant camisa aïllant flexible d'escuma elastomèrica.</t>
  </si>
  <si>
    <t>Punt d'omplert de xarxa de distribució d'aigua, per a sistema de calefacció, format per 125 m de tub de polietilè reticulat (PE-Xa), amb barrera d'oxigen (EVOH), de 32 mm de diàmetre exterior i 2,9 mm de gruix, PN=6 atm, subministrat en rotllos, col·locat superficialment, amb aïllament mitjançant camisa aïllant flexible d'escuma elastomèrica, vàlvules de tall, filtre retenidor de residus, comptador d'aigua i vàlvula de retenció. Fins i tot p/p de material auxiliar per a muntatge i subjecció a l'obra, accessoris i peces especials. Totalment muntat, connexionat i provat.
Inclou: Replanteig del recorregut de les canonades, accessoris i peces especials. Col·locació i fixació de canonades, accessoris i peces especials. Col·locació de l'aïllament. Realització de proves de servei.
Criteri d'amidament de projecte: Nombre d'unitats previstes, segons documentació gràfica de Projecte.
Criteri de mesura d'obra: Es mesurarà el nombre d'unitats realment executades segons especificacions de Projecte.</t>
  </si>
  <si>
    <t>ICS040b</t>
  </si>
  <si>
    <t>Partida</t>
  </si>
  <si>
    <t>u</t>
  </si>
  <si>
    <t>Vas d'expansió, capacitat 800 l.</t>
  </si>
  <si>
    <t>Vas d'expansió, capacitat 800 l, amb rosca de 1 1/2" de diàmetre i 10 bar de pressió. Inclús manòmetre i elements de muntatge i connexió necessaris per al seu correcte funcionament. Totalment muntat, connexionat i provat.
Inclou: Replanteig del vas d'expansió. Col·locació del vas d'expansió. Connexió del vas d'expansió a la xarxa de distribució.
Criteri d'amidament de projecte: Nombre d'unitats previstes, segons documentació gràfica de Projecte.
Criteri de mesura d'obra: Es mesurarà el nombre d'unitats realment executades segons especificacions de Projecte.</t>
  </si>
  <si>
    <t>1.01</t>
  </si>
  <si>
    <t>1.02</t>
  </si>
  <si>
    <t>Capítol</t>
  </si>
  <si>
    <t>Distribució hidràulica. Xarxa de calor</t>
  </si>
  <si>
    <t>1.2.1</t>
  </si>
  <si>
    <t>Partida</t>
  </si>
  <si>
    <t>u</t>
  </si>
  <si>
    <t>Formació de circuits i inst. equips distribució hidràulica en sala caldera biomassa</t>
  </si>
  <si>
    <t>Formació de circuits hidràulics de distribució hidràulica a l'interior de la sala de caldera de biomassa, partir del dipòsit d'inèrcia tèrmica, col·locació d'equips i sistemes auxiliars, picatges per a sondes i elements de mesura i control, suportacions, accessoris, peces de forma, petits trams de tuberia i aïllament mà d'obra i material necessari per a la correcta posta en servei del conjunt.</t>
  </si>
  <si>
    <t>PF1A-DUQS</t>
  </si>
  <si>
    <t>Partida</t>
  </si>
  <si>
    <t>m</t>
  </si>
  <si>
    <t>Tub d'acer negre sense soldadura, fabricat amb acer S195 T, de 3'' de mida de rosca (diàmetre exterior especificat=88,9 mm i DN=80 mm), sèrie M segons UNE-EN 10255,roscat,dific.mitjà,col.superf.</t>
  </si>
  <si>
    <t>Tub d'acer negre sense soldadura, fabricat amb acer S195 T, de 3'' de mida de rosca (diàmetre exterior especificat=88,9 mm i DN=80 mm), sèrie M segons UNE-EN 10255, roscat, amb grau de dificultat mitjà i col·locat superficialment</t>
  </si>
  <si>
    <t>PFQ0-3KWW</t>
  </si>
  <si>
    <t>Partida</t>
  </si>
  <si>
    <t>m</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</si>
  <si>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7000superf.mitjà</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</si>
  <si>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mitjà</t>
  </si>
  <si>
    <t>PN38-EC2M</t>
  </si>
  <si>
    <t>Partida</t>
  </si>
  <si>
    <t>u</t>
  </si>
  <si>
    <t>Vàlvula bola manual rosca,2peces,pas tot.,llautó,DN=3,PN=25bar,superf.</t>
  </si>
  <si>
    <t>Vàlvula de bola manual amb rosca, de dues peces amb pas total, de llautó, de diàmetre nominal 3, de 25 bar de PN i preu alt, muntada superficialment</t>
  </si>
  <si>
    <t>PNE2-767R</t>
  </si>
  <si>
    <t>Partida</t>
  </si>
  <si>
    <t>u</t>
  </si>
  <si>
    <t>Filtre colador,llautó,DN=3'',PN=16bar,roscat,munt.superf.</t>
  </si>
  <si>
    <t>Filtre colador de llautó, de diàmetre nominal 3'', de 16 bar de PN, roscat, muntat superficialment</t>
  </si>
  <si>
    <t>PN85-4IN1</t>
  </si>
  <si>
    <t>Partida</t>
  </si>
  <si>
    <t>u</t>
  </si>
  <si>
    <t>Vàlvula de retenció de clapeta, amb rosca, de 3'' de diàmetre nominal, de 8 bar de pressió nominal, cos de llautó, clapeta de llautó i tancament de seient metàl·lic,superf.</t>
  </si>
  <si>
    <t>Vàlvula de retenció de clapeta, amb rosca, de 3'' de diàmetre nominal, de 8 bar de pressió nominal, cos de llautó, clapeta de llautó i tancament de seient metàl·lic, muntada superficialment</t>
  </si>
  <si>
    <t>PEUE-6YPZ</t>
  </si>
  <si>
    <t>Partida</t>
  </si>
  <si>
    <t>u</t>
  </si>
  <si>
    <t>Termòmetre bimetàl·lic,beina D=1/2'',esfera 65mm,&lt;= 120°C,col.roscat</t>
  </si>
  <si>
    <t>Termòmetre bimetàl·lic, amb beina de 1/2'' de diàmetre, d'esfera de 65 mm, de &lt;= 120°C, col·locat roscat</t>
  </si>
  <si>
    <t>PJMA-HAH3</t>
  </si>
  <si>
    <t>Partida</t>
  </si>
  <si>
    <t>u</t>
  </si>
  <si>
    <t>Manòmetre glicerina,0-10bar,esfera 63mm,rosca D=1/4'',roscat</t>
  </si>
  <si>
    <t>Manòmetre de glicerina per a una pressió de 0 a 10 bar, d'esfera de 63 mm i rosca d'1/4' de D, col·locat roscat</t>
  </si>
  <si>
    <t>PJMA-HAH3</t>
  </si>
  <si>
    <t>Partida</t>
  </si>
  <si>
    <t>u</t>
  </si>
  <si>
    <t>Manòmetre glicerina,0-10bar,esfera 63mm,rosca D=1/4'',roscat</t>
  </si>
  <si>
    <t>Manòmetre de glicerina per a una pressió de 0 a 10 bar, d'esfera de 63 mm i rosca d'1/4' de D, col·locat roscat</t>
  </si>
  <si>
    <t>EFA25NM</t>
  </si>
  <si>
    <t>Partida</t>
  </si>
  <si>
    <t>u</t>
  </si>
  <si>
    <t>Punt de buidatge format per 5 m de tub de policlorur de vinil clorat (PVC-C), de 25 mm de diàmetre exterior, PN=16 atm, per a calefacció, col·locat superficialment.</t>
  </si>
  <si>
    <t>Punt de buidatge de xarxa de distribució d'aigua, vàlvules de seguretat i purga d'equips i xemeneia, per a sistema de calefacció, format per 5 m de tub de policlorur de vinil clorat (PVC-C), de 25 mm de diàmetre exterior, PN=16 atm i 1,9 mm de gruix, col·locat superficialment i vàlvula de tall. Fins i tot p/p de material auxiliar per a muntatge i subjecció a l'obra, accessoris i peces especials. Totalment muntat, connexionat i provat.</t>
  </si>
  <si>
    <t>ENL11104</t>
  </si>
  <si>
    <t>Partida</t>
  </si>
  <si>
    <t>u</t>
  </si>
  <si>
    <t>Bomba b02</t>
  </si>
  <si>
    <t>Conjunt bomba circuladora simple, de rotor humit, tipus ´´in line´´,electrònica, amb variador de velocitat per a cabal variable, sonda de pressió diferencial incorporada, sonda addicional per a regulació de velocitat en funció del diferencial de temperatura del circuit, incloent brides per a sel.lecció equip, maniguets antivibratoris, pressostat de seguretat i comprovació manomètrica, connectada i controlada pel sistema de control amb regulació de cabal a pressió constant i en funció del diferencial de temperatura entre impulsió i retorn. Caracteristiques:
Cabal, l/s: 3,99
Pressio  disponible, kPa: 83
Marca i model: Grundfos Magna3 65-150 F, o equivalent</t>
  </si>
  <si>
    <t>UUPO1018115</t>
  </si>
  <si>
    <t>Partida</t>
  </si>
  <si>
    <t>m</t>
  </si>
  <si>
    <t>Tub.calef.preaïllat 90x8,2 (200 mm) o similar</t>
  </si>
  <si>
    <t>Tuberia per a canalització d'aigua de calefacció, de polietilè reticulat d'alta densitat (PEX-A), amb reticulació conforme al mètode Engel, grau de reticulació &gt;70%, segons norma UNE EN ISO 15875, amb barrera plàstica externa Eval antidifusió de l'oxígen, segons norma EN 1264-4, preaïllada tèrmicament amb espuma de PE reticulat de cel.la tancada, de conductiitat tèrmica &lt;=0.0401 W/m·K segons DIN 52612, protecció mecànica amb tub envolvent corrugat de PE-HD de diàmetre 200x2.2mm, per a una temperatura de funcionament de 80ºC a 10bar, incloent part proporcional d'accessoris de muntatge i sistemes d'unió estandaritzats segons fabricant, i petit material.
diàmetre tub calefacció: 90x8.2
Marca i model: Uponor Thermo Single o equivalent</t>
  </si>
  <si>
    <t>1.02</t>
  </si>
  <si>
    <t>1.03</t>
  </si>
  <si>
    <t>Capítol</t>
  </si>
  <si>
    <t>Distribució hidràulica intercanviador. Intervenció a Escola Pinediques (SC1)</t>
  </si>
  <si>
    <t>PF1A-DUQS</t>
  </si>
  <si>
    <t>Partida</t>
  </si>
  <si>
    <t>m</t>
  </si>
  <si>
    <t>Tub d'acer negre sense soldadura, fabricat amb acer S195 T, de 3'' de mida de rosca (diàmetre exterior especificat=88,9 mm i DN=80 mm), sèrie M segons UNE-EN 10255,roscat,dific.mitjà,col.superf.</t>
  </si>
  <si>
    <t>Tub d'acer negre sense soldadura, fabricat amb acer S195 T, de 3'' de mida de rosca (diàmetre exterior especificat=88,9 mm i DN=80 mm), sèrie M segons UNE-EN 10255, roscat, amb grau de dificultat mitjà i col·locat superficialment</t>
  </si>
  <si>
    <t>PFQ0-3KWW</t>
  </si>
  <si>
    <t>Partida</t>
  </si>
  <si>
    <t>m</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</si>
  <si>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7000superf.mitjà</t>
  </si>
  <si>
    <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mitjà</t>
  </si>
  <si>
    <t>PN38-EC2M</t>
  </si>
  <si>
    <t>Partida</t>
  </si>
  <si>
    <t>u</t>
  </si>
  <si>
    <t>Vàlvula bola manual rosca,2peces,pas tot.,llautó,DN=3,PN=25bar,superf.</t>
  </si>
  <si>
    <t>Vàlvula de bola manual amb rosca, de dues peces amb pas total, de llautó, de diàmetre nominal 3, de 25 bar de PN i preu alt, muntada superficialment</t>
  </si>
  <si>
    <t>PNE2-766Y</t>
  </si>
  <si>
    <t>Partida</t>
  </si>
  <si>
    <t>u</t>
  </si>
  <si>
    <t>Filtre colador,llautó,DN=3'',PN=16bar,roscat,munt.superf.</t>
  </si>
  <si>
    <t>Filtre colador de llautó, de diàmetre nominal 3'', de 16 bar de PN, roscat, muntat superficialment</t>
  </si>
  <si>
    <t>PN75-H9I3</t>
  </si>
  <si>
    <t>Partida</t>
  </si>
  <si>
    <t>u</t>
  </si>
  <si>
    <t>Vàlvula seient 2 vies,brides DN80,kvs=100,16bar,r&gt;30mm,fosa,servomotor 0-10V</t>
  </si>
  <si>
    <t>Vàlvula de regulació de seient de 2 vies amb brides, de diàmetre nominal 80 mm i kvs=100, de 16 bar de PN, recorregut mínim de 30 mm, cos de fosa i servomotor de senyal de 0-10 V, acoblat a la vàlvula, instal·lada i connectada</t>
  </si>
  <si>
    <t>PEV3-HAHO</t>
  </si>
  <si>
    <t>Partida</t>
  </si>
  <si>
    <t>u</t>
  </si>
  <si>
    <t>Comptador calor.hidrodin.Q=25,0m3/h,PN=16bar,DN=65mm,T.màx=90°C,a/sonda temp.,muntat</t>
  </si>
  <si>
    <t>Comptador de calories de tipus hidrodinàmic, sense peces mòbils, per a un cabal nominal de 25,0 m3/h i una pressió nominal de 16 bar, de 65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t>
  </si>
  <si>
    <t>PEUE-6YPZ</t>
  </si>
  <si>
    <t>Partida</t>
  </si>
  <si>
    <t>u</t>
  </si>
  <si>
    <t>Termòmetre bimetàl·lic,beina D=1/2'',esfera 65mm,&lt;= 120°C,col.roscat</t>
  </si>
  <si>
    <t>Termòmetre bimetàl·lic, amb beina de 1/2'' de diàmetre, d'esfera de 65 mm, de &lt;= 120°C, col·locat roscat</t>
  </si>
  <si>
    <t>PJMA-HAH3</t>
  </si>
  <si>
    <t>Partida</t>
  </si>
  <si>
    <t>u</t>
  </si>
  <si>
    <t>Manòmetre glicerina,0-10bar,esfera 63mm,rosca D=1/4'',roscat</t>
  </si>
  <si>
    <t>Manòmetre de glicerina per a una pressió de 0 a 10 bar, d'esfera de 63 mm i rosca d'1/4' de D, col·locat roscat</t>
  </si>
  <si>
    <t>PEUC-51AT</t>
  </si>
  <si>
    <t>Partida</t>
  </si>
  <si>
    <t>u</t>
  </si>
  <si>
    <t>Purgador automàt.aire,llautó,vert.+vàlvula obt.,D=3/8''</t>
  </si>
  <si>
    <t>Purgador automàtic d'aire, de llautó, per flotador, de posició vertical i vàlvula d'obturació incorporada, amb rosca de 3/8'' de diàmetre, roscat</t>
  </si>
  <si>
    <t>EJACBK300</t>
  </si>
  <si>
    <t>Partida</t>
  </si>
  <si>
    <t>u</t>
  </si>
  <si>
    <t>Intercanviador de calor de plaques desmuntables inox 300 kW</t>
  </si>
  <si>
    <t>Intercambiador de plaques desmuntables inoxidable, juntes EPDM, amb bancada de suport i aïllament d'espuma elastomèrica. De les característiques següents:
· potència: 300kW
· salt tèrmic primari: 80-65ºC
· salt tèrmic secundari: 60-75ºC
· sobredimensionat: 8,88%
Marca i model: JNegre S14A-ST16-60-TL 60 plaques, o equivalent</t>
  </si>
  <si>
    <t>EFA25NM</t>
  </si>
  <si>
    <t>Partida</t>
  </si>
  <si>
    <t>u</t>
  </si>
  <si>
    <t>Punt de buidatge format per 5 m de tub de policlorur de vinil clorat (PVC-C), de 25 mm de diàmetre exterior, PN=16 atm, per a calefacció, col·locat superficialment.</t>
  </si>
  <si>
    <t>Punt de buidatge de xarxa de distribució d'aigua, vàlvules de seguretat i purga d'equips i xemeneia, per a sistema de calefacció, format per 5 m de tub de policlorur de vinil clorat (PVC-C), de 25 mm de diàmetre exterior, PN=16 atm i 1,9 mm de gruix, col·locat superficialment i vàlvula de tall. Fins i tot p/p de material auxiliar per a muntatge i subjecció a l'obra, accessoris i peces especials. Totalment muntat, connexionat i provat.</t>
  </si>
  <si>
    <t>P21GD-CUKM</t>
  </si>
  <si>
    <t>Partida</t>
  </si>
  <si>
    <t>u</t>
  </si>
  <si>
    <t>Retirada caldera 30kW,m.man.,càrr.man.</t>
  </si>
  <si>
    <t>Retirada de caldera de 30 kW de potència calorífica màxima, desconnexió de les xarxes de subministrament i desmuntatge de xemeneia existent (incloent tap cec), amb mitjans manuals i càrrega manual sobre camió o contenidor, transport i deposició a centre autoritzat.</t>
  </si>
  <si>
    <t>1.01.01</t>
  </si>
  <si>
    <t>Partida</t>
  </si>
  <si>
    <t>u</t>
  </si>
  <si>
    <t>Treballs d'implantació de nous circuits de distribució hidràulica</t>
  </si>
  <si>
    <t>Treballs d'adequació de circuits existents a sala de calderes actuals per a connexió a noves instal.lacions segons planol es02, amb el mateix material que les canalitzacions actuals, incloent mà d'obra, material necessari i accessoris, reforma i millora de circuïts existents, peces de forma, petits trams de tuberia i aïllament, connexions elèctriques, de control, canalització, cablejat i posta a punt.
Material i mà d'obra per a la maniobra per a la gestió de potència de la caldera actual amb prioritat al circuit de biomassa.</t>
  </si>
  <si>
    <t>EEVGAR01</t>
  </si>
  <si>
    <t>Partida</t>
  </si>
  <si>
    <t>u</t>
  </si>
  <si>
    <t>Partida d'elements imprevistos a justificar</t>
  </si>
  <si>
    <t>Partida alçada a justificar. Treballs a realitzar en la instal·lació corresponent a sistema de distribució i connexionat de la subestació de la xarxa de calor i elements associats, degut a elements imprevistos que seran localitzats en el moment d'executar l'obra (en fase replanteig) i que representen modificació de treballs o desballestaments no previstos en projecte executiu.</t>
  </si>
  <si>
    <t>1.03</t>
  </si>
  <si>
    <t>1.09</t>
  </si>
  <si>
    <t>Capítol</t>
  </si>
  <si>
    <t>Electricitat</t>
  </si>
  <si>
    <t>1.05.1</t>
  </si>
  <si>
    <t>Partida</t>
  </si>
  <si>
    <t>u</t>
  </si>
  <si>
    <t>Reforma del subquadre de l'escola Pinediques per a alimentació subquadre biomassa</t>
  </si>
  <si>
    <t>Reforma del QGBT de l'escola Pinediques, per a alimentació del subquadre de la sala de caldera de biomassa.
Quadre en armari de plàstic sense hal·lògens, amb tapa cega, apte per a les proteccions descrites a esquema, amb els espais de reserva del 30%, cablejat, bornes, barres, blocs de connexió, troquelats i elements de fixació de mecanismes, tots ells inclosos en el preu unitari dels elements que el composen.</t>
  </si>
  <si>
    <t>1.05.2</t>
  </si>
  <si>
    <t>Partida</t>
  </si>
  <si>
    <t>u</t>
  </si>
  <si>
    <t>Subquadre de Sala caldera biomassa</t>
  </si>
  <si>
    <t>Subquadre Sala calderes, mural, metàl·lic, amb tapa cega, apte per a les proteccions descrites a esquema, amb tres embarrats: força, llum i SAI, amb els espais de reserva del 30%, cablejat, bornes, barres, blocs de connexió, troquelats i elements de fixació de mecanismes.</t>
  </si>
  <si>
    <t>1.05.3</t>
  </si>
  <si>
    <t>Partida</t>
  </si>
  <si>
    <t>u</t>
  </si>
  <si>
    <t>Reforma del quadre del Pavelló Municipal de Gelida</t>
  </si>
  <si>
    <t>Reforma del QGBT del Pavelló Municipal de Gelida, per a alimentació del subquadre de la noves proteccions de la instal·lació de climatització amb aerotermos.
Quadre en armari de plàstic sense hal·lògens, amb tapa cega, apte per a les proteccions descrites a esquema, amb els espais de reserva del 30%, cablejat, bornes, barres, blocs de connexió, troquelats i elements de fixació de mecanismes, tots ells inclosos en el preu unitari dels elements que el composen.</t>
  </si>
  <si>
    <t>PG33-E6I3</t>
  </si>
  <si>
    <t>Partida</t>
  </si>
  <si>
    <t>m</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</si>
  <si>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 cable de comandament,col.tub</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</si>
  <si>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 cable de comandament, col·locat en tub</t>
  </si>
  <si>
    <t>PG33-E6GP</t>
  </si>
  <si>
    <t>Partida</t>
  </si>
  <si>
    <t>m</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</si>
  <si>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 cable de comandament,col.tub</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</si>
  <si>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 cable de comandament, col·locat en tub</t>
  </si>
  <si>
    <t>PG33-E6CV</t>
  </si>
  <si>
    <t>Partida</t>
  </si>
  <si>
    <t>m</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</si>
  <si>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fums,col.tub</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</si>
  <si>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t>
  </si>
  <si>
    <t>PG33-E6CT</t>
  </si>
  <si>
    <t>Partida</t>
  </si>
  <si>
    <t>m</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</si>
  <si>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</si>
  <si>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</si>
  <si>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PG33-E6CR</t>
  </si>
  <si>
    <t>Partida</t>
  </si>
  <si>
    <t>m</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</si>
  <si>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</si>
  <si>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</si>
  <si>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EG21271J</t>
  </si>
  <si>
    <t>Partida</t>
  </si>
  <si>
    <t>m</t>
  </si>
  <si>
    <t>Tub rígid PVC,DN=20mm,impacte=2J,resist.compress.=1250N,unió endollada+munt.superf.</t>
  </si>
  <si>
    <t>Tub rígid de PVC, de 20 mm de diàmetre nominal, aïllant i no propagador de la flama, amb una resistència a l'impacte de 2 J, resistència a compressió de 1250 N i una rigidesa dielèctrica de 2000 V, amb unió endollada i muntat superficialment</t>
  </si>
  <si>
    <t>EG21281J</t>
  </si>
  <si>
    <t>Partida</t>
  </si>
  <si>
    <t>m</t>
  </si>
  <si>
    <t>Tub rígid PVC,DN=25mm,impacte=2J,resist.compress.=1250N,unió endollada+munt.superf.</t>
  </si>
  <si>
    <t>Tub rígid de PVC, de 25 mm de diàmetre nominal, aïllant i no propagador de la flama, amb una resistència a l'impacte de 2 J, resistència a compressió de 1250 N i una rigidesa dielèctrica de 2000 V, amb unió endollada i muntat superficialment</t>
  </si>
  <si>
    <t>EG21291J</t>
  </si>
  <si>
    <t>Partida</t>
  </si>
  <si>
    <t>m</t>
  </si>
  <si>
    <t>Tub rígid PVC,DN=32mm,impacte=2J,resist.compress.=1250N,unió endollada+munt.superf.</t>
  </si>
  <si>
    <t>Tub rígid de PVC, de 32 mm de diàmetre nominal, aïllant i no propagador de la flama, amb una resistència a l'impacte de 2 J, resistència a compressió de 1250 N i una rigidesa dielèctrica de 2000 V, amb unió endollada i muntat superficialment</t>
  </si>
  <si>
    <t>EG22TD1K</t>
  </si>
  <si>
    <t>Partida</t>
  </si>
  <si>
    <t>m</t>
  </si>
  <si>
    <t>Tub corbable corrugat PE,doble capa,DN=63mm,20J,450N,canal.sot.</t>
  </si>
  <si>
    <t>Tub corbable corrugat de polietilè, de doble capa, llisa la interior i corrugada l'exterior, de 63 mm de diàmetre nominal, aïllant i no propagador de la flama, resistència a l'impacte de 20 J, resistència a compressió de 450 N, muntat com a canalització soterrada</t>
  </si>
  <si>
    <t>PG6E-76ZR</t>
  </si>
  <si>
    <t>Partida</t>
  </si>
  <si>
    <t>u</t>
  </si>
  <si>
    <t>Comm.,(1P),10AX/250V,a/tecla,preu mitjà,munt.superf.</t>
  </si>
  <si>
    <t>Commutador, unipolar (1P), 10 AX/250 V, amb tecla, preu mitjà, muntat superficialment</t>
  </si>
  <si>
    <t>EG2DG3E1</t>
  </si>
  <si>
    <t>Partida</t>
  </si>
  <si>
    <t>m</t>
  </si>
  <si>
    <t>Safata reixa acer electrozincat,30mmx150mm,col.s/sup.horitz.</t>
  </si>
  <si>
    <t>Safata metàl·lica reixa d'acer electrozincat, d'alçària 30 mm i amplària 150 mm, col·locada sobre suports horitzontals amb elements de suport</t>
  </si>
  <si>
    <t>EGD1421E</t>
  </si>
  <si>
    <t>Partida</t>
  </si>
  <si>
    <t>u</t>
  </si>
  <si>
    <t>Piqueta connex.terra acer,estànd.,long.=2500mm,D=14.6mm,clav.terr.</t>
  </si>
  <si>
    <t>Piqueta de connexió a terra d'acer, amb recobriment de coure de gruix estàndard, de 2500 mm de llargària de 14.6 mm de diàmetre, clavada a terra</t>
  </si>
  <si>
    <t>EGDZ1102</t>
  </si>
  <si>
    <t>Partida</t>
  </si>
  <si>
    <t>u</t>
  </si>
  <si>
    <t>Punt connex.terra pont secc.platina coure,munt.caixa,col.superf.</t>
  </si>
  <si>
    <t>Punt de connexió a terra amb pont seccionador de platina de coure, muntat en caixa estanca i col·locat superficialment</t>
  </si>
  <si>
    <t>EG380902</t>
  </si>
  <si>
    <t>Partida</t>
  </si>
  <si>
    <t>m</t>
  </si>
  <si>
    <t>Conductor Cu nu,1x35mm2,munt.superf.</t>
  </si>
  <si>
    <t>Conductor de coure nu, unipolar de secció 1x35 mm2, muntat superficialment</t>
  </si>
  <si>
    <t>EH61RC49</t>
  </si>
  <si>
    <t>Partida</t>
  </si>
  <si>
    <t>u</t>
  </si>
  <si>
    <t>Llum emerg.led,no permanent,IP4X,classe II,70-100lúmens,auton&lt; 1h, ,forma rect.,policarbon.,preu alt, col.superf.</t>
  </si>
  <si>
    <t>Llum d'emergència amb làmpada led, amb una vida útil de 100000 h, no permanent i no estanca amb grau de protecció IP4X, aïllament classe II, amb un flux aproximat de 70 a 100 lúmens, 1 h d'autonomia, de forma rectangular amb difusor i cos de policarbonat, preu alt, col·locat superficial</t>
  </si>
  <si>
    <t>EHB56D51</t>
  </si>
  <si>
    <t>Partida</t>
  </si>
  <si>
    <t>u</t>
  </si>
  <si>
    <t>Llum.estanca+leds &lt;=50000h,rect.,l=1300mm,20W,2200lm,no regulable,classe I,policarbon.,IP65,munt.superf.</t>
  </si>
  <si>
    <t>Llumenera estanca amb leds amb una vida útil &lt;= 50000 h, de forma rectangular, de 1300 mm de llargària, 20 W de potència, flux lluminós de 2200 lm, amb equip elèctric no regulable, aïllament classe I, cos i difusor de policarbonat i grau de protecció IP65, muntada superficialment</t>
  </si>
  <si>
    <t>1.05.6</t>
  </si>
  <si>
    <t>Partida</t>
  </si>
  <si>
    <t>u</t>
  </si>
  <si>
    <t>P.A. Petit material elèctric i actuacions auxiliars</t>
  </si>
  <si>
    <t>Partida alçada a justificar per al petit material elèctric per a l'alimentació elèctrica i distribució de potència, maniobra i control per a tots els equips i sistemes descrits a la memòria i a la documentació gràfica, d'acord amb els requeriments dels fabricants i necessitats funcionals dels equips, en compliment de la reglamentació específica aplicable, incloent mà d'obra, canalització i cablejat, sistemes de protecció, quadres i subquadres elèctrics, modificació i ampliació de quadres existents, proteccions específiques per a equips, actuadors, accessoris i petit material, per a desenvolupar les funcions descrites i donar servei a les operacions del sistema de control, des de l'escomesa elèctrica al subquadre de la sala de caldera del geriàtric fins a les subestacions d'intercanvi dels equipaments, incloent la reforma de la seva instal·lació preexistent, i incloent canalització, cablejat, material elèctric auxiliar, cates i regates, i ajudes de paleteria. Dotació segons plànols, esquemes i memòria.</t>
  </si>
  <si>
    <t>1.09</t>
  </si>
  <si>
    <t>1.10</t>
  </si>
  <si>
    <t>Capítol</t>
  </si>
  <si>
    <t>Sistema de control automàtic de les instal·lacions</t>
  </si>
  <si>
    <t>1.09.1</t>
  </si>
  <si>
    <t>Capítol</t>
  </si>
  <si>
    <t>Sistema control xarxa de calor per biomassa</t>
  </si>
  <si>
    <t>01.04.03</t>
  </si>
  <si>
    <t>Partida</t>
  </si>
  <si>
    <t>u</t>
  </si>
  <si>
    <t>Camera IP fixa per a circuit tancat de TV, per a control de nivell de sitja</t>
  </si>
  <si>
    <t>Càmera IP fixa per a circuit tancat de TV, per a control de nivell de sitja, inclou visor-carcassa transparent de per a muntatge extern a sitja ó ATEX, totalment muntada, programada i provada, de les següents característiques:
· B/N amb sensor CCD de 1/3'', elements de 537 × 597 
· resolució 420 línies, sensibilitat de 0,1 lux a F1.2
· alimentació a 230 VAC
· relació senyal/soroll de 48 dB
· compensació de contrallum
· punt d'alimentació elèctrica mitjançant mecanisme base d'endoll shucko 16A
· part proporcional de canalització i cablejat per a integració a xarxa local a través de swich de control (sala de caldera biomassa)
· programació, posta en marxa i visualització des de sistema de control centralitzat</t>
  </si>
  <si>
    <t>1.06.1.1</t>
  </si>
  <si>
    <t>Partida</t>
  </si>
  <si>
    <t>u</t>
  </si>
  <si>
    <t>Sist. control centr. biomassa. Autòmates control, mòduls extensió i elem. camp</t>
  </si>
  <si>
    <t>Autòmates de control, mòduls d'extensió, elements de camp, canalització i cablejat per al sistema de control, telemesura i telegestió de la instal·lació, segons llistat de punts i descripció funcional indicada en memòria, esquemes i plànols.
Inclou els elements de camp, actuadors i elements de control i maniobra necessaris, cablejat i connexionat.
Marca i model: Loxone Server o similar</t>
  </si>
  <si>
    <t>1.06.1.2</t>
  </si>
  <si>
    <t>Partida</t>
  </si>
  <si>
    <t>u</t>
  </si>
  <si>
    <t>Sist. control subestació. Autòmates control, mòduls extensió i elem. camp</t>
  </si>
  <si>
    <t>Ampliació del sistema de control centralitzat de la sala de caldera amb mòdul d'extensió d'edifici, per a l'automatització de la instal·lació interior de l'edifici Consell Comarcal, segons especificacions memòria, esquemes i normes tècniques projecte, per a la regulacio automatica d'unitats terminals emissors d'aigua per mitjà de vàlvula de control termostàtica amb capacitat de tall i ajust, mesura de temperatura interior de cada sala per mitjà del capçal-actuador automàtic, amb les funcions indicades a la memòria, amb control remot des de qualsevol dispositiu, tant en local com remot amb connexió a internet, gràfiques d'estadístiques, enviament de mail d'incidències.
Format pels següents elements unitaris:
· Ampliació d'elements de control centralitzat amb servidor web, fonts d'alimentació i mòduls d'extensió de zona
· Caixes i armaris modulars de doble aillament per a allotjament de tot l'aparellatge.
· cablejat, proteccio i canalitzacio electrica i de maniobra de de tots els elements
· Electrònica de xarxa per a extensió xarxa de dades preexistent als edificis i connexions a xarxa F.O. sistema de control, incloent switch de connexió i repartidors de senyal, etc.
Canalització i cablejat segons normes tècniques fabricant equips de control, integració de totes les dades i modelització del sistema, programació funcional, formació a personal de manteniment i tècnics responsables, incloent software i llicències, petit material addicional necessari per a la transmissió de senyal i comandament dels sistemes, accessoris de connexió, cablejat de senyal i d'alimentació, caixes i armaris de protecció necessaris, etc. Entrega final de programació en software obert o claus d'accés per a la seva edició a la propietat.
Totalment instal·lat i funcionant amb els modes de programació indicats pels gestors dels edificis.
Marca i model: Loxone Server o similar</t>
  </si>
  <si>
    <t>EP4AC4B1</t>
  </si>
  <si>
    <t>Partida</t>
  </si>
  <si>
    <t>m</t>
  </si>
  <si>
    <t>Cable FO,ext.,4 fibr.SM 9/125,monotub (estr.ajust.),gel hidròfug,armadura metàl.,PE,inst.</t>
  </si>
  <si>
    <t>Cable de fibra òptica per a ús exterior, amb 4 fibres del tipus monomode 9/125, estructura interior monotub (estructura folgada) reblerta de gel hidròfug, armadura metàl·lica, amb coberta de polietilè, instal·lat</t>
  </si>
  <si>
    <t>EP4TU010</t>
  </si>
  <si>
    <t>Partida</t>
  </si>
  <si>
    <t>u</t>
  </si>
  <si>
    <t>Terminació cable FO&lt;=48 fibres</t>
  </si>
  <si>
    <t>Preparació d'una punta d'un cable de fibra òptica de fins a 48 fibres com a màxim, amb pelat de cobertes, pelat de tubs, neteja i identificació de fibres, en caixa o safata d'empiulament</t>
  </si>
  <si>
    <t>EP4TV010</t>
  </si>
  <si>
    <t>Partida</t>
  </si>
  <si>
    <t>u</t>
  </si>
  <si>
    <t>Sagnat cable FO&lt;=48 fibres</t>
  </si>
  <si>
    <t>Sagnat d'un cable de fibra òptica de 48 fibres com a màxim, amb pelat de cobertes, pelat de tubs, neteja i identificació de fibres, en caixa o safata d'empiulament</t>
  </si>
  <si>
    <t>EP4TW010</t>
  </si>
  <si>
    <t>Partida</t>
  </si>
  <si>
    <t>u</t>
  </si>
  <si>
    <t>Fusió FO cable FO&lt;=48 fibres</t>
  </si>
  <si>
    <t>Unió per fusió d'una fibra òptica, per a un total de fusions de 48 en el mateix punt, com a màxim, amb preparació de fibra, fusió, mesura de perdues i maniguets de protecció</t>
  </si>
  <si>
    <t>EP434BA0</t>
  </si>
  <si>
    <t>Partida</t>
  </si>
  <si>
    <t>m</t>
  </si>
  <si>
    <t>Cable transm.dades,4par.,cat.7 F/FTP,poliolefina/poliolefina,n/propag.flama UNE-EN 60332,col.tub/canal</t>
  </si>
  <si>
    <t>Cable per a transmissió de dades amb conductor de coure, de 4 parells, categoria 7 F/FTP, aïllament de poliolefina i coberta de poliolefina, de baixa emissió de fums i opacitat reduïda, no propagador de la flama segons UNE-EN 60332-1-2, col·locat sota tub o canal</t>
  </si>
  <si>
    <t>EG22TD1K</t>
  </si>
  <si>
    <t>Partida</t>
  </si>
  <si>
    <t>m</t>
  </si>
  <si>
    <t>Tub corbable corrugat PE,doble capa,DN=63mm,20J,450N,canal.sot.</t>
  </si>
  <si>
    <t>Tub corbable corrugat de polietilè, de doble capa, llisa la interior i corrugada l'exterior, de 63 mm de diàmetre nominal, aïllant i no propagador de la flama, resistència a l'impacte de 20 J, resistència a compressió de 450 N, muntat com a canalització soterrada</t>
  </si>
  <si>
    <t>EG21291J</t>
  </si>
  <si>
    <t>Partida</t>
  </si>
  <si>
    <t>m</t>
  </si>
  <si>
    <t>Tub rígid PVC,DN=32mm,impacte=2J,resist.compress.=1250N,unió endollada+munt.superf.</t>
  </si>
  <si>
    <t>Tub rígid de PVC, de 32 mm de diàmetre nominal, aïllant i no propagador de la flama, amb una resistència a l'impacte de 2 J, resistència a compressió de 1250 N i una rigidesa dielèctrica de 2000 V, amb unió endollada i muntat superficialment</t>
  </si>
  <si>
    <t>1.06.1.3</t>
  </si>
  <si>
    <t>Partida</t>
  </si>
  <si>
    <t>u</t>
  </si>
  <si>
    <t>Partida alçada de connexió a la xarxa de dades preexistent a l'escola Pinediques</t>
  </si>
  <si>
    <t>Partida alçada de connexió a la xarxa de dades preexistent a l'escola Pinediques, incloent cablejat estructurat cat7 o fibra òptica, amb terminals de connexió des de router de l'equipament fins a autòmata de control del sistema, electrònica de xarxa necessària, canalització i elements auxiliars per a la consecució del traçat.</t>
  </si>
  <si>
    <t>1.06.01.1</t>
  </si>
  <si>
    <t>Partida</t>
  </si>
  <si>
    <t>u</t>
  </si>
  <si>
    <t>Maniobra per a microinterruptor comandament de sistema de genaració tèrmica actual</t>
  </si>
  <si>
    <t>Reforma del quadre de maniobra del sistema de generació tèrmica actual per a comandament del microinterruptor ON/OFF per a back-up o mode estiu. Inclou elements de protecció i maniobra, caixa de protecció, cablejat elèctric i de senyal des de subquadre de sala de calderes i PLC fins a caldera. Integració al sistema de control.</t>
  </si>
  <si>
    <t>1.06.01.2</t>
  </si>
  <si>
    <t>Partida</t>
  </si>
  <si>
    <t>u</t>
  </si>
  <si>
    <t>Selector estiu-hivern (biomassa ON/OFF)</t>
  </si>
  <si>
    <t>Mecanisme selector manual fisic estiu-hivern per a control d'encesa i aturada de la caldera de biomassa i actuació sobre la caldera de gasoil i resistència d'ACS, mecanisme a 3 punts (estiu-0-hivern). Inclou mecanisme en caixa superficial, canalització, cablejat i elements de maniobra, integrat a sistema de control.</t>
  </si>
  <si>
    <t>1.09.1</t>
  </si>
  <si>
    <t>1.09.2</t>
  </si>
  <si>
    <t>Capítol</t>
  </si>
  <si>
    <t>Treballs auxiliars per a elements de control</t>
  </si>
  <si>
    <t>1.06.2.1</t>
  </si>
  <si>
    <t>Partida</t>
  </si>
  <si>
    <t>u</t>
  </si>
  <si>
    <t>Preparació de circuits hidràulics per a picatges i col·locacació elements de control</t>
  </si>
  <si>
    <t>Preparació de circuits hidràulics en sala de calderes/estació d'intercanvi per a picatges i col·locacació elements de control, incloent material i mà d'obra necessaris</t>
  </si>
  <si>
    <t>1.09.2</t>
  </si>
  <si>
    <t>1.10</t>
  </si>
  <si>
    <t>1.11</t>
  </si>
  <si>
    <t>Capítol</t>
  </si>
  <si>
    <t>Protecció contra incendis</t>
  </si>
  <si>
    <t>PM17-386R</t>
  </si>
  <si>
    <t>Partida</t>
  </si>
  <si>
    <t>u</t>
  </si>
  <si>
    <t>Polsador alarma,instal·lació analògica,manual,rearmable,IP-67,UNE-EN 54-11,sup.intempèrie</t>
  </si>
  <si>
    <t>Polsador d'alarma per a instal·lació contra incendis analògica, accionament manual , rearmable, grau de protecció IP-67, segons norma UNE-EN 54-11, muntat superficialment a la intempèrie</t>
  </si>
  <si>
    <t>1.07.02</t>
  </si>
  <si>
    <t>Partida</t>
  </si>
  <si>
    <t>u</t>
  </si>
  <si>
    <t>Kit detecció incendis canal alimentació caldera</t>
  </si>
  <si>
    <t>Kit de detecció d'incendis canal alimentació caldera, mitjançant termòstat de contacte fixat al canal, amb connexió de senyal a entrada d'alarma de la centraleta de detecció d'incendis i al sistema de control automàtic de les instal·lacions. Incloent termòstat, fixació, canalització i cablejat, programació i posta en marxa,</t>
  </si>
  <si>
    <t>EM31261J</t>
  </si>
  <si>
    <t>Partida</t>
  </si>
  <si>
    <t>u</t>
  </si>
  <si>
    <t>Extintor manual pols seca poliv.,6kg,pressió incorpo.,pintat,sup.paret</t>
  </si>
  <si>
    <t>Extintor manual de pols seca polivalent, de càrrega 6 kg, amb pressió incorporada, pintat, amb suport a paret</t>
  </si>
  <si>
    <t>EM31351J</t>
  </si>
  <si>
    <t>Partida</t>
  </si>
  <si>
    <t>u</t>
  </si>
  <si>
    <t>Extintor manual CO2,5kg,pressió incorpo.,pintat,sup.paret</t>
  </si>
  <si>
    <t>Extintor manual de diòxid de carboni, de càrrega 5 kg, amb pressió incorporada, pintat, amb suport a paret</t>
  </si>
  <si>
    <t>EMSB31L1</t>
  </si>
  <si>
    <t>Partida</t>
  </si>
  <si>
    <t>u</t>
  </si>
  <si>
    <t>Retol seny. instal.protecció/incendis,210x210mm2,panell PVC,gruix=0.7mm,fotoluminiscent (B),col.adherit</t>
  </si>
  <si>
    <t>Rètol senyalització instal·lació de protecció contra incendis, quadrat, de 210x210 mm2 de panell de PVC de 0.7 mm de gruix, fotoluminiscent categoria B segons UNE 23035-4, col·locat adherit sobre parament vertical.
Inclou cartell de Sala de Maquines segons RITE</t>
  </si>
  <si>
    <t>EMSB5BL1</t>
  </si>
  <si>
    <t>Partida</t>
  </si>
  <si>
    <t>u</t>
  </si>
  <si>
    <t>Retol seny. sortida habitual,297x105mm2,panell PVC,gruix=0.7mm,fotoluminiscent (B),col.adherit</t>
  </si>
  <si>
    <t>Rètol senyalització sortida habitual, rectangular, de 297x105 mm2 de panell de PVC de 0.7 mm de gruix, fotoluminiscent categoria B segons UNE 23035-4, col·locat adherit sobre parament vertical</t>
  </si>
  <si>
    <t>1.11</t>
  </si>
  <si>
    <t>1.12</t>
  </si>
  <si>
    <t>Capítol</t>
  </si>
  <si>
    <t>Documentació final d'obra</t>
  </si>
  <si>
    <t>1.10.1</t>
  </si>
  <si>
    <t>Partida</t>
  </si>
  <si>
    <t>u</t>
  </si>
  <si>
    <t>Tramitació i suport a la legalització de les instal·lacions tèrmiques i documentació final d'obra</t>
  </si>
  <si>
    <t>Documentació Asbuilt, tramitació i legalització de les instal·lacions tèrmiques, incloent documentació tècnica necessària, projecte tècnic, certificats i models normalitzats del Dept. d'Indústria de la Genealitat, inscripció al Registre d'instal·lacions de seguretat industrial, pagament de la taxa corresponent, acompanyament durant la inspecció de l'Organisme de Control, si s'escau, i pagament de l'import corresponent al servei d'aquest Organisme.</t>
  </si>
  <si>
    <t>1.12</t>
  </si>
  <si>
    <t>1.13</t>
  </si>
  <si>
    <t>Capítol</t>
  </si>
  <si>
    <t>Ajudes de paleta a les instal·lacions i imprevistos d'obra</t>
  </si>
  <si>
    <t>1.11.1</t>
  </si>
  <si>
    <t>Partida</t>
  </si>
  <si>
    <t>u</t>
  </si>
  <si>
    <t>Partida alçada a justificar en concepte d'ajudes de paleta a les instal·lacions</t>
  </si>
  <si>
    <t>Partida alçada a justificar en concepte d'ajudes de paleta a les instal·lacions</t>
  </si>
  <si>
    <t>1.11.3</t>
  </si>
  <si>
    <t>Partida</t>
  </si>
  <si>
    <t>u</t>
  </si>
  <si>
    <t>Partida alçada a justificar d'imprevistos d'obra</t>
  </si>
  <si>
    <t>Partida alçada a justificar d'imprevistos d'obra per l'encaix de la llosa i l'edifici sala de calderes i sitja a mur preexistent i urbanització dels espais de la xarxa de calor.</t>
  </si>
  <si>
    <t>1.09.01</t>
  </si>
  <si>
    <t>Partida</t>
  </si>
  <si>
    <t>u</t>
  </si>
  <si>
    <t>Partida alçada a justificar per al transport de maquinaria necessaria per a l'execució de l'asfaltat</t>
  </si>
  <si>
    <t>Partida alçada a justificar per al transport de maquinaria necessaria per a l'execució de l'asfaltat dels trams d'asfalt</t>
  </si>
  <si>
    <t>1.13</t>
  </si>
  <si>
    <t>2.01</t>
  </si>
  <si>
    <t>Capítol</t>
  </si>
  <si>
    <t>Obra civil sala de calderes</t>
  </si>
  <si>
    <t>01.01</t>
  </si>
  <si>
    <t>Capítol</t>
  </si>
  <si>
    <t>Enderrocs i moviment de terres</t>
  </si>
  <si>
    <t>P221D-DZ2R</t>
  </si>
  <si>
    <t>Partida</t>
  </si>
  <si>
    <t>m3</t>
  </si>
  <si>
    <t>Excav. rasa instal.,hfins a 1m,terreny compact.(SPT 20-50),retro.,+terres deix.vora</t>
  </si>
  <si>
    <t>Excavació de rasa per a pas d'instal·lacions fins a 1 m de fondària, en terreny compacte (SPT 20-50), realitzada amb retroexcavadora i amb les terres deixades a la vora</t>
  </si>
  <si>
    <t>P2219-564K</t>
  </si>
  <si>
    <t>Partida</t>
  </si>
  <si>
    <t>m3</t>
  </si>
  <si>
    <t>Excav.pou aïllat hfins a 2m,terreny tràns.,mitjans mecànics,càrrega mec.</t>
  </si>
  <si>
    <t>Excavació de pou aïllat de fins a 2 m de fondària, en terreny de trànsit, amb mitjans mecànics i càrrega mecànica del material excavat</t>
  </si>
  <si>
    <t>P2148-49LB</t>
  </si>
  <si>
    <t>Partida</t>
  </si>
  <si>
    <t>m</t>
  </si>
  <si>
    <t>Demolic.vorada sob/form.,compres.+càrrega man/mec.</t>
  </si>
  <si>
    <t>Demolició de vorada col·locada sobre formigó, amb compressor i càrrega manual i mecànica de runa sobre camió o contenidor</t>
  </si>
  <si>
    <t>P21D3-PAC1</t>
  </si>
  <si>
    <t>Partida</t>
  </si>
  <si>
    <t>pa</t>
  </si>
  <si>
    <t>Partida alçada de col·locació de conductes provisionals d'obra per a instal·lacions d'aigua, gas, o</t>
  </si>
  <si>
    <t>Partida alçada de col·locació de conductes provisionals d'obra per a instal·lacions d'aigua, gas, o electricitat al llarg de la durada de l'obra.</t>
  </si>
  <si>
    <t>P2217-55SU</t>
  </si>
  <si>
    <t>Partida</t>
  </si>
  <si>
    <t>m3</t>
  </si>
  <si>
    <t>Excavació p/rebaix,terreny compact.(SPT 20-50),pala excav.,+càrr.directa s/camió</t>
  </si>
  <si>
    <t>Excavació per a rebaix en terreny compacte (SPT 20-50), realitzada amb pala excavadora i càrrega directa sobre camió</t>
  </si>
  <si>
    <t>P2217-55SR</t>
  </si>
  <si>
    <t>Partida</t>
  </si>
  <si>
    <t>m3</t>
  </si>
  <si>
    <t>Excavació p/rebaix,roca rc.baixa(5 a 25MPa),pala excav.+martell,+càrr.indir. s/camió</t>
  </si>
  <si>
    <t>Excavació per a rebaix en roca de resistència a la compressió baixa (5 a 25 MPa), realitzada amb pala excavadora amb martell trencador i càrrega indirecta sobre camió</t>
  </si>
  <si>
    <t>P2251-5489</t>
  </si>
  <si>
    <t>Partida</t>
  </si>
  <si>
    <t>m3</t>
  </si>
  <si>
    <t>Estesa granulats reciclat form.,g&lt;=50cm</t>
  </si>
  <si>
    <t>Estesa de granulats de material reciclat de formigons en tongades de 50 cm, com a màxim</t>
  </si>
  <si>
    <t>P2252-549D</t>
  </si>
  <si>
    <t>Partida</t>
  </si>
  <si>
    <t>m3</t>
  </si>
  <si>
    <t>Estesa+picon.sòl adeq.obra,g&lt;=50cm,95%,PM,picó,dessec.</t>
  </si>
  <si>
    <t>Estesa i piconatge de sòl adequat de l'obra, en tongades de 50 cm de gruix, com a màxim, amb compactació del 95 % PM, utilitzant picó vibrant petit, i essent necessària la dessecació</t>
  </si>
  <si>
    <t>P7B1-6Q33</t>
  </si>
  <si>
    <t>Partida</t>
  </si>
  <si>
    <t>m2</t>
  </si>
  <si>
    <t>Geotèxtil feltre polipropilè/PE no teix. lligat tèrm.,200 a 250g/m2,s/adh.</t>
  </si>
  <si>
    <t>Geotèxtil format per feltre de polipropilè/polietilè no teixit lligat térmicament de 200 a 250 g/m2, col·locat sense adherir</t>
  </si>
  <si>
    <t>01.01</t>
  </si>
  <si>
    <t>01.02</t>
  </si>
  <si>
    <t>Capítol</t>
  </si>
  <si>
    <t>Gestió de residus</t>
  </si>
  <si>
    <t>P2R3-HJ9A</t>
  </si>
  <si>
    <t>Partida</t>
  </si>
  <si>
    <t>m3</t>
  </si>
  <si>
    <t>Transp.terres no contaminades,obra ext./centr. valor.,camió 7t,carreg.mec.,rec.menys de 10km</t>
  </si>
  <si>
    <t>Transport de terres no contaminades a obra exterior o centre de valorització, amb camió de 7 t i temps d'espera per a la càrrega amb mitjans mecànics, amb un recorregut de menys de 10 km</t>
  </si>
  <si>
    <t>P2RB-HFVK</t>
  </si>
  <si>
    <t>Partida</t>
  </si>
  <si>
    <t>m3</t>
  </si>
  <si>
    <t>Disposició de terres no cont. de densitat aparent 1,6 t/m3, a VNME</t>
  </si>
  <si>
    <t>Disposició de terres no contaminades de densitat aparent 1,6 t/m3, a valoritzador de materials naturals excavats amb codi VNME</t>
  </si>
  <si>
    <t>P2R3-HJH4</t>
  </si>
  <si>
    <t>Partida</t>
  </si>
  <si>
    <t>m3</t>
  </si>
  <si>
    <t>Transp.roques no contaminades,obra ext./centr. valor.,camió 7t,carreg.mec.,rec.menys de 10km</t>
  </si>
  <si>
    <t>Transport de roques no contaminades a obra exterior o centre de valorització, amb camió de 7 t i temps d'espera per a la càrrega amb mitjans mecànics, amb un recorregut de menys de 10 km</t>
  </si>
  <si>
    <t>P2RB-HGX7</t>
  </si>
  <si>
    <t>Partida</t>
  </si>
  <si>
    <t>m3</t>
  </si>
  <si>
    <t>Disposició de pedres no cont. de densitat aparent 2,1 t/m3, a VNME</t>
  </si>
  <si>
    <t>Disposició de pedres no contaminades de densitat aparent 2,1 t/m3, a valoritzador de materials naturals excavats amb codi VNME</t>
  </si>
  <si>
    <t>P2R5-DT1M</t>
  </si>
  <si>
    <t>Partida</t>
  </si>
  <si>
    <t>m3</t>
  </si>
  <si>
    <t>Transp.residus inerts o no especials,instal.gestió residus,contenidor 8m3</t>
  </si>
  <si>
    <t>Transport de residus inerts o no especials a instal·lació autoritzada de gestió de residus, amb contenidor de 8 m3 de capacitat</t>
  </si>
  <si>
    <t>P2RA-EU3R</t>
  </si>
  <si>
    <t>Partida</t>
  </si>
  <si>
    <t>m3</t>
  </si>
  <si>
    <t>Deposició controlada en dipòsit autoritzat inclòs el cànon sobre la deposició controlada dels residu</t>
  </si>
  <si>
    <t>Deposició controlada en dipòsit autoritzat inclòs el cànon sobre la deposició controlada dels residus de la construcció, segons la LLEI 8/2008, de residus barrejats inerts amb una densitat 1 t/m3, procedents de construcció o demolició, amb codi 170107 segons la Llista Europea de Residus (ORDEN MAM/304/2002)</t>
  </si>
  <si>
    <t>01.02</t>
  </si>
  <si>
    <t>01.03</t>
  </si>
  <si>
    <t>Capítol</t>
  </si>
  <si>
    <t>Estructura</t>
  </si>
  <si>
    <t>P3Z3-D53H</t>
  </si>
  <si>
    <t>Partida</t>
  </si>
  <si>
    <t>m2</t>
  </si>
  <si>
    <t>Capa neteja+anivell. g=10cm form. HL-150/P/20/, des de camió</t>
  </si>
  <si>
    <t>Capa de neteja i anivellament de 10 cm de gruix de formigó HL-150/P/20 de consistència plàstica i grandària màxima del granulat 20 mm, abocat des de camió</t>
  </si>
  <si>
    <t>P3C2-4247</t>
  </si>
  <si>
    <t>Partida</t>
  </si>
  <si>
    <t>m2</t>
  </si>
  <si>
    <t>Encofrat tauler p/llosa fonam.</t>
  </si>
  <si>
    <t>Encofrat amb tauler de fusta per a lloses de fonaments</t>
  </si>
  <si>
    <t>P3C0-3D8E</t>
  </si>
  <si>
    <t>Partida</t>
  </si>
  <si>
    <t>kg</t>
  </si>
  <si>
    <t>Armadura per a lloses de fonaments AP500 S barres corrug.</t>
  </si>
  <si>
    <t>Armadura per a lloses de fonaments AP500 S d'acer en barres corrugades B500S de límit elàstic &gt;= 500 N/mm2</t>
  </si>
  <si>
    <t>P3C5-DNC2</t>
  </si>
  <si>
    <t>Partida</t>
  </si>
  <si>
    <t>m3</t>
  </si>
  <si>
    <t>Formigonament de lloses de fonaments (CE, EHE),formigó HA-25/B / 20 / IIa,&gt;= 275kg/m3 ciment,bomba</t>
  </si>
  <si>
    <t>Formigonament de lloses de fonaments (CE, EHE) amb formigó HA-25/B / 20 / IIa de consistència tova, grandària màxima del granulat 20 mm, amb &gt;= 275 kg/m3 de ciment, apte per a classe d'exposició IIa, abocat amb bomba</t>
  </si>
  <si>
    <t>P9G0-51BJ</t>
  </si>
  <si>
    <t>Partida</t>
  </si>
  <si>
    <t>m2</t>
  </si>
  <si>
    <t>Lliscat amb remolinador mecànic de paviments de formigó, afegint 4 kg/m2 de pols de quars gris</t>
  </si>
  <si>
    <t>Lliscat amb remolinador mecànic de paviments de formigó, afegint 4 kg/m2 de pols de quars gris</t>
  </si>
  <si>
    <t>P322-D741</t>
  </si>
  <si>
    <t>Partida</t>
  </si>
  <si>
    <t>m2</t>
  </si>
  <si>
    <t>Muntatge+desm.1 cara encofrat,plafó metàl·lic200x50cm,per a murs de contenció de base rectilínia,due</t>
  </si>
  <si>
    <t>Muntatge i desmuntatge d'una cara d'encofrat amb plafó metàl·lic de 200x50 cm, per a murs de contenció de base rectilínia encofrats a dues cares, d'una alçària &lt;= 6 m</t>
  </si>
  <si>
    <t>P320-D6Y8</t>
  </si>
  <si>
    <t>Partida</t>
  </si>
  <si>
    <t>kg</t>
  </si>
  <si>
    <t>Armadura per a murs de contenció AP500 S barres corrug.,h&lt;=6m</t>
  </si>
  <si>
    <t>Armadura per a murs de contenció AP500 S, d'una alçària màxima de 6 m, d'acer en barres corrugades B500S de límit elàstic &gt;= 500 N/mm2</t>
  </si>
  <si>
    <t>P324-DNKN</t>
  </si>
  <si>
    <t>Partida</t>
  </si>
  <si>
    <t>m3</t>
  </si>
  <si>
    <t>Formigó p/murs cont.,h&lt;=6m,HA-25/B/20/IIa,bomba</t>
  </si>
  <si>
    <t>Formigó per a murs de contenció de 6 m d'alçària com a màxim, HA-25/B/20/IIa de consistència tova i grandària màxima del granulat 20 mm i abocat amb bomba</t>
  </si>
  <si>
    <t>P4E4-5NS2</t>
  </si>
  <si>
    <t>Partida</t>
  </si>
  <si>
    <t>m2</t>
  </si>
  <si>
    <t>Paret estructural per a revestir, de 20 cm de gruix, de bloc de morter de ciment foradat, R-6, de 40</t>
  </si>
  <si>
    <t>Paret estructural per a revestir, de 20 cm de gruix, de bloc de morter de ciment foradat, R-6, de 400x200x200 mm, categoria I segons norma UNE-EN 771-3, col·locat amb morter de ciment pòrtland amb filler calcari, de dosificació 1:0,5:4 (10 N/mm2) i amb una resistència a compressió de la paret de 3 N/mm2 amb traves i brancals massissats amb formigó per a fàbrica de blocs de morter de ciment, de 225 kg/m3, amb una proporció en volum 1:3:6, amb ciment pòrtland amb filler calcari CEM II/B-L/32,5 R i granulat de pedra calcària de grandària màxima 20 mm, col·locat manualment i armat amb acer en barres corrugades elaborat a l'obra B500S de límit elàstic &gt;= 500 N/mm2 per a l'armadura de parets de blocs de morter de ciment, m2 de superfície realment executada sense incloure cèrcols ni llindes</t>
  </si>
  <si>
    <t>P4M0-ELL4</t>
  </si>
  <si>
    <t>Partida</t>
  </si>
  <si>
    <t>u</t>
  </si>
  <si>
    <t>Estintolament paret obra ceràm. 14cm,perf.acer estr. S275JR,103kg/m,pas 0.8 a 1.5m,col.s/daus recolz. +HA-25/B/10/I</t>
  </si>
  <si>
    <t>Estintolament de paret d'obra ceràmica de 14 cm de gruix, amb un perfil d'acer per a estructures S275JR laminats en calent, amb una quantia de 103 kg/m, per a una càrrega total de 24 t/m, per a pas de 0.8 a 1.5 m d'amplària, col·locat sobre daus de recolzament de formigó estructural (EHE) HA-25/B/10/I, apuntalament per les dues bandes amb puntal tubular metàl·lic de &lt;= 150 kN de càrrega màxima, enderroc amb mitjans manuals i càrrega manual de runa sobre camió o contenidor</t>
  </si>
  <si>
    <t>P4LJ-5NR9</t>
  </si>
  <si>
    <t>Partida</t>
  </si>
  <si>
    <t>m2</t>
  </si>
  <si>
    <t>Sostre 25+5cm,ús=4 a 5kN/m2,revol.mort.ciment,big.form.pretesat,int=0,7m,l=5 a 7m,5kg/m2 AP500S acer</t>
  </si>
  <si>
    <t>Sostre de 25+5 cm, per a una sobrecàrrega (ús+permanents) de 4 a 5 kN/m2, amb revoltó de morter de ciment i biguetes de formigó pretesat, intereixos 0,7 m, llum 5 a 7 m, amb una quantia de 5 kg/m2 d'armadura AP500 S d'acer en barres corrugades, malla electrosoldada AP500 T de 15x30 cm, 6 i 6 mm de D, i una quantia de 0,09 m3/m2 de formigó HA-25/P/20/I abocat amb cubilot</t>
  </si>
  <si>
    <t>P45C7-4TMJ</t>
  </si>
  <si>
    <t>Partida</t>
  </si>
  <si>
    <t>m2</t>
  </si>
  <si>
    <t>Llosa form.,horitz.,g=25cm,muntatge i desmuntatge d'encofrat per a lloses, a una alçària &lt;= 5 m, amb</t>
  </si>
  <si>
    <t>Llosa de formigó armat, horitzontal, de 25 cm de gruix amb muntatge i desmuntatge d'encofrat per a lloses, a una alçària &lt;= 5 m, amb tauler de fusta de pi, amb una quantia d'1 m2/m2, formigó HA-25/B/10/IIa, abocat amb bomba i armadura AP500 S d'acer en barres corrugades amb una quantia de 30 kg/m2</t>
  </si>
  <si>
    <t>P4G3-49Q1</t>
  </si>
  <si>
    <t>Partida</t>
  </si>
  <si>
    <t>m3</t>
  </si>
  <si>
    <t>Paredat,pedra calc.,1cara,col.morter 1:6</t>
  </si>
  <si>
    <t>Paredat de gruix variable de pedra calcària, d'una cara vista, col·locada amb morter ciment 1:6</t>
  </si>
  <si>
    <t>P060-01ZN</t>
  </si>
  <si>
    <t>Partida</t>
  </si>
  <si>
    <t>u</t>
  </si>
  <si>
    <t>Mostreig, realització de con d'Abrams, elaboració de les provetes, cura, recapçament i assaig a comp</t>
  </si>
  <si>
    <t>Mostreig, realització de con d'Abrams, elaboració de les provetes, cura, recapçament i assaig a compressió d'una sèrie de cinc provetes cilíndriques de 15x30 cm, segons la norma UNE-EN 12390-1, UNE-EN 12390-2, UNE-EN 12390-3, UNE-EN 12350-1 i UNE-EN 12350-2</t>
  </si>
  <si>
    <t>P0B2-00PJ</t>
  </si>
  <si>
    <t>Partida</t>
  </si>
  <si>
    <t>u</t>
  </si>
  <si>
    <t>Determinació de les característiques mecàniques: resistència a la tracció, límit elàstic, allargamen</t>
  </si>
  <si>
    <t>Determinació de les característiques mecàniques: resistència a la tracció, límit elàstic, allargament de ruptura i doblegament-desdoblegament d'una proveta d'acer amb característiques especials de ductilitat per a armar formigons, segons la norma UNE 36065</t>
  </si>
  <si>
    <t>01.03.01</t>
  </si>
  <si>
    <t>Partida</t>
  </si>
  <si>
    <t>m</t>
  </si>
  <si>
    <t>Junt expansiu en contacte amb l'aigua, de poliuretà, de secció 2x0,5 cm</t>
  </si>
  <si>
    <t>Junt expansiu en contacte amb l'aigua, de poliuretà, de secció 2x0,5 cm, en junt entre llosa i mur de contenció d'estructura de sala de calderes i sitja.</t>
  </si>
  <si>
    <t>01.03</t>
  </si>
  <si>
    <t>01.04</t>
  </si>
  <si>
    <t>Capítol</t>
  </si>
  <si>
    <t>Cobertes</t>
  </si>
  <si>
    <t>P5Z16-4ZG1</t>
  </si>
  <si>
    <t>Partida</t>
  </si>
  <si>
    <t>m2</t>
  </si>
  <si>
    <t>Formació pendents mort.perlita 350kg/m3 g=15cm</t>
  </si>
  <si>
    <t>Formació de pendents amb morter de perlita i ciment de densitat 350 kg/m3, de 15 cm de gruix mitjà</t>
  </si>
  <si>
    <t>P713-DXFT</t>
  </si>
  <si>
    <t>Partida</t>
  </si>
  <si>
    <t>m2</t>
  </si>
  <si>
    <t>Membrana,de dues làmines,7,2kg/m2,làmina betum modificat LBM(SBS)-24-FV-60g/m2+làmina betum modifica</t>
  </si>
  <si>
    <t>Membrana de dues làmines, de densitat superficial 7,2 kg/m2 formada per làmina de betum modificat LBM (SBS)-24-FV, amb armadura de feltre de fibra de vidre de 60 g/m2 sobre làmina de betum modificat LBM (SBS)-40-FP 160 g/m2, adherides entre elles en calent i col·locades sobre capa separadora amb geotèxtil</t>
  </si>
  <si>
    <t>P93G-57PY</t>
  </si>
  <si>
    <t>Partida</t>
  </si>
  <si>
    <t>m2</t>
  </si>
  <si>
    <t>Recrescuda supo.pavim.,g=3cm,mort.ciment 1:6</t>
  </si>
  <si>
    <t>Recrescuda del suport de paviments, de 3 cm de gruix, amb morter de ciment 1:6</t>
  </si>
  <si>
    <t>P510-38DV</t>
  </si>
  <si>
    <t>Partida</t>
  </si>
  <si>
    <t>m2</t>
  </si>
  <si>
    <t>Terrat capa prot.,palet riera D=16 a 32mm,g=6cm,s/adh.</t>
  </si>
  <si>
    <t>Acabat de terrat amb capa de protecció de palet de riera de 16 a 32 mm de diàmetre, de 6 cm de gruix, col·locat sense adherir</t>
  </si>
  <si>
    <t>P8J0-6Y3V</t>
  </si>
  <si>
    <t>Partida</t>
  </si>
  <si>
    <t>m</t>
  </si>
  <si>
    <t>Coronament paret g=21 a 30cm,peça form.polimèric,U,2escaire color estànd.col.mort.M2.5(G)</t>
  </si>
  <si>
    <t>Coronament de paret de 21 a 30 cm de gruix, amb peça de formigó polimèric de secció en U i amb dos cantells en escaire, de color estàndard, col·locada amb morter per a ram de paleta classe M 2.5 (2,5 N/mm2) de designació (G) segons UNE-EN 998-2</t>
  </si>
  <si>
    <t>01.04</t>
  </si>
  <si>
    <t>01.06</t>
  </si>
  <si>
    <t>Capítol</t>
  </si>
  <si>
    <t>Revestiments impermeabilitzacions i aïllaments</t>
  </si>
  <si>
    <t>P783-8D35</t>
  </si>
  <si>
    <t>Partida</t>
  </si>
  <si>
    <t>m2</t>
  </si>
  <si>
    <t>Imperm.parament,emulsió bituminosa p/impermeabilització ED &lt;= 2kg/m2,dues capes</t>
  </si>
  <si>
    <t>Impermeabilització de parament amb emulsió bituminosa per a impermeabilització tipus ED amb una dotació de &lt;= 2 kg/m2 aplicada en dues capes</t>
  </si>
  <si>
    <t>PD5J-43B5</t>
  </si>
  <si>
    <t>Partida</t>
  </si>
  <si>
    <t>m2</t>
  </si>
  <si>
    <t>Làmina drenant nodular PEAD,un geotèxtilPE,h.nòd=4mm,,r.compr.=500kN/m2,fix.mec.,vert.</t>
  </si>
  <si>
    <t>Làmina drenant nodular de polietilè d'alta densitat, amb un geotèxtil de polietilè adherit en una de les seves cares, amb nòduls de 4 mm d'alçària aproximada i una resistència a la compressió aproximada de 500 kN/m2, fixada mecànicament sobre parament vertical</t>
  </si>
  <si>
    <t>P815-3FNE</t>
  </si>
  <si>
    <t>Partida</t>
  </si>
  <si>
    <t>m2</t>
  </si>
  <si>
    <t>Enguixat a bona vista,parament horitzontal interiorh&lt;3m,B1,lliscat C6</t>
  </si>
  <si>
    <t>Enguixat a bona vista sobre parament horitzontal interior, a 3,00 m d'alçària, com a màxim, amb guix B1, acabat lliscat amb guix C6 segons la norma UNE-EN 13279-1</t>
  </si>
  <si>
    <t>P811-3FEC</t>
  </si>
  <si>
    <t>Partida</t>
  </si>
  <si>
    <t>m2</t>
  </si>
  <si>
    <t>Arrebossat bona vista,vert.ext.,h&gt;3m,morter ciment GP,CSIII-W1,remolinat</t>
  </si>
  <si>
    <t>Arrebossat a bona vista sobre parament vertical exterior, a més de 3,00 m d'alçària, amb morter de ciment per a ús corrent (GP), de designació CSIII-W1, segons UNE-EN 998-1, remolinat</t>
  </si>
  <si>
    <t>P89H-4V7L</t>
  </si>
  <si>
    <t>Partida</t>
  </si>
  <si>
    <t>m2</t>
  </si>
  <si>
    <t>Pintat vert. ext. ciment,pintura silicat,llis,1fons+2acab.</t>
  </si>
  <si>
    <t>Pintat de parament vertical exterior de ciment, amb pintura al silicat amb acabat llis, amb una capa de fons i dues d'acabat</t>
  </si>
  <si>
    <t>01.06</t>
  </si>
  <si>
    <t>01.08</t>
  </si>
  <si>
    <t>Capítol</t>
  </si>
  <si>
    <t>Tancaments i divisòries practicables</t>
  </si>
  <si>
    <t>PAS2-5QXR</t>
  </si>
  <si>
    <t>Partida</t>
  </si>
  <si>
    <t>u</t>
  </si>
  <si>
    <t>Porta tallaf.,metàl.,EI2-C 60,1bat.,90x210cm,preu sup.,antipàn.col.</t>
  </si>
  <si>
    <t>Porta tallafocs metàl·lica, EI2-C 60, una fulla batent, per a una llum de 90x210 cm, preu superior amb tanca antipànic, col·locada</t>
  </si>
  <si>
    <t>PAS2-5RPE</t>
  </si>
  <si>
    <t>Partida</t>
  </si>
  <si>
    <t>u</t>
  </si>
  <si>
    <t>Tancament practicable de protecció per a estella/pellet en brancal d'obra de 20cm i unes dimensions</t>
  </si>
  <si>
    <t>Tancament practicable de protecció per a estella/pellet en brancal d'obra de 20cm i unes dimensions de 90x210cm, compost per dos perfils metàl·lics UPN 50 + 9 taulons de fusta de 200 x 40mm i 870mm de llarg</t>
  </si>
  <si>
    <t>EABGPR01</t>
  </si>
  <si>
    <t>Partida</t>
  </si>
  <si>
    <t>u</t>
  </si>
  <si>
    <t>Porta d'acer galvanitzat en perfils laminats de dues fulles batentes, per a un buit d'obra 240x250</t>
  </si>
  <si>
    <t>Porta d'acer galvanitzat en perfils laminats de dues fulles batentes, per a un buit d'obra de 240x250cm, amb bastidor de tub de 40x40x1.5mm, revestiment planxes llises d'1 mm de gruix i bastiment, doble finestra superior i inferior amb reixetes de ventilació de 85x30 cm, pany de cop i mecanisme antipànic per a porta d'evacuació, acabat esmaltat, col·locada</t>
  </si>
  <si>
    <t>01.08</t>
  </si>
  <si>
    <t>01.09</t>
  </si>
  <si>
    <t>Capítol</t>
  </si>
  <si>
    <t>Proteccions i senyalització</t>
  </si>
  <si>
    <t>PBBA-EOJA</t>
  </si>
  <si>
    <t>Partida</t>
  </si>
  <si>
    <t>u</t>
  </si>
  <si>
    <t>Senyal indicativa de la ubicació d'equips d'extinció d'incendis,normalitz.,pictogr.blanc sobre fons</t>
  </si>
  <si>
    <t>Senyal indicativa de la ubicació d'equips d'extinció d'incendis, normalitzada amb pictograma blanc sobre fons vermell, de forma rectangular o quadrada, costat major 29 cm, per ser vista fins 12 m de distància, fixada i amb el desmuntatge inclòs</t>
  </si>
  <si>
    <t>PBBA-EOJG</t>
  </si>
  <si>
    <t>Partida</t>
  </si>
  <si>
    <t>u</t>
  </si>
  <si>
    <t>Senyal indicativa d'informació de salvament o socors,normalitz.,pictogr.blanc sobre fons verd,forma</t>
  </si>
  <si>
    <t>Senyal indicativa d'informació de salvament o socors, normalitzada amb pictograma blanc sobre fons verd, de forma rectangular o quadrada, costat major 29 cm, per ser vista fins 12 m de distància, fixada i amb el desmuntatge inclòs</t>
  </si>
  <si>
    <t>P6A5-DRLR</t>
  </si>
  <si>
    <t>Partida</t>
  </si>
  <si>
    <t>m</t>
  </si>
  <si>
    <t>Reixat acer h=1,5m,tela metàl.torsió simp.,galv.,pas=50mm,D=2.7/2,7mm+pals,D=50mm/3m,col.platines+ta</t>
  </si>
  <si>
    <t>Reixat d'acer d'alçària 1,5 m amb tela metàl·lica de torsió simple amb acabat galvanitzat, de 50 mm de pas de malla i diàmetre 2.7 i 2,7 mm, pals de tub galvanitzat de diàmetre 50 mm col·locats cada 3 m amb platines fixades al parament vertical (mur de bloc) i tacs expanssius i part proporcional de pals per a punts singulars</t>
  </si>
  <si>
    <t>PM32-DZ4A</t>
  </si>
  <si>
    <t>Partida</t>
  </si>
  <si>
    <t>u</t>
  </si>
  <si>
    <t>Extintor manual CO2,3,5kg,pressió incorpo.,pintat,sup.paret</t>
  </si>
  <si>
    <t>Extintor manual de diòxid de carboni, de càrrega 3,5 kg, amb pressió incorporada, pintat, amb suport a paret</t>
  </si>
  <si>
    <t>PM32-DZ3Z</t>
  </si>
  <si>
    <t>Partida</t>
  </si>
  <si>
    <t>u</t>
  </si>
  <si>
    <t>Extintor manual pols seca poliv.,6kg,pressió incorpo.,pintat,sup.paret</t>
  </si>
  <si>
    <t>Extintor manual de pols seca polivalent, de càrrega 6 kg, amb pressió incorporada, pintat, amb suport a paret</t>
  </si>
  <si>
    <t>EABG9A63</t>
  </si>
  <si>
    <t>Partida</t>
  </si>
  <si>
    <t>u</t>
  </si>
  <si>
    <t>Trapella corredissa d'acer per pintar en perfils laminats o estr</t>
  </si>
  <si>
    <t>Trapella corredissa d'acer en perfils laminats o estructurals, d'una fulla horitzontal corredissa mitjançant guies i rodes amb coixinets, per a un buit d'obra de 300x350cm, dimensions a comprovar en obra, fulla de planxa d'acer per pintar 3mm de gruix diamantada, bastidor i estructura interior de perfil 120x60x4 i 60x60x4, treballat a taller i muntat en obra. Inclou plecs especials de la planxa per a impedir entrada d'aigua, inclinació mínima 2% per evitar estancament. Inclou elements de tancament i fixació candau, topalls per a frenada i tancament, guies corredisses, totalment muntada, imprimada i pintada i posada en funcionament. Inclou cobertura inferior d'aillament tèrmic amb poliestirè extruït, gruix=40mm. Inclou reixa frontal de 1,5m soldada a la part superior de la trapella, per evitar l'accés de peatons a la trapella. Seguint detalls dels plànols.</t>
  </si>
  <si>
    <t>EABGN001</t>
  </si>
  <si>
    <t>Partida</t>
  </si>
  <si>
    <t>u</t>
  </si>
  <si>
    <t>Doble marc perfil metàl·lic L i malla d'acer electrosoldat prote</t>
  </si>
  <si>
    <t>Doble marc perfil metàl·lic L un fixat a obertura sitja i l'altre per ésser retirat, i malla d'acer electrosoldat d8mm 15x30cm juntament amb marc, per a protecció de caigudes a obertura sitja, de dimensions totals 300x350cm, amb tirants de reforç cada 50cm. Inclou muntatge amb tac metàl·lic, cargols i femelles.</t>
  </si>
  <si>
    <t>01.09.01</t>
  </si>
  <si>
    <t>Partida</t>
  </si>
  <si>
    <t>u</t>
  </si>
  <si>
    <t>Formació de tirador per a trapella de descàrrega d'estella</t>
  </si>
  <si>
    <t>Formació de tirador a la trapella de descàrrega d'estella, mitjançant perfil tubular i tornapuntes soldats a trapella. Inclou mà d'obra i material auxiliar. Segons documentació gràfica.</t>
  </si>
  <si>
    <t>01.09</t>
  </si>
  <si>
    <t>01.13</t>
  </si>
  <si>
    <t>Capítol</t>
  </si>
  <si>
    <t>Instal·lacions de Sanejament</t>
  </si>
  <si>
    <t>P5ZH0-HHML</t>
  </si>
  <si>
    <t>Partida</t>
  </si>
  <si>
    <t>u</t>
  </si>
  <si>
    <t>Bonera # PVC rígid,D=90mm,antigrava,metàl.,fix.mecàniques</t>
  </si>
  <si>
    <t>Bonera Indeterminat de PVC rígid de diàmetre 90 mm amb tapa antigrava metàl·lica, col·locada amb fixacions mecàniques</t>
  </si>
  <si>
    <t>PD18-8D5P</t>
  </si>
  <si>
    <t>Partida</t>
  </si>
  <si>
    <t>m</t>
  </si>
  <si>
    <t>Baixant PVC-U paret massissa,B,DN=90mm,fix.mec.brides</t>
  </si>
  <si>
    <t>Baixant de tub de PVC-U de paret massissa, àrea d'aplicació B segons norma UNE-EN 1329-1, de DN 90 mm, classe de reacció al foc B-s1, d0 segons norma UNE-EN 13501-1, incloses les peces especials i fixat mecànicament amb brides</t>
  </si>
  <si>
    <t>PD5M-50U6</t>
  </si>
  <si>
    <t>Partida</t>
  </si>
  <si>
    <t>m</t>
  </si>
  <si>
    <t>Drenatge tub ranur.PVC D=125mm</t>
  </si>
  <si>
    <t>Drenatge amb tub ranurat de PVC de D=125 mm</t>
  </si>
  <si>
    <t>PD7A-EUTD</t>
  </si>
  <si>
    <t>Partida</t>
  </si>
  <si>
    <t>m</t>
  </si>
  <si>
    <t>Clavegueró PVC-U paret massissa,sanejament s/pressió,DN=125mm,SN4,s/llit sorra 15cm</t>
  </si>
  <si>
    <t>Clavegueró amb tub de PVC-U de paret massissa per a sanejament sense pressió, de DN 125 mm i de SN 4 (4 kN/m2) de rigidesa anular, segons norma UNE-EN 1401-1, sobre llit de sorra de 15 cm de gruix</t>
  </si>
  <si>
    <t>PD54-72R5</t>
  </si>
  <si>
    <t>Partida</t>
  </si>
  <si>
    <t>u</t>
  </si>
  <si>
    <t>Bonera sifònica fosa,costat=200x200mm,,tapaplana metàl.,col.morter ram paleta M 5</t>
  </si>
  <si>
    <t>Bonera sifònica de fosa de 200x200 mm de costat, amb tapa plana metàl·lica, col·locada amb morter per a ram de paleta classe M 5 ( 5 N/mm2 )</t>
  </si>
  <si>
    <t>01.13</t>
  </si>
  <si>
    <t>01.14</t>
  </si>
  <si>
    <t>Capítol</t>
  </si>
  <si>
    <t>Urbanització interior de la parcel·la</t>
  </si>
  <si>
    <t>P9GC-ADOI</t>
  </si>
  <si>
    <t>Partida</t>
  </si>
  <si>
    <t>m2</t>
  </si>
  <si>
    <t>Paviment form. 15cm gruix,acabat4kg/m2 pols de quars color,formigó HM-30/B / 20 / I + E de consistèn</t>
  </si>
  <si>
    <t>Paviment de formigó de 15 cm de gruix acabat amb 4 kg/m2 de pols de quars color, amb formigó HM-30/B / 20 / I + E de consistència tova, grandària màxima del granulat 20 mm, amb &gt;= 275 kg/m3 de ciment, apte per a classe d'exposició I + E, col·locat amb transport interior mecànic, estesa i vibratge mecànic i remolinat mecànic</t>
  </si>
  <si>
    <t>P9G0-51BI</t>
  </si>
  <si>
    <t>Partida</t>
  </si>
  <si>
    <t>m2</t>
  </si>
  <si>
    <t>Ratllat manual pavim.form.</t>
  </si>
  <si>
    <t>Ratllat manual de paviments de formigó</t>
  </si>
  <si>
    <t>P967-E9XU</t>
  </si>
  <si>
    <t>Partida</t>
  </si>
  <si>
    <t>m</t>
  </si>
  <si>
    <t>Vorada recta de formigó, doble capa, amb secció normalitzada de calçada C3 de 28x17 cm segons UNE 127340, de classe climàtica B, classe resistent a l'abrasió H i classe resistent a flexió T (R-5 MPa) segons UNE-EN 1340,form.no est. h=20 a 25cm,rejunt.morter</t>
  </si>
  <si>
    <t>Vorada recta de formigó, doble capa, amb secció normalitzada de calçada C3 de 28x17 cm segons UNE 127340, de classe climàtica B, classe resistent a l'abrasió H i classe resistent a flexió T (R-5 MPa) segons UNE-EN 1340, col·locada sobre base de formigó no estructural de 15 N/mm2 de resistència mínima a compressió i de 20 a 25 cm d'alçària, i rejuntada amb morter</t>
  </si>
  <si>
    <t>P9E1-DN0W</t>
  </si>
  <si>
    <t>Partida</t>
  </si>
  <si>
    <t>m2</t>
  </si>
  <si>
    <t>Paviment panot pas vianants color +tacs,20x20x4cm,col.est.sorra-cim.200kg/m3,beurada color</t>
  </si>
  <si>
    <t>Paviment de panot per a pas de vianants de color amb tacs de 20x20x4 cm, col·locat a l'estesa amb sorra-ciment de 200 kg/m3 de ciment pòrtland i beurada de color amb ciment blanc de ram de paleta</t>
  </si>
  <si>
    <t>P981-ETYC</t>
  </si>
  <si>
    <t>Partida</t>
  </si>
  <si>
    <t>m</t>
  </si>
  <si>
    <t>Gual peces form.,DC,22x30cm,sob/form.no est.,h=25 a 30cm,rejunt.morter</t>
  </si>
  <si>
    <t>Gual de peces de formigó, doble capa, 22x30 cm, col·locat sobre base de formigó no estructural 15 N/mm2 de resistència mínima a compressió i de 25 a 30 cm d'alçària, i rejuntat amb morter</t>
  </si>
  <si>
    <t>01.14</t>
  </si>
  <si>
    <t>2.01</t>
  </si>
  <si>
    <t>2.02</t>
  </si>
  <si>
    <t>Capítol</t>
  </si>
  <si>
    <t>Obra civil xarxa de calor</t>
  </si>
  <si>
    <t>2.02.01</t>
  </si>
  <si>
    <t>Capítol</t>
  </si>
  <si>
    <t>Tram SC-A</t>
  </si>
  <si>
    <t>P214W-FEMD</t>
  </si>
  <si>
    <t>Partida</t>
  </si>
  <si>
    <t>m</t>
  </si>
  <si>
    <t>Tall paviment form. h&gt;=15cm</t>
  </si>
  <si>
    <t>Tall en paviment de formigó de 15 cm de fondària com a mínim amb màquina tallajunts amb disc de diamant per a paviment, per a delimitar la zona a demolir</t>
  </si>
  <si>
    <t>P214W-FEMI</t>
  </si>
  <si>
    <t>Partida</t>
  </si>
  <si>
    <t>m</t>
  </si>
  <si>
    <t>Tall paviment mescla bituminosa h&gt;=15cm</t>
  </si>
  <si>
    <t>Tall en paviment de mescla bituminosa de 15 cm de fondària com a mínim amb màquina tallajunts amb disc de diamant per a paviment, per a delimitar la zona a demolir</t>
  </si>
  <si>
    <t>P221D-DZ2Z</t>
  </si>
  <si>
    <t>Partida</t>
  </si>
  <si>
    <t>m3</t>
  </si>
  <si>
    <t>Excav. rasa instal.,hfins a 1m,terreny tràns.(SPT &gt;50),,retroexcavadora+martell+càrrega mec</t>
  </si>
  <si>
    <t>Excavació de rasa per a pas d'instal·lacions fins a 1 m de fondària, en terreny de trànsit (SPT &gt;50), amb retroexcavadora amb martell trencador i càrrega mecànica del material excavat</t>
  </si>
  <si>
    <t>P221D-DZ2Y</t>
  </si>
  <si>
    <t>Partida</t>
  </si>
  <si>
    <t>m3</t>
  </si>
  <si>
    <t>Excav. rasa instal.,hfins a 1m,roca rc.mitja(25 a 50MPa),miniexcavadora+martell,+terres deix.vora</t>
  </si>
  <si>
    <t>Excavació de rasa per a pas d'instal·lacions fins a 1 m de fondària, en roca de resistència a la compressió mitja (25 a 50 MPa), realitzada amb miniexcavadora amb martell trencador i amb les terres deixades a la vora</t>
  </si>
  <si>
    <t>P221D-DZ2R</t>
  </si>
  <si>
    <t>Partida</t>
  </si>
  <si>
    <t>m3</t>
  </si>
  <si>
    <t>Excav. rasa instal.,hfins a 1m,terreny compact.(SPT 20-50),retro.,+terres deix.vora</t>
  </si>
  <si>
    <t>Excavació de rasa per a pas d'instal·lacions fins a 1 m de fondària, en terreny compacte (SPT 20-50), realitzada amb retroexcavadora i amb les terres deixades a la vora</t>
  </si>
  <si>
    <t>P2218-566F</t>
  </si>
  <si>
    <t>Partida</t>
  </si>
  <si>
    <t>m3</t>
  </si>
  <si>
    <t>Excavació pou hfins a 2m,terr.compact.,m.mec.,càrrega</t>
  </si>
  <si>
    <t>Excavació de pous fins a 2 m de fondària, en terreny compacte, amb mitjans mecànics, i càrrega sobre camió</t>
  </si>
  <si>
    <t>P2147-DJ5W</t>
  </si>
  <si>
    <t>Partida</t>
  </si>
  <si>
    <t>m</t>
  </si>
  <si>
    <t>Demol.rigola form.,retro.+mart.trencad. + carreg.mec.s/camió</t>
  </si>
  <si>
    <t>Demolició de rigola de formigó, inclòs la base, amb retroexcavadora amb martell trencador i càrrega mecànica sobre camió</t>
  </si>
  <si>
    <t>P2148-49LD</t>
  </si>
  <si>
    <t>Partida</t>
  </si>
  <si>
    <t>m</t>
  </si>
  <si>
    <t>Demolic.vorada sob/terra,m.mec.+càrrega cam.</t>
  </si>
  <si>
    <t>Demolició de vorada, inclòs la base, col·locada sobre terra, amb mitjans mecànics i càrrega sobre camió</t>
  </si>
  <si>
    <t>F2A15000</t>
  </si>
  <si>
    <t>Partida</t>
  </si>
  <si>
    <t>m3</t>
  </si>
  <si>
    <t>Subministr.arena.garbellada.aport.</t>
  </si>
  <si>
    <t>Subministrament d'arena garbellada d'aportació</t>
  </si>
  <si>
    <t>P2255-DPIX</t>
  </si>
  <si>
    <t>Partida</t>
  </si>
  <si>
    <t>m3</t>
  </si>
  <si>
    <t>Rebliment+picon.rasa,ampl.fins a 0,6m,sorres reciclat mixt,gfins a 25cm,picó vibrant</t>
  </si>
  <si>
    <t>Rebliment i piconatge de rasa d'amplària fins a 0,6 m, amb sorres de material reciclat mixt, en tongades de gruix de fins a 25 cm, utilitzant picó vibrant</t>
  </si>
  <si>
    <t>P2255-DPGO</t>
  </si>
  <si>
    <t>Partida</t>
  </si>
  <si>
    <t>m3</t>
  </si>
  <si>
    <t>Rebliment+picon.rasa,ampl.fins a 0,6m,mat.adeq.excav.,gfins a 25cm,picó vibrant,95%PM</t>
  </si>
  <si>
    <t>Rebliment i piconatge de rasa d'amplària fins a 0,6 m, amb material adequat de la pròpia excavació, en tongades de gruix de fins a 25 cm, utilitzant picó vibrant, amb compactació del 95% PM</t>
  </si>
  <si>
    <t>P930-I2FP</t>
  </si>
  <si>
    <t>Partida</t>
  </si>
  <si>
    <t>m3</t>
  </si>
  <si>
    <t>Base p/pav. formigó d'ús no estructural de resistència a compressió 15 N/mm2, consistència tova i grandària màxima del granulat 40 mm, HNE-15/B/40 abocat camió est+comp. manual +acab. reglejat</t>
  </si>
  <si>
    <t>Base per a paviment de formigó d'ús no estructural de resistència a compressió 15 N/mm2, consistència tova i grandària màxima del granulat 40 mm, HNE-15/B/40, abocat des de camió amb estesa i piconatge manual, acabat reglejat</t>
  </si>
  <si>
    <t>P2R3-HIXM</t>
  </si>
  <si>
    <t>Partida</t>
  </si>
  <si>
    <t>m3</t>
  </si>
  <si>
    <t>Transp.terres no contaminades,obra ext./centr. valor.,camió 7t,carreg.mec.,rec.més de 10 i fins a 15km</t>
  </si>
  <si>
    <t>Transport de terres no contaminades a obra exterior o centre de valorització, amb camió de 7 t i temps d'espera per a la càrrega amb mitjans mecànics, amb un recorregut de més de 10 i fins a 15 km</t>
  </si>
  <si>
    <t>P2RB-HIFS</t>
  </si>
  <si>
    <t>Partida</t>
  </si>
  <si>
    <t>m3</t>
  </si>
  <si>
    <t>Disposició de terres no cont. de densitat aparent 1,6 t/m3, a VNME</t>
  </si>
  <si>
    <t>Disposició de terres no contaminades de densitat aparent 1,6 t/m3, a valoritzador de materials naturals excavats amb codi VNME</t>
  </si>
  <si>
    <t>P2R5-DT1A</t>
  </si>
  <si>
    <t>Partida</t>
  </si>
  <si>
    <t>m3</t>
  </si>
  <si>
    <t>Transport residus,instal.gestió residus,camió 7t,càrrega mec.,rec.més de 10 i fins a 15km</t>
  </si>
  <si>
    <t>Transport de residus a instal·lació autoritzada de gestió de residus, amb camió de 7 t i temps d'espera per a la càrrega a màquina, amb un recorregut de més de 10 i fins a 15 km</t>
  </si>
  <si>
    <t>P2RA-EU2O</t>
  </si>
  <si>
    <t>Partida</t>
  </si>
  <si>
    <t>m3</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</si>
  <si>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</si>
  <si>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</si>
  <si>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FDGZU010</t>
  </si>
  <si>
    <t>Partida</t>
  </si>
  <si>
    <t>m</t>
  </si>
  <si>
    <t>Banda cont.plàstic,color,30cm,col·locada llarg rasa,20cm sobre canonada,p/malla senyalitzadora</t>
  </si>
  <si>
    <t>Banda contínua de plàstic de color, de 30 cm d'amplària, col·locada al llarg de la rasa a 20 cm per sobre de la canonada, per a malla senyalitzadora</t>
  </si>
  <si>
    <t>P9H5-E874</t>
  </si>
  <si>
    <t>Partida</t>
  </si>
  <si>
    <t>t</t>
  </si>
  <si>
    <t>Paviment mescla bituminosa contínua en calent tipus AC 11 surf B 35/50 D, amb betum asfàltic de penetració, de granulometria densa per a capa de trànsit i granulat granític est-compact.</t>
  </si>
  <si>
    <t>Paviment de mescla bituminosa contínua en calent tipus AC 11 surf B 35/50 D, amb betum asfàltic de penetració, de granulometria densa per a capa de trànsit i granulat granític, estesa i compactada</t>
  </si>
  <si>
    <t>P970-DFTJ</t>
  </si>
  <si>
    <t>Partida</t>
  </si>
  <si>
    <t>m3</t>
  </si>
  <si>
    <t>Base p/rigola, form.no estructural HNE-20/S/20, camió+vibr.manual, reglejat</t>
  </si>
  <si>
    <t>Base per a rigola amb formigó d'ús no estructural de resistència a compressió 20 N/mm2, consistència seca i grandària màxima del granulat 20 mm, HNE-20/S/20, escampat des de camió, estesa i vibratge manual, acabat reglejat</t>
  </si>
  <si>
    <t>P976-HDL6</t>
  </si>
  <si>
    <t>Partida</t>
  </si>
  <si>
    <t>m</t>
  </si>
  <si>
    <t>Rigola ampl.=20cm,peça form.40x20cm,g=8cm,p/rigo.,col.mort.</t>
  </si>
  <si>
    <t>Rigola de 20 cm d'amplària de peça de formigó de 40x20 cm i 8 cm de gruix mitjà, per a rigoles, col·locades amb morter</t>
  </si>
  <si>
    <t>P967-E9ZP</t>
  </si>
  <si>
    <t>Partida</t>
  </si>
  <si>
    <t>m</t>
  </si>
  <si>
    <t>Vorada recta de formigó, doble capa, amb secció normalitzada de calçada C7 de 22x20 cm segons UNE 127340, de classe climàtica B, classe resistent a l'abrasió H i classe resistent a flexió U (R-6 MPa) segons UNE-EN 1340,form.no est. h=20 a 25cm,rejunt.morter</t>
  </si>
  <si>
    <t>Vorada recta de formigó, doble capa, amb secció normalitzada de calçada C7 de 22x20 cm segons UNE 127340, de classe climàtica B, classe resistent a l'abrasió H i classe resistent a flexió U (R-6 MPa) segons UNE-EN 1340, col·locada sobre base de formigó no estructural de 15 N/mm2 de resistència mínima a compressió i de 20 a 25 cm d'alçària, i rejuntada amb morter</t>
  </si>
  <si>
    <t>P9E1-DN07</t>
  </si>
  <si>
    <t>Partida</t>
  </si>
  <si>
    <t>m2</t>
  </si>
  <si>
    <t>Paviment panot vorera gris,20x20x4cm,preu alt,col.truc macet.mort.1:8</t>
  </si>
  <si>
    <t>Paviment de panot per a vorera gris de 20x20x4 cm, classe 1a, preu alt, sobre suport de 3 cm de sorra, col·locat a truc de maceta amb morter ciment 1:8 i beurada de ciment pòrtland</t>
  </si>
  <si>
    <t>PDK4-AJS1</t>
  </si>
  <si>
    <t>Partida</t>
  </si>
  <si>
    <t>u</t>
  </si>
  <si>
    <t>Pericó de registre de formigó prefabricat sense fons de 80x80x85 cm, per a instal·lacions de serveis,s/solera form.HM-20/B/40/I,+reblert terra</t>
  </si>
  <si>
    <t>Pericó de registre de formigó prefabricat sense fons de 80x80x85 cm, per a instal·lacions de serveis, col·locat sobre solera de formigó HM-20/B/40/I de 15 cm de gruix i reblert lateral amb terra de la mateixa excavació</t>
  </si>
  <si>
    <t>PDK1-DXAD</t>
  </si>
  <si>
    <t>Partida</t>
  </si>
  <si>
    <t>u</t>
  </si>
  <si>
    <t>Bastim.+tapa fos.dúc.,p/pericó serv.,recolzada,pas útil 700x700mm,D400,col.mort.</t>
  </si>
  <si>
    <t>Bastiment i tapa quadrada de fosa dúctil, per a pericó de serveis, recolzada, pas lliure de 700x700 mm i classe D400 segons norma UNE-EN 124, col·locat amb morter</t>
  </si>
  <si>
    <t>EY0310RC</t>
  </si>
  <si>
    <t>Partida</t>
  </si>
  <si>
    <t>u</t>
  </si>
  <si>
    <t>Realització de passos i segellat posterior d'accés de canalitzacions per murs o façanes</t>
  </si>
  <si>
    <t>Realització de passos i segellat posterior d'accés de canalitzacions enterrades per murs o façanes des de zones exteriors per a passos d'instal·lacions. Inclou excavació fins a cota, obertures de forats, embocat de les instal·lacions, excavació i rebliment de terres, reposició de fonamentació de formigó, reconstrucció contorn passos, impermeabilització i reconstrucció de la zona afectada.</t>
  </si>
  <si>
    <t>PBA3-DXN0</t>
  </si>
  <si>
    <t>Partida</t>
  </si>
  <si>
    <t>m</t>
  </si>
  <si>
    <t>Marca vial long.contínua P-RR, 20cm, pint.acrílica, polvorització</t>
  </si>
  <si>
    <t>Pintat sobre paviment de marca vial longitudinal contínua per a ús permanent i retrorreflectant en sec, amb humitat i amb pluja, tipus P-RR, de 20 cm d'amplària, amb pintura acrílica de color blanc i microesferes de vidre, aplicada mecànicament mitjançant polvorització</t>
  </si>
  <si>
    <t>02.02.01.01</t>
  </si>
  <si>
    <t>Partida</t>
  </si>
  <si>
    <t>u</t>
  </si>
  <si>
    <t>Partida alçada d'actuació i reparació en serveis afectats de la</t>
  </si>
  <si>
    <t>Partida alçada d'actuació en serveis afectats existents de la urbanització. desplaçament, reparació, instal·lació de circuit provisional i reposició a la situació incial al finalitzar l'obra. Per a l'abonament d'aquesta partida caldrà descomposar i justificar els costos derivats de l'afectació de serveis preexistents afectats, si s'escau.</t>
  </si>
  <si>
    <t>2.02.01</t>
  </si>
  <si>
    <t>2.02</t>
  </si>
  <si>
    <t>2.04</t>
  </si>
  <si>
    <t>Capítol</t>
  </si>
  <si>
    <t>Seguretat i salut, control de qualitat, posta en marxa i proves</t>
  </si>
  <si>
    <t>2.04.01</t>
  </si>
  <si>
    <t>Partida</t>
  </si>
  <si>
    <t>pa</t>
  </si>
  <si>
    <t>Seguretat i Salut</t>
  </si>
  <si>
    <t>Partida alçada d'abonament íntegre de seguetat i salut de l'obra, incloent elements de protecció individuals i col·lectiva, gestió i formació en obra i despeses de recurs preventiu.</t>
  </si>
  <si>
    <t>2.04.02</t>
  </si>
  <si>
    <t>Partida</t>
  </si>
  <si>
    <t>Tn</t>
  </si>
  <si>
    <t>Subministrament d'estella per a proves</t>
  </si>
  <si>
    <t>Subministrament d'estella forestal per a proves de funcionament, posta a punt del sistema, i proves d'emissions:
El tipus d’estella forestal que es subministrarà haurà de complir amb tots els preceptes establerts en la norma UNE-EN ISO 17225-4: Biocombustibles sòlids. Especificacions i classes de combustibles. Part 4. Classes de estelles de fusta. Amb els següents condicionants i característiques:
· Estella Forestal P45S (o inferior) amb humitat &lt; = 25% en base humida.
Preu en tones.</t>
  </si>
  <si>
    <t>2.03.01</t>
  </si>
  <si>
    <t>Partida</t>
  </si>
  <si>
    <t>u</t>
  </si>
  <si>
    <t>Proves i posta en servei de la insta·lació</t>
  </si>
  <si>
    <t>Jornada de proves de la nova instal·lació per garantitzar el correcte funcionament d'aquesta. Inclou:
- Arrecada de la caldera i de la subestació amb posta en marxa per part del servei tècnic del proveïdor.
- Controls de temperatura d'impulsió i retorn i del cabal, comprovació del correcte funcionament de la transferència de calor i la generació tèrmica.
- Equilibrat de circuits hidràulics, ajust de cabal en bombes, comprovació d'automatismes del sistema de control...
- Comprovació i reparació de possibles fuites o problemes que puguin reduir el rendiment de la instal·lació.</t>
  </si>
  <si>
    <t>P0B2-00PJ</t>
  </si>
  <si>
    <t>Partida</t>
  </si>
  <si>
    <t>u</t>
  </si>
  <si>
    <t>Determinació de les característiques mecàniques: resistència a la tracció, límit elàstic, allargamen</t>
  </si>
  <si>
    <t>Determinació de les característiques mecàniques: resistència a la tracció, límit elàstic, allargament de ruptura i doblegament-desdoblegament d'una proveta d'acer amb característiques especials de ductilitat per a armar formigons, segons la norma UNE 36065</t>
  </si>
  <si>
    <t>P060-01ZN</t>
  </si>
  <si>
    <t>Partida</t>
  </si>
  <si>
    <t>u</t>
  </si>
  <si>
    <t>Mostreig, realització de con d'Abrams, elaboració de les provetes, cura, recapçament i assaig a comp</t>
  </si>
  <si>
    <t>Mostreig, realització de con d'Abrams, elaboració de les provetes, cura, recapçament i assaig a compressió d'una sèrie de cinc provetes cilíndriques de 15x30 cm, segons la norma UNE-EN 12390-1, UNE-EN 12390-2, UNE-EN 12390-3, UNE-EN 12350-1 i UNE-EN 12350-2</t>
  </si>
  <si>
    <t>2.04</t>
  </si>
  <si>
    <t>PRESSUPOST BIOMASSA TARADELL_EXECUTIU2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</si>
</sst>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s>
  <fills count="6">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
    <xf numFmtId="0" fontId="0" fillId="0" borderId="0"/>
  </cellStyleXfs>
  <cellXfs count="51">
    <xf numFmtId="0" fontId="0" fillId="0" borderId="0" xfId="0" applyAlignment="1">
      <alignment horizontal="left" vertical="center"/>
    </xf>
    <xf numFmtId="0" fontId="1" fillId="2" borderId="0" xfId="0" applyFont="1" applyFill="1" applyAlignment="1">
      <alignment horizontal="right" vertical="top" wrapText="1"/>
    </xf>
    <xf numFmtId="0" fontId="0" fillId="0" borderId="0" xfId="0" applyAlignment="1">
      <alignment horizontal="center" vertical="center" wrapText="1"/>
    </xf>
    <xf numFmtId="0" fontId="0" fillId="0" borderId="0" xfId="0" applyAlignment="1">
      <alignment horizontal="left" vertical="top" wrapText="1"/>
    </xf>
    <xf numFmtId="0" fontId="0" fillId="2" borderId="0" xfId="0" applyFill="1" applyAlignment="1">
      <alignment horizontal="lef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4" fillId="3" borderId="2" xfId="0" applyFont="1" applyFill="1" applyBorder="1" applyAlignment="1">
      <alignment horizontal="justify"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0" fontId="4" fillId="4" borderId="0" xfId="0" applyFont="1" applyFill="1" applyAlignment="1">
      <alignment horizontal="justify" vertical="top" wrapText="1"/>
    </xf>
    <xf numFmtId="4" fontId="4" fillId="4" borderId="0" xfId="0" applyNumberFormat="1" applyFont="1" applyFill="1" applyAlignment="1">
      <alignment horizontal="right" vertical="top" wrapText="1"/>
    </xf>
    <xf numFmtId="0" fontId="2" fillId="0" borderId="0" xfId="0" applyFont="1" applyAlignment="1">
      <alignment horizontal="justify"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1"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0" fontId="4" fillId="4" borderId="2" xfId="0" applyFont="1" applyFill="1" applyBorder="1" applyAlignment="1">
      <alignment horizontal="justify" vertical="top" wrapText="1"/>
    </xf>
    <xf numFmtId="4" fontId="4" fillId="4" borderId="2" xfId="0" applyNumberFormat="1" applyFont="1" applyFill="1" applyBorder="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justify" vertical="top" wrapText="1"/>
    </xf>
    <xf numFmtId="4" fontId="4" fillId="5" borderId="0" xfId="0" applyNumberFormat="1" applyFont="1" applyFill="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0" fontId="4" fillId="5" borderId="2" xfId="0" applyFont="1" applyFill="1" applyBorder="1" applyAlignment="1">
      <alignment horizontal="justify" vertical="top" wrapText="1"/>
    </xf>
    <xf numFmtId="4" fontId="4" fillId="5" borderId="2" xfId="0" applyNumberFormat="1" applyFont="1" applyFill="1" applyBorder="1" applyAlignment="1">
      <alignment horizontal="right" vertical="top" wrapText="1"/>
    </xf>
    <xf numFmtId="0" fontId="0" fillId="0" borderId="3" xfId="0" applyBorder="1" applyAlignment="1">
      <alignment horizontal="center" vertical="center" wrapText="1"/>
    </xf>
    <xf numFmtId="0" fontId="4" fillId="4" borderId="3" xfId="0" applyFont="1" applyFill="1" applyBorder="1" applyAlignment="1">
      <alignment horizontal="left" vertical="top" wrapText="1"/>
    </xf>
    <xf numFmtId="0" fontId="0" fillId="4" borderId="3" xfId="0" applyFill="1" applyBorder="1" applyAlignment="1">
      <alignment horizontal="left" vertical="top" wrapText="1"/>
    </xf>
    <xf numFmtId="4" fontId="4" fillId="4" borderId="3"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0" fontId="0" fillId="3" borderId="3" xfId="0" applyFill="1" applyBorder="1" applyAlignment="1">
      <alignment horizontal="left" vertical="top" wrapText="1"/>
    </xf>
    <xf numFmtId="4" fontId="4" fillId="3" borderId="3" xfId="0" applyNumberFormat="1" applyFont="1" applyFill="1" applyBorder="1" applyAlignment="1">
      <alignment horizontal="right" vertical="top" wrapText="1"/>
    </xf>
    <xf numFmtId="0" fontId="2" fillId="0" borderId="0" xfId="0" applyFont="1" applyAlignment="1">
      <alignment vertical="top" wrapText="1"/>
    </xf>
    <xf numFmtId="0" fontId="1" fillId="2" borderId="0" xfId="0" applyFont="1" applyFill="1" applyAlignment="1">
      <alignment vertical="top" wrapText="1"/>
    </xf>
    <xf numFmtId="0" fontId="1" fillId="2" borderId="0" xfId="0" applyFont="1" applyFill="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tabSelected="1" workbookViewId="0">
      <selection activeCell="I7" sqref="I7"/>
    </sheetView>
  </sheetViews>
  <sheetFormatPr baseColWidth="10" defaultRowHeight="16.2" x14ac:dyDescent="0.3"/>
  <cols>
    <col min="1" max="1" width="6.61328125" customWidth="1"/>
    <col min="2" max="2" width="5.84375" customWidth="1"/>
    <col min="3" max="3" width="2.765625" customWidth="1"/>
    <col min="4" max="4" width="28.15234375" customWidth="1"/>
    <col min="5" max="5" width="7.23046875" customWidth="1"/>
    <col min="6" max="7" width="7.15234375" customWidth="1"/>
    <col min="8" max="8" width="12.4609375" customWidth="1"/>
    <col min="9" max="9" width="21.61328125" customWidth="1"/>
    <col min="10" max="10" width="11.07421875" customWidth="1"/>
  </cols>
  <sheetData>
    <row r="1" spans="1:10" x14ac:dyDescent="0.3">
      <c r="A1" s="1" t="s">
        <v>0</v>
      </c>
      <c r="B1" s="50" t="s">
        <v>1</v>
      </c>
      <c r="C1" s="49"/>
      <c r="D1" s="49"/>
      <c r="E1" s="49"/>
      <c r="F1" s="49"/>
      <c r="G1" s="49"/>
      <c r="H1" s="2"/>
      <c r="I1" s="2"/>
      <c r="J1" s="3"/>
    </row>
    <row r="2" spans="1:10" ht="26.4" x14ac:dyDescent="0.3">
      <c r="A2" s="49" t="s">
        <v>2</v>
      </c>
      <c r="B2" s="49"/>
      <c r="C2" s="49"/>
      <c r="D2" s="4"/>
      <c r="E2" s="4"/>
      <c r="F2" s="5" t="s">
        <v>3</v>
      </c>
      <c r="G2" s="7">
        <v>0</v>
      </c>
      <c r="H2" s="2"/>
      <c r="I2" s="2"/>
      <c r="J2" s="2"/>
    </row>
    <row r="3" spans="1:10" x14ac:dyDescent="0.3">
      <c r="A3" s="8" t="s">
        <v>4</v>
      </c>
      <c r="B3" s="8" t="s">
        <v>5</v>
      </c>
      <c r="C3" s="8" t="s">
        <v>6</v>
      </c>
      <c r="D3" s="8" t="s">
        <v>7</v>
      </c>
      <c r="E3" s="9" t="s">
        <v>8</v>
      </c>
      <c r="F3" s="9" t="s">
        <v>9</v>
      </c>
      <c r="G3" s="9" t="s">
        <v>10</v>
      </c>
      <c r="H3" s="2"/>
      <c r="I3" s="2"/>
      <c r="J3" s="2"/>
    </row>
    <row r="4" spans="1:10" ht="51" x14ac:dyDescent="0.3">
      <c r="A4" s="11" t="s">
        <v>11</v>
      </c>
      <c r="B4" s="11" t="s">
        <v>12</v>
      </c>
      <c r="C4" s="12"/>
      <c r="D4" s="13" t="s">
        <v>13</v>
      </c>
      <c r="E4" s="12"/>
      <c r="F4" s="14">
        <f>F419</f>
        <v>247566.99999999997</v>
      </c>
      <c r="G4" s="14">
        <f>ROUND(F4,2)</f>
        <v>247567</v>
      </c>
      <c r="H4" s="2"/>
      <c r="I4" s="2"/>
      <c r="J4" s="2"/>
    </row>
    <row r="5" spans="1:10" x14ac:dyDescent="0.3">
      <c r="A5" s="15" t="s">
        <v>14</v>
      </c>
      <c r="B5" s="15" t="s">
        <v>15</v>
      </c>
      <c r="C5" s="16"/>
      <c r="D5" s="17" t="s">
        <v>16</v>
      </c>
      <c r="E5" s="16"/>
      <c r="F5" s="18">
        <f>F46</f>
        <v>78290.799999999974</v>
      </c>
      <c r="G5" s="18">
        <f>ROUND(F5,2)</f>
        <v>78290.8</v>
      </c>
      <c r="H5" s="2"/>
      <c r="I5" s="2"/>
      <c r="J5" s="2"/>
    </row>
    <row r="6" spans="1:10" x14ac:dyDescent="0.3">
      <c r="A6" s="10" t="s">
        <v>17</v>
      </c>
      <c r="B6" s="6" t="s">
        <v>18</v>
      </c>
      <c r="C6" s="6" t="s">
        <v>19</v>
      </c>
      <c r="D6" s="19" t="s">
        <v>20</v>
      </c>
      <c r="E6" s="20">
        <v>1</v>
      </c>
      <c r="F6" s="21">
        <f>ROUND(55856*(1+G2/100),2)</f>
        <v>55856</v>
      </c>
      <c r="G6" s="21">
        <f>ROUND(E6*F6,2)</f>
        <v>55856</v>
      </c>
      <c r="H6" s="2"/>
      <c r="I6" s="2"/>
      <c r="J6" s="2"/>
    </row>
    <row r="7" spans="1:10" ht="409.6" x14ac:dyDescent="0.3">
      <c r="A7" s="2"/>
      <c r="B7" s="2"/>
      <c r="C7" s="2"/>
      <c r="D7" s="48" t="s">
        <v>21</v>
      </c>
      <c r="E7" s="48"/>
      <c r="F7" s="48"/>
      <c r="G7" s="48"/>
      <c r="H7" s="2"/>
      <c r="I7" s="2"/>
      <c r="J7" s="2"/>
    </row>
    <row r="8" spans="1:10" x14ac:dyDescent="0.3">
      <c r="A8" s="10" t="s">
        <v>22</v>
      </c>
      <c r="B8" s="6" t="s">
        <v>23</v>
      </c>
      <c r="C8" s="6" t="s">
        <v>24</v>
      </c>
      <c r="D8" s="19" t="s">
        <v>25</v>
      </c>
      <c r="E8" s="20">
        <v>1</v>
      </c>
      <c r="F8" s="21">
        <f>ROUND(659.59*(1+G2/100),2)</f>
        <v>659.59</v>
      </c>
      <c r="G8" s="21">
        <f>ROUND(E8*F8,2)</f>
        <v>659.59</v>
      </c>
      <c r="H8" s="2"/>
      <c r="I8" s="2"/>
      <c r="J8" s="2"/>
    </row>
    <row r="9" spans="1:10" ht="102" x14ac:dyDescent="0.3">
      <c r="A9" s="2"/>
      <c r="B9" s="2"/>
      <c r="C9" s="2"/>
      <c r="D9" s="48" t="s">
        <v>26</v>
      </c>
      <c r="E9" s="48"/>
      <c r="F9" s="48"/>
      <c r="G9" s="48"/>
      <c r="H9" s="2"/>
      <c r="I9" s="2"/>
      <c r="J9" s="2"/>
    </row>
    <row r="10" spans="1:10" ht="20.399999999999999" x14ac:dyDescent="0.3">
      <c r="A10" s="10" t="s">
        <v>27</v>
      </c>
      <c r="B10" s="6" t="s">
        <v>28</v>
      </c>
      <c r="C10" s="6" t="s">
        <v>29</v>
      </c>
      <c r="D10" s="19" t="s">
        <v>30</v>
      </c>
      <c r="E10" s="20">
        <v>1</v>
      </c>
      <c r="F10" s="21">
        <f>ROUND(926.91*(1+G2/100),2)</f>
        <v>926.91</v>
      </c>
      <c r="G10" s="21">
        <f>ROUND(E10*F10,2)</f>
        <v>926.91</v>
      </c>
      <c r="H10" s="2"/>
      <c r="I10" s="2"/>
      <c r="J10" s="2"/>
    </row>
    <row r="11" spans="1:10" ht="71.400000000000006" x14ac:dyDescent="0.3">
      <c r="A11" s="2"/>
      <c r="B11" s="2"/>
      <c r="C11" s="2"/>
      <c r="D11" s="48" t="s">
        <v>31</v>
      </c>
      <c r="E11" s="48"/>
      <c r="F11" s="48"/>
      <c r="G11" s="48"/>
      <c r="H11" s="2"/>
      <c r="I11" s="2"/>
      <c r="J11" s="2"/>
    </row>
    <row r="12" spans="1:10" ht="20.399999999999999" x14ac:dyDescent="0.3">
      <c r="A12" s="10" t="s">
        <v>32</v>
      </c>
      <c r="B12" s="6" t="s">
        <v>33</v>
      </c>
      <c r="C12" s="6" t="s">
        <v>34</v>
      </c>
      <c r="D12" s="19" t="s">
        <v>35</v>
      </c>
      <c r="E12" s="20">
        <v>1</v>
      </c>
      <c r="F12" s="21">
        <f>ROUND(929.2*(1+G2/100),2)</f>
        <v>929.2</v>
      </c>
      <c r="G12" s="21">
        <f>ROUND(E12*F12,2)</f>
        <v>929.2</v>
      </c>
      <c r="H12" s="2"/>
      <c r="I12" s="2"/>
      <c r="J12" s="2"/>
    </row>
    <row r="13" spans="1:10" ht="20.399999999999999" x14ac:dyDescent="0.3">
      <c r="A13" s="2"/>
      <c r="B13" s="2"/>
      <c r="C13" s="2"/>
      <c r="D13" s="48" t="s">
        <v>36</v>
      </c>
      <c r="E13" s="48"/>
      <c r="F13" s="48"/>
      <c r="G13" s="48"/>
      <c r="H13" s="2"/>
      <c r="I13" s="2"/>
      <c r="J13" s="2"/>
    </row>
    <row r="14" spans="1:10" x14ac:dyDescent="0.3">
      <c r="A14" s="10" t="s">
        <v>37</v>
      </c>
      <c r="B14" s="6" t="s">
        <v>38</v>
      </c>
      <c r="C14" s="6" t="s">
        <v>39</v>
      </c>
      <c r="D14" s="19" t="s">
        <v>40</v>
      </c>
      <c r="E14" s="20">
        <v>1</v>
      </c>
      <c r="F14" s="21">
        <f>ROUND(3551.08*(1+G2/100),2)</f>
        <v>3551.08</v>
      </c>
      <c r="G14" s="21">
        <f>ROUND(E14*F14,2)</f>
        <v>3551.08</v>
      </c>
      <c r="H14" s="2"/>
      <c r="I14" s="2"/>
      <c r="J14" s="2"/>
    </row>
    <row r="15" spans="1:10" ht="71.400000000000006" x14ac:dyDescent="0.3">
      <c r="A15" s="2"/>
      <c r="B15" s="2"/>
      <c r="C15" s="2"/>
      <c r="D15" s="48" t="s">
        <v>41</v>
      </c>
      <c r="E15" s="48"/>
      <c r="F15" s="48"/>
      <c r="G15" s="48"/>
      <c r="H15" s="2"/>
      <c r="I15" s="2"/>
      <c r="J15" s="2"/>
    </row>
    <row r="16" spans="1:10" x14ac:dyDescent="0.3">
      <c r="A16" s="10" t="s">
        <v>42</v>
      </c>
      <c r="B16" s="6" t="s">
        <v>43</v>
      </c>
      <c r="C16" s="6" t="s">
        <v>44</v>
      </c>
      <c r="D16" s="19" t="s">
        <v>45</v>
      </c>
      <c r="E16" s="20">
        <v>1</v>
      </c>
      <c r="F16" s="21">
        <f>ROUND(825.14*(1+G2/100),2)</f>
        <v>825.14</v>
      </c>
      <c r="G16" s="21">
        <f>ROUND(E16*F16,2)</f>
        <v>825.14</v>
      </c>
      <c r="H16" s="2"/>
      <c r="I16" s="2"/>
      <c r="J16" s="2"/>
    </row>
    <row r="17" spans="1:10" ht="51" x14ac:dyDescent="0.3">
      <c r="A17" s="2"/>
      <c r="B17" s="2"/>
      <c r="C17" s="2"/>
      <c r="D17" s="48" t="s">
        <v>46</v>
      </c>
      <c r="E17" s="48"/>
      <c r="F17" s="48"/>
      <c r="G17" s="48"/>
      <c r="H17" s="2"/>
      <c r="I17" s="2"/>
      <c r="J17" s="2"/>
    </row>
    <row r="18" spans="1:10" ht="40.799999999999997" x14ac:dyDescent="0.3">
      <c r="A18" s="10" t="s">
        <v>47</v>
      </c>
      <c r="B18" s="6" t="s">
        <v>48</v>
      </c>
      <c r="C18" s="6" t="s">
        <v>49</v>
      </c>
      <c r="D18" s="19" t="s">
        <v>50</v>
      </c>
      <c r="E18" s="20">
        <v>20</v>
      </c>
      <c r="F18" s="21">
        <f>ROUND(98.08*(1+G2/100),2)</f>
        <v>98.08</v>
      </c>
      <c r="G18" s="21">
        <f>ROUND(E18*F18,2)</f>
        <v>1961.6</v>
      </c>
      <c r="H18" s="2"/>
      <c r="I18" s="2"/>
      <c r="J18" s="2"/>
    </row>
    <row r="19" spans="1:10" ht="40.799999999999997" x14ac:dyDescent="0.3">
      <c r="A19" s="2"/>
      <c r="B19" s="2"/>
      <c r="C19" s="2"/>
      <c r="D19" s="48" t="s">
        <v>51</v>
      </c>
      <c r="E19" s="48"/>
      <c r="F19" s="48"/>
      <c r="G19" s="48"/>
      <c r="H19" s="2"/>
      <c r="I19" s="2"/>
      <c r="J19" s="2"/>
    </row>
    <row r="20" spans="1:10" ht="61.2" x14ac:dyDescent="0.3">
      <c r="A20" s="10" t="s">
        <v>52</v>
      </c>
      <c r="B20" s="6" t="s">
        <v>53</v>
      </c>
      <c r="C20" s="6" t="s">
        <v>54</v>
      </c>
      <c r="D20" s="19" t="s">
        <v>55</v>
      </c>
      <c r="E20" s="20">
        <v>20</v>
      </c>
      <c r="F20" s="21">
        <f>ROUND(28.71*(1+G2/100),2)</f>
        <v>28.71</v>
      </c>
      <c r="G20" s="21">
        <f>ROUND(E20*F20,2)</f>
        <v>574.20000000000005</v>
      </c>
      <c r="H20" s="2"/>
      <c r="I20" s="2"/>
      <c r="J20" s="2"/>
    </row>
    <row r="21" spans="1:10" ht="61.2" x14ac:dyDescent="0.3">
      <c r="A21" s="2"/>
      <c r="B21" s="2"/>
      <c r="C21" s="2"/>
      <c r="D21" s="48" t="s">
        <v>56</v>
      </c>
      <c r="E21" s="48"/>
      <c r="F21" s="48"/>
      <c r="G21" s="48"/>
      <c r="H21" s="2"/>
      <c r="I21" s="2"/>
      <c r="J21" s="2"/>
    </row>
    <row r="22" spans="1:10" ht="20.399999999999999" x14ac:dyDescent="0.3">
      <c r="A22" s="10" t="s">
        <v>57</v>
      </c>
      <c r="B22" s="6" t="s">
        <v>58</v>
      </c>
      <c r="C22" s="6" t="s">
        <v>59</v>
      </c>
      <c r="D22" s="19" t="s">
        <v>60</v>
      </c>
      <c r="E22" s="20">
        <v>4</v>
      </c>
      <c r="F22" s="21">
        <f>ROUND(135.56*(1+G2/100),2)</f>
        <v>135.56</v>
      </c>
      <c r="G22" s="21">
        <f>ROUND(E22*F22,2)</f>
        <v>542.24</v>
      </c>
      <c r="H22" s="2"/>
      <c r="I22" s="2"/>
      <c r="J22" s="2"/>
    </row>
    <row r="23" spans="1:10" ht="30.6" x14ac:dyDescent="0.3">
      <c r="A23" s="2"/>
      <c r="B23" s="2"/>
      <c r="C23" s="2"/>
      <c r="D23" s="48" t="s">
        <v>61</v>
      </c>
      <c r="E23" s="48"/>
      <c r="F23" s="48"/>
      <c r="G23" s="48"/>
      <c r="H23" s="2"/>
      <c r="I23" s="2"/>
      <c r="J23" s="2"/>
    </row>
    <row r="24" spans="1:10" ht="20.399999999999999" x14ac:dyDescent="0.3">
      <c r="A24" s="10" t="s">
        <v>62</v>
      </c>
      <c r="B24" s="6" t="s">
        <v>63</v>
      </c>
      <c r="C24" s="6" t="s">
        <v>64</v>
      </c>
      <c r="D24" s="19" t="s">
        <v>65</v>
      </c>
      <c r="E24" s="20">
        <v>1</v>
      </c>
      <c r="F24" s="21">
        <f>ROUND(1384.96*(1+G2/100),2)</f>
        <v>1384.96</v>
      </c>
      <c r="G24" s="21">
        <f>ROUND(E24*F24,2)</f>
        <v>1384.96</v>
      </c>
      <c r="H24" s="2"/>
      <c r="I24" s="2"/>
      <c r="J24" s="2"/>
    </row>
    <row r="25" spans="1:10" ht="51" x14ac:dyDescent="0.3">
      <c r="A25" s="2"/>
      <c r="B25" s="2"/>
      <c r="C25" s="2"/>
      <c r="D25" s="48" t="s">
        <v>66</v>
      </c>
      <c r="E25" s="48"/>
      <c r="F25" s="48"/>
      <c r="G25" s="48"/>
      <c r="H25" s="2"/>
      <c r="I25" s="2"/>
      <c r="J25" s="2"/>
    </row>
    <row r="26" spans="1:10" x14ac:dyDescent="0.3">
      <c r="A26" s="10" t="s">
        <v>67</v>
      </c>
      <c r="B26" s="6" t="s">
        <v>68</v>
      </c>
      <c r="C26" s="6" t="s">
        <v>69</v>
      </c>
      <c r="D26" s="19" t="s">
        <v>70</v>
      </c>
      <c r="E26" s="20">
        <v>1</v>
      </c>
      <c r="F26" s="21">
        <f>ROUND(170.09*(1+G2/100),2)</f>
        <v>170.09</v>
      </c>
      <c r="G26" s="21">
        <f>ROUND(E26*F26,2)</f>
        <v>170.09</v>
      </c>
      <c r="H26" s="2"/>
      <c r="I26" s="2"/>
      <c r="J26" s="2"/>
    </row>
    <row r="27" spans="1:10" ht="20.399999999999999" x14ac:dyDescent="0.3">
      <c r="A27" s="2"/>
      <c r="B27" s="2"/>
      <c r="C27" s="2"/>
      <c r="D27" s="48" t="s">
        <v>71</v>
      </c>
      <c r="E27" s="48"/>
      <c r="F27" s="48"/>
      <c r="G27" s="48"/>
      <c r="H27" s="2"/>
      <c r="I27" s="2"/>
      <c r="J27" s="2"/>
    </row>
    <row r="28" spans="1:10" ht="40.799999999999997" x14ac:dyDescent="0.3">
      <c r="A28" s="10" t="s">
        <v>72</v>
      </c>
      <c r="B28" s="6" t="s">
        <v>73</v>
      </c>
      <c r="C28" s="6" t="s">
        <v>74</v>
      </c>
      <c r="D28" s="19" t="s">
        <v>75</v>
      </c>
      <c r="E28" s="20">
        <v>1</v>
      </c>
      <c r="F28" s="21">
        <f>ROUND(3525.67*(1+G2/100),2)</f>
        <v>3525.67</v>
      </c>
      <c r="G28" s="21">
        <f>ROUND(E28*F28,2)</f>
        <v>3525.67</v>
      </c>
      <c r="H28" s="2"/>
      <c r="I28" s="2"/>
      <c r="J28" s="2"/>
    </row>
    <row r="29" spans="1:10" ht="61.2" x14ac:dyDescent="0.3">
      <c r="A29" s="2"/>
      <c r="B29" s="2"/>
      <c r="C29" s="2"/>
      <c r="D29" s="48" t="s">
        <v>76</v>
      </c>
      <c r="E29" s="48"/>
      <c r="F29" s="48"/>
      <c r="G29" s="48"/>
      <c r="H29" s="2"/>
      <c r="I29" s="2"/>
      <c r="J29" s="2"/>
    </row>
    <row r="30" spans="1:10" ht="20.399999999999999" x14ac:dyDescent="0.3">
      <c r="A30" s="10" t="s">
        <v>77</v>
      </c>
      <c r="B30" s="6" t="s">
        <v>78</v>
      </c>
      <c r="C30" s="6" t="s">
        <v>79</v>
      </c>
      <c r="D30" s="19" t="s">
        <v>80</v>
      </c>
      <c r="E30" s="20">
        <v>2</v>
      </c>
      <c r="F30" s="21">
        <f>ROUND(21.56*(1+G2/100),2)</f>
        <v>21.56</v>
      </c>
      <c r="G30" s="21">
        <f>ROUND(E30*F30,2)</f>
        <v>43.12</v>
      </c>
      <c r="H30" s="2"/>
      <c r="I30" s="2"/>
      <c r="J30" s="2"/>
    </row>
    <row r="31" spans="1:10" ht="20.399999999999999" x14ac:dyDescent="0.3">
      <c r="A31" s="2"/>
      <c r="B31" s="2"/>
      <c r="C31" s="2"/>
      <c r="D31" s="48" t="s">
        <v>81</v>
      </c>
      <c r="E31" s="48"/>
      <c r="F31" s="48"/>
      <c r="G31" s="48"/>
      <c r="H31" s="2"/>
      <c r="I31" s="2"/>
      <c r="J31" s="2"/>
    </row>
    <row r="32" spans="1:10" ht="20.399999999999999" x14ac:dyDescent="0.3">
      <c r="A32" s="10" t="s">
        <v>82</v>
      </c>
      <c r="B32" s="6" t="s">
        <v>83</v>
      </c>
      <c r="C32" s="6" t="s">
        <v>84</v>
      </c>
      <c r="D32" s="19" t="s">
        <v>85</v>
      </c>
      <c r="E32" s="20">
        <v>4</v>
      </c>
      <c r="F32" s="21">
        <f>ROUND(22.41*(1+G2/100),2)</f>
        <v>22.41</v>
      </c>
      <c r="G32" s="21">
        <f>ROUND(E32*F32,2)</f>
        <v>89.64</v>
      </c>
      <c r="H32" s="2"/>
      <c r="I32" s="2"/>
      <c r="J32" s="2"/>
    </row>
    <row r="33" spans="1:10" ht="20.399999999999999" x14ac:dyDescent="0.3">
      <c r="A33" s="2"/>
      <c r="B33" s="2"/>
      <c r="C33" s="2"/>
      <c r="D33" s="48" t="s">
        <v>86</v>
      </c>
      <c r="E33" s="48"/>
      <c r="F33" s="48"/>
      <c r="G33" s="48"/>
      <c r="H33" s="2"/>
      <c r="I33" s="2"/>
      <c r="J33" s="2"/>
    </row>
    <row r="34" spans="1:10" x14ac:dyDescent="0.3">
      <c r="A34" s="10" t="s">
        <v>87</v>
      </c>
      <c r="B34" s="6" t="s">
        <v>88</v>
      </c>
      <c r="C34" s="6" t="s">
        <v>89</v>
      </c>
      <c r="D34" s="19" t="s">
        <v>90</v>
      </c>
      <c r="E34" s="20">
        <v>2</v>
      </c>
      <c r="F34" s="21">
        <f>ROUND(20.59*(1+G2/100),2)</f>
        <v>20.59</v>
      </c>
      <c r="G34" s="21">
        <f>ROUND(E34*F34,2)</f>
        <v>41.18</v>
      </c>
      <c r="H34" s="2"/>
      <c r="I34" s="2"/>
      <c r="J34" s="2"/>
    </row>
    <row r="35" spans="1:10" ht="30.6" x14ac:dyDescent="0.3">
      <c r="A35" s="2"/>
      <c r="B35" s="2"/>
      <c r="C35" s="2"/>
      <c r="D35" s="48" t="s">
        <v>91</v>
      </c>
      <c r="E35" s="48"/>
      <c r="F35" s="48"/>
      <c r="G35" s="48"/>
      <c r="H35" s="2"/>
      <c r="I35" s="2"/>
      <c r="J35" s="2"/>
    </row>
    <row r="36" spans="1:10" x14ac:dyDescent="0.3">
      <c r="A36" s="10" t="s">
        <v>92</v>
      </c>
      <c r="B36" s="6" t="s">
        <v>93</v>
      </c>
      <c r="C36" s="6" t="s">
        <v>94</v>
      </c>
      <c r="D36" s="19" t="s">
        <v>95</v>
      </c>
      <c r="E36" s="20">
        <v>1</v>
      </c>
      <c r="F36" s="21">
        <f>ROUND(2330.97*(1+G2/100),2)</f>
        <v>2330.9699999999998</v>
      </c>
      <c r="G36" s="21">
        <f>ROUND(E36*F36,2)</f>
        <v>2330.9699999999998</v>
      </c>
      <c r="H36" s="2"/>
      <c r="I36" s="2"/>
      <c r="J36" s="2"/>
    </row>
    <row r="37" spans="1:10" ht="102" x14ac:dyDescent="0.3">
      <c r="A37" s="2"/>
      <c r="B37" s="2"/>
      <c r="C37" s="2"/>
      <c r="D37" s="48" t="s">
        <v>96</v>
      </c>
      <c r="E37" s="48"/>
      <c r="F37" s="48"/>
      <c r="G37" s="48"/>
      <c r="H37" s="2"/>
      <c r="I37" s="2"/>
      <c r="J37" s="2"/>
    </row>
    <row r="38" spans="1:10" ht="30.6" x14ac:dyDescent="0.3">
      <c r="A38" s="10" t="s">
        <v>97</v>
      </c>
      <c r="B38" s="6" t="s">
        <v>98</v>
      </c>
      <c r="C38" s="6" t="s">
        <v>99</v>
      </c>
      <c r="D38" s="19" t="s">
        <v>100</v>
      </c>
      <c r="E38" s="20">
        <v>1</v>
      </c>
      <c r="F38" s="21">
        <f>ROUND(1431.23*(1+G2/100),2)</f>
        <v>1431.23</v>
      </c>
      <c r="G38" s="21">
        <f>ROUND(E38*F38,2)</f>
        <v>1431.23</v>
      </c>
      <c r="H38" s="2"/>
      <c r="I38" s="2"/>
      <c r="J38" s="2"/>
    </row>
    <row r="39" spans="1:10" ht="112.2" x14ac:dyDescent="0.3">
      <c r="A39" s="2"/>
      <c r="B39" s="2"/>
      <c r="C39" s="2"/>
      <c r="D39" s="48" t="s">
        <v>101</v>
      </c>
      <c r="E39" s="48"/>
      <c r="F39" s="48"/>
      <c r="G39" s="48"/>
      <c r="H39" s="2"/>
      <c r="I39" s="2"/>
      <c r="J39" s="2"/>
    </row>
    <row r="40" spans="1:10" ht="30.6" x14ac:dyDescent="0.3">
      <c r="A40" s="10" t="s">
        <v>102</v>
      </c>
      <c r="B40" s="6" t="s">
        <v>103</v>
      </c>
      <c r="C40" s="6" t="s">
        <v>104</v>
      </c>
      <c r="D40" s="19" t="s">
        <v>105</v>
      </c>
      <c r="E40" s="20">
        <v>1</v>
      </c>
      <c r="F40" s="21">
        <f>ROUND(120.98*(1+G2/100),2)</f>
        <v>120.98</v>
      </c>
      <c r="G40" s="21">
        <f>ROUND(E40*F40,2)</f>
        <v>120.98</v>
      </c>
      <c r="H40" s="2"/>
      <c r="I40" s="2"/>
      <c r="J40" s="2"/>
    </row>
    <row r="41" spans="1:10" ht="81.599999999999994" x14ac:dyDescent="0.3">
      <c r="A41" s="2"/>
      <c r="B41" s="2"/>
      <c r="C41" s="2"/>
      <c r="D41" s="48" t="s">
        <v>106</v>
      </c>
      <c r="E41" s="48"/>
      <c r="F41" s="48"/>
      <c r="G41" s="48"/>
      <c r="H41" s="2"/>
      <c r="I41" s="2"/>
      <c r="J41" s="2"/>
    </row>
    <row r="42" spans="1:10" ht="51" x14ac:dyDescent="0.3">
      <c r="A42" s="10" t="s">
        <v>107</v>
      </c>
      <c r="B42" s="6" t="s">
        <v>108</v>
      </c>
      <c r="C42" s="6" t="s">
        <v>109</v>
      </c>
      <c r="D42" s="19" t="s">
        <v>110</v>
      </c>
      <c r="E42" s="20">
        <v>1</v>
      </c>
      <c r="F42" s="21">
        <f>ROUND(1952.82*(1+G2/100),2)</f>
        <v>1952.82</v>
      </c>
      <c r="G42" s="21">
        <f>ROUND(E42*F42,2)</f>
        <v>1952.82</v>
      </c>
      <c r="H42" s="2"/>
      <c r="I42" s="2"/>
      <c r="J42" s="2"/>
    </row>
    <row r="43" spans="1:10" ht="183.6" x14ac:dyDescent="0.3">
      <c r="A43" s="2"/>
      <c r="B43" s="2"/>
      <c r="C43" s="2"/>
      <c r="D43" s="48" t="s">
        <v>111</v>
      </c>
      <c r="E43" s="48"/>
      <c r="F43" s="48"/>
      <c r="G43" s="48"/>
      <c r="H43" s="2"/>
      <c r="I43" s="2"/>
      <c r="J43" s="2"/>
    </row>
    <row r="44" spans="1:10" x14ac:dyDescent="0.3">
      <c r="A44" s="10" t="s">
        <v>112</v>
      </c>
      <c r="B44" s="6" t="s">
        <v>113</v>
      </c>
      <c r="C44" s="6" t="s">
        <v>114</v>
      </c>
      <c r="D44" s="19" t="s">
        <v>115</v>
      </c>
      <c r="E44" s="20">
        <v>1</v>
      </c>
      <c r="F44" s="21">
        <f>ROUND(1374.18*(1+G2/100),2)</f>
        <v>1374.18</v>
      </c>
      <c r="G44" s="21">
        <f>ROUND(E44*F44,2)</f>
        <v>1374.18</v>
      </c>
      <c r="H44" s="2"/>
      <c r="I44" s="2"/>
      <c r="J44" s="2"/>
    </row>
    <row r="45" spans="1:10" ht="112.2" x14ac:dyDescent="0.3">
      <c r="A45" s="2"/>
      <c r="B45" s="2"/>
      <c r="C45" s="2"/>
      <c r="D45" s="48" t="s">
        <v>116</v>
      </c>
      <c r="E45" s="48"/>
      <c r="F45" s="48"/>
      <c r="G45" s="48"/>
      <c r="H45" s="2"/>
      <c r="I45" s="2"/>
      <c r="J45" s="2"/>
    </row>
    <row r="46" spans="1:10" x14ac:dyDescent="0.3">
      <c r="A46" s="22"/>
      <c r="B46" s="22"/>
      <c r="C46" s="22"/>
      <c r="D46" s="23" t="s">
        <v>117</v>
      </c>
      <c r="E46" s="24"/>
      <c r="F46" s="25">
        <f>G6+G8+G10+G12+G14+G16+G18+G20+G22+G24+G26+G28+G30+G32+G34+G36+G38+G40+G42+G44</f>
        <v>78290.799999999974</v>
      </c>
      <c r="G46" s="25">
        <f>ROUND(F46,2)</f>
        <v>78290.8</v>
      </c>
      <c r="H46" s="2"/>
      <c r="I46" s="2"/>
      <c r="J46" s="2"/>
    </row>
    <row r="47" spans="1:10" x14ac:dyDescent="0.3">
      <c r="A47" s="26" t="s">
        <v>118</v>
      </c>
      <c r="B47" s="26" t="s">
        <v>119</v>
      </c>
      <c r="C47" s="27"/>
      <c r="D47" s="28" t="s">
        <v>120</v>
      </c>
      <c r="E47" s="27"/>
      <c r="F47" s="29">
        <f>F72</f>
        <v>38010.1</v>
      </c>
      <c r="G47" s="29">
        <f>ROUND(F47,2)</f>
        <v>38010.1</v>
      </c>
      <c r="H47" s="2"/>
      <c r="I47" s="2"/>
      <c r="J47" s="2"/>
    </row>
    <row r="48" spans="1:10" ht="20.399999999999999" x14ac:dyDescent="0.3">
      <c r="A48" s="10" t="s">
        <v>121</v>
      </c>
      <c r="B48" s="6" t="s">
        <v>122</v>
      </c>
      <c r="C48" s="6" t="s">
        <v>123</v>
      </c>
      <c r="D48" s="19" t="s">
        <v>124</v>
      </c>
      <c r="E48" s="20">
        <v>1</v>
      </c>
      <c r="F48" s="21">
        <f>ROUND(700.47*(1+G2/100),2)</f>
        <v>700.47</v>
      </c>
      <c r="G48" s="21">
        <f>ROUND(E48*F48,2)</f>
        <v>700.47</v>
      </c>
      <c r="H48" s="2"/>
      <c r="I48" s="2"/>
      <c r="J48" s="2"/>
    </row>
    <row r="49" spans="1:10" ht="71.400000000000006" x14ac:dyDescent="0.3">
      <c r="A49" s="2"/>
      <c r="B49" s="2"/>
      <c r="C49" s="2"/>
      <c r="D49" s="48" t="s">
        <v>125</v>
      </c>
      <c r="E49" s="48"/>
      <c r="F49" s="48"/>
      <c r="G49" s="48"/>
      <c r="H49" s="2"/>
      <c r="I49" s="2"/>
      <c r="J49" s="2"/>
    </row>
    <row r="50" spans="1:10" ht="40.799999999999997" x14ac:dyDescent="0.3">
      <c r="A50" s="10" t="s">
        <v>126</v>
      </c>
      <c r="B50" s="6" t="s">
        <v>127</v>
      </c>
      <c r="C50" s="6" t="s">
        <v>128</v>
      </c>
      <c r="D50" s="19" t="s">
        <v>129</v>
      </c>
      <c r="E50" s="20">
        <v>48</v>
      </c>
      <c r="F50" s="21">
        <f>ROUND(98.08*(1+G2/100),2)</f>
        <v>98.08</v>
      </c>
      <c r="G50" s="21">
        <f>ROUND(E50*F50,2)</f>
        <v>4707.84</v>
      </c>
      <c r="H50" s="2"/>
      <c r="I50" s="2"/>
      <c r="J50" s="2"/>
    </row>
    <row r="51" spans="1:10" ht="40.799999999999997" x14ac:dyDescent="0.3">
      <c r="A51" s="2"/>
      <c r="B51" s="2"/>
      <c r="C51" s="2"/>
      <c r="D51" s="48" t="s">
        <v>130</v>
      </c>
      <c r="E51" s="48"/>
      <c r="F51" s="48"/>
      <c r="G51" s="48"/>
      <c r="H51" s="2"/>
      <c r="I51" s="2"/>
      <c r="J51" s="2"/>
    </row>
    <row r="52" spans="1:10" ht="61.2" x14ac:dyDescent="0.3">
      <c r="A52" s="10" t="s">
        <v>131</v>
      </c>
      <c r="B52" s="6" t="s">
        <v>132</v>
      </c>
      <c r="C52" s="6" t="s">
        <v>133</v>
      </c>
      <c r="D52" s="19" t="s">
        <v>134</v>
      </c>
      <c r="E52" s="20">
        <v>48</v>
      </c>
      <c r="F52" s="21">
        <f>ROUND(28.71*(1+G2/100),2)</f>
        <v>28.71</v>
      </c>
      <c r="G52" s="21">
        <f>ROUND(E52*F52,2)</f>
        <v>1378.08</v>
      </c>
      <c r="H52" s="2"/>
      <c r="I52" s="2"/>
      <c r="J52" s="2"/>
    </row>
    <row r="53" spans="1:10" ht="61.2" x14ac:dyDescent="0.3">
      <c r="A53" s="2"/>
      <c r="B53" s="2"/>
      <c r="C53" s="2"/>
      <c r="D53" s="48" t="s">
        <v>135</v>
      </c>
      <c r="E53" s="48"/>
      <c r="F53" s="48"/>
      <c r="G53" s="48"/>
      <c r="H53" s="2"/>
      <c r="I53" s="2"/>
      <c r="J53" s="2"/>
    </row>
    <row r="54" spans="1:10" ht="20.399999999999999" x14ac:dyDescent="0.3">
      <c r="A54" s="10" t="s">
        <v>136</v>
      </c>
      <c r="B54" s="6" t="s">
        <v>137</v>
      </c>
      <c r="C54" s="6" t="s">
        <v>138</v>
      </c>
      <c r="D54" s="19" t="s">
        <v>139</v>
      </c>
      <c r="E54" s="20">
        <v>5</v>
      </c>
      <c r="F54" s="21">
        <f>ROUND(135.56*(1+G2/100),2)</f>
        <v>135.56</v>
      </c>
      <c r="G54" s="21">
        <f>ROUND(E54*F54,2)</f>
        <v>677.8</v>
      </c>
      <c r="H54" s="2"/>
      <c r="I54" s="2"/>
      <c r="J54" s="2"/>
    </row>
    <row r="55" spans="1:10" ht="30.6" x14ac:dyDescent="0.3">
      <c r="A55" s="2"/>
      <c r="B55" s="2"/>
      <c r="C55" s="2"/>
      <c r="D55" s="48" t="s">
        <v>140</v>
      </c>
      <c r="E55" s="48"/>
      <c r="F55" s="48"/>
      <c r="G55" s="48"/>
      <c r="H55" s="2"/>
      <c r="I55" s="2"/>
      <c r="J55" s="2"/>
    </row>
    <row r="56" spans="1:10" x14ac:dyDescent="0.3">
      <c r="A56" s="10" t="s">
        <v>141</v>
      </c>
      <c r="B56" s="6" t="s">
        <v>142</v>
      </c>
      <c r="C56" s="6" t="s">
        <v>143</v>
      </c>
      <c r="D56" s="19" t="s">
        <v>144</v>
      </c>
      <c r="E56" s="20">
        <v>1</v>
      </c>
      <c r="F56" s="21">
        <f>ROUND(170.09*(1+G2/100),2)</f>
        <v>170.09</v>
      </c>
      <c r="G56" s="21">
        <f>ROUND(E56*F56,2)</f>
        <v>170.09</v>
      </c>
      <c r="H56" s="2"/>
      <c r="I56" s="2"/>
      <c r="J56" s="2"/>
    </row>
    <row r="57" spans="1:10" ht="20.399999999999999" x14ac:dyDescent="0.3">
      <c r="A57" s="2"/>
      <c r="B57" s="2"/>
      <c r="C57" s="2"/>
      <c r="D57" s="48" t="s">
        <v>145</v>
      </c>
      <c r="E57" s="48"/>
      <c r="F57" s="48"/>
      <c r="G57" s="48"/>
      <c r="H57" s="2"/>
      <c r="I57" s="2"/>
      <c r="J57" s="2"/>
    </row>
    <row r="58" spans="1:10" ht="30.6" x14ac:dyDescent="0.3">
      <c r="A58" s="10" t="s">
        <v>146</v>
      </c>
      <c r="B58" s="6" t="s">
        <v>147</v>
      </c>
      <c r="C58" s="6" t="s">
        <v>148</v>
      </c>
      <c r="D58" s="19" t="s">
        <v>149</v>
      </c>
      <c r="E58" s="20">
        <v>1</v>
      </c>
      <c r="F58" s="21">
        <f>ROUND(113.62*(1+G2/100),2)</f>
        <v>113.62</v>
      </c>
      <c r="G58" s="21">
        <f>ROUND(E58*F58,2)</f>
        <v>113.62</v>
      </c>
      <c r="H58" s="2"/>
      <c r="I58" s="2"/>
      <c r="J58" s="2"/>
    </row>
    <row r="59" spans="1:10" ht="40.799999999999997" x14ac:dyDescent="0.3">
      <c r="A59" s="2"/>
      <c r="B59" s="2"/>
      <c r="C59" s="2"/>
      <c r="D59" s="48" t="s">
        <v>150</v>
      </c>
      <c r="E59" s="48"/>
      <c r="F59" s="48"/>
      <c r="G59" s="48"/>
      <c r="H59" s="2"/>
      <c r="I59" s="2"/>
      <c r="J59" s="2"/>
    </row>
    <row r="60" spans="1:10" ht="20.399999999999999" x14ac:dyDescent="0.3">
      <c r="A60" s="10" t="s">
        <v>151</v>
      </c>
      <c r="B60" s="6" t="s">
        <v>152</v>
      </c>
      <c r="C60" s="6" t="s">
        <v>153</v>
      </c>
      <c r="D60" s="19" t="s">
        <v>154</v>
      </c>
      <c r="E60" s="20">
        <v>2</v>
      </c>
      <c r="F60" s="21">
        <f>ROUND(21.56*(1+G2/100),2)</f>
        <v>21.56</v>
      </c>
      <c r="G60" s="21">
        <f>ROUND(E60*F60,2)</f>
        <v>43.12</v>
      </c>
      <c r="H60" s="2"/>
      <c r="I60" s="2"/>
      <c r="J60" s="2"/>
    </row>
    <row r="61" spans="1:10" ht="20.399999999999999" x14ac:dyDescent="0.3">
      <c r="A61" s="2"/>
      <c r="B61" s="2"/>
      <c r="C61" s="2"/>
      <c r="D61" s="48" t="s">
        <v>155</v>
      </c>
      <c r="E61" s="48"/>
      <c r="F61" s="48"/>
      <c r="G61" s="48"/>
      <c r="H61" s="2"/>
      <c r="I61" s="2"/>
      <c r="J61" s="2"/>
    </row>
    <row r="62" spans="1:10" ht="20.399999999999999" x14ac:dyDescent="0.3">
      <c r="A62" s="10" t="s">
        <v>156</v>
      </c>
      <c r="B62" s="6" t="s">
        <v>157</v>
      </c>
      <c r="C62" s="6" t="s">
        <v>158</v>
      </c>
      <c r="D62" s="19" t="s">
        <v>159</v>
      </c>
      <c r="E62" s="20">
        <v>3</v>
      </c>
      <c r="F62" s="21">
        <f>ROUND(22.41*(1+G2/100),2)</f>
        <v>22.41</v>
      </c>
      <c r="G62" s="21">
        <f>ROUND(E62*F62,2)</f>
        <v>67.23</v>
      </c>
      <c r="H62" s="2"/>
      <c r="I62" s="2"/>
      <c r="J62" s="2"/>
    </row>
    <row r="63" spans="1:10" ht="20.399999999999999" x14ac:dyDescent="0.3">
      <c r="A63" s="2"/>
      <c r="B63" s="2"/>
      <c r="C63" s="2"/>
      <c r="D63" s="48" t="s">
        <v>160</v>
      </c>
      <c r="E63" s="48"/>
      <c r="F63" s="48"/>
      <c r="G63" s="48"/>
      <c r="H63" s="2"/>
      <c r="I63" s="2"/>
      <c r="J63" s="2"/>
    </row>
    <row r="64" spans="1:10" ht="20.399999999999999" x14ac:dyDescent="0.3">
      <c r="A64" s="10" t="s">
        <v>161</v>
      </c>
      <c r="B64" s="6" t="s">
        <v>162</v>
      </c>
      <c r="C64" s="6" t="s">
        <v>163</v>
      </c>
      <c r="D64" s="19" t="s">
        <v>164</v>
      </c>
      <c r="E64" s="20">
        <v>2</v>
      </c>
      <c r="F64" s="21">
        <f>ROUND(22.41*(1+G2/100),2)</f>
        <v>22.41</v>
      </c>
      <c r="G64" s="21">
        <f>ROUND(E64*F64,2)</f>
        <v>44.82</v>
      </c>
      <c r="H64" s="2"/>
      <c r="I64" s="2"/>
      <c r="J64" s="2"/>
    </row>
    <row r="65" spans="1:10" ht="20.399999999999999" x14ac:dyDescent="0.3">
      <c r="A65" s="2"/>
      <c r="B65" s="2"/>
      <c r="C65" s="2"/>
      <c r="D65" s="48" t="s">
        <v>165</v>
      </c>
      <c r="E65" s="48"/>
      <c r="F65" s="48"/>
      <c r="G65" s="48"/>
      <c r="H65" s="2"/>
      <c r="I65" s="2"/>
      <c r="J65" s="2"/>
    </row>
    <row r="66" spans="1:10" ht="30.6" x14ac:dyDescent="0.3">
      <c r="A66" s="10" t="s">
        <v>166</v>
      </c>
      <c r="B66" s="6" t="s">
        <v>167</v>
      </c>
      <c r="C66" s="6" t="s">
        <v>168</v>
      </c>
      <c r="D66" s="19" t="s">
        <v>169</v>
      </c>
      <c r="E66" s="20">
        <v>1</v>
      </c>
      <c r="F66" s="21">
        <f>ROUND(108.53*(1+G2/100),2)</f>
        <v>108.53</v>
      </c>
      <c r="G66" s="21">
        <f>ROUND(E66*F66,2)</f>
        <v>108.53</v>
      </c>
      <c r="H66" s="2"/>
      <c r="I66" s="2"/>
      <c r="J66" s="2"/>
    </row>
    <row r="67" spans="1:10" ht="81.599999999999994" x14ac:dyDescent="0.3">
      <c r="A67" s="2"/>
      <c r="B67" s="2"/>
      <c r="C67" s="2"/>
      <c r="D67" s="48" t="s">
        <v>170</v>
      </c>
      <c r="E67" s="48"/>
      <c r="F67" s="48"/>
      <c r="G67" s="48"/>
      <c r="H67" s="2"/>
      <c r="I67" s="2"/>
      <c r="J67" s="2"/>
    </row>
    <row r="68" spans="1:10" x14ac:dyDescent="0.3">
      <c r="A68" s="10" t="s">
        <v>171</v>
      </c>
      <c r="B68" s="6" t="s">
        <v>172</v>
      </c>
      <c r="C68" s="6" t="s">
        <v>173</v>
      </c>
      <c r="D68" s="19" t="s">
        <v>174</v>
      </c>
      <c r="E68" s="20">
        <v>1</v>
      </c>
      <c r="F68" s="21">
        <f>ROUND(3985.59*(1+G2/100),2)</f>
        <v>3985.59</v>
      </c>
      <c r="G68" s="21">
        <f>ROUND(E68*F68,2)</f>
        <v>3985.59</v>
      </c>
      <c r="H68" s="2"/>
      <c r="I68" s="2"/>
      <c r="J68" s="2"/>
    </row>
    <row r="69" spans="1:10" ht="132.6" x14ac:dyDescent="0.3">
      <c r="A69" s="2"/>
      <c r="B69" s="2"/>
      <c r="C69" s="2"/>
      <c r="D69" s="48" t="s">
        <v>175</v>
      </c>
      <c r="E69" s="48"/>
      <c r="F69" s="48"/>
      <c r="G69" s="48"/>
      <c r="H69" s="2"/>
      <c r="I69" s="2"/>
      <c r="J69" s="2"/>
    </row>
    <row r="70" spans="1:10" ht="20.399999999999999" x14ac:dyDescent="0.3">
      <c r="A70" s="10" t="s">
        <v>176</v>
      </c>
      <c r="B70" s="6" t="s">
        <v>177</v>
      </c>
      <c r="C70" s="6" t="s">
        <v>178</v>
      </c>
      <c r="D70" s="19" t="s">
        <v>179</v>
      </c>
      <c r="E70" s="20">
        <v>231</v>
      </c>
      <c r="F70" s="21">
        <f>ROUND(112.61*(1+G2/100),2)</f>
        <v>112.61</v>
      </c>
      <c r="G70" s="21">
        <f>ROUND(E70*F70,2)</f>
        <v>26012.91</v>
      </c>
      <c r="H70" s="2"/>
      <c r="I70" s="2"/>
      <c r="J70" s="2"/>
    </row>
    <row r="71" spans="1:10" ht="142.80000000000001" x14ac:dyDescent="0.3">
      <c r="A71" s="2"/>
      <c r="B71" s="2"/>
      <c r="C71" s="2"/>
      <c r="D71" s="48" t="s">
        <v>180</v>
      </c>
      <c r="E71" s="48"/>
      <c r="F71" s="48"/>
      <c r="G71" s="48"/>
      <c r="H71" s="2"/>
      <c r="I71" s="2"/>
      <c r="J71" s="2"/>
    </row>
    <row r="72" spans="1:10" x14ac:dyDescent="0.3">
      <c r="A72" s="22"/>
      <c r="B72" s="22"/>
      <c r="C72" s="22"/>
      <c r="D72" s="23" t="s">
        <v>181</v>
      </c>
      <c r="E72" s="24"/>
      <c r="F72" s="25">
        <f>G48+G50+G52+G54+G56+G58+G60+G62+G64+G66+G68+G70</f>
        <v>38010.1</v>
      </c>
      <c r="G72" s="25">
        <f>ROUND(F72,2)</f>
        <v>38010.1</v>
      </c>
      <c r="H72" s="2"/>
      <c r="I72" s="2"/>
      <c r="J72" s="2"/>
    </row>
    <row r="73" spans="1:10" ht="20.399999999999999" x14ac:dyDescent="0.3">
      <c r="A73" s="26" t="s">
        <v>182</v>
      </c>
      <c r="B73" s="26" t="s">
        <v>183</v>
      </c>
      <c r="C73" s="27"/>
      <c r="D73" s="28" t="s">
        <v>184</v>
      </c>
      <c r="E73" s="27"/>
      <c r="F73" s="29">
        <f>F102</f>
        <v>11664.920000000002</v>
      </c>
      <c r="G73" s="29">
        <f>ROUND(F73,2)</f>
        <v>11664.92</v>
      </c>
      <c r="H73" s="2"/>
      <c r="I73" s="2"/>
      <c r="J73" s="2"/>
    </row>
    <row r="74" spans="1:10" ht="40.799999999999997" x14ac:dyDescent="0.3">
      <c r="A74" s="10" t="s">
        <v>185</v>
      </c>
      <c r="B74" s="6" t="s">
        <v>186</v>
      </c>
      <c r="C74" s="6" t="s">
        <v>187</v>
      </c>
      <c r="D74" s="19" t="s">
        <v>188</v>
      </c>
      <c r="E74" s="20">
        <v>20</v>
      </c>
      <c r="F74" s="21">
        <f>ROUND(98.08*(1+G2/100),2)</f>
        <v>98.08</v>
      </c>
      <c r="G74" s="21">
        <f>ROUND(E74*F74,2)</f>
        <v>1961.6</v>
      </c>
      <c r="H74" s="2"/>
      <c r="I74" s="2"/>
      <c r="J74" s="2"/>
    </row>
    <row r="75" spans="1:10" ht="40.799999999999997" x14ac:dyDescent="0.3">
      <c r="A75" s="2"/>
      <c r="B75" s="2"/>
      <c r="C75" s="2"/>
      <c r="D75" s="48" t="s">
        <v>189</v>
      </c>
      <c r="E75" s="48"/>
      <c r="F75" s="48"/>
      <c r="G75" s="48"/>
      <c r="H75" s="2"/>
      <c r="I75" s="2"/>
      <c r="J75" s="2"/>
    </row>
    <row r="76" spans="1:10" ht="61.2" x14ac:dyDescent="0.3">
      <c r="A76" s="10" t="s">
        <v>190</v>
      </c>
      <c r="B76" s="6" t="s">
        <v>191</v>
      </c>
      <c r="C76" s="6" t="s">
        <v>192</v>
      </c>
      <c r="D76" s="19" t="s">
        <v>193</v>
      </c>
      <c r="E76" s="20">
        <v>20</v>
      </c>
      <c r="F76" s="21">
        <f>ROUND(28.71*(1+G2/100),2)</f>
        <v>28.71</v>
      </c>
      <c r="G76" s="21">
        <f>ROUND(E76*F76,2)</f>
        <v>574.20000000000005</v>
      </c>
      <c r="H76" s="2"/>
      <c r="I76" s="2"/>
      <c r="J76" s="2"/>
    </row>
    <row r="77" spans="1:10" ht="61.2" x14ac:dyDescent="0.3">
      <c r="A77" s="2"/>
      <c r="B77" s="2"/>
      <c r="C77" s="2"/>
      <c r="D77" s="48" t="s">
        <v>194</v>
      </c>
      <c r="E77" s="48"/>
      <c r="F77" s="48"/>
      <c r="G77" s="48"/>
      <c r="H77" s="2"/>
      <c r="I77" s="2"/>
      <c r="J77" s="2"/>
    </row>
    <row r="78" spans="1:10" ht="20.399999999999999" x14ac:dyDescent="0.3">
      <c r="A78" s="10" t="s">
        <v>195</v>
      </c>
      <c r="B78" s="6" t="s">
        <v>196</v>
      </c>
      <c r="C78" s="6" t="s">
        <v>197</v>
      </c>
      <c r="D78" s="19" t="s">
        <v>198</v>
      </c>
      <c r="E78" s="20">
        <v>8</v>
      </c>
      <c r="F78" s="21">
        <f>ROUND(135.56*(1+G2/100),2)</f>
        <v>135.56</v>
      </c>
      <c r="G78" s="21">
        <f>ROUND(E78*F78,2)</f>
        <v>1084.48</v>
      </c>
      <c r="H78" s="2"/>
      <c r="I78" s="2"/>
      <c r="J78" s="2"/>
    </row>
    <row r="79" spans="1:10" ht="30.6" x14ac:dyDescent="0.3">
      <c r="A79" s="2"/>
      <c r="B79" s="2"/>
      <c r="C79" s="2"/>
      <c r="D79" s="48" t="s">
        <v>199</v>
      </c>
      <c r="E79" s="48"/>
      <c r="F79" s="48"/>
      <c r="G79" s="48"/>
      <c r="H79" s="2"/>
      <c r="I79" s="2"/>
      <c r="J79" s="2"/>
    </row>
    <row r="80" spans="1:10" x14ac:dyDescent="0.3">
      <c r="A80" s="10" t="s">
        <v>200</v>
      </c>
      <c r="B80" s="6" t="s">
        <v>201</v>
      </c>
      <c r="C80" s="6" t="s">
        <v>202</v>
      </c>
      <c r="D80" s="19" t="s">
        <v>203</v>
      </c>
      <c r="E80" s="20">
        <v>2</v>
      </c>
      <c r="F80" s="21">
        <f>ROUND(170.09*(1+G2/100),2)</f>
        <v>170.09</v>
      </c>
      <c r="G80" s="21">
        <f>ROUND(E80*F80,2)</f>
        <v>340.18</v>
      </c>
      <c r="H80" s="2"/>
      <c r="I80" s="2"/>
      <c r="J80" s="2"/>
    </row>
    <row r="81" spans="1:10" ht="20.399999999999999" x14ac:dyDescent="0.3">
      <c r="A81" s="2"/>
      <c r="B81" s="2"/>
      <c r="C81" s="2"/>
      <c r="D81" s="48" t="s">
        <v>204</v>
      </c>
      <c r="E81" s="48"/>
      <c r="F81" s="48"/>
      <c r="G81" s="48"/>
      <c r="H81" s="2"/>
      <c r="I81" s="2"/>
      <c r="J81" s="2"/>
    </row>
    <row r="82" spans="1:10" ht="20.399999999999999" x14ac:dyDescent="0.3">
      <c r="A82" s="10" t="s">
        <v>205</v>
      </c>
      <c r="B82" s="6" t="s">
        <v>206</v>
      </c>
      <c r="C82" s="6" t="s">
        <v>207</v>
      </c>
      <c r="D82" s="19" t="s">
        <v>208</v>
      </c>
      <c r="E82" s="20">
        <v>1</v>
      </c>
      <c r="F82" s="21">
        <f>ROUND(1581.43*(1+G2/100),2)</f>
        <v>1581.43</v>
      </c>
      <c r="G82" s="21">
        <f>ROUND(E82*F82,2)</f>
        <v>1581.43</v>
      </c>
      <c r="H82" s="2"/>
      <c r="I82" s="2"/>
      <c r="J82" s="2"/>
    </row>
    <row r="83" spans="1:10" ht="51" x14ac:dyDescent="0.3">
      <c r="A83" s="2"/>
      <c r="B83" s="2"/>
      <c r="C83" s="2"/>
      <c r="D83" s="48" t="s">
        <v>209</v>
      </c>
      <c r="E83" s="48"/>
      <c r="F83" s="48"/>
      <c r="G83" s="48"/>
      <c r="H83" s="2"/>
      <c r="I83" s="2"/>
      <c r="J83" s="2"/>
    </row>
    <row r="84" spans="1:10" ht="30.6" x14ac:dyDescent="0.3">
      <c r="A84" s="10" t="s">
        <v>210</v>
      </c>
      <c r="B84" s="6" t="s">
        <v>211</v>
      </c>
      <c r="C84" s="6" t="s">
        <v>212</v>
      </c>
      <c r="D84" s="19" t="s">
        <v>213</v>
      </c>
      <c r="E84" s="20">
        <v>1</v>
      </c>
      <c r="F84" s="21">
        <f>ROUND(1431.23*(1+G2/100),2)</f>
        <v>1431.23</v>
      </c>
      <c r="G84" s="21">
        <f>ROUND(E84*F84,2)</f>
        <v>1431.23</v>
      </c>
      <c r="H84" s="2"/>
      <c r="I84" s="2"/>
      <c r="J84" s="2"/>
    </row>
    <row r="85" spans="1:10" ht="112.2" x14ac:dyDescent="0.3">
      <c r="A85" s="2"/>
      <c r="B85" s="2"/>
      <c r="C85" s="2"/>
      <c r="D85" s="48" t="s">
        <v>214</v>
      </c>
      <c r="E85" s="48"/>
      <c r="F85" s="48"/>
      <c r="G85" s="48"/>
      <c r="H85" s="2"/>
      <c r="I85" s="2"/>
      <c r="J85" s="2"/>
    </row>
    <row r="86" spans="1:10" ht="20.399999999999999" x14ac:dyDescent="0.3">
      <c r="A86" s="10" t="s">
        <v>215</v>
      </c>
      <c r="B86" s="6" t="s">
        <v>216</v>
      </c>
      <c r="C86" s="6" t="s">
        <v>217</v>
      </c>
      <c r="D86" s="19" t="s">
        <v>218</v>
      </c>
      <c r="E86" s="20">
        <v>4</v>
      </c>
      <c r="F86" s="21">
        <f>ROUND(21.56*(1+G2/100),2)</f>
        <v>21.56</v>
      </c>
      <c r="G86" s="21">
        <f>ROUND(E86*F86,2)</f>
        <v>86.24</v>
      </c>
      <c r="H86" s="2"/>
      <c r="I86" s="2"/>
      <c r="J86" s="2"/>
    </row>
    <row r="87" spans="1:10" ht="20.399999999999999" x14ac:dyDescent="0.3">
      <c r="A87" s="2"/>
      <c r="B87" s="2"/>
      <c r="C87" s="2"/>
      <c r="D87" s="48" t="s">
        <v>219</v>
      </c>
      <c r="E87" s="48"/>
      <c r="F87" s="48"/>
      <c r="G87" s="48"/>
      <c r="H87" s="2"/>
      <c r="I87" s="2"/>
      <c r="J87" s="2"/>
    </row>
    <row r="88" spans="1:10" ht="20.399999999999999" x14ac:dyDescent="0.3">
      <c r="A88" s="10" t="s">
        <v>220</v>
      </c>
      <c r="B88" s="6" t="s">
        <v>221</v>
      </c>
      <c r="C88" s="6" t="s">
        <v>222</v>
      </c>
      <c r="D88" s="19" t="s">
        <v>223</v>
      </c>
      <c r="E88" s="20">
        <v>4</v>
      </c>
      <c r="F88" s="21">
        <f>ROUND(22.41*(1+G2/100),2)</f>
        <v>22.41</v>
      </c>
      <c r="G88" s="21">
        <f>ROUND(E88*F88,2)</f>
        <v>89.64</v>
      </c>
      <c r="H88" s="2"/>
      <c r="I88" s="2"/>
      <c r="J88" s="2"/>
    </row>
    <row r="89" spans="1:10" ht="20.399999999999999" x14ac:dyDescent="0.3">
      <c r="A89" s="2"/>
      <c r="B89" s="2"/>
      <c r="C89" s="2"/>
      <c r="D89" s="48" t="s">
        <v>224</v>
      </c>
      <c r="E89" s="48"/>
      <c r="F89" s="48"/>
      <c r="G89" s="48"/>
      <c r="H89" s="2"/>
      <c r="I89" s="2"/>
      <c r="J89" s="2"/>
    </row>
    <row r="90" spans="1:10" x14ac:dyDescent="0.3">
      <c r="A90" s="10" t="s">
        <v>225</v>
      </c>
      <c r="B90" s="6" t="s">
        <v>226</v>
      </c>
      <c r="C90" s="6" t="s">
        <v>227</v>
      </c>
      <c r="D90" s="19" t="s">
        <v>228</v>
      </c>
      <c r="E90" s="20">
        <v>5</v>
      </c>
      <c r="F90" s="21">
        <f>ROUND(20.59*(1+G2/100),2)</f>
        <v>20.59</v>
      </c>
      <c r="G90" s="21">
        <f>ROUND(E90*F90,2)</f>
        <v>102.95</v>
      </c>
      <c r="H90" s="2"/>
      <c r="I90" s="2"/>
      <c r="J90" s="2"/>
    </row>
    <row r="91" spans="1:10" ht="30.6" x14ac:dyDescent="0.3">
      <c r="A91" s="2"/>
      <c r="B91" s="2"/>
      <c r="C91" s="2"/>
      <c r="D91" s="48" t="s">
        <v>229</v>
      </c>
      <c r="E91" s="48"/>
      <c r="F91" s="48"/>
      <c r="G91" s="48"/>
      <c r="H91" s="2"/>
      <c r="I91" s="2"/>
      <c r="J91" s="2"/>
    </row>
    <row r="92" spans="1:10" ht="20.399999999999999" x14ac:dyDescent="0.3">
      <c r="A92" s="10" t="s">
        <v>230</v>
      </c>
      <c r="B92" s="6" t="s">
        <v>231</v>
      </c>
      <c r="C92" s="6" t="s">
        <v>232</v>
      </c>
      <c r="D92" s="19" t="s">
        <v>233</v>
      </c>
      <c r="E92" s="20">
        <v>1</v>
      </c>
      <c r="F92" s="21">
        <f>ROUND(2819.03*(1+G2/100),2)</f>
        <v>2819.03</v>
      </c>
      <c r="G92" s="21">
        <f>ROUND(E92*F92,2)</f>
        <v>2819.03</v>
      </c>
      <c r="H92" s="2"/>
      <c r="I92" s="2"/>
      <c r="J92" s="2"/>
    </row>
    <row r="93" spans="1:10" ht="112.2" x14ac:dyDescent="0.3">
      <c r="A93" s="2"/>
      <c r="B93" s="2"/>
      <c r="C93" s="2"/>
      <c r="D93" s="48" t="s">
        <v>234</v>
      </c>
      <c r="E93" s="48"/>
      <c r="F93" s="48"/>
      <c r="G93" s="48"/>
      <c r="H93" s="2"/>
      <c r="I93" s="2"/>
      <c r="J93" s="2"/>
    </row>
    <row r="94" spans="1:10" ht="30.6" x14ac:dyDescent="0.3">
      <c r="A94" s="10" t="s">
        <v>235</v>
      </c>
      <c r="B94" s="6" t="s">
        <v>236</v>
      </c>
      <c r="C94" s="6" t="s">
        <v>237</v>
      </c>
      <c r="D94" s="19" t="s">
        <v>238</v>
      </c>
      <c r="E94" s="20">
        <v>1</v>
      </c>
      <c r="F94" s="21">
        <f>ROUND(108.53*(1+G2/100),2)</f>
        <v>108.53</v>
      </c>
      <c r="G94" s="21">
        <f>ROUND(E94*F94,2)</f>
        <v>108.53</v>
      </c>
      <c r="H94" s="2"/>
      <c r="I94" s="2"/>
      <c r="J94" s="2"/>
    </row>
    <row r="95" spans="1:10" ht="81.599999999999994" x14ac:dyDescent="0.3">
      <c r="A95" s="2"/>
      <c r="B95" s="2"/>
      <c r="C95" s="2"/>
      <c r="D95" s="48" t="s">
        <v>239</v>
      </c>
      <c r="E95" s="48"/>
      <c r="F95" s="48"/>
      <c r="G95" s="48"/>
      <c r="H95" s="2"/>
      <c r="I95" s="2"/>
      <c r="J95" s="2"/>
    </row>
    <row r="96" spans="1:10" ht="20.399999999999999" x14ac:dyDescent="0.3">
      <c r="A96" s="10" t="s">
        <v>240</v>
      </c>
      <c r="B96" s="6" t="s">
        <v>241</v>
      </c>
      <c r="C96" s="6" t="s">
        <v>242</v>
      </c>
      <c r="D96" s="19" t="s">
        <v>243</v>
      </c>
      <c r="E96" s="20">
        <v>1</v>
      </c>
      <c r="F96" s="21">
        <f>ROUND(195.51*(1+G2/100),2)</f>
        <v>195.51</v>
      </c>
      <c r="G96" s="21">
        <f>ROUND(E96*F96,2)</f>
        <v>195.51</v>
      </c>
      <c r="H96" s="2"/>
      <c r="I96" s="2"/>
      <c r="J96" s="2"/>
    </row>
    <row r="97" spans="1:10" ht="51" x14ac:dyDescent="0.3">
      <c r="A97" s="2"/>
      <c r="B97" s="2"/>
      <c r="C97" s="2"/>
      <c r="D97" s="48" t="s">
        <v>244</v>
      </c>
      <c r="E97" s="48"/>
      <c r="F97" s="48"/>
      <c r="G97" s="48"/>
      <c r="H97" s="2"/>
      <c r="I97" s="2"/>
      <c r="J97" s="2"/>
    </row>
    <row r="98" spans="1:10" ht="20.399999999999999" x14ac:dyDescent="0.3">
      <c r="A98" s="10" t="s">
        <v>245</v>
      </c>
      <c r="B98" s="6" t="s">
        <v>246</v>
      </c>
      <c r="C98" s="6" t="s">
        <v>247</v>
      </c>
      <c r="D98" s="19" t="s">
        <v>248</v>
      </c>
      <c r="E98" s="20">
        <v>1</v>
      </c>
      <c r="F98" s="21">
        <f>ROUND(789.9*(1+G2/100),2)</f>
        <v>789.9</v>
      </c>
      <c r="G98" s="21">
        <f>ROUND(E98*F98,2)</f>
        <v>789.9</v>
      </c>
      <c r="H98" s="2"/>
      <c r="I98" s="2"/>
      <c r="J98" s="2"/>
    </row>
    <row r="99" spans="1:10" ht="102" x14ac:dyDescent="0.3">
      <c r="A99" s="2"/>
      <c r="B99" s="2"/>
      <c r="C99" s="2"/>
      <c r="D99" s="48" t="s">
        <v>249</v>
      </c>
      <c r="E99" s="48"/>
      <c r="F99" s="48"/>
      <c r="G99" s="48"/>
      <c r="H99" s="2"/>
      <c r="I99" s="2"/>
      <c r="J99" s="2"/>
    </row>
    <row r="100" spans="1:10" x14ac:dyDescent="0.3">
      <c r="A100" s="10" t="s">
        <v>250</v>
      </c>
      <c r="B100" s="6" t="s">
        <v>251</v>
      </c>
      <c r="C100" s="6" t="s">
        <v>252</v>
      </c>
      <c r="D100" s="19" t="s">
        <v>253</v>
      </c>
      <c r="E100" s="20">
        <v>1</v>
      </c>
      <c r="F100" s="21">
        <f>ROUND(500*(1+G2/100),2)</f>
        <v>500</v>
      </c>
      <c r="G100" s="21">
        <f>ROUND(E100*F100,2)</f>
        <v>500</v>
      </c>
      <c r="H100" s="2"/>
      <c r="I100" s="2"/>
      <c r="J100" s="2"/>
    </row>
    <row r="101" spans="1:10" ht="71.400000000000006" x14ac:dyDescent="0.3">
      <c r="A101" s="2"/>
      <c r="B101" s="2"/>
      <c r="C101" s="2"/>
      <c r="D101" s="48" t="s">
        <v>254</v>
      </c>
      <c r="E101" s="48"/>
      <c r="F101" s="48"/>
      <c r="G101" s="48"/>
      <c r="H101" s="2"/>
      <c r="I101" s="2"/>
      <c r="J101" s="2"/>
    </row>
    <row r="102" spans="1:10" x14ac:dyDescent="0.3">
      <c r="A102" s="22"/>
      <c r="B102" s="22"/>
      <c r="C102" s="22"/>
      <c r="D102" s="23" t="s">
        <v>255</v>
      </c>
      <c r="E102" s="24"/>
      <c r="F102" s="25">
        <f>G74+G76+G78+G80+G82+G84+G86+G88+G90+G92+G94+G96+G98+G100</f>
        <v>11664.920000000002</v>
      </c>
      <c r="G102" s="25">
        <f>ROUND(F102,2)</f>
        <v>11664.92</v>
      </c>
      <c r="H102" s="2"/>
      <c r="I102" s="2"/>
      <c r="J102" s="2"/>
    </row>
    <row r="103" spans="1:10" x14ac:dyDescent="0.3">
      <c r="A103" s="26" t="s">
        <v>256</v>
      </c>
      <c r="B103" s="26" t="s">
        <v>257</v>
      </c>
      <c r="C103" s="27"/>
      <c r="D103" s="28" t="s">
        <v>258</v>
      </c>
      <c r="E103" s="27"/>
      <c r="F103" s="29">
        <f>F144</f>
        <v>12292.85</v>
      </c>
      <c r="G103" s="29">
        <f>ROUND(F103,2)</f>
        <v>12292.85</v>
      </c>
      <c r="H103" s="2"/>
      <c r="I103" s="2"/>
      <c r="J103" s="2"/>
    </row>
    <row r="104" spans="1:10" ht="20.399999999999999" x14ac:dyDescent="0.3">
      <c r="A104" s="10" t="s">
        <v>259</v>
      </c>
      <c r="B104" s="6" t="s">
        <v>260</v>
      </c>
      <c r="C104" s="6" t="s">
        <v>261</v>
      </c>
      <c r="D104" s="19" t="s">
        <v>262</v>
      </c>
      <c r="E104" s="20">
        <v>1</v>
      </c>
      <c r="F104" s="21">
        <f>ROUND(595.14*(1+G2/100),2)</f>
        <v>595.14</v>
      </c>
      <c r="G104" s="21">
        <f>ROUND(E104*F104,2)</f>
        <v>595.14</v>
      </c>
      <c r="H104" s="2"/>
      <c r="I104" s="2"/>
      <c r="J104" s="2"/>
    </row>
    <row r="105" spans="1:10" ht="81.599999999999994" x14ac:dyDescent="0.3">
      <c r="A105" s="2"/>
      <c r="B105" s="2"/>
      <c r="C105" s="2"/>
      <c r="D105" s="48" t="s">
        <v>263</v>
      </c>
      <c r="E105" s="48"/>
      <c r="F105" s="48"/>
      <c r="G105" s="48"/>
      <c r="H105" s="2"/>
      <c r="I105" s="2"/>
      <c r="J105" s="2"/>
    </row>
    <row r="106" spans="1:10" x14ac:dyDescent="0.3">
      <c r="A106" s="10" t="s">
        <v>264</v>
      </c>
      <c r="B106" s="6" t="s">
        <v>265</v>
      </c>
      <c r="C106" s="6" t="s">
        <v>266</v>
      </c>
      <c r="D106" s="19" t="s">
        <v>267</v>
      </c>
      <c r="E106" s="20">
        <v>1</v>
      </c>
      <c r="F106" s="21">
        <f>ROUND(1961.42*(1+G2/100),2)</f>
        <v>1961.42</v>
      </c>
      <c r="G106" s="21">
        <f>ROUND(E106*F106,2)</f>
        <v>1961.42</v>
      </c>
      <c r="H106" s="2"/>
      <c r="I106" s="2"/>
      <c r="J106" s="2"/>
    </row>
    <row r="107" spans="1:10" ht="51" x14ac:dyDescent="0.3">
      <c r="A107" s="2"/>
      <c r="B107" s="2"/>
      <c r="C107" s="2"/>
      <c r="D107" s="48" t="s">
        <v>268</v>
      </c>
      <c r="E107" s="48"/>
      <c r="F107" s="48"/>
      <c r="G107" s="48"/>
      <c r="H107" s="2"/>
      <c r="I107" s="2"/>
      <c r="J107" s="2"/>
    </row>
    <row r="108" spans="1:10" x14ac:dyDescent="0.3">
      <c r="A108" s="10" t="s">
        <v>269</v>
      </c>
      <c r="B108" s="6" t="s">
        <v>270</v>
      </c>
      <c r="C108" s="6" t="s">
        <v>271</v>
      </c>
      <c r="D108" s="19" t="s">
        <v>272</v>
      </c>
      <c r="E108" s="20">
        <v>1</v>
      </c>
      <c r="F108" s="21">
        <f>ROUND(297.35*(1+G2/100),2)</f>
        <v>297.35000000000002</v>
      </c>
      <c r="G108" s="21">
        <f>ROUND(E108*F108,2)</f>
        <v>297.35000000000002</v>
      </c>
      <c r="H108" s="2"/>
      <c r="I108" s="2"/>
      <c r="J108" s="2"/>
    </row>
    <row r="109" spans="1:10" ht="91.8" x14ac:dyDescent="0.3">
      <c r="A109" s="2"/>
      <c r="B109" s="2"/>
      <c r="C109" s="2"/>
      <c r="D109" s="48" t="s">
        <v>273</v>
      </c>
      <c r="E109" s="48"/>
      <c r="F109" s="48"/>
      <c r="G109" s="48"/>
      <c r="H109" s="2"/>
      <c r="I109" s="2"/>
      <c r="J109" s="2"/>
    </row>
    <row r="110" spans="1:10" ht="61.2" x14ac:dyDescent="0.3">
      <c r="A110" s="10" t="s">
        <v>274</v>
      </c>
      <c r="B110" s="6" t="s">
        <v>275</v>
      </c>
      <c r="C110" s="6" t="s">
        <v>276</v>
      </c>
      <c r="D110" s="19" t="s">
        <v>277</v>
      </c>
      <c r="E110" s="20">
        <v>150</v>
      </c>
      <c r="F110" s="21">
        <f>ROUND(47.94*(1+G2/100),2)</f>
        <v>47.94</v>
      </c>
      <c r="G110" s="21">
        <f>ROUND(E110*F110,2)</f>
        <v>7191</v>
      </c>
      <c r="H110" s="2"/>
      <c r="I110" s="2"/>
      <c r="J110" s="2"/>
    </row>
    <row r="111" spans="1:10" ht="61.2" x14ac:dyDescent="0.3">
      <c r="A111" s="2"/>
      <c r="B111" s="2"/>
      <c r="C111" s="2"/>
      <c r="D111" s="48" t="s">
        <v>278</v>
      </c>
      <c r="E111" s="48"/>
      <c r="F111" s="48"/>
      <c r="G111" s="48"/>
      <c r="H111" s="2"/>
      <c r="I111" s="2"/>
      <c r="J111" s="2"/>
    </row>
    <row r="112" spans="1:10" ht="61.2" x14ac:dyDescent="0.3">
      <c r="A112" s="10" t="s">
        <v>279</v>
      </c>
      <c r="B112" s="6" t="s">
        <v>280</v>
      </c>
      <c r="C112" s="6" t="s">
        <v>281</v>
      </c>
      <c r="D112" s="19" t="s">
        <v>282</v>
      </c>
      <c r="E112" s="20">
        <v>10</v>
      </c>
      <c r="F112" s="21">
        <f>ROUND(12.96*(1+G2/100),2)</f>
        <v>12.96</v>
      </c>
      <c r="G112" s="21">
        <f>ROUND(E112*F112,2)</f>
        <v>129.6</v>
      </c>
      <c r="H112" s="2"/>
      <c r="I112" s="2"/>
      <c r="J112" s="2"/>
    </row>
    <row r="113" spans="1:10" ht="61.2" x14ac:dyDescent="0.3">
      <c r="A113" s="2"/>
      <c r="B113" s="2"/>
      <c r="C113" s="2"/>
      <c r="D113" s="48" t="s">
        <v>283</v>
      </c>
      <c r="E113" s="48"/>
      <c r="F113" s="48"/>
      <c r="G113" s="48"/>
      <c r="H113" s="2"/>
      <c r="I113" s="2"/>
      <c r="J113" s="2"/>
    </row>
    <row r="114" spans="1:10" ht="61.2" x14ac:dyDescent="0.3">
      <c r="A114" s="10" t="s">
        <v>284</v>
      </c>
      <c r="B114" s="6" t="s">
        <v>285</v>
      </c>
      <c r="C114" s="6" t="s">
        <v>286</v>
      </c>
      <c r="D114" s="19" t="s">
        <v>287</v>
      </c>
      <c r="E114" s="20">
        <v>20</v>
      </c>
      <c r="F114" s="21">
        <f>ROUND(5.26*(1+G2/100),2)</f>
        <v>5.26</v>
      </c>
      <c r="G114" s="21">
        <f>ROUND(E114*F114,2)</f>
        <v>105.2</v>
      </c>
      <c r="H114" s="2"/>
      <c r="I114" s="2"/>
      <c r="J114" s="2"/>
    </row>
    <row r="115" spans="1:10" ht="61.2" x14ac:dyDescent="0.3">
      <c r="A115" s="2"/>
      <c r="B115" s="2"/>
      <c r="C115" s="2"/>
      <c r="D115" s="48" t="s">
        <v>288</v>
      </c>
      <c r="E115" s="48"/>
      <c r="F115" s="48"/>
      <c r="G115" s="48"/>
      <c r="H115" s="2"/>
      <c r="I115" s="2"/>
      <c r="J115" s="2"/>
    </row>
    <row r="116" spans="1:10" ht="61.2" x14ac:dyDescent="0.3">
      <c r="A116" s="10" t="s">
        <v>289</v>
      </c>
      <c r="B116" s="6" t="s">
        <v>290</v>
      </c>
      <c r="C116" s="6" t="s">
        <v>291</v>
      </c>
      <c r="D116" s="19" t="s">
        <v>292</v>
      </c>
      <c r="E116" s="20">
        <v>20</v>
      </c>
      <c r="F116" s="21">
        <f>ROUND(3.96*(1+G2/100),2)</f>
        <v>3.96</v>
      </c>
      <c r="G116" s="21">
        <f>ROUND(E116*F116,2)</f>
        <v>79.2</v>
      </c>
      <c r="H116" s="2"/>
      <c r="I116" s="2"/>
      <c r="J116" s="2"/>
    </row>
    <row r="117" spans="1:10" ht="61.2" x14ac:dyDescent="0.3">
      <c r="A117" s="2"/>
      <c r="B117" s="2"/>
      <c r="C117" s="2"/>
      <c r="D117" s="48" t="s">
        <v>293</v>
      </c>
      <c r="E117" s="48"/>
      <c r="F117" s="48"/>
      <c r="G117" s="48"/>
      <c r="H117" s="2"/>
      <c r="I117" s="2"/>
      <c r="J117" s="2"/>
    </row>
    <row r="118" spans="1:10" ht="61.2" x14ac:dyDescent="0.3">
      <c r="A118" s="10" t="s">
        <v>294</v>
      </c>
      <c r="B118" s="6" t="s">
        <v>295</v>
      </c>
      <c r="C118" s="6" t="s">
        <v>296</v>
      </c>
      <c r="D118" s="19" t="s">
        <v>297</v>
      </c>
      <c r="E118" s="20">
        <v>25</v>
      </c>
      <c r="F118" s="21">
        <f>ROUND(3.1*(1+G2/100),2)</f>
        <v>3.1</v>
      </c>
      <c r="G118" s="21">
        <f>ROUND(E118*F118,2)</f>
        <v>77.5</v>
      </c>
      <c r="H118" s="2"/>
      <c r="I118" s="2"/>
      <c r="J118" s="2"/>
    </row>
    <row r="119" spans="1:10" ht="61.2" x14ac:dyDescent="0.3">
      <c r="A119" s="2"/>
      <c r="B119" s="2"/>
      <c r="C119" s="2"/>
      <c r="D119" s="48" t="s">
        <v>298</v>
      </c>
      <c r="E119" s="48"/>
      <c r="F119" s="48"/>
      <c r="G119" s="48"/>
      <c r="H119" s="2"/>
      <c r="I119" s="2"/>
      <c r="J119" s="2"/>
    </row>
    <row r="120" spans="1:10" ht="30.6" x14ac:dyDescent="0.3">
      <c r="A120" s="10" t="s">
        <v>299</v>
      </c>
      <c r="B120" s="6" t="s">
        <v>300</v>
      </c>
      <c r="C120" s="6" t="s">
        <v>301</v>
      </c>
      <c r="D120" s="19" t="s">
        <v>302</v>
      </c>
      <c r="E120" s="20">
        <v>25</v>
      </c>
      <c r="F120" s="21">
        <f>ROUND(3.92*(1+G2/100),2)</f>
        <v>3.92</v>
      </c>
      <c r="G120" s="21">
        <f>ROUND(E120*F120,2)</f>
        <v>98</v>
      </c>
      <c r="H120" s="2"/>
      <c r="I120" s="2"/>
      <c r="J120" s="2"/>
    </row>
    <row r="121" spans="1:10" ht="51" x14ac:dyDescent="0.3">
      <c r="A121" s="2"/>
      <c r="B121" s="2"/>
      <c r="C121" s="2"/>
      <c r="D121" s="48" t="s">
        <v>303</v>
      </c>
      <c r="E121" s="48"/>
      <c r="F121" s="48"/>
      <c r="G121" s="48"/>
      <c r="H121" s="2"/>
      <c r="I121" s="2"/>
      <c r="J121" s="2"/>
    </row>
    <row r="122" spans="1:10" ht="30.6" x14ac:dyDescent="0.3">
      <c r="A122" s="10" t="s">
        <v>304</v>
      </c>
      <c r="B122" s="6" t="s">
        <v>305</v>
      </c>
      <c r="C122" s="6" t="s">
        <v>306</v>
      </c>
      <c r="D122" s="19" t="s">
        <v>307</v>
      </c>
      <c r="E122" s="20">
        <v>40</v>
      </c>
      <c r="F122" s="21">
        <f>ROUND(4.6*(1+G2/100),2)</f>
        <v>4.5999999999999996</v>
      </c>
      <c r="G122" s="21">
        <f>ROUND(E122*F122,2)</f>
        <v>184</v>
      </c>
      <c r="H122" s="2"/>
      <c r="I122" s="2"/>
      <c r="J122" s="2"/>
    </row>
    <row r="123" spans="1:10" ht="51" x14ac:dyDescent="0.3">
      <c r="A123" s="2"/>
      <c r="B123" s="2"/>
      <c r="C123" s="2"/>
      <c r="D123" s="48" t="s">
        <v>308</v>
      </c>
      <c r="E123" s="48"/>
      <c r="F123" s="48"/>
      <c r="G123" s="48"/>
      <c r="H123" s="2"/>
      <c r="I123" s="2"/>
      <c r="J123" s="2"/>
    </row>
    <row r="124" spans="1:10" ht="30.6" x14ac:dyDescent="0.3">
      <c r="A124" s="10" t="s">
        <v>309</v>
      </c>
      <c r="B124" s="6" t="s">
        <v>310</v>
      </c>
      <c r="C124" s="6" t="s">
        <v>311</v>
      </c>
      <c r="D124" s="19" t="s">
        <v>312</v>
      </c>
      <c r="E124" s="20">
        <v>55</v>
      </c>
      <c r="F124" s="21">
        <f>ROUND(5.47*(1+G2/100),2)</f>
        <v>5.47</v>
      </c>
      <c r="G124" s="21">
        <f>ROUND(E124*F124,2)</f>
        <v>300.85000000000002</v>
      </c>
      <c r="H124" s="2"/>
      <c r="I124" s="2"/>
      <c r="J124" s="2"/>
    </row>
    <row r="125" spans="1:10" ht="51" x14ac:dyDescent="0.3">
      <c r="A125" s="2"/>
      <c r="B125" s="2"/>
      <c r="C125" s="2"/>
      <c r="D125" s="48" t="s">
        <v>313</v>
      </c>
      <c r="E125" s="48"/>
      <c r="F125" s="48"/>
      <c r="G125" s="48"/>
      <c r="H125" s="2"/>
      <c r="I125" s="2"/>
      <c r="J125" s="2"/>
    </row>
    <row r="126" spans="1:10" ht="20.399999999999999" x14ac:dyDescent="0.3">
      <c r="A126" s="10" t="s">
        <v>314</v>
      </c>
      <c r="B126" s="6" t="s">
        <v>315</v>
      </c>
      <c r="C126" s="6" t="s">
        <v>316</v>
      </c>
      <c r="D126" s="19" t="s">
        <v>317</v>
      </c>
      <c r="E126" s="20">
        <v>105</v>
      </c>
      <c r="F126" s="21">
        <f>ROUND(3.22*(1+G2/100),2)</f>
        <v>3.22</v>
      </c>
      <c r="G126" s="21">
        <f>ROUND(E126*F126,2)</f>
        <v>338.1</v>
      </c>
      <c r="H126" s="2"/>
      <c r="I126" s="2"/>
      <c r="J126" s="2"/>
    </row>
    <row r="127" spans="1:10" ht="51" x14ac:dyDescent="0.3">
      <c r="A127" s="2"/>
      <c r="B127" s="2"/>
      <c r="C127" s="2"/>
      <c r="D127" s="48" t="s">
        <v>318</v>
      </c>
      <c r="E127" s="48"/>
      <c r="F127" s="48"/>
      <c r="G127" s="48"/>
      <c r="H127" s="2"/>
      <c r="I127" s="2"/>
      <c r="J127" s="2"/>
    </row>
    <row r="128" spans="1:10" x14ac:dyDescent="0.3">
      <c r="A128" s="10" t="s">
        <v>319</v>
      </c>
      <c r="B128" s="6" t="s">
        <v>320</v>
      </c>
      <c r="C128" s="6" t="s">
        <v>321</v>
      </c>
      <c r="D128" s="19" t="s">
        <v>322</v>
      </c>
      <c r="E128" s="20">
        <v>2</v>
      </c>
      <c r="F128" s="21">
        <f>ROUND(13.94*(1+G2/100),2)</f>
        <v>13.94</v>
      </c>
      <c r="G128" s="21">
        <f>ROUND(E128*F128,2)</f>
        <v>27.88</v>
      </c>
      <c r="H128" s="2"/>
      <c r="I128" s="2"/>
      <c r="J128" s="2"/>
    </row>
    <row r="129" spans="1:10" ht="20.399999999999999" x14ac:dyDescent="0.3">
      <c r="A129" s="2"/>
      <c r="B129" s="2"/>
      <c r="C129" s="2"/>
      <c r="D129" s="48" t="s">
        <v>323</v>
      </c>
      <c r="E129" s="48"/>
      <c r="F129" s="48"/>
      <c r="G129" s="48"/>
      <c r="H129" s="2"/>
      <c r="I129" s="2"/>
      <c r="J129" s="2"/>
    </row>
    <row r="130" spans="1:10" ht="20.399999999999999" x14ac:dyDescent="0.3">
      <c r="A130" s="10" t="s">
        <v>324</v>
      </c>
      <c r="B130" s="6" t="s">
        <v>325</v>
      </c>
      <c r="C130" s="6" t="s">
        <v>326</v>
      </c>
      <c r="D130" s="19" t="s">
        <v>327</v>
      </c>
      <c r="E130" s="20">
        <v>10</v>
      </c>
      <c r="F130" s="21">
        <f>ROUND(21.8*(1+G2/100),2)</f>
        <v>21.8</v>
      </c>
      <c r="G130" s="21">
        <f>ROUND(E130*F130,2)</f>
        <v>218</v>
      </c>
      <c r="H130" s="2"/>
      <c r="I130" s="2"/>
      <c r="J130" s="2"/>
    </row>
    <row r="131" spans="1:10" ht="30.6" x14ac:dyDescent="0.3">
      <c r="A131" s="2"/>
      <c r="B131" s="2"/>
      <c r="C131" s="2"/>
      <c r="D131" s="48" t="s">
        <v>328</v>
      </c>
      <c r="E131" s="48"/>
      <c r="F131" s="48"/>
      <c r="G131" s="48"/>
      <c r="H131" s="2"/>
      <c r="I131" s="2"/>
      <c r="J131" s="2"/>
    </row>
    <row r="132" spans="1:10" ht="20.399999999999999" x14ac:dyDescent="0.3">
      <c r="A132" s="10" t="s">
        <v>329</v>
      </c>
      <c r="B132" s="6" t="s">
        <v>330</v>
      </c>
      <c r="C132" s="6" t="s">
        <v>331</v>
      </c>
      <c r="D132" s="19" t="s">
        <v>332</v>
      </c>
      <c r="E132" s="20">
        <v>1</v>
      </c>
      <c r="F132" s="21">
        <f>ROUND(36.71*(1+G2/100),2)</f>
        <v>36.71</v>
      </c>
      <c r="G132" s="21">
        <f>ROUND(E132*F132,2)</f>
        <v>36.71</v>
      </c>
      <c r="H132" s="2"/>
      <c r="I132" s="2"/>
      <c r="J132" s="2"/>
    </row>
    <row r="133" spans="1:10" ht="30.6" x14ac:dyDescent="0.3">
      <c r="A133" s="2"/>
      <c r="B133" s="2"/>
      <c r="C133" s="2"/>
      <c r="D133" s="48" t="s">
        <v>333</v>
      </c>
      <c r="E133" s="48"/>
      <c r="F133" s="48"/>
      <c r="G133" s="48"/>
      <c r="H133" s="2"/>
      <c r="I133" s="2"/>
      <c r="J133" s="2"/>
    </row>
    <row r="134" spans="1:10" ht="20.399999999999999" x14ac:dyDescent="0.3">
      <c r="A134" s="10" t="s">
        <v>334</v>
      </c>
      <c r="B134" s="6" t="s">
        <v>335</v>
      </c>
      <c r="C134" s="6" t="s">
        <v>336</v>
      </c>
      <c r="D134" s="19" t="s">
        <v>337</v>
      </c>
      <c r="E134" s="20">
        <v>1</v>
      </c>
      <c r="F134" s="21">
        <f>ROUND(59.65*(1+G2/100),2)</f>
        <v>59.65</v>
      </c>
      <c r="G134" s="21">
        <f>ROUND(E134*F134,2)</f>
        <v>59.65</v>
      </c>
      <c r="H134" s="2"/>
      <c r="I134" s="2"/>
      <c r="J134" s="2"/>
    </row>
    <row r="135" spans="1:10" ht="20.399999999999999" x14ac:dyDescent="0.3">
      <c r="A135" s="2"/>
      <c r="B135" s="2"/>
      <c r="C135" s="2"/>
      <c r="D135" s="48" t="s">
        <v>338</v>
      </c>
      <c r="E135" s="48"/>
      <c r="F135" s="48"/>
      <c r="G135" s="48"/>
      <c r="H135" s="2"/>
      <c r="I135" s="2"/>
      <c r="J135" s="2"/>
    </row>
    <row r="136" spans="1:10" x14ac:dyDescent="0.3">
      <c r="A136" s="10" t="s">
        <v>339</v>
      </c>
      <c r="B136" s="6" t="s">
        <v>340</v>
      </c>
      <c r="C136" s="6" t="s">
        <v>341</v>
      </c>
      <c r="D136" s="19" t="s">
        <v>342</v>
      </c>
      <c r="E136" s="20">
        <v>5</v>
      </c>
      <c r="F136" s="21">
        <f>ROUND(10.4*(1+G2/100),2)</f>
        <v>10.4</v>
      </c>
      <c r="G136" s="21">
        <f>ROUND(E136*F136,2)</f>
        <v>52</v>
      </c>
      <c r="H136" s="2"/>
      <c r="I136" s="2"/>
      <c r="J136" s="2"/>
    </row>
    <row r="137" spans="1:10" ht="20.399999999999999" x14ac:dyDescent="0.3">
      <c r="A137" s="2"/>
      <c r="B137" s="2"/>
      <c r="C137" s="2"/>
      <c r="D137" s="48" t="s">
        <v>343</v>
      </c>
      <c r="E137" s="48"/>
      <c r="F137" s="48"/>
      <c r="G137" s="48"/>
      <c r="H137" s="2"/>
      <c r="I137" s="2"/>
      <c r="J137" s="2"/>
    </row>
    <row r="138" spans="1:10" ht="30.6" x14ac:dyDescent="0.3">
      <c r="A138" s="10" t="s">
        <v>344</v>
      </c>
      <c r="B138" s="6" t="s">
        <v>345</v>
      </c>
      <c r="C138" s="6" t="s">
        <v>346</v>
      </c>
      <c r="D138" s="19" t="s">
        <v>347</v>
      </c>
      <c r="E138" s="20">
        <v>2</v>
      </c>
      <c r="F138" s="21">
        <f>ROUND(78.34*(1+G2/100),2)</f>
        <v>78.34</v>
      </c>
      <c r="G138" s="21">
        <f>ROUND(E138*F138,2)</f>
        <v>156.68</v>
      </c>
      <c r="H138" s="2"/>
      <c r="I138" s="2"/>
      <c r="J138" s="2"/>
    </row>
    <row r="139" spans="1:10" ht="51" x14ac:dyDescent="0.3">
      <c r="A139" s="2"/>
      <c r="B139" s="2"/>
      <c r="C139" s="2"/>
      <c r="D139" s="48" t="s">
        <v>348</v>
      </c>
      <c r="E139" s="48"/>
      <c r="F139" s="48"/>
      <c r="G139" s="48"/>
      <c r="H139" s="2"/>
      <c r="I139" s="2"/>
      <c r="J139" s="2"/>
    </row>
    <row r="140" spans="1:10" ht="30.6" x14ac:dyDescent="0.3">
      <c r="A140" s="10" t="s">
        <v>349</v>
      </c>
      <c r="B140" s="6" t="s">
        <v>350</v>
      </c>
      <c r="C140" s="6" t="s">
        <v>351</v>
      </c>
      <c r="D140" s="19" t="s">
        <v>352</v>
      </c>
      <c r="E140" s="20">
        <v>3</v>
      </c>
      <c r="F140" s="21">
        <f>ROUND(78.48*(1+G2/100),2)</f>
        <v>78.48</v>
      </c>
      <c r="G140" s="21">
        <f>ROUND(E140*F140,2)</f>
        <v>235.44</v>
      </c>
      <c r="H140" s="2"/>
      <c r="I140" s="2"/>
      <c r="J140" s="2"/>
    </row>
    <row r="141" spans="1:10" ht="51" x14ac:dyDescent="0.3">
      <c r="A141" s="2"/>
      <c r="B141" s="2"/>
      <c r="C141" s="2"/>
      <c r="D141" s="48" t="s">
        <v>353</v>
      </c>
      <c r="E141" s="48"/>
      <c r="F141" s="48"/>
      <c r="G141" s="48"/>
      <c r="H141" s="2"/>
      <c r="I141" s="2"/>
      <c r="J141" s="2"/>
    </row>
    <row r="142" spans="1:10" x14ac:dyDescent="0.3">
      <c r="A142" s="10" t="s">
        <v>354</v>
      </c>
      <c r="B142" s="6" t="s">
        <v>355</v>
      </c>
      <c r="C142" s="6" t="s">
        <v>356</v>
      </c>
      <c r="D142" s="19" t="s">
        <v>357</v>
      </c>
      <c r="E142" s="20">
        <v>1</v>
      </c>
      <c r="F142" s="21">
        <f>ROUND(149.131*(1+G2/100),2)</f>
        <v>149.13</v>
      </c>
      <c r="G142" s="21">
        <f>ROUND(E142*F142,2)</f>
        <v>149.13</v>
      </c>
      <c r="H142" s="2"/>
      <c r="I142" s="2"/>
      <c r="J142" s="2"/>
    </row>
    <row r="143" spans="1:10" ht="173.4" x14ac:dyDescent="0.3">
      <c r="A143" s="2"/>
      <c r="B143" s="2"/>
      <c r="C143" s="2"/>
      <c r="D143" s="48" t="s">
        <v>358</v>
      </c>
      <c r="E143" s="48"/>
      <c r="F143" s="48"/>
      <c r="G143" s="48"/>
      <c r="H143" s="2"/>
      <c r="I143" s="2"/>
      <c r="J143" s="2"/>
    </row>
    <row r="144" spans="1:10" x14ac:dyDescent="0.3">
      <c r="A144" s="22"/>
      <c r="B144" s="22"/>
      <c r="C144" s="22"/>
      <c r="D144" s="23" t="s">
        <v>359</v>
      </c>
      <c r="E144" s="24"/>
      <c r="F144" s="25">
        <f>G104+G106+G108+G110+G112+G114+G116+G118+G120+G122+G124+G126+G128+G130+G132+G134+G136+G138+G140+G142</f>
        <v>12292.85</v>
      </c>
      <c r="G144" s="25">
        <f>ROUND(F144,2)</f>
        <v>12292.85</v>
      </c>
      <c r="H144" s="2"/>
      <c r="I144" s="2"/>
      <c r="J144" s="2"/>
    </row>
    <row r="145" spans="1:10" x14ac:dyDescent="0.3">
      <c r="A145" s="26" t="s">
        <v>360</v>
      </c>
      <c r="B145" s="26" t="s">
        <v>361</v>
      </c>
      <c r="C145" s="27"/>
      <c r="D145" s="28" t="s">
        <v>362</v>
      </c>
      <c r="E145" s="27"/>
      <c r="F145" s="29">
        <f>F178</f>
        <v>9553.19</v>
      </c>
      <c r="G145" s="29">
        <f>ROUND(F145,2)</f>
        <v>9553.19</v>
      </c>
      <c r="H145" s="2"/>
      <c r="I145" s="2"/>
      <c r="J145" s="2"/>
    </row>
    <row r="146" spans="1:10" x14ac:dyDescent="0.3">
      <c r="A146" s="30" t="s">
        <v>363</v>
      </c>
      <c r="B146" s="30" t="s">
        <v>364</v>
      </c>
      <c r="C146" s="31"/>
      <c r="D146" s="32" t="s">
        <v>365</v>
      </c>
      <c r="E146" s="31"/>
      <c r="F146" s="33">
        <f>F173</f>
        <v>9095.5400000000009</v>
      </c>
      <c r="G146" s="33">
        <f>ROUND(F146,2)</f>
        <v>9095.5400000000009</v>
      </c>
      <c r="H146" s="2"/>
      <c r="I146" s="2"/>
      <c r="J146" s="2"/>
    </row>
    <row r="147" spans="1:10" ht="20.399999999999999" x14ac:dyDescent="0.3">
      <c r="A147" s="10" t="s">
        <v>366</v>
      </c>
      <c r="B147" s="6" t="s">
        <v>367</v>
      </c>
      <c r="C147" s="6" t="s">
        <v>368</v>
      </c>
      <c r="D147" s="19" t="s">
        <v>369</v>
      </c>
      <c r="E147" s="20">
        <v>1</v>
      </c>
      <c r="F147" s="21">
        <f>ROUND(252.36*(1+G2/100),2)</f>
        <v>252.36</v>
      </c>
      <c r="G147" s="21">
        <f>ROUND(E147*F147,2)</f>
        <v>252.36</v>
      </c>
      <c r="H147" s="2"/>
      <c r="I147" s="2"/>
      <c r="J147" s="2"/>
    </row>
    <row r="148" spans="1:10" ht="163.19999999999999" x14ac:dyDescent="0.3">
      <c r="A148" s="2"/>
      <c r="B148" s="2"/>
      <c r="C148" s="2"/>
      <c r="D148" s="48" t="s">
        <v>370</v>
      </c>
      <c r="E148" s="48"/>
      <c r="F148" s="48"/>
      <c r="G148" s="48"/>
      <c r="H148" s="2"/>
      <c r="I148" s="2"/>
      <c r="J148" s="2"/>
    </row>
    <row r="149" spans="1:10" ht="20.399999999999999" x14ac:dyDescent="0.3">
      <c r="A149" s="10" t="s">
        <v>371</v>
      </c>
      <c r="B149" s="6" t="s">
        <v>372</v>
      </c>
      <c r="C149" s="6" t="s">
        <v>373</v>
      </c>
      <c r="D149" s="19" t="s">
        <v>374</v>
      </c>
      <c r="E149" s="20">
        <v>1</v>
      </c>
      <c r="F149" s="21">
        <f>ROUND(4175.14*(1+G2/100),2)</f>
        <v>4175.1400000000003</v>
      </c>
      <c r="G149" s="21">
        <f>ROUND(E149*F149,2)</f>
        <v>4175.1400000000003</v>
      </c>
      <c r="H149" s="2"/>
      <c r="I149" s="2"/>
      <c r="J149" s="2"/>
    </row>
    <row r="150" spans="1:10" ht="81.599999999999994" x14ac:dyDescent="0.3">
      <c r="A150" s="2"/>
      <c r="B150" s="2"/>
      <c r="C150" s="2"/>
      <c r="D150" s="48" t="s">
        <v>375</v>
      </c>
      <c r="E150" s="48"/>
      <c r="F150" s="48"/>
      <c r="G150" s="48"/>
      <c r="H150" s="2"/>
      <c r="I150" s="2"/>
      <c r="J150" s="2"/>
    </row>
    <row r="151" spans="1:10" ht="20.399999999999999" x14ac:dyDescent="0.3">
      <c r="A151" s="10" t="s">
        <v>376</v>
      </c>
      <c r="B151" s="6" t="s">
        <v>377</v>
      </c>
      <c r="C151" s="6" t="s">
        <v>378</v>
      </c>
      <c r="D151" s="19" t="s">
        <v>379</v>
      </c>
      <c r="E151" s="20">
        <v>1</v>
      </c>
      <c r="F151" s="21">
        <f>ROUND(2033.62*(1+G2/100),2)</f>
        <v>2033.62</v>
      </c>
      <c r="G151" s="21">
        <f>ROUND(E151*F151,2)</f>
        <v>2033.62</v>
      </c>
      <c r="H151" s="2"/>
      <c r="I151" s="2"/>
      <c r="J151" s="2"/>
    </row>
    <row r="152" spans="1:10" ht="409.6" x14ac:dyDescent="0.3">
      <c r="A152" s="2"/>
      <c r="B152" s="2"/>
      <c r="C152" s="2"/>
      <c r="D152" s="48" t="s">
        <v>380</v>
      </c>
      <c r="E152" s="48"/>
      <c r="F152" s="48"/>
      <c r="G152" s="48"/>
      <c r="H152" s="2"/>
      <c r="I152" s="2"/>
      <c r="J152" s="2"/>
    </row>
    <row r="153" spans="1:10" ht="20.399999999999999" x14ac:dyDescent="0.3">
      <c r="A153" s="10" t="s">
        <v>381</v>
      </c>
      <c r="B153" s="6" t="s">
        <v>382</v>
      </c>
      <c r="C153" s="6" t="s">
        <v>383</v>
      </c>
      <c r="D153" s="19" t="s">
        <v>384</v>
      </c>
      <c r="E153" s="20">
        <v>226</v>
      </c>
      <c r="F153" s="21">
        <f>ROUND(3.23*(1+G2/100),2)</f>
        <v>3.23</v>
      </c>
      <c r="G153" s="21">
        <f>ROUND(E153*F153,2)</f>
        <v>729.98</v>
      </c>
      <c r="H153" s="2"/>
      <c r="I153" s="2"/>
      <c r="J153" s="2"/>
    </row>
    <row r="154" spans="1:10" ht="40.799999999999997" x14ac:dyDescent="0.3">
      <c r="A154" s="2"/>
      <c r="B154" s="2"/>
      <c r="C154" s="2"/>
      <c r="D154" s="48" t="s">
        <v>385</v>
      </c>
      <c r="E154" s="48"/>
      <c r="F154" s="48"/>
      <c r="G154" s="48"/>
      <c r="H154" s="2"/>
      <c r="I154" s="2"/>
      <c r="J154" s="2"/>
    </row>
    <row r="155" spans="1:10" x14ac:dyDescent="0.3">
      <c r="A155" s="10" t="s">
        <v>386</v>
      </c>
      <c r="B155" s="6" t="s">
        <v>387</v>
      </c>
      <c r="C155" s="6" t="s">
        <v>388</v>
      </c>
      <c r="D155" s="19" t="s">
        <v>389</v>
      </c>
      <c r="E155" s="20">
        <v>2</v>
      </c>
      <c r="F155" s="21">
        <f>ROUND(79.1*(1+G2/100),2)</f>
        <v>79.099999999999994</v>
      </c>
      <c r="G155" s="21">
        <f>ROUND(E155*F155,2)</f>
        <v>158.19999999999999</v>
      </c>
      <c r="H155" s="2"/>
      <c r="I155" s="2"/>
      <c r="J155" s="2"/>
    </row>
    <row r="156" spans="1:10" ht="40.799999999999997" x14ac:dyDescent="0.3">
      <c r="A156" s="2"/>
      <c r="B156" s="2"/>
      <c r="C156" s="2"/>
      <c r="D156" s="48" t="s">
        <v>390</v>
      </c>
      <c r="E156" s="48"/>
      <c r="F156" s="48"/>
      <c r="G156" s="48"/>
      <c r="H156" s="2"/>
      <c r="I156" s="2"/>
      <c r="J156" s="2"/>
    </row>
    <row r="157" spans="1:10" x14ac:dyDescent="0.3">
      <c r="A157" s="10" t="s">
        <v>391</v>
      </c>
      <c r="B157" s="6" t="s">
        <v>392</v>
      </c>
      <c r="C157" s="6" t="s">
        <v>393</v>
      </c>
      <c r="D157" s="19" t="s">
        <v>394</v>
      </c>
      <c r="E157" s="20">
        <v>2</v>
      </c>
      <c r="F157" s="21">
        <f>ROUND(87.72*(1+G2/100),2)</f>
        <v>87.72</v>
      </c>
      <c r="G157" s="21">
        <f>ROUND(E157*F157,2)</f>
        <v>175.44</v>
      </c>
      <c r="H157" s="2"/>
      <c r="I157" s="2"/>
      <c r="J157" s="2"/>
    </row>
    <row r="158" spans="1:10" ht="30.6" x14ac:dyDescent="0.3">
      <c r="A158" s="2"/>
      <c r="B158" s="2"/>
      <c r="C158" s="2"/>
      <c r="D158" s="48" t="s">
        <v>395</v>
      </c>
      <c r="E158" s="48"/>
      <c r="F158" s="48"/>
      <c r="G158" s="48"/>
      <c r="H158" s="2"/>
      <c r="I158" s="2"/>
      <c r="J158" s="2"/>
    </row>
    <row r="159" spans="1:10" x14ac:dyDescent="0.3">
      <c r="A159" s="10" t="s">
        <v>396</v>
      </c>
      <c r="B159" s="6" t="s">
        <v>397</v>
      </c>
      <c r="C159" s="6" t="s">
        <v>398</v>
      </c>
      <c r="D159" s="19" t="s">
        <v>399</v>
      </c>
      <c r="E159" s="20">
        <v>2</v>
      </c>
      <c r="F159" s="21">
        <f>ROUND(13.75*(1+G2/100),2)</f>
        <v>13.75</v>
      </c>
      <c r="G159" s="21">
        <f>ROUND(E159*F159,2)</f>
        <v>27.5</v>
      </c>
      <c r="H159" s="2"/>
      <c r="I159" s="2"/>
      <c r="J159" s="2"/>
    </row>
    <row r="160" spans="1:10" ht="30.6" x14ac:dyDescent="0.3">
      <c r="A160" s="2"/>
      <c r="B160" s="2"/>
      <c r="C160" s="2"/>
      <c r="D160" s="48" t="s">
        <v>400</v>
      </c>
      <c r="E160" s="48"/>
      <c r="F160" s="48"/>
      <c r="G160" s="48"/>
      <c r="H160" s="2"/>
      <c r="I160" s="2"/>
      <c r="J160" s="2"/>
    </row>
    <row r="161" spans="1:10" ht="30.6" x14ac:dyDescent="0.3">
      <c r="A161" s="10" t="s">
        <v>401</v>
      </c>
      <c r="B161" s="6" t="s">
        <v>402</v>
      </c>
      <c r="C161" s="6" t="s">
        <v>403</v>
      </c>
      <c r="D161" s="19" t="s">
        <v>404</v>
      </c>
      <c r="E161" s="20">
        <v>50</v>
      </c>
      <c r="F161" s="21">
        <f>ROUND(2.47*(1+G2/100),2)</f>
        <v>2.4700000000000002</v>
      </c>
      <c r="G161" s="21">
        <f>ROUND(E161*F161,2)</f>
        <v>123.5</v>
      </c>
      <c r="H161" s="2"/>
      <c r="I161" s="2"/>
      <c r="J161" s="2"/>
    </row>
    <row r="162" spans="1:10" ht="51" x14ac:dyDescent="0.3">
      <c r="A162" s="2"/>
      <c r="B162" s="2"/>
      <c r="C162" s="2"/>
      <c r="D162" s="48" t="s">
        <v>405</v>
      </c>
      <c r="E162" s="48"/>
      <c r="F162" s="48"/>
      <c r="G162" s="48"/>
      <c r="H162" s="2"/>
      <c r="I162" s="2"/>
      <c r="J162" s="2"/>
    </row>
    <row r="163" spans="1:10" ht="20.399999999999999" x14ac:dyDescent="0.3">
      <c r="A163" s="10" t="s">
        <v>406</v>
      </c>
      <c r="B163" s="6" t="s">
        <v>407</v>
      </c>
      <c r="C163" s="6" t="s">
        <v>408</v>
      </c>
      <c r="D163" s="19" t="s">
        <v>409</v>
      </c>
      <c r="E163" s="20">
        <v>210</v>
      </c>
      <c r="F163" s="21">
        <f>ROUND(3.22*(1+G2/100),2)</f>
        <v>3.22</v>
      </c>
      <c r="G163" s="21">
        <f>ROUND(E163*F163,2)</f>
        <v>676.2</v>
      </c>
      <c r="H163" s="2"/>
      <c r="I163" s="2"/>
      <c r="J163" s="2"/>
    </row>
    <row r="164" spans="1:10" ht="51" x14ac:dyDescent="0.3">
      <c r="A164" s="2"/>
      <c r="B164" s="2"/>
      <c r="C164" s="2"/>
      <c r="D164" s="48" t="s">
        <v>410</v>
      </c>
      <c r="E164" s="48"/>
      <c r="F164" s="48"/>
      <c r="G164" s="48"/>
      <c r="H164" s="2"/>
      <c r="I164" s="2"/>
      <c r="J164" s="2"/>
    </row>
    <row r="165" spans="1:10" ht="30.6" x14ac:dyDescent="0.3">
      <c r="A165" s="10" t="s">
        <v>411</v>
      </c>
      <c r="B165" s="6" t="s">
        <v>412</v>
      </c>
      <c r="C165" s="6" t="s">
        <v>413</v>
      </c>
      <c r="D165" s="19" t="s">
        <v>414</v>
      </c>
      <c r="E165" s="20">
        <v>30</v>
      </c>
      <c r="F165" s="21">
        <f>ROUND(5.47*(1+G2/100),2)</f>
        <v>5.47</v>
      </c>
      <c r="G165" s="21">
        <f>ROUND(E165*F165,2)</f>
        <v>164.1</v>
      </c>
      <c r="H165" s="2"/>
      <c r="I165" s="2"/>
      <c r="J165" s="2"/>
    </row>
    <row r="166" spans="1:10" ht="51" x14ac:dyDescent="0.3">
      <c r="A166" s="2"/>
      <c r="B166" s="2"/>
      <c r="C166" s="2"/>
      <c r="D166" s="48" t="s">
        <v>415</v>
      </c>
      <c r="E166" s="48"/>
      <c r="F166" s="48"/>
      <c r="G166" s="48"/>
      <c r="H166" s="2"/>
      <c r="I166" s="2"/>
      <c r="J166" s="2"/>
    </row>
    <row r="167" spans="1:10" ht="20.399999999999999" x14ac:dyDescent="0.3">
      <c r="A167" s="10" t="s">
        <v>416</v>
      </c>
      <c r="B167" s="6" t="s">
        <v>417</v>
      </c>
      <c r="C167" s="6" t="s">
        <v>418</v>
      </c>
      <c r="D167" s="19" t="s">
        <v>419</v>
      </c>
      <c r="E167" s="20">
        <v>1</v>
      </c>
      <c r="F167" s="21">
        <f>ROUND(190*(1+G2/100),2)</f>
        <v>190</v>
      </c>
      <c r="G167" s="21">
        <f>ROUND(E167*F167,2)</f>
        <v>190</v>
      </c>
      <c r="H167" s="2"/>
      <c r="I167" s="2"/>
      <c r="J167" s="2"/>
    </row>
    <row r="168" spans="1:10" ht="61.2" x14ac:dyDescent="0.3">
      <c r="A168" s="2"/>
      <c r="B168" s="2"/>
      <c r="C168" s="2"/>
      <c r="D168" s="48" t="s">
        <v>420</v>
      </c>
      <c r="E168" s="48"/>
      <c r="F168" s="48"/>
      <c r="G168" s="48"/>
      <c r="H168" s="2"/>
      <c r="I168" s="2"/>
      <c r="J168" s="2"/>
    </row>
    <row r="169" spans="1:10" ht="20.399999999999999" x14ac:dyDescent="0.3">
      <c r="A169" s="10" t="s">
        <v>421</v>
      </c>
      <c r="B169" s="6" t="s">
        <v>422</v>
      </c>
      <c r="C169" s="6" t="s">
        <v>423</v>
      </c>
      <c r="D169" s="19" t="s">
        <v>424</v>
      </c>
      <c r="E169" s="20">
        <v>1</v>
      </c>
      <c r="F169" s="21">
        <f>ROUND(231.5*(1+G2/100),2)</f>
        <v>231.5</v>
      </c>
      <c r="G169" s="21">
        <f>ROUND(E169*F169,2)</f>
        <v>231.5</v>
      </c>
      <c r="H169" s="2"/>
      <c r="I169" s="2"/>
      <c r="J169" s="2"/>
    </row>
    <row r="170" spans="1:10" ht="61.2" x14ac:dyDescent="0.3">
      <c r="A170" s="2"/>
      <c r="B170" s="2"/>
      <c r="C170" s="2"/>
      <c r="D170" s="48" t="s">
        <v>425</v>
      </c>
      <c r="E170" s="48"/>
      <c r="F170" s="48"/>
      <c r="G170" s="48"/>
      <c r="H170" s="2"/>
      <c r="I170" s="2"/>
      <c r="J170" s="2"/>
    </row>
    <row r="171" spans="1:10" x14ac:dyDescent="0.3">
      <c r="A171" s="10" t="s">
        <v>426</v>
      </c>
      <c r="B171" s="6" t="s">
        <v>427</v>
      </c>
      <c r="C171" s="6" t="s">
        <v>428</v>
      </c>
      <c r="D171" s="19" t="s">
        <v>429</v>
      </c>
      <c r="E171" s="20">
        <v>1</v>
      </c>
      <c r="F171" s="21">
        <f>ROUND(158*(1+G2/100),2)</f>
        <v>158</v>
      </c>
      <c r="G171" s="21">
        <f>ROUND(E171*F171,2)</f>
        <v>158</v>
      </c>
      <c r="H171" s="2"/>
      <c r="I171" s="2"/>
      <c r="J171" s="2"/>
    </row>
    <row r="172" spans="1:10" ht="61.2" x14ac:dyDescent="0.3">
      <c r="A172" s="2"/>
      <c r="B172" s="2"/>
      <c r="C172" s="2"/>
      <c r="D172" s="48" t="s">
        <v>430</v>
      </c>
      <c r="E172" s="48"/>
      <c r="F172" s="48"/>
      <c r="G172" s="48"/>
      <c r="H172" s="2"/>
      <c r="I172" s="2"/>
      <c r="J172" s="2"/>
    </row>
    <row r="173" spans="1:10" x14ac:dyDescent="0.3">
      <c r="A173" s="22"/>
      <c r="B173" s="22"/>
      <c r="C173" s="22"/>
      <c r="D173" s="34" t="s">
        <v>431</v>
      </c>
      <c r="E173" s="35"/>
      <c r="F173" s="36">
        <f>G147+G149+G151+G153+G155+G157+G159+G161+G163+G165+G167+G169+G171</f>
        <v>9095.5400000000009</v>
      </c>
      <c r="G173" s="36">
        <f>ROUND(F173,2)</f>
        <v>9095.5400000000009</v>
      </c>
      <c r="H173" s="2"/>
      <c r="I173" s="2"/>
      <c r="J173" s="2"/>
    </row>
    <row r="174" spans="1:10" x14ac:dyDescent="0.3">
      <c r="A174" s="37" t="s">
        <v>432</v>
      </c>
      <c r="B174" s="37" t="s">
        <v>433</v>
      </c>
      <c r="C174" s="38"/>
      <c r="D174" s="39" t="s">
        <v>434</v>
      </c>
      <c r="E174" s="38"/>
      <c r="F174" s="40">
        <f>F177</f>
        <v>457.65</v>
      </c>
      <c r="G174" s="40">
        <f>ROUND(F174,2)</f>
        <v>457.65</v>
      </c>
      <c r="H174" s="2"/>
      <c r="I174" s="2"/>
      <c r="J174" s="2"/>
    </row>
    <row r="175" spans="1:10" ht="20.399999999999999" x14ac:dyDescent="0.3">
      <c r="A175" s="10" t="s">
        <v>435</v>
      </c>
      <c r="B175" s="6" t="s">
        <v>436</v>
      </c>
      <c r="C175" s="6" t="s">
        <v>437</v>
      </c>
      <c r="D175" s="19" t="s">
        <v>438</v>
      </c>
      <c r="E175" s="20">
        <v>5</v>
      </c>
      <c r="F175" s="21">
        <f>ROUND(91.53*(1+G2/100),2)</f>
        <v>91.53</v>
      </c>
      <c r="G175" s="21">
        <f>ROUND(E175*F175,2)</f>
        <v>457.65</v>
      </c>
      <c r="H175" s="2"/>
      <c r="I175" s="2"/>
      <c r="J175" s="2"/>
    </row>
    <row r="176" spans="1:10" ht="30.6" x14ac:dyDescent="0.3">
      <c r="A176" s="2"/>
      <c r="B176" s="2"/>
      <c r="C176" s="2"/>
      <c r="D176" s="48" t="s">
        <v>439</v>
      </c>
      <c r="E176" s="48"/>
      <c r="F176" s="48"/>
      <c r="G176" s="48"/>
      <c r="H176" s="2"/>
      <c r="I176" s="2"/>
      <c r="J176" s="2"/>
    </row>
    <row r="177" spans="1:10" x14ac:dyDescent="0.3">
      <c r="A177" s="22"/>
      <c r="B177" s="22"/>
      <c r="C177" s="22"/>
      <c r="D177" s="34" t="s">
        <v>440</v>
      </c>
      <c r="E177" s="35"/>
      <c r="F177" s="36">
        <f>G175</f>
        <v>457.65</v>
      </c>
      <c r="G177" s="36">
        <f>ROUND(F177,2)</f>
        <v>457.65</v>
      </c>
      <c r="H177" s="2"/>
      <c r="I177" s="2"/>
      <c r="J177" s="2"/>
    </row>
    <row r="178" spans="1:10" x14ac:dyDescent="0.3">
      <c r="A178" s="41"/>
      <c r="B178" s="41"/>
      <c r="C178" s="41"/>
      <c r="D178" s="42" t="s">
        <v>441</v>
      </c>
      <c r="E178" s="43"/>
      <c r="F178" s="44">
        <f>G173+G177</f>
        <v>9553.19</v>
      </c>
      <c r="G178" s="44">
        <f>ROUND(F178,2)</f>
        <v>9553.19</v>
      </c>
      <c r="H178" s="2"/>
      <c r="I178" s="2"/>
      <c r="J178" s="2"/>
    </row>
    <row r="179" spans="1:10" x14ac:dyDescent="0.3">
      <c r="A179" s="26" t="s">
        <v>442</v>
      </c>
      <c r="B179" s="26" t="s">
        <v>443</v>
      </c>
      <c r="C179" s="27"/>
      <c r="D179" s="28" t="s">
        <v>444</v>
      </c>
      <c r="E179" s="27"/>
      <c r="F179" s="29">
        <f>F192</f>
        <v>433.51</v>
      </c>
      <c r="G179" s="29">
        <f>ROUND(F179,2)</f>
        <v>433.51</v>
      </c>
      <c r="H179" s="2"/>
      <c r="I179" s="2"/>
      <c r="J179" s="2"/>
    </row>
    <row r="180" spans="1:10" ht="20.399999999999999" x14ac:dyDescent="0.3">
      <c r="A180" s="10" t="s">
        <v>445</v>
      </c>
      <c r="B180" s="6" t="s">
        <v>446</v>
      </c>
      <c r="C180" s="6" t="s">
        <v>447</v>
      </c>
      <c r="D180" s="19" t="s">
        <v>448</v>
      </c>
      <c r="E180" s="20">
        <v>1</v>
      </c>
      <c r="F180" s="21">
        <f>ROUND(91.18*(1+G2/100),2)</f>
        <v>91.18</v>
      </c>
      <c r="G180" s="21">
        <f>ROUND(E180*F180,2)</f>
        <v>91.18</v>
      </c>
      <c r="H180" s="2"/>
      <c r="I180" s="2"/>
      <c r="J180" s="2"/>
    </row>
    <row r="181" spans="1:10" ht="40.799999999999997" x14ac:dyDescent="0.3">
      <c r="A181" s="2"/>
      <c r="B181" s="2"/>
      <c r="C181" s="2"/>
      <c r="D181" s="48" t="s">
        <v>449</v>
      </c>
      <c r="E181" s="48"/>
      <c r="F181" s="48"/>
      <c r="G181" s="48"/>
      <c r="H181" s="2"/>
      <c r="I181" s="2"/>
      <c r="J181" s="2"/>
    </row>
    <row r="182" spans="1:10" x14ac:dyDescent="0.3">
      <c r="A182" s="10" t="s">
        <v>450</v>
      </c>
      <c r="B182" s="6" t="s">
        <v>451</v>
      </c>
      <c r="C182" s="6" t="s">
        <v>452</v>
      </c>
      <c r="D182" s="19" t="s">
        <v>453</v>
      </c>
      <c r="E182" s="20">
        <v>1</v>
      </c>
      <c r="F182" s="21">
        <f>ROUND(149.131*(1+G2/100),2)</f>
        <v>149.13</v>
      </c>
      <c r="G182" s="21">
        <f>ROUND(E182*F182,2)</f>
        <v>149.13</v>
      </c>
      <c r="H182" s="2"/>
      <c r="I182" s="2"/>
      <c r="J182" s="2"/>
    </row>
    <row r="183" spans="1:10" ht="61.2" x14ac:dyDescent="0.3">
      <c r="A183" s="2"/>
      <c r="B183" s="2"/>
      <c r="C183" s="2"/>
      <c r="D183" s="48" t="s">
        <v>454</v>
      </c>
      <c r="E183" s="48"/>
      <c r="F183" s="48"/>
      <c r="G183" s="48"/>
      <c r="H183" s="2"/>
      <c r="I183" s="2"/>
      <c r="J183" s="2"/>
    </row>
    <row r="184" spans="1:10" ht="20.399999999999999" x14ac:dyDescent="0.3">
      <c r="A184" s="10" t="s">
        <v>455</v>
      </c>
      <c r="B184" s="6" t="s">
        <v>456</v>
      </c>
      <c r="C184" s="6" t="s">
        <v>457</v>
      </c>
      <c r="D184" s="19" t="s">
        <v>458</v>
      </c>
      <c r="E184" s="20">
        <v>1</v>
      </c>
      <c r="F184" s="21">
        <f>ROUND(62.47*(1+G2/100),2)</f>
        <v>62.47</v>
      </c>
      <c r="G184" s="21">
        <f>ROUND(E184*F184,2)</f>
        <v>62.47</v>
      </c>
      <c r="H184" s="2"/>
      <c r="I184" s="2"/>
      <c r="J184" s="2"/>
    </row>
    <row r="185" spans="1:10" ht="20.399999999999999" x14ac:dyDescent="0.3">
      <c r="A185" s="2"/>
      <c r="B185" s="2"/>
      <c r="C185" s="2"/>
      <c r="D185" s="48" t="s">
        <v>459</v>
      </c>
      <c r="E185" s="48"/>
      <c r="F185" s="48"/>
      <c r="G185" s="48"/>
      <c r="H185" s="2"/>
      <c r="I185" s="2"/>
      <c r="J185" s="2"/>
    </row>
    <row r="186" spans="1:10" x14ac:dyDescent="0.3">
      <c r="A186" s="10" t="s">
        <v>460</v>
      </c>
      <c r="B186" s="6" t="s">
        <v>461</v>
      </c>
      <c r="C186" s="6" t="s">
        <v>462</v>
      </c>
      <c r="D186" s="19" t="s">
        <v>463</v>
      </c>
      <c r="E186" s="20">
        <v>1</v>
      </c>
      <c r="F186" s="21">
        <f>ROUND(101.54*(1+G2/100),2)</f>
        <v>101.54</v>
      </c>
      <c r="G186" s="21">
        <f>ROUND(E186*F186,2)</f>
        <v>101.54</v>
      </c>
      <c r="H186" s="2"/>
      <c r="I186" s="2"/>
      <c r="J186" s="2"/>
    </row>
    <row r="187" spans="1:10" ht="20.399999999999999" x14ac:dyDescent="0.3">
      <c r="A187" s="2"/>
      <c r="B187" s="2"/>
      <c r="C187" s="2"/>
      <c r="D187" s="48" t="s">
        <v>464</v>
      </c>
      <c r="E187" s="48"/>
      <c r="F187" s="48"/>
      <c r="G187" s="48"/>
      <c r="H187" s="2"/>
      <c r="I187" s="2"/>
      <c r="J187" s="2"/>
    </row>
    <row r="188" spans="1:10" ht="20.399999999999999" x14ac:dyDescent="0.3">
      <c r="A188" s="10" t="s">
        <v>465</v>
      </c>
      <c r="B188" s="6" t="s">
        <v>466</v>
      </c>
      <c r="C188" s="6" t="s">
        <v>467</v>
      </c>
      <c r="D188" s="19" t="s">
        <v>468</v>
      </c>
      <c r="E188" s="20">
        <v>2</v>
      </c>
      <c r="F188" s="21">
        <f>ROUND(9.93*(1+G2/100),2)</f>
        <v>9.93</v>
      </c>
      <c r="G188" s="21">
        <f>ROUND(E188*F188,2)</f>
        <v>19.86</v>
      </c>
      <c r="H188" s="2"/>
      <c r="I188" s="2"/>
      <c r="J188" s="2"/>
    </row>
    <row r="189" spans="1:10" ht="51" x14ac:dyDescent="0.3">
      <c r="A189" s="2"/>
      <c r="B189" s="2"/>
      <c r="C189" s="2"/>
      <c r="D189" s="48" t="s">
        <v>469</v>
      </c>
      <c r="E189" s="48"/>
      <c r="F189" s="48"/>
      <c r="G189" s="48"/>
      <c r="H189" s="2"/>
      <c r="I189" s="2"/>
      <c r="J189" s="2"/>
    </row>
    <row r="190" spans="1:10" ht="20.399999999999999" x14ac:dyDescent="0.3">
      <c r="A190" s="10" t="s">
        <v>470</v>
      </c>
      <c r="B190" s="6" t="s">
        <v>471</v>
      </c>
      <c r="C190" s="6" t="s">
        <v>472</v>
      </c>
      <c r="D190" s="19" t="s">
        <v>473</v>
      </c>
      <c r="E190" s="20">
        <v>1</v>
      </c>
      <c r="F190" s="21">
        <f>ROUND(9.33*(1+G2/100),2)</f>
        <v>9.33</v>
      </c>
      <c r="G190" s="21">
        <f>ROUND(E190*F190,2)</f>
        <v>9.33</v>
      </c>
      <c r="H190" s="2"/>
      <c r="I190" s="2"/>
      <c r="J190" s="2"/>
    </row>
    <row r="191" spans="1:10" ht="40.799999999999997" x14ac:dyDescent="0.3">
      <c r="A191" s="2"/>
      <c r="B191" s="2"/>
      <c r="C191" s="2"/>
      <c r="D191" s="48" t="s">
        <v>474</v>
      </c>
      <c r="E191" s="48"/>
      <c r="F191" s="48"/>
      <c r="G191" s="48"/>
      <c r="H191" s="2"/>
      <c r="I191" s="2"/>
      <c r="J191" s="2"/>
    </row>
    <row r="192" spans="1:10" x14ac:dyDescent="0.3">
      <c r="A192" s="22"/>
      <c r="B192" s="22"/>
      <c r="C192" s="22"/>
      <c r="D192" s="23" t="s">
        <v>475</v>
      </c>
      <c r="E192" s="24"/>
      <c r="F192" s="25">
        <f>G180+G182+G184+G186+G188+G190</f>
        <v>433.51</v>
      </c>
      <c r="G192" s="25">
        <f>ROUND(F192,2)</f>
        <v>433.51</v>
      </c>
      <c r="H192" s="2"/>
      <c r="I192" s="2"/>
      <c r="J192" s="2"/>
    </row>
    <row r="193" spans="1:10" x14ac:dyDescent="0.3">
      <c r="A193" s="26" t="s">
        <v>476</v>
      </c>
      <c r="B193" s="26" t="s">
        <v>477</v>
      </c>
      <c r="C193" s="27"/>
      <c r="D193" s="28" t="s">
        <v>478</v>
      </c>
      <c r="E193" s="27"/>
      <c r="F193" s="29">
        <f>F196</f>
        <v>1100</v>
      </c>
      <c r="G193" s="29">
        <f>ROUND(F193,2)</f>
        <v>1100</v>
      </c>
      <c r="H193" s="2"/>
      <c r="I193" s="2"/>
      <c r="J193" s="2"/>
    </row>
    <row r="194" spans="1:10" ht="20.399999999999999" x14ac:dyDescent="0.3">
      <c r="A194" s="10" t="s">
        <v>479</v>
      </c>
      <c r="B194" s="6" t="s">
        <v>480</v>
      </c>
      <c r="C194" s="6" t="s">
        <v>481</v>
      </c>
      <c r="D194" s="19" t="s">
        <v>482</v>
      </c>
      <c r="E194" s="20">
        <v>1</v>
      </c>
      <c r="F194" s="21">
        <f>ROUND(1100*(1+G2/100),2)</f>
        <v>1100</v>
      </c>
      <c r="G194" s="21">
        <f>ROUND(E194*F194,2)</f>
        <v>1100</v>
      </c>
      <c r="H194" s="2"/>
      <c r="I194" s="2"/>
      <c r="J194" s="2"/>
    </row>
    <row r="195" spans="1:10" ht="81.599999999999994" x14ac:dyDescent="0.3">
      <c r="A195" s="2"/>
      <c r="B195" s="2"/>
      <c r="C195" s="2"/>
      <c r="D195" s="48" t="s">
        <v>483</v>
      </c>
      <c r="E195" s="48"/>
      <c r="F195" s="48"/>
      <c r="G195" s="48"/>
      <c r="H195" s="2"/>
      <c r="I195" s="2"/>
      <c r="J195" s="2"/>
    </row>
    <row r="196" spans="1:10" x14ac:dyDescent="0.3">
      <c r="A196" s="22"/>
      <c r="B196" s="22"/>
      <c r="C196" s="22"/>
      <c r="D196" s="23" t="s">
        <v>484</v>
      </c>
      <c r="E196" s="24"/>
      <c r="F196" s="25">
        <f>G194</f>
        <v>1100</v>
      </c>
      <c r="G196" s="25">
        <f>ROUND(F196,2)</f>
        <v>1100</v>
      </c>
      <c r="H196" s="2"/>
      <c r="I196" s="2"/>
      <c r="J196" s="2"/>
    </row>
    <row r="197" spans="1:10" x14ac:dyDescent="0.3">
      <c r="A197" s="26" t="s">
        <v>485</v>
      </c>
      <c r="B197" s="26" t="s">
        <v>486</v>
      </c>
      <c r="C197" s="27"/>
      <c r="D197" s="28" t="s">
        <v>487</v>
      </c>
      <c r="E197" s="27"/>
      <c r="F197" s="29">
        <f>F204</f>
        <v>6200</v>
      </c>
      <c r="G197" s="29">
        <f>ROUND(F197,2)</f>
        <v>6200</v>
      </c>
      <c r="H197" s="2"/>
      <c r="I197" s="2"/>
      <c r="J197" s="2"/>
    </row>
    <row r="198" spans="1:10" ht="20.399999999999999" x14ac:dyDescent="0.3">
      <c r="A198" s="10" t="s">
        <v>488</v>
      </c>
      <c r="B198" s="6" t="s">
        <v>489</v>
      </c>
      <c r="C198" s="6" t="s">
        <v>490</v>
      </c>
      <c r="D198" s="19" t="s">
        <v>491</v>
      </c>
      <c r="E198" s="20">
        <v>1</v>
      </c>
      <c r="F198" s="21">
        <f>ROUND(850*(1+G2/100),2)</f>
        <v>850</v>
      </c>
      <c r="G198" s="21">
        <f>ROUND(E198*F198,2)</f>
        <v>850</v>
      </c>
      <c r="H198" s="2"/>
      <c r="I198" s="2"/>
      <c r="J198" s="2"/>
    </row>
    <row r="199" spans="1:10" ht="20.399999999999999" x14ac:dyDescent="0.3">
      <c r="A199" s="2"/>
      <c r="B199" s="2"/>
      <c r="C199" s="2"/>
      <c r="D199" s="48" t="s">
        <v>492</v>
      </c>
      <c r="E199" s="48"/>
      <c r="F199" s="48"/>
      <c r="G199" s="48"/>
      <c r="H199" s="2"/>
      <c r="I199" s="2"/>
      <c r="J199" s="2"/>
    </row>
    <row r="200" spans="1:10" x14ac:dyDescent="0.3">
      <c r="A200" s="10" t="s">
        <v>493</v>
      </c>
      <c r="B200" s="6" t="s">
        <v>494</v>
      </c>
      <c r="C200" s="6" t="s">
        <v>495</v>
      </c>
      <c r="D200" s="19" t="s">
        <v>496</v>
      </c>
      <c r="E200" s="20">
        <v>1</v>
      </c>
      <c r="F200" s="21">
        <f>ROUND(3150*(1+G2/100),2)</f>
        <v>3150</v>
      </c>
      <c r="G200" s="21">
        <f>ROUND(E200*F200,2)</f>
        <v>3150</v>
      </c>
      <c r="H200" s="2"/>
      <c r="I200" s="2"/>
      <c r="J200" s="2"/>
    </row>
    <row r="201" spans="1:10" ht="30.6" x14ac:dyDescent="0.3">
      <c r="A201" s="2"/>
      <c r="B201" s="2"/>
      <c r="C201" s="2"/>
      <c r="D201" s="48" t="s">
        <v>497</v>
      </c>
      <c r="E201" s="48"/>
      <c r="F201" s="48"/>
      <c r="G201" s="48"/>
      <c r="H201" s="2"/>
      <c r="I201" s="2"/>
      <c r="J201" s="2"/>
    </row>
    <row r="202" spans="1:10" ht="20.399999999999999" x14ac:dyDescent="0.3">
      <c r="A202" s="10" t="s">
        <v>498</v>
      </c>
      <c r="B202" s="6" t="s">
        <v>499</v>
      </c>
      <c r="C202" s="6" t="s">
        <v>500</v>
      </c>
      <c r="D202" s="19" t="s">
        <v>501</v>
      </c>
      <c r="E202" s="20">
        <v>1</v>
      </c>
      <c r="F202" s="21">
        <f>ROUND(2200*(1+G2/100),2)</f>
        <v>2200</v>
      </c>
      <c r="G202" s="21">
        <f>ROUND(E202*F202,2)</f>
        <v>2200</v>
      </c>
      <c r="H202" s="2"/>
      <c r="I202" s="2"/>
      <c r="J202" s="2"/>
    </row>
    <row r="203" spans="1:10" ht="20.399999999999999" x14ac:dyDescent="0.3">
      <c r="A203" s="2"/>
      <c r="B203" s="2"/>
      <c r="C203" s="2"/>
      <c r="D203" s="48" t="s">
        <v>502</v>
      </c>
      <c r="E203" s="48"/>
      <c r="F203" s="48"/>
      <c r="G203" s="48"/>
      <c r="H203" s="2"/>
      <c r="I203" s="2"/>
      <c r="J203" s="2"/>
    </row>
    <row r="204" spans="1:10" x14ac:dyDescent="0.3">
      <c r="A204" s="22"/>
      <c r="B204" s="22"/>
      <c r="C204" s="22"/>
      <c r="D204" s="23" t="s">
        <v>503</v>
      </c>
      <c r="E204" s="24"/>
      <c r="F204" s="25">
        <f>G198+G200+G202</f>
        <v>6200</v>
      </c>
      <c r="G204" s="25">
        <f>ROUND(F204,2)</f>
        <v>6200</v>
      </c>
      <c r="H204" s="2"/>
      <c r="I204" s="2"/>
      <c r="J204" s="2"/>
    </row>
    <row r="205" spans="1:10" x14ac:dyDescent="0.3">
      <c r="A205" s="26" t="s">
        <v>504</v>
      </c>
      <c r="B205" s="26" t="s">
        <v>505</v>
      </c>
      <c r="C205" s="27"/>
      <c r="D205" s="28" t="s">
        <v>506</v>
      </c>
      <c r="E205" s="27"/>
      <c r="F205" s="29">
        <f>F348</f>
        <v>75687.859999999986</v>
      </c>
      <c r="G205" s="29">
        <f>ROUND(F205,2)</f>
        <v>75687.86</v>
      </c>
      <c r="H205" s="2"/>
      <c r="I205" s="2"/>
      <c r="J205" s="2"/>
    </row>
    <row r="206" spans="1:10" x14ac:dyDescent="0.3">
      <c r="A206" s="30" t="s">
        <v>507</v>
      </c>
      <c r="B206" s="30" t="s">
        <v>508</v>
      </c>
      <c r="C206" s="31"/>
      <c r="D206" s="32" t="s">
        <v>509</v>
      </c>
      <c r="E206" s="31"/>
      <c r="F206" s="33">
        <f>F225</f>
        <v>12178.43</v>
      </c>
      <c r="G206" s="33">
        <f>ROUND(F206,2)</f>
        <v>12178.43</v>
      </c>
      <c r="H206" s="2"/>
      <c r="I206" s="2"/>
      <c r="J206" s="2"/>
    </row>
    <row r="207" spans="1:10" ht="20.399999999999999" x14ac:dyDescent="0.3">
      <c r="A207" s="10" t="s">
        <v>510</v>
      </c>
      <c r="B207" s="6" t="s">
        <v>511</v>
      </c>
      <c r="C207" s="6" t="s">
        <v>512</v>
      </c>
      <c r="D207" s="19" t="s">
        <v>513</v>
      </c>
      <c r="E207" s="20">
        <v>2.4</v>
      </c>
      <c r="F207" s="21">
        <f>ROUND(9.95*(1+G2/100),2)</f>
        <v>9.9499999999999993</v>
      </c>
      <c r="G207" s="21">
        <f>ROUND(E207*F207,2)</f>
        <v>23.88</v>
      </c>
      <c r="H207" s="2"/>
      <c r="I207" s="2"/>
      <c r="J207" s="2"/>
    </row>
    <row r="208" spans="1:10" ht="30.6" x14ac:dyDescent="0.3">
      <c r="A208" s="2"/>
      <c r="B208" s="2"/>
      <c r="C208" s="2"/>
      <c r="D208" s="48" t="s">
        <v>514</v>
      </c>
      <c r="E208" s="48"/>
      <c r="F208" s="48"/>
      <c r="G208" s="48"/>
      <c r="H208" s="2"/>
      <c r="I208" s="2"/>
      <c r="J208" s="2"/>
    </row>
    <row r="209" spans="1:10" ht="20.399999999999999" x14ac:dyDescent="0.3">
      <c r="A209" s="10" t="s">
        <v>515</v>
      </c>
      <c r="B209" s="6" t="s">
        <v>516</v>
      </c>
      <c r="C209" s="6" t="s">
        <v>517</v>
      </c>
      <c r="D209" s="19" t="s">
        <v>518</v>
      </c>
      <c r="E209" s="20">
        <v>6.75</v>
      </c>
      <c r="F209" s="21">
        <f>ROUND(17.59*(1+G2/100),2)</f>
        <v>17.59</v>
      </c>
      <c r="G209" s="21">
        <f>ROUND(E209*F209,2)</f>
        <v>118.73</v>
      </c>
      <c r="H209" s="2"/>
      <c r="I209" s="2"/>
      <c r="J209" s="2"/>
    </row>
    <row r="210" spans="1:10" ht="30.6" x14ac:dyDescent="0.3">
      <c r="A210" s="2"/>
      <c r="B210" s="2"/>
      <c r="C210" s="2"/>
      <c r="D210" s="48" t="s">
        <v>519</v>
      </c>
      <c r="E210" s="48"/>
      <c r="F210" s="48"/>
      <c r="G210" s="48"/>
      <c r="H210" s="2"/>
      <c r="I210" s="2"/>
      <c r="J210" s="2"/>
    </row>
    <row r="211" spans="1:10" x14ac:dyDescent="0.3">
      <c r="A211" s="10" t="s">
        <v>520</v>
      </c>
      <c r="B211" s="6" t="s">
        <v>521</v>
      </c>
      <c r="C211" s="6" t="s">
        <v>522</v>
      </c>
      <c r="D211" s="19" t="s">
        <v>523</v>
      </c>
      <c r="E211" s="20">
        <v>37</v>
      </c>
      <c r="F211" s="21">
        <f>ROUND(4.91*(1+G2/100),2)</f>
        <v>4.91</v>
      </c>
      <c r="G211" s="21">
        <f>ROUND(E211*F211,2)</f>
        <v>181.67</v>
      </c>
      <c r="H211" s="2"/>
      <c r="I211" s="2"/>
      <c r="J211" s="2"/>
    </row>
    <row r="212" spans="1:10" ht="30.6" x14ac:dyDescent="0.3">
      <c r="A212" s="2"/>
      <c r="B212" s="2"/>
      <c r="C212" s="2"/>
      <c r="D212" s="48" t="s">
        <v>524</v>
      </c>
      <c r="E212" s="48"/>
      <c r="F212" s="48"/>
      <c r="G212" s="48"/>
      <c r="H212" s="2"/>
      <c r="I212" s="2"/>
      <c r="J212" s="2"/>
    </row>
    <row r="213" spans="1:10" ht="20.399999999999999" x14ac:dyDescent="0.3">
      <c r="A213" s="10" t="s">
        <v>525</v>
      </c>
      <c r="B213" s="6" t="s">
        <v>526</v>
      </c>
      <c r="C213" s="6" t="s">
        <v>527</v>
      </c>
      <c r="D213" s="19" t="s">
        <v>528</v>
      </c>
      <c r="E213" s="20">
        <v>1</v>
      </c>
      <c r="F213" s="21">
        <f>ROUND(354.16*(1+G2/100),2)</f>
        <v>354.16</v>
      </c>
      <c r="G213" s="21">
        <f>ROUND(E213*F213,2)</f>
        <v>354.16</v>
      </c>
      <c r="H213" s="2"/>
      <c r="I213" s="2"/>
      <c r="J213" s="2"/>
    </row>
    <row r="214" spans="1:10" ht="30.6" x14ac:dyDescent="0.3">
      <c r="A214" s="2"/>
      <c r="B214" s="2"/>
      <c r="C214" s="2"/>
      <c r="D214" s="48" t="s">
        <v>529</v>
      </c>
      <c r="E214" s="48"/>
      <c r="F214" s="48"/>
      <c r="G214" s="48"/>
      <c r="H214" s="2"/>
      <c r="I214" s="2"/>
      <c r="J214" s="2"/>
    </row>
    <row r="215" spans="1:10" ht="20.399999999999999" x14ac:dyDescent="0.3">
      <c r="A215" s="10" t="s">
        <v>530</v>
      </c>
      <c r="B215" s="6" t="s">
        <v>531</v>
      </c>
      <c r="C215" s="6" t="s">
        <v>532</v>
      </c>
      <c r="D215" s="19" t="s">
        <v>533</v>
      </c>
      <c r="E215" s="20">
        <v>216.429</v>
      </c>
      <c r="F215" s="21">
        <f>ROUND(4.46*(1+G2/100),2)</f>
        <v>4.46</v>
      </c>
      <c r="G215" s="21">
        <f>ROUND(E215*F215,2)</f>
        <v>965.27</v>
      </c>
      <c r="H215" s="2"/>
      <c r="I215" s="2"/>
      <c r="J215" s="2"/>
    </row>
    <row r="216" spans="1:10" ht="20.399999999999999" x14ac:dyDescent="0.3">
      <c r="A216" s="2"/>
      <c r="B216" s="2"/>
      <c r="C216" s="2"/>
      <c r="D216" s="48" t="s">
        <v>534</v>
      </c>
      <c r="E216" s="48"/>
      <c r="F216" s="48"/>
      <c r="G216" s="48"/>
      <c r="H216" s="2"/>
      <c r="I216" s="2"/>
      <c r="J216" s="2"/>
    </row>
    <row r="217" spans="1:10" ht="20.399999999999999" x14ac:dyDescent="0.3">
      <c r="A217" s="10" t="s">
        <v>535</v>
      </c>
      <c r="B217" s="6" t="s">
        <v>536</v>
      </c>
      <c r="C217" s="6" t="s">
        <v>537</v>
      </c>
      <c r="D217" s="19" t="s">
        <v>538</v>
      </c>
      <c r="E217" s="20">
        <v>407.14800000000002</v>
      </c>
      <c r="F217" s="21">
        <f>ROUND(20.85*(1+G2/100),2)</f>
        <v>20.85</v>
      </c>
      <c r="G217" s="21">
        <f>ROUND(E217*F217,2)</f>
        <v>8489.0400000000009</v>
      </c>
      <c r="H217" s="2"/>
      <c r="I217" s="2"/>
      <c r="J217" s="2"/>
    </row>
    <row r="218" spans="1:10" ht="40.799999999999997" x14ac:dyDescent="0.3">
      <c r="A218" s="2"/>
      <c r="B218" s="2"/>
      <c r="C218" s="2"/>
      <c r="D218" s="48" t="s">
        <v>539</v>
      </c>
      <c r="E218" s="48"/>
      <c r="F218" s="48"/>
      <c r="G218" s="48"/>
      <c r="H218" s="2"/>
      <c r="I218" s="2"/>
      <c r="J218" s="2"/>
    </row>
    <row r="219" spans="1:10" x14ac:dyDescent="0.3">
      <c r="A219" s="10" t="s">
        <v>540</v>
      </c>
      <c r="B219" s="6" t="s">
        <v>541</v>
      </c>
      <c r="C219" s="6" t="s">
        <v>542</v>
      </c>
      <c r="D219" s="19" t="s">
        <v>543</v>
      </c>
      <c r="E219" s="20">
        <v>38.75</v>
      </c>
      <c r="F219" s="21">
        <f>ROUND(25.99*(1+G2/100),2)</f>
        <v>25.99</v>
      </c>
      <c r="G219" s="21">
        <f>ROUND(E219*F219,2)</f>
        <v>1007.11</v>
      </c>
      <c r="H219" s="2"/>
      <c r="I219" s="2"/>
      <c r="J219" s="2"/>
    </row>
    <row r="220" spans="1:10" ht="20.399999999999999" x14ac:dyDescent="0.3">
      <c r="A220" s="2"/>
      <c r="B220" s="2"/>
      <c r="C220" s="2"/>
      <c r="D220" s="48" t="s">
        <v>544</v>
      </c>
      <c r="E220" s="48"/>
      <c r="F220" s="48"/>
      <c r="G220" s="48"/>
      <c r="H220" s="2"/>
      <c r="I220" s="2"/>
      <c r="J220" s="2"/>
    </row>
    <row r="221" spans="1:10" x14ac:dyDescent="0.3">
      <c r="A221" s="10" t="s">
        <v>545</v>
      </c>
      <c r="B221" s="6" t="s">
        <v>546</v>
      </c>
      <c r="C221" s="6" t="s">
        <v>547</v>
      </c>
      <c r="D221" s="19" t="s">
        <v>548</v>
      </c>
      <c r="E221" s="20">
        <v>48</v>
      </c>
      <c r="F221" s="21">
        <f>ROUND(9.75*(1+G2/100),2)</f>
        <v>9.75</v>
      </c>
      <c r="G221" s="21">
        <f>ROUND(E221*F221,2)</f>
        <v>468</v>
      </c>
      <c r="H221" s="2"/>
      <c r="I221" s="2"/>
      <c r="J221" s="2"/>
    </row>
    <row r="222" spans="1:10" ht="40.799999999999997" x14ac:dyDescent="0.3">
      <c r="A222" s="2"/>
      <c r="B222" s="2"/>
      <c r="C222" s="2"/>
      <c r="D222" s="48" t="s">
        <v>549</v>
      </c>
      <c r="E222" s="48"/>
      <c r="F222" s="48"/>
      <c r="G222" s="48"/>
      <c r="H222" s="2"/>
      <c r="I222" s="2"/>
      <c r="J222" s="2"/>
    </row>
    <row r="223" spans="1:10" ht="20.399999999999999" x14ac:dyDescent="0.3">
      <c r="A223" s="10" t="s">
        <v>550</v>
      </c>
      <c r="B223" s="6" t="s">
        <v>551</v>
      </c>
      <c r="C223" s="6" t="s">
        <v>552</v>
      </c>
      <c r="D223" s="19" t="s">
        <v>553</v>
      </c>
      <c r="E223" s="20">
        <v>104.5</v>
      </c>
      <c r="F223" s="21">
        <f>ROUND(5.46*(1+G2/100),2)</f>
        <v>5.46</v>
      </c>
      <c r="G223" s="21">
        <f>ROUND(E223*F223,2)</f>
        <v>570.57000000000005</v>
      </c>
      <c r="H223" s="2"/>
      <c r="I223" s="2"/>
      <c r="J223" s="2"/>
    </row>
    <row r="224" spans="1:10" ht="20.399999999999999" x14ac:dyDescent="0.3">
      <c r="A224" s="2"/>
      <c r="B224" s="2"/>
      <c r="C224" s="2"/>
      <c r="D224" s="48" t="s">
        <v>554</v>
      </c>
      <c r="E224" s="48"/>
      <c r="F224" s="48"/>
      <c r="G224" s="48"/>
      <c r="H224" s="2"/>
      <c r="I224" s="2"/>
      <c r="J224" s="2"/>
    </row>
    <row r="225" spans="1:10" x14ac:dyDescent="0.3">
      <c r="A225" s="22"/>
      <c r="B225" s="22"/>
      <c r="C225" s="22"/>
      <c r="D225" s="34" t="s">
        <v>555</v>
      </c>
      <c r="E225" s="35"/>
      <c r="F225" s="36">
        <f>G207+G209+G211+G213+G215+G217+G219+G221+G223</f>
        <v>12178.43</v>
      </c>
      <c r="G225" s="36">
        <f>ROUND(F225,2)</f>
        <v>12178.43</v>
      </c>
      <c r="H225" s="2"/>
      <c r="I225" s="2"/>
      <c r="J225" s="2"/>
    </row>
    <row r="226" spans="1:10" x14ac:dyDescent="0.3">
      <c r="A226" s="37" t="s">
        <v>556</v>
      </c>
      <c r="B226" s="37" t="s">
        <v>557</v>
      </c>
      <c r="C226" s="38"/>
      <c r="D226" s="39" t="s">
        <v>558</v>
      </c>
      <c r="E226" s="38"/>
      <c r="F226" s="40">
        <f>F239</f>
        <v>11449.67</v>
      </c>
      <c r="G226" s="40">
        <f>ROUND(F226,2)</f>
        <v>11449.67</v>
      </c>
      <c r="H226" s="2"/>
      <c r="I226" s="2"/>
      <c r="J226" s="2"/>
    </row>
    <row r="227" spans="1:10" ht="20.399999999999999" x14ac:dyDescent="0.3">
      <c r="A227" s="10" t="s">
        <v>559</v>
      </c>
      <c r="B227" s="6" t="s">
        <v>560</v>
      </c>
      <c r="C227" s="6" t="s">
        <v>561</v>
      </c>
      <c r="D227" s="19" t="s">
        <v>562</v>
      </c>
      <c r="E227" s="20">
        <v>148.38200000000001</v>
      </c>
      <c r="F227" s="21">
        <f>ROUND(6.8*(1+G2/100),2)</f>
        <v>6.8</v>
      </c>
      <c r="G227" s="21">
        <f>ROUND(E227*F227,2)</f>
        <v>1009</v>
      </c>
      <c r="H227" s="2"/>
      <c r="I227" s="2"/>
      <c r="J227" s="2"/>
    </row>
    <row r="228" spans="1:10" ht="40.799999999999997" x14ac:dyDescent="0.3">
      <c r="A228" s="2"/>
      <c r="B228" s="2"/>
      <c r="C228" s="2"/>
      <c r="D228" s="48" t="s">
        <v>563</v>
      </c>
      <c r="E228" s="48"/>
      <c r="F228" s="48"/>
      <c r="G228" s="48"/>
      <c r="H228" s="2"/>
      <c r="I228" s="2"/>
      <c r="J228" s="2"/>
    </row>
    <row r="229" spans="1:10" ht="20.399999999999999" x14ac:dyDescent="0.3">
      <c r="A229" s="10" t="s">
        <v>564</v>
      </c>
      <c r="B229" s="6" t="s">
        <v>565</v>
      </c>
      <c r="C229" s="6" t="s">
        <v>566</v>
      </c>
      <c r="D229" s="19" t="s">
        <v>567</v>
      </c>
      <c r="E229" s="20">
        <v>148.38200000000001</v>
      </c>
      <c r="F229" s="21">
        <f>ROUND(7.7*(1+G2/100),2)</f>
        <v>7.7</v>
      </c>
      <c r="G229" s="21">
        <f>ROUND(E229*F229,2)</f>
        <v>1142.54</v>
      </c>
      <c r="H229" s="2"/>
      <c r="I229" s="2"/>
      <c r="J229" s="2"/>
    </row>
    <row r="230" spans="1:10" ht="30.6" x14ac:dyDescent="0.3">
      <c r="A230" s="2"/>
      <c r="B230" s="2"/>
      <c r="C230" s="2"/>
      <c r="D230" s="48" t="s">
        <v>568</v>
      </c>
      <c r="E230" s="48"/>
      <c r="F230" s="48"/>
      <c r="G230" s="48"/>
      <c r="H230" s="2"/>
      <c r="I230" s="2"/>
      <c r="J230" s="2"/>
    </row>
    <row r="231" spans="1:10" ht="20.399999999999999" x14ac:dyDescent="0.3">
      <c r="A231" s="10" t="s">
        <v>569</v>
      </c>
      <c r="B231" s="6" t="s">
        <v>570</v>
      </c>
      <c r="C231" s="6" t="s">
        <v>571</v>
      </c>
      <c r="D231" s="19" t="s">
        <v>572</v>
      </c>
      <c r="E231" s="20">
        <v>635.15099999999995</v>
      </c>
      <c r="F231" s="21">
        <f>ROUND(8.1*(1+G2/100),2)</f>
        <v>8.1</v>
      </c>
      <c r="G231" s="21">
        <f>ROUND(E231*F231,2)</f>
        <v>5144.72</v>
      </c>
      <c r="H231" s="2"/>
      <c r="I231" s="2"/>
      <c r="J231" s="2"/>
    </row>
    <row r="232" spans="1:10" ht="40.799999999999997" x14ac:dyDescent="0.3">
      <c r="A232" s="2"/>
      <c r="B232" s="2"/>
      <c r="C232" s="2"/>
      <c r="D232" s="48" t="s">
        <v>573</v>
      </c>
      <c r="E232" s="48"/>
      <c r="F232" s="48"/>
      <c r="G232" s="48"/>
      <c r="H232" s="2"/>
      <c r="I232" s="2"/>
      <c r="J232" s="2"/>
    </row>
    <row r="233" spans="1:10" ht="20.399999999999999" x14ac:dyDescent="0.3">
      <c r="A233" s="10" t="s">
        <v>574</v>
      </c>
      <c r="B233" s="6" t="s">
        <v>575</v>
      </c>
      <c r="C233" s="6" t="s">
        <v>576</v>
      </c>
      <c r="D233" s="19" t="s">
        <v>577</v>
      </c>
      <c r="E233" s="20">
        <v>635.15099999999995</v>
      </c>
      <c r="F233" s="21">
        <f>ROUND(6.24*(1+G2/100),2)</f>
        <v>6.24</v>
      </c>
      <c r="G233" s="21">
        <f>ROUND(E233*F233,2)</f>
        <v>3963.34</v>
      </c>
      <c r="H233" s="2"/>
      <c r="I233" s="2"/>
      <c r="J233" s="2"/>
    </row>
    <row r="234" spans="1:10" ht="30.6" x14ac:dyDescent="0.3">
      <c r="A234" s="2"/>
      <c r="B234" s="2"/>
      <c r="C234" s="2"/>
      <c r="D234" s="48" t="s">
        <v>578</v>
      </c>
      <c r="E234" s="48"/>
      <c r="F234" s="48"/>
      <c r="G234" s="48"/>
      <c r="H234" s="2"/>
      <c r="I234" s="2"/>
      <c r="J234" s="2"/>
    </row>
    <row r="235" spans="1:10" ht="20.399999999999999" x14ac:dyDescent="0.3">
      <c r="A235" s="10" t="s">
        <v>579</v>
      </c>
      <c r="B235" s="6" t="s">
        <v>580</v>
      </c>
      <c r="C235" s="6" t="s">
        <v>581</v>
      </c>
      <c r="D235" s="19" t="s">
        <v>582</v>
      </c>
      <c r="E235" s="20">
        <v>3.7</v>
      </c>
      <c r="F235" s="21">
        <f>ROUND(20.57*(1+G2/100),2)</f>
        <v>20.57</v>
      </c>
      <c r="G235" s="21">
        <f>ROUND(E235*F235,2)</f>
        <v>76.11</v>
      </c>
      <c r="H235" s="2"/>
      <c r="I235" s="2"/>
      <c r="J235" s="2"/>
    </row>
    <row r="236" spans="1:10" ht="30.6" x14ac:dyDescent="0.3">
      <c r="A236" s="2"/>
      <c r="B236" s="2"/>
      <c r="C236" s="2"/>
      <c r="D236" s="48" t="s">
        <v>583</v>
      </c>
      <c r="E236" s="48"/>
      <c r="F236" s="48"/>
      <c r="G236" s="48"/>
      <c r="H236" s="2"/>
      <c r="I236" s="2"/>
      <c r="J236" s="2"/>
    </row>
    <row r="237" spans="1:10" ht="20.399999999999999" x14ac:dyDescent="0.3">
      <c r="A237" s="10" t="s">
        <v>584</v>
      </c>
      <c r="B237" s="6" t="s">
        <v>585</v>
      </c>
      <c r="C237" s="6" t="s">
        <v>586</v>
      </c>
      <c r="D237" s="19" t="s">
        <v>587</v>
      </c>
      <c r="E237" s="20">
        <v>3.7</v>
      </c>
      <c r="F237" s="21">
        <f>ROUND(30.8*(1+G2/100),2)</f>
        <v>30.8</v>
      </c>
      <c r="G237" s="21">
        <f>ROUND(E237*F237,2)</f>
        <v>113.96</v>
      </c>
      <c r="H237" s="2"/>
      <c r="I237" s="2"/>
      <c r="J237" s="2"/>
    </row>
    <row r="238" spans="1:10" ht="61.2" x14ac:dyDescent="0.3">
      <c r="A238" s="2"/>
      <c r="B238" s="2"/>
      <c r="C238" s="2"/>
      <c r="D238" s="48" t="s">
        <v>588</v>
      </c>
      <c r="E238" s="48"/>
      <c r="F238" s="48"/>
      <c r="G238" s="48"/>
      <c r="H238" s="2"/>
      <c r="I238" s="2"/>
      <c r="J238" s="2"/>
    </row>
    <row r="239" spans="1:10" x14ac:dyDescent="0.3">
      <c r="A239" s="22"/>
      <c r="B239" s="22"/>
      <c r="C239" s="22"/>
      <c r="D239" s="34" t="s">
        <v>589</v>
      </c>
      <c r="E239" s="35"/>
      <c r="F239" s="36">
        <f>G227+G229+G231+G233+G235+G237</f>
        <v>11449.67</v>
      </c>
      <c r="G239" s="36">
        <f>ROUND(F239,2)</f>
        <v>11449.67</v>
      </c>
      <c r="H239" s="2"/>
      <c r="I239" s="2"/>
      <c r="J239" s="2"/>
    </row>
    <row r="240" spans="1:10" x14ac:dyDescent="0.3">
      <c r="A240" s="37" t="s">
        <v>590</v>
      </c>
      <c r="B240" s="37" t="s">
        <v>591</v>
      </c>
      <c r="C240" s="38"/>
      <c r="D240" s="39" t="s">
        <v>592</v>
      </c>
      <c r="E240" s="38"/>
      <c r="F240" s="40">
        <f>F273</f>
        <v>31054.789999999997</v>
      </c>
      <c r="G240" s="40">
        <f>ROUND(F240,2)</f>
        <v>31054.79</v>
      </c>
      <c r="H240" s="2"/>
      <c r="I240" s="2"/>
      <c r="J240" s="2"/>
    </row>
    <row r="241" spans="1:10" ht="20.399999999999999" x14ac:dyDescent="0.3">
      <c r="A241" s="10" t="s">
        <v>593</v>
      </c>
      <c r="B241" s="6" t="s">
        <v>594</v>
      </c>
      <c r="C241" s="6" t="s">
        <v>595</v>
      </c>
      <c r="D241" s="19" t="s">
        <v>596</v>
      </c>
      <c r="E241" s="20">
        <v>45.08</v>
      </c>
      <c r="F241" s="21">
        <f>ROUND(15.81*(1+G2/100),2)</f>
        <v>15.81</v>
      </c>
      <c r="G241" s="21">
        <f>ROUND(E241*F241,2)</f>
        <v>712.71</v>
      </c>
      <c r="H241" s="2"/>
      <c r="I241" s="2"/>
      <c r="J241" s="2"/>
    </row>
    <row r="242" spans="1:10" ht="30.6" x14ac:dyDescent="0.3">
      <c r="A242" s="2"/>
      <c r="B242" s="2"/>
      <c r="C242" s="2"/>
      <c r="D242" s="48" t="s">
        <v>597</v>
      </c>
      <c r="E242" s="48"/>
      <c r="F242" s="48"/>
      <c r="G242" s="48"/>
      <c r="H242" s="2"/>
      <c r="I242" s="2"/>
      <c r="J242" s="2"/>
    </row>
    <row r="243" spans="1:10" x14ac:dyDescent="0.3">
      <c r="A243" s="10" t="s">
        <v>598</v>
      </c>
      <c r="B243" s="6" t="s">
        <v>599</v>
      </c>
      <c r="C243" s="6" t="s">
        <v>600</v>
      </c>
      <c r="D243" s="19" t="s">
        <v>601</v>
      </c>
      <c r="E243" s="20">
        <v>16.559999999999999</v>
      </c>
      <c r="F243" s="21">
        <f>ROUND(34.91*(1+G2/100),2)</f>
        <v>34.909999999999997</v>
      </c>
      <c r="G243" s="21">
        <f>ROUND(E243*F243,2)</f>
        <v>578.11</v>
      </c>
      <c r="H243" s="2"/>
      <c r="I243" s="2"/>
      <c r="J243" s="2"/>
    </row>
    <row r="244" spans="1:10" x14ac:dyDescent="0.3">
      <c r="A244" s="2"/>
      <c r="B244" s="2"/>
      <c r="C244" s="2"/>
      <c r="D244" s="48" t="s">
        <v>602</v>
      </c>
      <c r="E244" s="48"/>
      <c r="F244" s="48"/>
      <c r="G244" s="48"/>
      <c r="H244" s="2"/>
      <c r="I244" s="2"/>
      <c r="J244" s="2"/>
    </row>
    <row r="245" spans="1:10" x14ac:dyDescent="0.3">
      <c r="A245" s="10" t="s">
        <v>603</v>
      </c>
      <c r="B245" s="6" t="s">
        <v>604</v>
      </c>
      <c r="C245" s="6" t="s">
        <v>605</v>
      </c>
      <c r="D245" s="19" t="s">
        <v>606</v>
      </c>
      <c r="E245" s="20">
        <v>1213.46</v>
      </c>
      <c r="F245" s="21">
        <f>ROUND(1.86*(1+G2/100),2)</f>
        <v>1.86</v>
      </c>
      <c r="G245" s="21">
        <f>ROUND(E245*F245,2)</f>
        <v>2257.04</v>
      </c>
      <c r="H245" s="2"/>
      <c r="I245" s="2"/>
      <c r="J245" s="2"/>
    </row>
    <row r="246" spans="1:10" ht="20.399999999999999" x14ac:dyDescent="0.3">
      <c r="A246" s="2"/>
      <c r="B246" s="2"/>
      <c r="C246" s="2"/>
      <c r="D246" s="48" t="s">
        <v>607</v>
      </c>
      <c r="E246" s="48"/>
      <c r="F246" s="48"/>
      <c r="G246" s="48"/>
      <c r="H246" s="2"/>
      <c r="I246" s="2"/>
      <c r="J246" s="2"/>
    </row>
    <row r="247" spans="1:10" ht="20.399999999999999" x14ac:dyDescent="0.3">
      <c r="A247" s="10" t="s">
        <v>608</v>
      </c>
      <c r="B247" s="6" t="s">
        <v>609</v>
      </c>
      <c r="C247" s="6" t="s">
        <v>610</v>
      </c>
      <c r="D247" s="19" t="s">
        <v>611</v>
      </c>
      <c r="E247" s="20">
        <v>14.276</v>
      </c>
      <c r="F247" s="21">
        <f>ROUND(127.61*(1+G2/100),2)</f>
        <v>127.61</v>
      </c>
      <c r="G247" s="21">
        <f>ROUND(E247*F247,2)</f>
        <v>1821.76</v>
      </c>
      <c r="H247" s="2"/>
      <c r="I247" s="2"/>
      <c r="J247" s="2"/>
    </row>
    <row r="248" spans="1:10" ht="40.799999999999997" x14ac:dyDescent="0.3">
      <c r="A248" s="2"/>
      <c r="B248" s="2"/>
      <c r="C248" s="2"/>
      <c r="D248" s="48" t="s">
        <v>612</v>
      </c>
      <c r="E248" s="48"/>
      <c r="F248" s="48"/>
      <c r="G248" s="48"/>
      <c r="H248" s="2"/>
      <c r="I248" s="2"/>
      <c r="J248" s="2"/>
    </row>
    <row r="249" spans="1:10" ht="20.399999999999999" x14ac:dyDescent="0.3">
      <c r="A249" s="10" t="s">
        <v>613</v>
      </c>
      <c r="B249" s="6" t="s">
        <v>614</v>
      </c>
      <c r="C249" s="6" t="s">
        <v>615</v>
      </c>
      <c r="D249" s="19" t="s">
        <v>616</v>
      </c>
      <c r="E249" s="20">
        <v>42</v>
      </c>
      <c r="F249" s="21">
        <f>ROUND(11.82*(1+G2/100),2)</f>
        <v>11.82</v>
      </c>
      <c r="G249" s="21">
        <f>ROUND(E249*F249,2)</f>
        <v>496.44</v>
      </c>
      <c r="H249" s="2"/>
      <c r="I249" s="2"/>
      <c r="J249" s="2"/>
    </row>
    <row r="250" spans="1:10" ht="20.399999999999999" x14ac:dyDescent="0.3">
      <c r="A250" s="2"/>
      <c r="B250" s="2"/>
      <c r="C250" s="2"/>
      <c r="D250" s="48" t="s">
        <v>617</v>
      </c>
      <c r="E250" s="48"/>
      <c r="F250" s="48"/>
      <c r="G250" s="48"/>
      <c r="H250" s="2"/>
      <c r="I250" s="2"/>
      <c r="J250" s="2"/>
    </row>
    <row r="251" spans="1:10" ht="20.399999999999999" x14ac:dyDescent="0.3">
      <c r="A251" s="10" t="s">
        <v>618</v>
      </c>
      <c r="B251" s="6" t="s">
        <v>619</v>
      </c>
      <c r="C251" s="6" t="s">
        <v>620</v>
      </c>
      <c r="D251" s="19" t="s">
        <v>621</v>
      </c>
      <c r="E251" s="20">
        <v>154.69999999999999</v>
      </c>
      <c r="F251" s="21">
        <f>ROUND(26.91*(1+G2/100),2)</f>
        <v>26.91</v>
      </c>
      <c r="G251" s="21">
        <f>ROUND(E251*F251,2)</f>
        <v>4162.9799999999996</v>
      </c>
      <c r="H251" s="2"/>
      <c r="I251" s="2"/>
      <c r="J251" s="2"/>
    </row>
    <row r="252" spans="1:10" ht="30.6" x14ac:dyDescent="0.3">
      <c r="A252" s="2"/>
      <c r="B252" s="2"/>
      <c r="C252" s="2"/>
      <c r="D252" s="48" t="s">
        <v>622</v>
      </c>
      <c r="E252" s="48"/>
      <c r="F252" s="48"/>
      <c r="G252" s="48"/>
      <c r="H252" s="2"/>
      <c r="I252" s="2"/>
      <c r="J252" s="2"/>
    </row>
    <row r="253" spans="1:10" ht="20.399999999999999" x14ac:dyDescent="0.3">
      <c r="A253" s="10" t="s">
        <v>623</v>
      </c>
      <c r="B253" s="6" t="s">
        <v>624</v>
      </c>
      <c r="C253" s="6" t="s">
        <v>625</v>
      </c>
      <c r="D253" s="19" t="s">
        <v>626</v>
      </c>
      <c r="E253" s="20">
        <v>2005.2</v>
      </c>
      <c r="F253" s="21">
        <f>ROUND(2.02*(1+G2/100),2)</f>
        <v>2.02</v>
      </c>
      <c r="G253" s="21">
        <f>ROUND(E253*F253,2)</f>
        <v>4050.5</v>
      </c>
      <c r="H253" s="2"/>
      <c r="I253" s="2"/>
      <c r="J253" s="2"/>
    </row>
    <row r="254" spans="1:10" ht="30.6" x14ac:dyDescent="0.3">
      <c r="A254" s="2"/>
      <c r="B254" s="2"/>
      <c r="C254" s="2"/>
      <c r="D254" s="48" t="s">
        <v>627</v>
      </c>
      <c r="E254" s="48"/>
      <c r="F254" s="48"/>
      <c r="G254" s="48"/>
      <c r="H254" s="2"/>
      <c r="I254" s="2"/>
      <c r="J254" s="2"/>
    </row>
    <row r="255" spans="1:10" x14ac:dyDescent="0.3">
      <c r="A255" s="10" t="s">
        <v>628</v>
      </c>
      <c r="B255" s="6" t="s">
        <v>629</v>
      </c>
      <c r="C255" s="6" t="s">
        <v>630</v>
      </c>
      <c r="D255" s="19" t="s">
        <v>631</v>
      </c>
      <c r="E255" s="20">
        <v>26.736000000000001</v>
      </c>
      <c r="F255" s="21">
        <f>ROUND(138*(1+G2/100),2)</f>
        <v>138</v>
      </c>
      <c r="G255" s="21">
        <f>ROUND(E255*F255,2)</f>
        <v>3689.57</v>
      </c>
      <c r="H255" s="2"/>
      <c r="I255" s="2"/>
      <c r="J255" s="2"/>
    </row>
    <row r="256" spans="1:10" ht="30.6" x14ac:dyDescent="0.3">
      <c r="A256" s="2"/>
      <c r="B256" s="2"/>
      <c r="C256" s="2"/>
      <c r="D256" s="48" t="s">
        <v>632</v>
      </c>
      <c r="E256" s="48"/>
      <c r="F256" s="48"/>
      <c r="G256" s="48"/>
      <c r="H256" s="2"/>
      <c r="I256" s="2"/>
      <c r="J256" s="2"/>
    </row>
    <row r="257" spans="1:10" ht="20.399999999999999" x14ac:dyDescent="0.3">
      <c r="A257" s="10" t="s">
        <v>633</v>
      </c>
      <c r="B257" s="6" t="s">
        <v>634</v>
      </c>
      <c r="C257" s="6" t="s">
        <v>635</v>
      </c>
      <c r="D257" s="19" t="s">
        <v>636</v>
      </c>
      <c r="E257" s="20">
        <v>84.364000000000004</v>
      </c>
      <c r="F257" s="21">
        <f>ROUND(48.13*(1+G2/100),2)</f>
        <v>48.13</v>
      </c>
      <c r="G257" s="21">
        <f>ROUND(E257*F257,2)</f>
        <v>4060.44</v>
      </c>
      <c r="H257" s="2"/>
      <c r="I257" s="2"/>
      <c r="J257" s="2"/>
    </row>
    <row r="258" spans="1:10" ht="153" x14ac:dyDescent="0.3">
      <c r="A258" s="2"/>
      <c r="B258" s="2"/>
      <c r="C258" s="2"/>
      <c r="D258" s="48" t="s">
        <v>637</v>
      </c>
      <c r="E258" s="48"/>
      <c r="F258" s="48"/>
      <c r="G258" s="48"/>
      <c r="H258" s="2"/>
      <c r="I258" s="2"/>
      <c r="J258" s="2"/>
    </row>
    <row r="259" spans="1:10" ht="30.6" x14ac:dyDescent="0.3">
      <c r="A259" s="10" t="s">
        <v>638</v>
      </c>
      <c r="B259" s="6" t="s">
        <v>639</v>
      </c>
      <c r="C259" s="6" t="s">
        <v>640</v>
      </c>
      <c r="D259" s="19" t="s">
        <v>641</v>
      </c>
      <c r="E259" s="20">
        <v>2</v>
      </c>
      <c r="F259" s="21">
        <f>ROUND(841.65*(1+G2/100),2)</f>
        <v>841.65</v>
      </c>
      <c r="G259" s="21">
        <f>ROUND(E259*F259,2)</f>
        <v>1683.3</v>
      </c>
      <c r="H259" s="2"/>
      <c r="I259" s="2"/>
      <c r="J259" s="2"/>
    </row>
    <row r="260" spans="1:10" ht="91.8" x14ac:dyDescent="0.3">
      <c r="A260" s="2"/>
      <c r="B260" s="2"/>
      <c r="C260" s="2"/>
      <c r="D260" s="48" t="s">
        <v>642</v>
      </c>
      <c r="E260" s="48"/>
      <c r="F260" s="48"/>
      <c r="G260" s="48"/>
      <c r="H260" s="2"/>
      <c r="I260" s="2"/>
      <c r="J260" s="2"/>
    </row>
    <row r="261" spans="1:10" ht="30.6" x14ac:dyDescent="0.3">
      <c r="A261" s="10" t="s">
        <v>643</v>
      </c>
      <c r="B261" s="6" t="s">
        <v>644</v>
      </c>
      <c r="C261" s="6" t="s">
        <v>645</v>
      </c>
      <c r="D261" s="19" t="s">
        <v>646</v>
      </c>
      <c r="E261" s="20">
        <v>24</v>
      </c>
      <c r="F261" s="21">
        <f>ROUND(71.45*(1+G2/100),2)</f>
        <v>71.45</v>
      </c>
      <c r="G261" s="21">
        <f>ROUND(E261*F261,2)</f>
        <v>1714.8</v>
      </c>
      <c r="H261" s="2"/>
      <c r="I261" s="2"/>
      <c r="J261" s="2"/>
    </row>
    <row r="262" spans="1:10" ht="71.400000000000006" x14ac:dyDescent="0.3">
      <c r="A262" s="2"/>
      <c r="B262" s="2"/>
      <c r="C262" s="2"/>
      <c r="D262" s="48" t="s">
        <v>647</v>
      </c>
      <c r="E262" s="48"/>
      <c r="F262" s="48"/>
      <c r="G262" s="48"/>
      <c r="H262" s="2"/>
      <c r="I262" s="2"/>
      <c r="J262" s="2"/>
    </row>
    <row r="263" spans="1:10" ht="20.399999999999999" x14ac:dyDescent="0.3">
      <c r="A263" s="10" t="s">
        <v>648</v>
      </c>
      <c r="B263" s="6" t="s">
        <v>649</v>
      </c>
      <c r="C263" s="6" t="s">
        <v>650</v>
      </c>
      <c r="D263" s="19" t="s">
        <v>651</v>
      </c>
      <c r="E263" s="20">
        <v>4</v>
      </c>
      <c r="F263" s="21">
        <f>ROUND(138.49*(1+G2/100),2)</f>
        <v>138.49</v>
      </c>
      <c r="G263" s="21">
        <f>ROUND(E263*F263,2)</f>
        <v>553.96</v>
      </c>
      <c r="H263" s="2"/>
      <c r="I263" s="2"/>
      <c r="J263" s="2"/>
    </row>
    <row r="264" spans="1:10" ht="61.2" x14ac:dyDescent="0.3">
      <c r="A264" s="2"/>
      <c r="B264" s="2"/>
      <c r="C264" s="2"/>
      <c r="D264" s="48" t="s">
        <v>652</v>
      </c>
      <c r="E264" s="48"/>
      <c r="F264" s="48"/>
      <c r="G264" s="48"/>
      <c r="H264" s="2"/>
      <c r="I264" s="2"/>
      <c r="J264" s="2"/>
    </row>
    <row r="265" spans="1:10" x14ac:dyDescent="0.3">
      <c r="A265" s="10" t="s">
        <v>653</v>
      </c>
      <c r="B265" s="6" t="s">
        <v>654</v>
      </c>
      <c r="C265" s="6" t="s">
        <v>655</v>
      </c>
      <c r="D265" s="19" t="s">
        <v>656</v>
      </c>
      <c r="E265" s="20">
        <v>12.15</v>
      </c>
      <c r="F265" s="21">
        <f>ROUND(350.02*(1+G2/100),2)</f>
        <v>350.02</v>
      </c>
      <c r="G265" s="21">
        <f>ROUND(E265*F265,2)</f>
        <v>4252.74</v>
      </c>
      <c r="H265" s="2"/>
      <c r="I265" s="2"/>
      <c r="J265" s="2"/>
    </row>
    <row r="266" spans="1:10" ht="20.399999999999999" x14ac:dyDescent="0.3">
      <c r="A266" s="2"/>
      <c r="B266" s="2"/>
      <c r="C266" s="2"/>
      <c r="D266" s="48" t="s">
        <v>657</v>
      </c>
      <c r="E266" s="48"/>
      <c r="F266" s="48"/>
      <c r="G266" s="48"/>
      <c r="H266" s="2"/>
      <c r="I266" s="2"/>
      <c r="J266" s="2"/>
    </row>
    <row r="267" spans="1:10" ht="20.399999999999999" x14ac:dyDescent="0.3">
      <c r="A267" s="10" t="s">
        <v>658</v>
      </c>
      <c r="B267" s="6" t="s">
        <v>659</v>
      </c>
      <c r="C267" s="6" t="s">
        <v>660</v>
      </c>
      <c r="D267" s="19" t="s">
        <v>661</v>
      </c>
      <c r="E267" s="20">
        <v>5</v>
      </c>
      <c r="F267" s="21">
        <f>ROUND(129.98*(1+G2/100),2)</f>
        <v>129.97999999999999</v>
      </c>
      <c r="G267" s="21">
        <f>ROUND(E267*F267,2)</f>
        <v>649.9</v>
      </c>
      <c r="H267" s="2"/>
      <c r="I267" s="2"/>
      <c r="J267" s="2"/>
    </row>
    <row r="268" spans="1:10" ht="51" x14ac:dyDescent="0.3">
      <c r="A268" s="2"/>
      <c r="B268" s="2"/>
      <c r="C268" s="2"/>
      <c r="D268" s="48" t="s">
        <v>662</v>
      </c>
      <c r="E268" s="48"/>
      <c r="F268" s="48"/>
      <c r="G268" s="48"/>
      <c r="H268" s="2"/>
      <c r="I268" s="2"/>
      <c r="J268" s="2"/>
    </row>
    <row r="269" spans="1:10" ht="20.399999999999999" x14ac:dyDescent="0.3">
      <c r="A269" s="10" t="s">
        <v>663</v>
      </c>
      <c r="B269" s="6" t="s">
        <v>664</v>
      </c>
      <c r="C269" s="6" t="s">
        <v>665</v>
      </c>
      <c r="D269" s="19" t="s">
        <v>666</v>
      </c>
      <c r="E269" s="20">
        <v>4</v>
      </c>
      <c r="F269" s="21">
        <f>ROUND(66.78*(1+G2/100),2)</f>
        <v>66.78</v>
      </c>
      <c r="G269" s="21">
        <f>ROUND(E269*F269,2)</f>
        <v>267.12</v>
      </c>
      <c r="H269" s="2"/>
      <c r="I269" s="2"/>
      <c r="J269" s="2"/>
    </row>
    <row r="270" spans="1:10" ht="51" x14ac:dyDescent="0.3">
      <c r="A270" s="2"/>
      <c r="B270" s="2"/>
      <c r="C270" s="2"/>
      <c r="D270" s="48" t="s">
        <v>667</v>
      </c>
      <c r="E270" s="48"/>
      <c r="F270" s="48"/>
      <c r="G270" s="48"/>
      <c r="H270" s="2"/>
      <c r="I270" s="2"/>
      <c r="J270" s="2"/>
    </row>
    <row r="271" spans="1:10" ht="20.399999999999999" x14ac:dyDescent="0.3">
      <c r="A271" s="10" t="s">
        <v>668</v>
      </c>
      <c r="B271" s="6" t="s">
        <v>669</v>
      </c>
      <c r="C271" s="6" t="s">
        <v>670</v>
      </c>
      <c r="D271" s="19" t="s">
        <v>671</v>
      </c>
      <c r="E271" s="20">
        <v>17.8</v>
      </c>
      <c r="F271" s="21">
        <f>ROUND(5.81*(1+G2/100),2)</f>
        <v>5.81</v>
      </c>
      <c r="G271" s="21">
        <f>ROUND(E271*F271,2)</f>
        <v>103.42</v>
      </c>
      <c r="H271" s="2"/>
      <c r="I271" s="2"/>
      <c r="J271" s="2"/>
    </row>
    <row r="272" spans="1:10" ht="30.6" x14ac:dyDescent="0.3">
      <c r="A272" s="2"/>
      <c r="B272" s="2"/>
      <c r="C272" s="2"/>
      <c r="D272" s="48" t="s">
        <v>672</v>
      </c>
      <c r="E272" s="48"/>
      <c r="F272" s="48"/>
      <c r="G272" s="48"/>
      <c r="H272" s="2"/>
      <c r="I272" s="2"/>
      <c r="J272" s="2"/>
    </row>
    <row r="273" spans="1:10" x14ac:dyDescent="0.3">
      <c r="A273" s="22"/>
      <c r="B273" s="22"/>
      <c r="C273" s="22"/>
      <c r="D273" s="34" t="s">
        <v>673</v>
      </c>
      <c r="E273" s="35"/>
      <c r="F273" s="36">
        <f>G241+G243+G245+G247+G249+G251+G253+G255+G257+G259+G261+G263+G265+G267+G269+G271</f>
        <v>31054.789999999997</v>
      </c>
      <c r="G273" s="36">
        <f>ROUND(F273,2)</f>
        <v>31054.79</v>
      </c>
      <c r="H273" s="2"/>
      <c r="I273" s="2"/>
      <c r="J273" s="2"/>
    </row>
    <row r="274" spans="1:10" x14ac:dyDescent="0.3">
      <c r="A274" s="37" t="s">
        <v>674</v>
      </c>
      <c r="B274" s="37" t="s">
        <v>675</v>
      </c>
      <c r="C274" s="38"/>
      <c r="D274" s="39" t="s">
        <v>676</v>
      </c>
      <c r="E274" s="38"/>
      <c r="F274" s="40">
        <f>F285</f>
        <v>2932.2799999999997</v>
      </c>
      <c r="G274" s="40">
        <f>ROUND(F274,2)</f>
        <v>2932.28</v>
      </c>
      <c r="H274" s="2"/>
      <c r="I274" s="2"/>
      <c r="J274" s="2"/>
    </row>
    <row r="275" spans="1:10" x14ac:dyDescent="0.3">
      <c r="A275" s="10" t="s">
        <v>677</v>
      </c>
      <c r="B275" s="6" t="s">
        <v>678</v>
      </c>
      <c r="C275" s="6" t="s">
        <v>679</v>
      </c>
      <c r="D275" s="19" t="s">
        <v>680</v>
      </c>
      <c r="E275" s="20">
        <v>30.2</v>
      </c>
      <c r="F275" s="21">
        <f>ROUND(26.18*(1+G2/100),2)</f>
        <v>26.18</v>
      </c>
      <c r="G275" s="21">
        <f>ROUND(E275*F275,2)</f>
        <v>790.64</v>
      </c>
      <c r="H275" s="2"/>
      <c r="I275" s="2"/>
      <c r="J275" s="2"/>
    </row>
    <row r="276" spans="1:10" ht="20.399999999999999" x14ac:dyDescent="0.3">
      <c r="A276" s="2"/>
      <c r="B276" s="2"/>
      <c r="C276" s="2"/>
      <c r="D276" s="48" t="s">
        <v>681</v>
      </c>
      <c r="E276" s="48"/>
      <c r="F276" s="48"/>
      <c r="G276" s="48"/>
      <c r="H276" s="2"/>
      <c r="I276" s="2"/>
      <c r="J276" s="2"/>
    </row>
    <row r="277" spans="1:10" ht="20.399999999999999" x14ac:dyDescent="0.3">
      <c r="A277" s="10" t="s">
        <v>682</v>
      </c>
      <c r="B277" s="6" t="s">
        <v>683</v>
      </c>
      <c r="C277" s="6" t="s">
        <v>684</v>
      </c>
      <c r="D277" s="19" t="s">
        <v>685</v>
      </c>
      <c r="E277" s="20">
        <v>30.2</v>
      </c>
      <c r="F277" s="21">
        <f>ROUND(31.07*(1+G2/100),2)</f>
        <v>31.07</v>
      </c>
      <c r="G277" s="21">
        <f>ROUND(E277*F277,2)</f>
        <v>938.31</v>
      </c>
      <c r="H277" s="2"/>
      <c r="I277" s="2"/>
      <c r="J277" s="2"/>
    </row>
    <row r="278" spans="1:10" ht="61.2" x14ac:dyDescent="0.3">
      <c r="A278" s="2"/>
      <c r="B278" s="2"/>
      <c r="C278" s="2"/>
      <c r="D278" s="48" t="s">
        <v>686</v>
      </c>
      <c r="E278" s="48"/>
      <c r="F278" s="48"/>
      <c r="G278" s="48"/>
      <c r="H278" s="2"/>
      <c r="I278" s="2"/>
      <c r="J278" s="2"/>
    </row>
    <row r="279" spans="1:10" x14ac:dyDescent="0.3">
      <c r="A279" s="10" t="s">
        <v>687</v>
      </c>
      <c r="B279" s="6" t="s">
        <v>688</v>
      </c>
      <c r="C279" s="6" t="s">
        <v>689</v>
      </c>
      <c r="D279" s="19" t="s">
        <v>690</v>
      </c>
      <c r="E279" s="20">
        <v>30.2</v>
      </c>
      <c r="F279" s="21">
        <f>ROUND(10.18*(1+G2/100),2)</f>
        <v>10.18</v>
      </c>
      <c r="G279" s="21">
        <f>ROUND(E279*F279,2)</f>
        <v>307.44</v>
      </c>
      <c r="H279" s="2"/>
      <c r="I279" s="2"/>
      <c r="J279" s="2"/>
    </row>
    <row r="280" spans="1:10" ht="20.399999999999999" x14ac:dyDescent="0.3">
      <c r="A280" s="2"/>
      <c r="B280" s="2"/>
      <c r="C280" s="2"/>
      <c r="D280" s="48" t="s">
        <v>691</v>
      </c>
      <c r="E280" s="48"/>
      <c r="F280" s="48"/>
      <c r="G280" s="48"/>
      <c r="H280" s="2"/>
      <c r="I280" s="2"/>
      <c r="J280" s="2"/>
    </row>
    <row r="281" spans="1:10" x14ac:dyDescent="0.3">
      <c r="A281" s="10" t="s">
        <v>692</v>
      </c>
      <c r="B281" s="6" t="s">
        <v>693</v>
      </c>
      <c r="C281" s="6" t="s">
        <v>694</v>
      </c>
      <c r="D281" s="19" t="s">
        <v>695</v>
      </c>
      <c r="E281" s="20">
        <v>30.2</v>
      </c>
      <c r="F281" s="21">
        <f>ROUND(7.05*(1+G2/100),2)</f>
        <v>7.05</v>
      </c>
      <c r="G281" s="21">
        <f>ROUND(E281*F281,2)</f>
        <v>212.91</v>
      </c>
      <c r="H281" s="2"/>
      <c r="I281" s="2"/>
      <c r="J281" s="2"/>
    </row>
    <row r="282" spans="1:10" ht="30.6" x14ac:dyDescent="0.3">
      <c r="A282" s="2"/>
      <c r="B282" s="2"/>
      <c r="C282" s="2"/>
      <c r="D282" s="48" t="s">
        <v>696</v>
      </c>
      <c r="E282" s="48"/>
      <c r="F282" s="48"/>
      <c r="G282" s="48"/>
      <c r="H282" s="2"/>
      <c r="I282" s="2"/>
      <c r="J282" s="2"/>
    </row>
    <row r="283" spans="1:10" ht="20.399999999999999" x14ac:dyDescent="0.3">
      <c r="A283" s="10" t="s">
        <v>697</v>
      </c>
      <c r="B283" s="6" t="s">
        <v>698</v>
      </c>
      <c r="C283" s="6" t="s">
        <v>699</v>
      </c>
      <c r="D283" s="19" t="s">
        <v>700</v>
      </c>
      <c r="E283" s="20">
        <v>23.6</v>
      </c>
      <c r="F283" s="21">
        <f>ROUND(28.94*(1+G2/100),2)</f>
        <v>28.94</v>
      </c>
      <c r="G283" s="21">
        <f>ROUND(E283*F283,2)</f>
        <v>682.98</v>
      </c>
      <c r="H283" s="2"/>
      <c r="I283" s="2"/>
      <c r="J283" s="2"/>
    </row>
    <row r="284" spans="1:10" ht="51" x14ac:dyDescent="0.3">
      <c r="A284" s="2"/>
      <c r="B284" s="2"/>
      <c r="C284" s="2"/>
      <c r="D284" s="48" t="s">
        <v>701</v>
      </c>
      <c r="E284" s="48"/>
      <c r="F284" s="48"/>
      <c r="G284" s="48"/>
      <c r="H284" s="2"/>
      <c r="I284" s="2"/>
      <c r="J284" s="2"/>
    </row>
    <row r="285" spans="1:10" x14ac:dyDescent="0.3">
      <c r="A285" s="22"/>
      <c r="B285" s="22"/>
      <c r="C285" s="22"/>
      <c r="D285" s="34" t="s">
        <v>702</v>
      </c>
      <c r="E285" s="35"/>
      <c r="F285" s="36">
        <f>G275+G277+G279+G281+G283</f>
        <v>2932.2799999999997</v>
      </c>
      <c r="G285" s="36">
        <f>ROUND(F285,2)</f>
        <v>2932.28</v>
      </c>
      <c r="H285" s="2"/>
      <c r="I285" s="2"/>
      <c r="J285" s="2"/>
    </row>
    <row r="286" spans="1:10" x14ac:dyDescent="0.3">
      <c r="A286" s="37" t="s">
        <v>703</v>
      </c>
      <c r="B286" s="37" t="s">
        <v>704</v>
      </c>
      <c r="C286" s="38"/>
      <c r="D286" s="39" t="s">
        <v>705</v>
      </c>
      <c r="E286" s="38"/>
      <c r="F286" s="40">
        <f>F297</f>
        <v>5507.48</v>
      </c>
      <c r="G286" s="40">
        <f>ROUND(F286,2)</f>
        <v>5507.48</v>
      </c>
      <c r="H286" s="2"/>
      <c r="I286" s="2"/>
      <c r="J286" s="2"/>
    </row>
    <row r="287" spans="1:10" ht="20.399999999999999" x14ac:dyDescent="0.3">
      <c r="A287" s="10" t="s">
        <v>706</v>
      </c>
      <c r="B287" s="6" t="s">
        <v>707</v>
      </c>
      <c r="C287" s="6" t="s">
        <v>708</v>
      </c>
      <c r="D287" s="19" t="s">
        <v>709</v>
      </c>
      <c r="E287" s="20">
        <v>81.673000000000002</v>
      </c>
      <c r="F287" s="21">
        <f>ROUND(10.78*(1+G2/100),2)</f>
        <v>10.78</v>
      </c>
      <c r="G287" s="21">
        <f>ROUND(E287*F287,2)</f>
        <v>880.43</v>
      </c>
      <c r="H287" s="2"/>
      <c r="I287" s="2"/>
      <c r="J287" s="2"/>
    </row>
    <row r="288" spans="1:10" ht="30.6" x14ac:dyDescent="0.3">
      <c r="A288" s="2"/>
      <c r="B288" s="2"/>
      <c r="C288" s="2"/>
      <c r="D288" s="48" t="s">
        <v>710</v>
      </c>
      <c r="E288" s="48"/>
      <c r="F288" s="48"/>
      <c r="G288" s="48"/>
      <c r="H288" s="2"/>
      <c r="I288" s="2"/>
      <c r="J288" s="2"/>
    </row>
    <row r="289" spans="1:10" ht="20.399999999999999" x14ac:dyDescent="0.3">
      <c r="A289" s="10" t="s">
        <v>711</v>
      </c>
      <c r="B289" s="6" t="s">
        <v>712</v>
      </c>
      <c r="C289" s="6" t="s">
        <v>713</v>
      </c>
      <c r="D289" s="19" t="s">
        <v>714</v>
      </c>
      <c r="E289" s="20">
        <v>81.673000000000002</v>
      </c>
      <c r="F289" s="21">
        <f>ROUND(13.89*(1+G2/100),2)</f>
        <v>13.89</v>
      </c>
      <c r="G289" s="21">
        <f>ROUND(E289*F289,2)</f>
        <v>1134.44</v>
      </c>
      <c r="H289" s="2"/>
      <c r="I289" s="2"/>
      <c r="J289" s="2"/>
    </row>
    <row r="290" spans="1:10" ht="51" x14ac:dyDescent="0.3">
      <c r="A290" s="2"/>
      <c r="B290" s="2"/>
      <c r="C290" s="2"/>
      <c r="D290" s="48" t="s">
        <v>715</v>
      </c>
      <c r="E290" s="48"/>
      <c r="F290" s="48"/>
      <c r="G290" s="48"/>
      <c r="H290" s="2"/>
      <c r="I290" s="2"/>
      <c r="J290" s="2"/>
    </row>
    <row r="291" spans="1:10" ht="20.399999999999999" x14ac:dyDescent="0.3">
      <c r="A291" s="10" t="s">
        <v>716</v>
      </c>
      <c r="B291" s="6" t="s">
        <v>717</v>
      </c>
      <c r="C291" s="6" t="s">
        <v>718</v>
      </c>
      <c r="D291" s="19" t="s">
        <v>719</v>
      </c>
      <c r="E291" s="20">
        <v>137.5</v>
      </c>
      <c r="F291" s="21">
        <f>ROUND(10.11*(1+G2/100),2)</f>
        <v>10.11</v>
      </c>
      <c r="G291" s="21">
        <f>ROUND(E291*F291,2)</f>
        <v>1390.13</v>
      </c>
      <c r="H291" s="2"/>
      <c r="I291" s="2"/>
      <c r="J291" s="2"/>
    </row>
    <row r="292" spans="1:10" ht="30.6" x14ac:dyDescent="0.3">
      <c r="A292" s="2"/>
      <c r="B292" s="2"/>
      <c r="C292" s="2"/>
      <c r="D292" s="48" t="s">
        <v>720</v>
      </c>
      <c r="E292" s="48"/>
      <c r="F292" s="48"/>
      <c r="G292" s="48"/>
      <c r="H292" s="2"/>
      <c r="I292" s="2"/>
      <c r="J292" s="2"/>
    </row>
    <row r="293" spans="1:10" ht="20.399999999999999" x14ac:dyDescent="0.3">
      <c r="A293" s="10" t="s">
        <v>721</v>
      </c>
      <c r="B293" s="6" t="s">
        <v>722</v>
      </c>
      <c r="C293" s="6" t="s">
        <v>723</v>
      </c>
      <c r="D293" s="19" t="s">
        <v>724</v>
      </c>
      <c r="E293" s="20">
        <v>54.752000000000002</v>
      </c>
      <c r="F293" s="21">
        <f>ROUND(26.69*(1+G2/100),2)</f>
        <v>26.69</v>
      </c>
      <c r="G293" s="21">
        <f>ROUND(E293*F293,2)</f>
        <v>1461.33</v>
      </c>
      <c r="H293" s="2"/>
      <c r="I293" s="2"/>
      <c r="J293" s="2"/>
    </row>
    <row r="294" spans="1:10" ht="40.799999999999997" x14ac:dyDescent="0.3">
      <c r="A294" s="2"/>
      <c r="B294" s="2"/>
      <c r="C294" s="2"/>
      <c r="D294" s="48" t="s">
        <v>725</v>
      </c>
      <c r="E294" s="48"/>
      <c r="F294" s="48"/>
      <c r="G294" s="48"/>
      <c r="H294" s="2"/>
      <c r="I294" s="2"/>
      <c r="J294" s="2"/>
    </row>
    <row r="295" spans="1:10" x14ac:dyDescent="0.3">
      <c r="A295" s="10" t="s">
        <v>726</v>
      </c>
      <c r="B295" s="6" t="s">
        <v>727</v>
      </c>
      <c r="C295" s="6" t="s">
        <v>728</v>
      </c>
      <c r="D295" s="19" t="s">
        <v>729</v>
      </c>
      <c r="E295" s="20">
        <v>54.752000000000002</v>
      </c>
      <c r="F295" s="21">
        <f>ROUND(11.71*(1+G2/100),2)</f>
        <v>11.71</v>
      </c>
      <c r="G295" s="21">
        <f>ROUND(E295*F295,2)</f>
        <v>641.15</v>
      </c>
      <c r="H295" s="2"/>
      <c r="I295" s="2"/>
      <c r="J295" s="2"/>
    </row>
    <row r="296" spans="1:10" ht="20.399999999999999" x14ac:dyDescent="0.3">
      <c r="A296" s="2"/>
      <c r="B296" s="2"/>
      <c r="C296" s="2"/>
      <c r="D296" s="48" t="s">
        <v>730</v>
      </c>
      <c r="E296" s="48"/>
      <c r="F296" s="48"/>
      <c r="G296" s="48"/>
      <c r="H296" s="2"/>
      <c r="I296" s="2"/>
      <c r="J296" s="2"/>
    </row>
    <row r="297" spans="1:10" x14ac:dyDescent="0.3">
      <c r="A297" s="22"/>
      <c r="B297" s="22"/>
      <c r="C297" s="22"/>
      <c r="D297" s="34" t="s">
        <v>731</v>
      </c>
      <c r="E297" s="35"/>
      <c r="F297" s="36">
        <f>G287+G289+G291+G293+G295</f>
        <v>5507.48</v>
      </c>
      <c r="G297" s="36">
        <f>ROUND(F297,2)</f>
        <v>5507.48</v>
      </c>
      <c r="H297" s="2"/>
      <c r="I297" s="2"/>
      <c r="J297" s="2"/>
    </row>
    <row r="298" spans="1:10" x14ac:dyDescent="0.3">
      <c r="A298" s="37" t="s">
        <v>732</v>
      </c>
      <c r="B298" s="37" t="s">
        <v>733</v>
      </c>
      <c r="C298" s="38"/>
      <c r="D298" s="39" t="s">
        <v>734</v>
      </c>
      <c r="E298" s="38"/>
      <c r="F298" s="40">
        <f>F305</f>
        <v>1305.43</v>
      </c>
      <c r="G298" s="40">
        <f>ROUND(F298,2)</f>
        <v>1305.43</v>
      </c>
      <c r="H298" s="2"/>
      <c r="I298" s="2"/>
      <c r="J298" s="2"/>
    </row>
    <row r="299" spans="1:10" ht="20.399999999999999" x14ac:dyDescent="0.3">
      <c r="A299" s="10" t="s">
        <v>735</v>
      </c>
      <c r="B299" s="6" t="s">
        <v>736</v>
      </c>
      <c r="C299" s="6" t="s">
        <v>737</v>
      </c>
      <c r="D299" s="19" t="s">
        <v>738</v>
      </c>
      <c r="E299" s="20">
        <v>1</v>
      </c>
      <c r="F299" s="21">
        <f>ROUND(529.84*(1+G2/100),2)</f>
        <v>529.84</v>
      </c>
      <c r="G299" s="21">
        <f>ROUND(E299*F299,2)</f>
        <v>529.84</v>
      </c>
      <c r="H299" s="2"/>
      <c r="I299" s="2"/>
      <c r="J299" s="2"/>
    </row>
    <row r="300" spans="1:10" ht="30.6" x14ac:dyDescent="0.3">
      <c r="A300" s="2"/>
      <c r="B300" s="2"/>
      <c r="C300" s="2"/>
      <c r="D300" s="48" t="s">
        <v>739</v>
      </c>
      <c r="E300" s="48"/>
      <c r="F300" s="48"/>
      <c r="G300" s="48"/>
      <c r="H300" s="2"/>
      <c r="I300" s="2"/>
      <c r="J300" s="2"/>
    </row>
    <row r="301" spans="1:10" ht="20.399999999999999" x14ac:dyDescent="0.3">
      <c r="A301" s="10" t="s">
        <v>740</v>
      </c>
      <c r="B301" s="6" t="s">
        <v>741</v>
      </c>
      <c r="C301" s="6" t="s">
        <v>742</v>
      </c>
      <c r="D301" s="19" t="s">
        <v>743</v>
      </c>
      <c r="E301" s="20">
        <v>1</v>
      </c>
      <c r="F301" s="21">
        <f>ROUND(140.76*(1+G2/100),2)</f>
        <v>140.76</v>
      </c>
      <c r="G301" s="21">
        <f>ROUND(E301*F301,2)</f>
        <v>140.76</v>
      </c>
      <c r="H301" s="2"/>
      <c r="I301" s="2"/>
      <c r="J301" s="2"/>
    </row>
    <row r="302" spans="1:10" ht="40.799999999999997" x14ac:dyDescent="0.3">
      <c r="A302" s="2"/>
      <c r="B302" s="2"/>
      <c r="C302" s="2"/>
      <c r="D302" s="48" t="s">
        <v>744</v>
      </c>
      <c r="E302" s="48"/>
      <c r="F302" s="48"/>
      <c r="G302" s="48"/>
      <c r="H302" s="2"/>
      <c r="I302" s="2"/>
      <c r="J302" s="2"/>
    </row>
    <row r="303" spans="1:10" ht="20.399999999999999" x14ac:dyDescent="0.3">
      <c r="A303" s="10" t="s">
        <v>745</v>
      </c>
      <c r="B303" s="6" t="s">
        <v>746</v>
      </c>
      <c r="C303" s="6" t="s">
        <v>747</v>
      </c>
      <c r="D303" s="19" t="s">
        <v>748</v>
      </c>
      <c r="E303" s="20">
        <v>1</v>
      </c>
      <c r="F303" s="21">
        <f>ROUND(634.83*(1+G2/100),2)</f>
        <v>634.83000000000004</v>
      </c>
      <c r="G303" s="21">
        <f>ROUND(E303*F303,2)</f>
        <v>634.83000000000004</v>
      </c>
      <c r="H303" s="2"/>
      <c r="I303" s="2"/>
      <c r="J303" s="2"/>
    </row>
    <row r="304" spans="1:10" ht="71.400000000000006" x14ac:dyDescent="0.3">
      <c r="A304" s="2"/>
      <c r="B304" s="2"/>
      <c r="C304" s="2"/>
      <c r="D304" s="48" t="s">
        <v>749</v>
      </c>
      <c r="E304" s="48"/>
      <c r="F304" s="48"/>
      <c r="G304" s="48"/>
      <c r="H304" s="2"/>
      <c r="I304" s="2"/>
      <c r="J304" s="2"/>
    </row>
    <row r="305" spans="1:10" x14ac:dyDescent="0.3">
      <c r="A305" s="22"/>
      <c r="B305" s="22"/>
      <c r="C305" s="22"/>
      <c r="D305" s="34" t="s">
        <v>750</v>
      </c>
      <c r="E305" s="35"/>
      <c r="F305" s="36">
        <f>G299+G301+G303</f>
        <v>1305.43</v>
      </c>
      <c r="G305" s="36">
        <f>ROUND(F305,2)</f>
        <v>1305.43</v>
      </c>
      <c r="H305" s="2"/>
      <c r="I305" s="2"/>
      <c r="J305" s="2"/>
    </row>
    <row r="306" spans="1:10" x14ac:dyDescent="0.3">
      <c r="A306" s="37" t="s">
        <v>751</v>
      </c>
      <c r="B306" s="37" t="s">
        <v>752</v>
      </c>
      <c r="C306" s="38"/>
      <c r="D306" s="39" t="s">
        <v>753</v>
      </c>
      <c r="E306" s="38"/>
      <c r="F306" s="40">
        <f>F323</f>
        <v>4347.9799999999996</v>
      </c>
      <c r="G306" s="40">
        <f>ROUND(F306,2)</f>
        <v>4347.9799999999996</v>
      </c>
      <c r="H306" s="2"/>
      <c r="I306" s="2"/>
      <c r="J306" s="2"/>
    </row>
    <row r="307" spans="1:10" ht="20.399999999999999" x14ac:dyDescent="0.3">
      <c r="A307" s="10" t="s">
        <v>754</v>
      </c>
      <c r="B307" s="6" t="s">
        <v>755</v>
      </c>
      <c r="C307" s="6" t="s">
        <v>756</v>
      </c>
      <c r="D307" s="19" t="s">
        <v>757</v>
      </c>
      <c r="E307" s="20">
        <v>1</v>
      </c>
      <c r="F307" s="21">
        <f>ROUND(33.93*(1+G2/100),2)</f>
        <v>33.93</v>
      </c>
      <c r="G307" s="21">
        <f>ROUND(E307*F307,2)</f>
        <v>33.93</v>
      </c>
      <c r="H307" s="2"/>
      <c r="I307" s="2"/>
      <c r="J307" s="2"/>
    </row>
    <row r="308" spans="1:10" ht="51" x14ac:dyDescent="0.3">
      <c r="A308" s="2"/>
      <c r="B308" s="2"/>
      <c r="C308" s="2"/>
      <c r="D308" s="48" t="s">
        <v>758</v>
      </c>
      <c r="E308" s="48"/>
      <c r="F308" s="48"/>
      <c r="G308" s="48"/>
      <c r="H308" s="2"/>
      <c r="I308" s="2"/>
      <c r="J308" s="2"/>
    </row>
    <row r="309" spans="1:10" ht="20.399999999999999" x14ac:dyDescent="0.3">
      <c r="A309" s="10" t="s">
        <v>759</v>
      </c>
      <c r="B309" s="6" t="s">
        <v>760</v>
      </c>
      <c r="C309" s="6" t="s">
        <v>761</v>
      </c>
      <c r="D309" s="19" t="s">
        <v>762</v>
      </c>
      <c r="E309" s="20">
        <v>2</v>
      </c>
      <c r="F309" s="21">
        <f>ROUND(32.2*(1+G2/100),2)</f>
        <v>32.200000000000003</v>
      </c>
      <c r="G309" s="21">
        <f>ROUND(E309*F309,2)</f>
        <v>64.400000000000006</v>
      </c>
      <c r="H309" s="2"/>
      <c r="I309" s="2"/>
      <c r="J309" s="2"/>
    </row>
    <row r="310" spans="1:10" ht="40.799999999999997" x14ac:dyDescent="0.3">
      <c r="A310" s="2"/>
      <c r="B310" s="2"/>
      <c r="C310" s="2"/>
      <c r="D310" s="48" t="s">
        <v>763</v>
      </c>
      <c r="E310" s="48"/>
      <c r="F310" s="48"/>
      <c r="G310" s="48"/>
      <c r="H310" s="2"/>
      <c r="I310" s="2"/>
      <c r="J310" s="2"/>
    </row>
    <row r="311" spans="1:10" ht="30.6" x14ac:dyDescent="0.3">
      <c r="A311" s="10" t="s">
        <v>764</v>
      </c>
      <c r="B311" s="6" t="s">
        <v>765</v>
      </c>
      <c r="C311" s="6" t="s">
        <v>766</v>
      </c>
      <c r="D311" s="19" t="s">
        <v>767</v>
      </c>
      <c r="E311" s="20">
        <v>27.6</v>
      </c>
      <c r="F311" s="21">
        <f>ROUND(23.04*(1+G2/100),2)</f>
        <v>23.04</v>
      </c>
      <c r="G311" s="21">
        <f>ROUND(E311*F311,2)</f>
        <v>635.9</v>
      </c>
      <c r="H311" s="2"/>
      <c r="I311" s="2"/>
      <c r="J311" s="2"/>
    </row>
    <row r="312" spans="1:10" ht="61.2" x14ac:dyDescent="0.3">
      <c r="A312" s="2"/>
      <c r="B312" s="2"/>
      <c r="C312" s="2"/>
      <c r="D312" s="48" t="s">
        <v>768</v>
      </c>
      <c r="E312" s="48"/>
      <c r="F312" s="48"/>
      <c r="G312" s="48"/>
      <c r="H312" s="2"/>
      <c r="I312" s="2"/>
      <c r="J312" s="2"/>
    </row>
    <row r="313" spans="1:10" x14ac:dyDescent="0.3">
      <c r="A313" s="10" t="s">
        <v>769</v>
      </c>
      <c r="B313" s="6" t="s">
        <v>770</v>
      </c>
      <c r="C313" s="6" t="s">
        <v>771</v>
      </c>
      <c r="D313" s="19" t="s">
        <v>772</v>
      </c>
      <c r="E313" s="20">
        <v>1</v>
      </c>
      <c r="F313" s="21">
        <f>ROUND(86.16*(1+G2/100),2)</f>
        <v>86.16</v>
      </c>
      <c r="G313" s="21">
        <f>ROUND(E313*F313,2)</f>
        <v>86.16</v>
      </c>
      <c r="H313" s="2"/>
      <c r="I313" s="2"/>
      <c r="J313" s="2"/>
    </row>
    <row r="314" spans="1:10" ht="20.399999999999999" x14ac:dyDescent="0.3">
      <c r="A314" s="2"/>
      <c r="B314" s="2"/>
      <c r="C314" s="2"/>
      <c r="D314" s="48" t="s">
        <v>773</v>
      </c>
      <c r="E314" s="48"/>
      <c r="F314" s="48"/>
      <c r="G314" s="48"/>
      <c r="H314" s="2"/>
      <c r="I314" s="2"/>
      <c r="J314" s="2"/>
    </row>
    <row r="315" spans="1:10" ht="20.399999999999999" x14ac:dyDescent="0.3">
      <c r="A315" s="10" t="s">
        <v>774</v>
      </c>
      <c r="B315" s="6" t="s">
        <v>775</v>
      </c>
      <c r="C315" s="6" t="s">
        <v>776</v>
      </c>
      <c r="D315" s="19" t="s">
        <v>777</v>
      </c>
      <c r="E315" s="20">
        <v>1</v>
      </c>
      <c r="F315" s="21">
        <f>ROUND(62.52*(1+G2/100),2)</f>
        <v>62.52</v>
      </c>
      <c r="G315" s="21">
        <f>ROUND(E315*F315,2)</f>
        <v>62.52</v>
      </c>
      <c r="H315" s="2"/>
      <c r="I315" s="2"/>
      <c r="J315" s="2"/>
    </row>
    <row r="316" spans="1:10" ht="20.399999999999999" x14ac:dyDescent="0.3">
      <c r="A316" s="2"/>
      <c r="B316" s="2"/>
      <c r="C316" s="2"/>
      <c r="D316" s="48" t="s">
        <v>778</v>
      </c>
      <c r="E316" s="48"/>
      <c r="F316" s="48"/>
      <c r="G316" s="48"/>
      <c r="H316" s="2"/>
      <c r="I316" s="2"/>
      <c r="J316" s="2"/>
    </row>
    <row r="317" spans="1:10" x14ac:dyDescent="0.3">
      <c r="A317" s="10" t="s">
        <v>779</v>
      </c>
      <c r="B317" s="6" t="s">
        <v>780</v>
      </c>
      <c r="C317" s="6" t="s">
        <v>781</v>
      </c>
      <c r="D317" s="19" t="s">
        <v>782</v>
      </c>
      <c r="E317" s="20">
        <v>1</v>
      </c>
      <c r="F317" s="21">
        <f>ROUND(2902.35*(1+G2/100),2)</f>
        <v>2902.35</v>
      </c>
      <c r="G317" s="21">
        <f>ROUND(E317*F317,2)</f>
        <v>2902.35</v>
      </c>
      <c r="H317" s="2"/>
      <c r="I317" s="2"/>
      <c r="J317" s="2"/>
    </row>
    <row r="318" spans="1:10" ht="153" x14ac:dyDescent="0.3">
      <c r="A318" s="2"/>
      <c r="B318" s="2"/>
      <c r="C318" s="2"/>
      <c r="D318" s="48" t="s">
        <v>783</v>
      </c>
      <c r="E318" s="48"/>
      <c r="F318" s="48"/>
      <c r="G318" s="48"/>
      <c r="H318" s="2"/>
      <c r="I318" s="2"/>
      <c r="J318" s="2"/>
    </row>
    <row r="319" spans="1:10" x14ac:dyDescent="0.3">
      <c r="A319" s="10" t="s">
        <v>784</v>
      </c>
      <c r="B319" s="6" t="s">
        <v>785</v>
      </c>
      <c r="C319" s="6" t="s">
        <v>786</v>
      </c>
      <c r="D319" s="19" t="s">
        <v>787</v>
      </c>
      <c r="E319" s="20">
        <v>1</v>
      </c>
      <c r="F319" s="21">
        <f>ROUND(412.722*(1+G2/100),2)</f>
        <v>412.72</v>
      </c>
      <c r="G319" s="21">
        <f>ROUND(E319*F319,2)</f>
        <v>412.72</v>
      </c>
      <c r="H319" s="2"/>
      <c r="I319" s="2"/>
      <c r="J319" s="2"/>
    </row>
    <row r="320" spans="1:10" ht="61.2" x14ac:dyDescent="0.3">
      <c r="A320" s="2"/>
      <c r="B320" s="2"/>
      <c r="C320" s="2"/>
      <c r="D320" s="48" t="s">
        <v>788</v>
      </c>
      <c r="E320" s="48"/>
      <c r="F320" s="48"/>
      <c r="G320" s="48"/>
      <c r="H320" s="2"/>
      <c r="I320" s="2"/>
      <c r="J320" s="2"/>
    </row>
    <row r="321" spans="1:10" x14ac:dyDescent="0.3">
      <c r="A321" s="10" t="s">
        <v>789</v>
      </c>
      <c r="B321" s="6" t="s">
        <v>790</v>
      </c>
      <c r="C321" s="6" t="s">
        <v>791</v>
      </c>
      <c r="D321" s="19" t="s">
        <v>792</v>
      </c>
      <c r="E321" s="20">
        <v>1</v>
      </c>
      <c r="F321" s="21">
        <f>ROUND(150*(1+G2/100),2)</f>
        <v>150</v>
      </c>
      <c r="G321" s="21">
        <f>ROUND(E321*F321,2)</f>
        <v>150</v>
      </c>
      <c r="H321" s="2"/>
      <c r="I321" s="2"/>
      <c r="J321" s="2"/>
    </row>
    <row r="322" spans="1:10" ht="40.799999999999997" x14ac:dyDescent="0.3">
      <c r="A322" s="2"/>
      <c r="B322" s="2"/>
      <c r="C322" s="2"/>
      <c r="D322" s="48" t="s">
        <v>793</v>
      </c>
      <c r="E322" s="48"/>
      <c r="F322" s="48"/>
      <c r="G322" s="48"/>
      <c r="H322" s="2"/>
      <c r="I322" s="2"/>
      <c r="J322" s="2"/>
    </row>
    <row r="323" spans="1:10" x14ac:dyDescent="0.3">
      <c r="A323" s="22"/>
      <c r="B323" s="22"/>
      <c r="C323" s="22"/>
      <c r="D323" s="34" t="s">
        <v>794</v>
      </c>
      <c r="E323" s="35"/>
      <c r="F323" s="36">
        <f>G307+G309+G311+G313+G315+G317+G319+G321</f>
        <v>4347.9799999999996</v>
      </c>
      <c r="G323" s="36">
        <f>ROUND(F323,2)</f>
        <v>4347.9799999999996</v>
      </c>
      <c r="H323" s="2"/>
      <c r="I323" s="2"/>
      <c r="J323" s="2"/>
    </row>
    <row r="324" spans="1:10" x14ac:dyDescent="0.3">
      <c r="A324" s="37" t="s">
        <v>795</v>
      </c>
      <c r="B324" s="37" t="s">
        <v>796</v>
      </c>
      <c r="C324" s="38"/>
      <c r="D324" s="39" t="s">
        <v>797</v>
      </c>
      <c r="E324" s="38"/>
      <c r="F324" s="40">
        <f>F335</f>
        <v>935.93000000000006</v>
      </c>
      <c r="G324" s="40">
        <f>ROUND(F324,2)</f>
        <v>935.93</v>
      </c>
      <c r="H324" s="2"/>
      <c r="I324" s="2"/>
      <c r="J324" s="2"/>
    </row>
    <row r="325" spans="1:10" ht="20.399999999999999" x14ac:dyDescent="0.3">
      <c r="A325" s="10" t="s">
        <v>798</v>
      </c>
      <c r="B325" s="6" t="s">
        <v>799</v>
      </c>
      <c r="C325" s="6" t="s">
        <v>800</v>
      </c>
      <c r="D325" s="19" t="s">
        <v>801</v>
      </c>
      <c r="E325" s="20">
        <v>2</v>
      </c>
      <c r="F325" s="21">
        <f>ROUND(22.6*(1+G2/100),2)</f>
        <v>22.6</v>
      </c>
      <c r="G325" s="21">
        <f>ROUND(E325*F325,2)</f>
        <v>45.2</v>
      </c>
      <c r="H325" s="2"/>
      <c r="I325" s="2"/>
      <c r="J325" s="2"/>
    </row>
    <row r="326" spans="1:10" ht="30.6" x14ac:dyDescent="0.3">
      <c r="A326" s="2"/>
      <c r="B326" s="2"/>
      <c r="C326" s="2"/>
      <c r="D326" s="48" t="s">
        <v>802</v>
      </c>
      <c r="E326" s="48"/>
      <c r="F326" s="48"/>
      <c r="G326" s="48"/>
      <c r="H326" s="2"/>
      <c r="I326" s="2"/>
      <c r="J326" s="2"/>
    </row>
    <row r="327" spans="1:10" x14ac:dyDescent="0.3">
      <c r="A327" s="10" t="s">
        <v>803</v>
      </c>
      <c r="B327" s="6" t="s">
        <v>804</v>
      </c>
      <c r="C327" s="6" t="s">
        <v>805</v>
      </c>
      <c r="D327" s="19" t="s">
        <v>806</v>
      </c>
      <c r="E327" s="20">
        <v>10</v>
      </c>
      <c r="F327" s="21">
        <f>ROUND(24.52*(1+G2/100),2)</f>
        <v>24.52</v>
      </c>
      <c r="G327" s="21">
        <f>ROUND(E327*F327,2)</f>
        <v>245.2</v>
      </c>
      <c r="H327" s="2"/>
      <c r="I327" s="2"/>
      <c r="J327" s="2"/>
    </row>
    <row r="328" spans="1:10" ht="51" x14ac:dyDescent="0.3">
      <c r="A328" s="2"/>
      <c r="B328" s="2"/>
      <c r="C328" s="2"/>
      <c r="D328" s="48" t="s">
        <v>807</v>
      </c>
      <c r="E328" s="48"/>
      <c r="F328" s="48"/>
      <c r="G328" s="48"/>
      <c r="H328" s="2"/>
      <c r="I328" s="2"/>
      <c r="J328" s="2"/>
    </row>
    <row r="329" spans="1:10" x14ac:dyDescent="0.3">
      <c r="A329" s="10" t="s">
        <v>808</v>
      </c>
      <c r="B329" s="6" t="s">
        <v>809</v>
      </c>
      <c r="C329" s="6" t="s">
        <v>810</v>
      </c>
      <c r="D329" s="19" t="s">
        <v>811</v>
      </c>
      <c r="E329" s="20">
        <v>25.25</v>
      </c>
      <c r="F329" s="21">
        <f>ROUND(12.25*(1+G2/100),2)</f>
        <v>12.25</v>
      </c>
      <c r="G329" s="21">
        <f>ROUND(E329*F329,2)</f>
        <v>309.31</v>
      </c>
      <c r="H329" s="2"/>
      <c r="I329" s="2"/>
      <c r="J329" s="2"/>
    </row>
    <row r="330" spans="1:10" x14ac:dyDescent="0.3">
      <c r="A330" s="2"/>
      <c r="B330" s="2"/>
      <c r="C330" s="2"/>
      <c r="D330" s="48" t="s">
        <v>812</v>
      </c>
      <c r="E330" s="48"/>
      <c r="F330" s="48"/>
      <c r="G330" s="48"/>
      <c r="H330" s="2"/>
      <c r="I330" s="2"/>
      <c r="J330" s="2"/>
    </row>
    <row r="331" spans="1:10" ht="20.399999999999999" x14ac:dyDescent="0.3">
      <c r="A331" s="10" t="s">
        <v>813</v>
      </c>
      <c r="B331" s="6" t="s">
        <v>814</v>
      </c>
      <c r="C331" s="6" t="s">
        <v>815</v>
      </c>
      <c r="D331" s="19" t="s">
        <v>816</v>
      </c>
      <c r="E331" s="20">
        <v>10</v>
      </c>
      <c r="F331" s="21">
        <f>ROUND(27.04*(1+G2/100),2)</f>
        <v>27.04</v>
      </c>
      <c r="G331" s="21">
        <f>ROUND(E331*F331,2)</f>
        <v>270.39999999999998</v>
      </c>
      <c r="H331" s="2"/>
      <c r="I331" s="2"/>
      <c r="J331" s="2"/>
    </row>
    <row r="332" spans="1:10" ht="40.799999999999997" x14ac:dyDescent="0.3">
      <c r="A332" s="2"/>
      <c r="B332" s="2"/>
      <c r="C332" s="2"/>
      <c r="D332" s="48" t="s">
        <v>817</v>
      </c>
      <c r="E332" s="48"/>
      <c r="F332" s="48"/>
      <c r="G332" s="48"/>
      <c r="H332" s="2"/>
      <c r="I332" s="2"/>
      <c r="J332" s="2"/>
    </row>
    <row r="333" spans="1:10" ht="20.399999999999999" x14ac:dyDescent="0.3">
      <c r="A333" s="10" t="s">
        <v>818</v>
      </c>
      <c r="B333" s="6" t="s">
        <v>819</v>
      </c>
      <c r="C333" s="6" t="s">
        <v>820</v>
      </c>
      <c r="D333" s="19" t="s">
        <v>821</v>
      </c>
      <c r="E333" s="20">
        <v>1</v>
      </c>
      <c r="F333" s="21">
        <f>ROUND(65.82*(1+G2/100),2)</f>
        <v>65.819999999999993</v>
      </c>
      <c r="G333" s="21">
        <f>ROUND(E333*F333,2)</f>
        <v>65.819999999999993</v>
      </c>
      <c r="H333" s="2"/>
      <c r="I333" s="2"/>
      <c r="J333" s="2"/>
    </row>
    <row r="334" spans="1:10" ht="30.6" x14ac:dyDescent="0.3">
      <c r="A334" s="2"/>
      <c r="B334" s="2"/>
      <c r="C334" s="2"/>
      <c r="D334" s="48" t="s">
        <v>822</v>
      </c>
      <c r="E334" s="48"/>
      <c r="F334" s="48"/>
      <c r="G334" s="48"/>
      <c r="H334" s="2"/>
      <c r="I334" s="2"/>
      <c r="J334" s="2"/>
    </row>
    <row r="335" spans="1:10" x14ac:dyDescent="0.3">
      <c r="A335" s="22"/>
      <c r="B335" s="22"/>
      <c r="C335" s="22"/>
      <c r="D335" s="34" t="s">
        <v>823</v>
      </c>
      <c r="E335" s="35"/>
      <c r="F335" s="36">
        <f>G325+G327+G329+G331+G333</f>
        <v>935.93000000000006</v>
      </c>
      <c r="G335" s="36">
        <f>ROUND(F335,2)</f>
        <v>935.93</v>
      </c>
      <c r="H335" s="2"/>
      <c r="I335" s="2"/>
      <c r="J335" s="2"/>
    </row>
    <row r="336" spans="1:10" x14ac:dyDescent="0.3">
      <c r="A336" s="37" t="s">
        <v>824</v>
      </c>
      <c r="B336" s="37" t="s">
        <v>825</v>
      </c>
      <c r="C336" s="38"/>
      <c r="D336" s="39" t="s">
        <v>826</v>
      </c>
      <c r="E336" s="38"/>
      <c r="F336" s="40">
        <f>F347</f>
        <v>5975.8700000000008</v>
      </c>
      <c r="G336" s="40">
        <f>ROUND(F336,2)</f>
        <v>5975.87</v>
      </c>
      <c r="H336" s="2"/>
      <c r="I336" s="2"/>
      <c r="J336" s="2"/>
    </row>
    <row r="337" spans="1:10" ht="20.399999999999999" x14ac:dyDescent="0.3">
      <c r="A337" s="10" t="s">
        <v>827</v>
      </c>
      <c r="B337" s="6" t="s">
        <v>828</v>
      </c>
      <c r="C337" s="6" t="s">
        <v>829</v>
      </c>
      <c r="D337" s="19" t="s">
        <v>830</v>
      </c>
      <c r="E337" s="20">
        <v>124.4</v>
      </c>
      <c r="F337" s="21">
        <f>ROUND(25.93*(1+G2/100),2)</f>
        <v>25.93</v>
      </c>
      <c r="G337" s="21">
        <f>ROUND(E337*F337,2)</f>
        <v>3225.69</v>
      </c>
      <c r="H337" s="2"/>
      <c r="I337" s="2"/>
      <c r="J337" s="2"/>
    </row>
    <row r="338" spans="1:10" ht="61.2" x14ac:dyDescent="0.3">
      <c r="A338" s="2"/>
      <c r="B338" s="2"/>
      <c r="C338" s="2"/>
      <c r="D338" s="48" t="s">
        <v>831</v>
      </c>
      <c r="E338" s="48"/>
      <c r="F338" s="48"/>
      <c r="G338" s="48"/>
      <c r="H338" s="2"/>
      <c r="I338" s="2"/>
      <c r="J338" s="2"/>
    </row>
    <row r="339" spans="1:10" x14ac:dyDescent="0.3">
      <c r="A339" s="10" t="s">
        <v>832</v>
      </c>
      <c r="B339" s="6" t="s">
        <v>833</v>
      </c>
      <c r="C339" s="6" t="s">
        <v>834</v>
      </c>
      <c r="D339" s="19" t="s">
        <v>835</v>
      </c>
      <c r="E339" s="20">
        <v>124.4</v>
      </c>
      <c r="F339" s="21">
        <f>ROUND(2.98*(1+G2/100),2)</f>
        <v>2.98</v>
      </c>
      <c r="G339" s="21">
        <f>ROUND(E339*F339,2)</f>
        <v>370.71</v>
      </c>
      <c r="H339" s="2"/>
      <c r="I339" s="2"/>
      <c r="J339" s="2"/>
    </row>
    <row r="340" spans="1:10" x14ac:dyDescent="0.3">
      <c r="A340" s="2"/>
      <c r="B340" s="2"/>
      <c r="C340" s="2"/>
      <c r="D340" s="48" t="s">
        <v>836</v>
      </c>
      <c r="E340" s="48"/>
      <c r="F340" s="48"/>
      <c r="G340" s="48"/>
      <c r="H340" s="2"/>
      <c r="I340" s="2"/>
      <c r="J340" s="2"/>
    </row>
    <row r="341" spans="1:10" ht="51" x14ac:dyDescent="0.3">
      <c r="A341" s="10" t="s">
        <v>837</v>
      </c>
      <c r="B341" s="6" t="s">
        <v>838</v>
      </c>
      <c r="C341" s="6" t="s">
        <v>839</v>
      </c>
      <c r="D341" s="19" t="s">
        <v>840</v>
      </c>
      <c r="E341" s="20">
        <v>30</v>
      </c>
      <c r="F341" s="21">
        <f>ROUND(34.09*(1+G2/100),2)</f>
        <v>34.090000000000003</v>
      </c>
      <c r="G341" s="21">
        <f>ROUND(E341*F341,2)</f>
        <v>1022.7</v>
      </c>
      <c r="H341" s="2"/>
      <c r="I341" s="2"/>
      <c r="J341" s="2"/>
    </row>
    <row r="342" spans="1:10" ht="71.400000000000006" x14ac:dyDescent="0.3">
      <c r="A342" s="2"/>
      <c r="B342" s="2"/>
      <c r="C342" s="2"/>
      <c r="D342" s="48" t="s">
        <v>841</v>
      </c>
      <c r="E342" s="48"/>
      <c r="F342" s="48"/>
      <c r="G342" s="48"/>
      <c r="H342" s="2"/>
      <c r="I342" s="2"/>
      <c r="J342" s="2"/>
    </row>
    <row r="343" spans="1:10" ht="20.399999999999999" x14ac:dyDescent="0.3">
      <c r="A343" s="10" t="s">
        <v>842</v>
      </c>
      <c r="B343" s="6" t="s">
        <v>843</v>
      </c>
      <c r="C343" s="6" t="s">
        <v>844</v>
      </c>
      <c r="D343" s="19" t="s">
        <v>845</v>
      </c>
      <c r="E343" s="20">
        <v>22</v>
      </c>
      <c r="F343" s="21">
        <f>ROUND(43.29*(1+G2/100),2)</f>
        <v>43.29</v>
      </c>
      <c r="G343" s="21">
        <f>ROUND(E343*F343,2)</f>
        <v>952.38</v>
      </c>
      <c r="H343" s="2"/>
      <c r="I343" s="2"/>
      <c r="J343" s="2"/>
    </row>
    <row r="344" spans="1:10" ht="40.799999999999997" x14ac:dyDescent="0.3">
      <c r="A344" s="2"/>
      <c r="B344" s="2"/>
      <c r="C344" s="2"/>
      <c r="D344" s="48" t="s">
        <v>846</v>
      </c>
      <c r="E344" s="48"/>
      <c r="F344" s="48"/>
      <c r="G344" s="48"/>
      <c r="H344" s="2"/>
      <c r="I344" s="2"/>
      <c r="J344" s="2"/>
    </row>
    <row r="345" spans="1:10" ht="20.399999999999999" x14ac:dyDescent="0.3">
      <c r="A345" s="10" t="s">
        <v>847</v>
      </c>
      <c r="B345" s="6" t="s">
        <v>848</v>
      </c>
      <c r="C345" s="6" t="s">
        <v>849</v>
      </c>
      <c r="D345" s="19" t="s">
        <v>850</v>
      </c>
      <c r="E345" s="20">
        <v>7</v>
      </c>
      <c r="F345" s="21">
        <f>ROUND(57.77*(1+G2/100),2)</f>
        <v>57.77</v>
      </c>
      <c r="G345" s="21">
        <f>ROUND(E345*F345,2)</f>
        <v>404.39</v>
      </c>
      <c r="H345" s="2"/>
      <c r="I345" s="2"/>
      <c r="J345" s="2"/>
    </row>
    <row r="346" spans="1:10" ht="40.799999999999997" x14ac:dyDescent="0.3">
      <c r="A346" s="2"/>
      <c r="B346" s="2"/>
      <c r="C346" s="2"/>
      <c r="D346" s="48" t="s">
        <v>851</v>
      </c>
      <c r="E346" s="48"/>
      <c r="F346" s="48"/>
      <c r="G346" s="48"/>
      <c r="H346" s="2"/>
      <c r="I346" s="2"/>
      <c r="J346" s="2"/>
    </row>
    <row r="347" spans="1:10" x14ac:dyDescent="0.3">
      <c r="A347" s="22"/>
      <c r="B347" s="22"/>
      <c r="C347" s="22"/>
      <c r="D347" s="34" t="s">
        <v>852</v>
      </c>
      <c r="E347" s="35"/>
      <c r="F347" s="36">
        <f>G337+G339+G341+G343+G345</f>
        <v>5975.8700000000008</v>
      </c>
      <c r="G347" s="36">
        <f>ROUND(F347,2)</f>
        <v>5975.87</v>
      </c>
      <c r="H347" s="2"/>
      <c r="I347" s="2"/>
      <c r="J347" s="2"/>
    </row>
    <row r="348" spans="1:10" x14ac:dyDescent="0.3">
      <c r="A348" s="41"/>
      <c r="B348" s="41"/>
      <c r="C348" s="41"/>
      <c r="D348" s="42" t="s">
        <v>853</v>
      </c>
      <c r="E348" s="43"/>
      <c r="F348" s="44">
        <f>G225+G239+G273+G285+G297+G305+G323+G335+G347</f>
        <v>75687.859999999986</v>
      </c>
      <c r="G348" s="44">
        <f>ROUND(F348,2)</f>
        <v>75687.86</v>
      </c>
      <c r="H348" s="2"/>
      <c r="I348" s="2"/>
      <c r="J348" s="2"/>
    </row>
    <row r="349" spans="1:10" x14ac:dyDescent="0.3">
      <c r="A349" s="26" t="s">
        <v>854</v>
      </c>
      <c r="B349" s="26" t="s">
        <v>855</v>
      </c>
      <c r="C349" s="27"/>
      <c r="D349" s="28" t="s">
        <v>856</v>
      </c>
      <c r="E349" s="27"/>
      <c r="F349" s="29">
        <f>F406</f>
        <v>8066.75</v>
      </c>
      <c r="G349" s="29">
        <f>ROUND(F349,2)</f>
        <v>8066.75</v>
      </c>
      <c r="H349" s="2"/>
      <c r="I349" s="2"/>
      <c r="J349" s="2"/>
    </row>
    <row r="350" spans="1:10" x14ac:dyDescent="0.3">
      <c r="A350" s="30" t="s">
        <v>857</v>
      </c>
      <c r="B350" s="30" t="s">
        <v>858</v>
      </c>
      <c r="C350" s="31"/>
      <c r="D350" s="32" t="s">
        <v>859</v>
      </c>
      <c r="E350" s="31"/>
      <c r="F350" s="33">
        <f>F405</f>
        <v>8066.75</v>
      </c>
      <c r="G350" s="33">
        <f>ROUND(F350,2)</f>
        <v>8066.75</v>
      </c>
      <c r="H350" s="2"/>
      <c r="I350" s="2"/>
      <c r="J350" s="2"/>
    </row>
    <row r="351" spans="1:10" ht="20.399999999999999" x14ac:dyDescent="0.3">
      <c r="A351" s="10" t="s">
        <v>860</v>
      </c>
      <c r="B351" s="6" t="s">
        <v>861</v>
      </c>
      <c r="C351" s="6" t="s">
        <v>862</v>
      </c>
      <c r="D351" s="19" t="s">
        <v>863</v>
      </c>
      <c r="E351" s="20">
        <v>8</v>
      </c>
      <c r="F351" s="21">
        <f>ROUND(6.96*(1+G2/100),2)</f>
        <v>6.96</v>
      </c>
      <c r="G351" s="21">
        <f>ROUND(E351*F351,2)</f>
        <v>55.68</v>
      </c>
      <c r="H351" s="2"/>
      <c r="I351" s="2"/>
      <c r="J351" s="2"/>
    </row>
    <row r="352" spans="1:10" ht="30.6" x14ac:dyDescent="0.3">
      <c r="A352" s="2"/>
      <c r="B352" s="2"/>
      <c r="C352" s="2"/>
      <c r="D352" s="48" t="s">
        <v>864</v>
      </c>
      <c r="E352" s="48"/>
      <c r="F352" s="48"/>
      <c r="G352" s="48"/>
      <c r="H352" s="2"/>
      <c r="I352" s="2"/>
      <c r="J352" s="2"/>
    </row>
    <row r="353" spans="1:10" x14ac:dyDescent="0.3">
      <c r="A353" s="10" t="s">
        <v>865</v>
      </c>
      <c r="B353" s="6" t="s">
        <v>866</v>
      </c>
      <c r="C353" s="6" t="s">
        <v>867</v>
      </c>
      <c r="D353" s="19" t="s">
        <v>868</v>
      </c>
      <c r="E353" s="20">
        <v>20</v>
      </c>
      <c r="F353" s="21">
        <f>ROUND(4.35*(1+G2/100),2)</f>
        <v>4.3499999999999996</v>
      </c>
      <c r="G353" s="21">
        <f>ROUND(E353*F353,2)</f>
        <v>87</v>
      </c>
      <c r="H353" s="2"/>
      <c r="I353" s="2"/>
      <c r="J353" s="2"/>
    </row>
    <row r="354" spans="1:10" ht="30.6" x14ac:dyDescent="0.3">
      <c r="A354" s="2"/>
      <c r="B354" s="2"/>
      <c r="C354" s="2"/>
      <c r="D354" s="48" t="s">
        <v>869</v>
      </c>
      <c r="E354" s="48"/>
      <c r="F354" s="48"/>
      <c r="G354" s="48"/>
      <c r="H354" s="2"/>
      <c r="I354" s="2"/>
      <c r="J354" s="2"/>
    </row>
    <row r="355" spans="1:10" ht="20.399999999999999" x14ac:dyDescent="0.3">
      <c r="A355" s="10" t="s">
        <v>870</v>
      </c>
      <c r="B355" s="6" t="s">
        <v>871</v>
      </c>
      <c r="C355" s="6" t="s">
        <v>872</v>
      </c>
      <c r="D355" s="19" t="s">
        <v>873</v>
      </c>
      <c r="E355" s="20">
        <v>1.26</v>
      </c>
      <c r="F355" s="21">
        <f>ROUND(80.9*(1+G2/100),2)</f>
        <v>80.900000000000006</v>
      </c>
      <c r="G355" s="21">
        <f>ROUND(E355*F355,2)</f>
        <v>101.93</v>
      </c>
      <c r="H355" s="2"/>
      <c r="I355" s="2"/>
      <c r="J355" s="2"/>
    </row>
    <row r="356" spans="1:10" ht="40.799999999999997" x14ac:dyDescent="0.3">
      <c r="A356" s="2"/>
      <c r="B356" s="2"/>
      <c r="C356" s="2"/>
      <c r="D356" s="48" t="s">
        <v>874</v>
      </c>
      <c r="E356" s="48"/>
      <c r="F356" s="48"/>
      <c r="G356" s="48"/>
      <c r="H356" s="2"/>
      <c r="I356" s="2"/>
      <c r="J356" s="2"/>
    </row>
    <row r="357" spans="1:10" ht="20.399999999999999" x14ac:dyDescent="0.3">
      <c r="A357" s="10" t="s">
        <v>875</v>
      </c>
      <c r="B357" s="6" t="s">
        <v>876</v>
      </c>
      <c r="C357" s="6" t="s">
        <v>877</v>
      </c>
      <c r="D357" s="19" t="s">
        <v>878</v>
      </c>
      <c r="E357" s="20">
        <v>29.01</v>
      </c>
      <c r="F357" s="21">
        <f>ROUND(66.04*(1+G2/100),2)</f>
        <v>66.040000000000006</v>
      </c>
      <c r="G357" s="21">
        <f>ROUND(E357*F357,2)</f>
        <v>1915.82</v>
      </c>
      <c r="H357" s="2"/>
      <c r="I357" s="2"/>
      <c r="J357" s="2"/>
    </row>
    <row r="358" spans="1:10" ht="40.799999999999997" x14ac:dyDescent="0.3">
      <c r="A358" s="2"/>
      <c r="B358" s="2"/>
      <c r="C358" s="2"/>
      <c r="D358" s="48" t="s">
        <v>879</v>
      </c>
      <c r="E358" s="48"/>
      <c r="F358" s="48"/>
      <c r="G358" s="48"/>
      <c r="H358" s="2"/>
      <c r="I358" s="2"/>
      <c r="J358" s="2"/>
    </row>
    <row r="359" spans="1:10" ht="20.399999999999999" x14ac:dyDescent="0.3">
      <c r="A359" s="10" t="s">
        <v>880</v>
      </c>
      <c r="B359" s="6" t="s">
        <v>881</v>
      </c>
      <c r="C359" s="6" t="s">
        <v>882</v>
      </c>
      <c r="D359" s="19" t="s">
        <v>883</v>
      </c>
      <c r="E359" s="20">
        <v>21.6</v>
      </c>
      <c r="F359" s="21">
        <f>ROUND(9.95*(1+G2/100),2)</f>
        <v>9.9499999999999993</v>
      </c>
      <c r="G359" s="21">
        <f>ROUND(E359*F359,2)</f>
        <v>214.92</v>
      </c>
      <c r="H359" s="2"/>
      <c r="I359" s="2"/>
      <c r="J359" s="2"/>
    </row>
    <row r="360" spans="1:10" ht="30.6" x14ac:dyDescent="0.3">
      <c r="A360" s="2"/>
      <c r="B360" s="2"/>
      <c r="C360" s="2"/>
      <c r="D360" s="48" t="s">
        <v>884</v>
      </c>
      <c r="E360" s="48"/>
      <c r="F360" s="48"/>
      <c r="G360" s="48"/>
      <c r="H360" s="2"/>
      <c r="I360" s="2"/>
      <c r="J360" s="2"/>
    </row>
    <row r="361" spans="1:10" x14ac:dyDescent="0.3">
      <c r="A361" s="10" t="s">
        <v>885</v>
      </c>
      <c r="B361" s="6" t="s">
        <v>886</v>
      </c>
      <c r="C361" s="6" t="s">
        <v>887</v>
      </c>
      <c r="D361" s="19" t="s">
        <v>888</v>
      </c>
      <c r="E361" s="20">
        <v>2</v>
      </c>
      <c r="F361" s="21">
        <f>ROUND(13.99*(1+G2/100),2)</f>
        <v>13.99</v>
      </c>
      <c r="G361" s="21">
        <f>ROUND(E361*F361,2)</f>
        <v>27.98</v>
      </c>
      <c r="H361" s="2"/>
      <c r="I361" s="2"/>
      <c r="J361" s="2"/>
    </row>
    <row r="362" spans="1:10" ht="20.399999999999999" x14ac:dyDescent="0.3">
      <c r="A362" s="2"/>
      <c r="B362" s="2"/>
      <c r="C362" s="2"/>
      <c r="D362" s="48" t="s">
        <v>889</v>
      </c>
      <c r="E362" s="48"/>
      <c r="F362" s="48"/>
      <c r="G362" s="48"/>
      <c r="H362" s="2"/>
      <c r="I362" s="2"/>
      <c r="J362" s="2"/>
    </row>
    <row r="363" spans="1:10" x14ac:dyDescent="0.3">
      <c r="A363" s="10" t="s">
        <v>890</v>
      </c>
      <c r="B363" s="6" t="s">
        <v>891</v>
      </c>
      <c r="C363" s="6" t="s">
        <v>892</v>
      </c>
      <c r="D363" s="19" t="s">
        <v>893</v>
      </c>
      <c r="E363" s="20">
        <v>2</v>
      </c>
      <c r="F363" s="21">
        <f>ROUND(4.65*(1+G2/100),2)</f>
        <v>4.6500000000000004</v>
      </c>
      <c r="G363" s="21">
        <f>ROUND(E363*F363,2)</f>
        <v>9.3000000000000007</v>
      </c>
      <c r="H363" s="2"/>
      <c r="I363" s="2"/>
      <c r="J363" s="2"/>
    </row>
    <row r="364" spans="1:10" ht="30.6" x14ac:dyDescent="0.3">
      <c r="A364" s="2"/>
      <c r="B364" s="2"/>
      <c r="C364" s="2"/>
      <c r="D364" s="48" t="s">
        <v>894</v>
      </c>
      <c r="E364" s="48"/>
      <c r="F364" s="48"/>
      <c r="G364" s="48"/>
      <c r="H364" s="2"/>
      <c r="I364" s="2"/>
      <c r="J364" s="2"/>
    </row>
    <row r="365" spans="1:10" x14ac:dyDescent="0.3">
      <c r="A365" s="10" t="s">
        <v>895</v>
      </c>
      <c r="B365" s="6" t="s">
        <v>896</v>
      </c>
      <c r="C365" s="6" t="s">
        <v>897</v>
      </c>
      <c r="D365" s="19" t="s">
        <v>898</v>
      </c>
      <c r="E365" s="20">
        <v>6</v>
      </c>
      <c r="F365" s="21">
        <f>ROUND(1.49*(1+G2/100),2)</f>
        <v>1.49</v>
      </c>
      <c r="G365" s="21">
        <f>ROUND(E365*F365,2)</f>
        <v>8.94</v>
      </c>
      <c r="H365" s="2"/>
      <c r="I365" s="2"/>
      <c r="J365" s="2"/>
    </row>
    <row r="366" spans="1:10" ht="20.399999999999999" x14ac:dyDescent="0.3">
      <c r="A366" s="2"/>
      <c r="B366" s="2"/>
      <c r="C366" s="2"/>
      <c r="D366" s="48" t="s">
        <v>899</v>
      </c>
      <c r="E366" s="48"/>
      <c r="F366" s="48"/>
      <c r="G366" s="48"/>
      <c r="H366" s="2"/>
      <c r="I366" s="2"/>
      <c r="J366" s="2"/>
    </row>
    <row r="367" spans="1:10" x14ac:dyDescent="0.3">
      <c r="A367" s="10" t="s">
        <v>900</v>
      </c>
      <c r="B367" s="6" t="s">
        <v>901</v>
      </c>
      <c r="C367" s="6" t="s">
        <v>902</v>
      </c>
      <c r="D367" s="19" t="s">
        <v>903</v>
      </c>
      <c r="E367" s="20">
        <v>6.42</v>
      </c>
      <c r="F367" s="21">
        <f>ROUND(6.96*(1+G2/100),2)</f>
        <v>6.96</v>
      </c>
      <c r="G367" s="21">
        <f>ROUND(E367*F367,2)</f>
        <v>44.68</v>
      </c>
      <c r="H367" s="2"/>
      <c r="I367" s="2"/>
      <c r="J367" s="2"/>
    </row>
    <row r="368" spans="1:10" x14ac:dyDescent="0.3">
      <c r="A368" s="2"/>
      <c r="B368" s="2"/>
      <c r="C368" s="2"/>
      <c r="D368" s="48" t="s">
        <v>904</v>
      </c>
      <c r="E368" s="48"/>
      <c r="F368" s="48"/>
      <c r="G368" s="48"/>
      <c r="H368" s="2"/>
      <c r="I368" s="2"/>
      <c r="J368" s="2"/>
    </row>
    <row r="369" spans="1:10" ht="20.399999999999999" x14ac:dyDescent="0.3">
      <c r="A369" s="10" t="s">
        <v>905</v>
      </c>
      <c r="B369" s="6" t="s">
        <v>906</v>
      </c>
      <c r="C369" s="6" t="s">
        <v>907</v>
      </c>
      <c r="D369" s="19" t="s">
        <v>908</v>
      </c>
      <c r="E369" s="20">
        <v>18.899999999999999</v>
      </c>
      <c r="F369" s="21">
        <f>ROUND(36.36*(1+G2/100),2)</f>
        <v>36.36</v>
      </c>
      <c r="G369" s="21">
        <f>ROUND(E369*F369,2)</f>
        <v>687.2</v>
      </c>
      <c r="H369" s="2"/>
      <c r="I369" s="2"/>
      <c r="J369" s="2"/>
    </row>
    <row r="370" spans="1:10" ht="30.6" x14ac:dyDescent="0.3">
      <c r="A370" s="2"/>
      <c r="B370" s="2"/>
      <c r="C370" s="2"/>
      <c r="D370" s="48" t="s">
        <v>909</v>
      </c>
      <c r="E370" s="48"/>
      <c r="F370" s="48"/>
      <c r="G370" s="48"/>
      <c r="H370" s="2"/>
      <c r="I370" s="2"/>
      <c r="J370" s="2"/>
    </row>
    <row r="371" spans="1:10" ht="20.399999999999999" x14ac:dyDescent="0.3">
      <c r="A371" s="10" t="s">
        <v>910</v>
      </c>
      <c r="B371" s="6" t="s">
        <v>911</v>
      </c>
      <c r="C371" s="6" t="s">
        <v>912</v>
      </c>
      <c r="D371" s="19" t="s">
        <v>913</v>
      </c>
      <c r="E371" s="20">
        <v>21</v>
      </c>
      <c r="F371" s="21">
        <f>ROUND(23.42*(1+G2/100),2)</f>
        <v>23.42</v>
      </c>
      <c r="G371" s="21">
        <f>ROUND(E371*F371,2)</f>
        <v>491.82</v>
      </c>
      <c r="H371" s="2"/>
      <c r="I371" s="2"/>
      <c r="J371" s="2"/>
    </row>
    <row r="372" spans="1:10" ht="40.799999999999997" x14ac:dyDescent="0.3">
      <c r="A372" s="2"/>
      <c r="B372" s="2"/>
      <c r="C372" s="2"/>
      <c r="D372" s="48" t="s">
        <v>914</v>
      </c>
      <c r="E372" s="48"/>
      <c r="F372" s="48"/>
      <c r="G372" s="48"/>
      <c r="H372" s="2"/>
      <c r="I372" s="2"/>
      <c r="J372" s="2"/>
    </row>
    <row r="373" spans="1:10" ht="40.799999999999997" x14ac:dyDescent="0.3">
      <c r="A373" s="10" t="s">
        <v>915</v>
      </c>
      <c r="B373" s="6" t="s">
        <v>916</v>
      </c>
      <c r="C373" s="6" t="s">
        <v>917</v>
      </c>
      <c r="D373" s="19" t="s">
        <v>918</v>
      </c>
      <c r="E373" s="20">
        <v>3.96</v>
      </c>
      <c r="F373" s="21">
        <f>ROUND(119.92*(1+G2/100),2)</f>
        <v>119.92</v>
      </c>
      <c r="G373" s="21">
        <f>ROUND(E373*F373,2)</f>
        <v>474.88</v>
      </c>
      <c r="H373" s="2"/>
      <c r="I373" s="2"/>
      <c r="J373" s="2"/>
    </row>
    <row r="374" spans="1:10" ht="40.799999999999997" x14ac:dyDescent="0.3">
      <c r="A374" s="2"/>
      <c r="B374" s="2"/>
      <c r="C374" s="2"/>
      <c r="D374" s="48" t="s">
        <v>919</v>
      </c>
      <c r="E374" s="48"/>
      <c r="F374" s="48"/>
      <c r="G374" s="48"/>
      <c r="H374" s="2"/>
      <c r="I374" s="2"/>
      <c r="J374" s="2"/>
    </row>
    <row r="375" spans="1:10" ht="20.399999999999999" x14ac:dyDescent="0.3">
      <c r="A375" s="10" t="s">
        <v>920</v>
      </c>
      <c r="B375" s="6" t="s">
        <v>921</v>
      </c>
      <c r="C375" s="6" t="s">
        <v>922</v>
      </c>
      <c r="D375" s="19" t="s">
        <v>923</v>
      </c>
      <c r="E375" s="20">
        <v>37.932000000000002</v>
      </c>
      <c r="F375" s="21">
        <f>ROUND(10.8*(1+G2/100),2)</f>
        <v>10.8</v>
      </c>
      <c r="G375" s="21">
        <f>ROUND(E375*F375,2)</f>
        <v>409.67</v>
      </c>
      <c r="H375" s="2"/>
      <c r="I375" s="2"/>
      <c r="J375" s="2"/>
    </row>
    <row r="376" spans="1:10" ht="40.799999999999997" x14ac:dyDescent="0.3">
      <c r="A376" s="2"/>
      <c r="B376" s="2"/>
      <c r="C376" s="2"/>
      <c r="D376" s="48" t="s">
        <v>924</v>
      </c>
      <c r="E376" s="48"/>
      <c r="F376" s="48"/>
      <c r="G376" s="48"/>
      <c r="H376" s="2"/>
      <c r="I376" s="2"/>
      <c r="J376" s="2"/>
    </row>
    <row r="377" spans="1:10" ht="20.399999999999999" x14ac:dyDescent="0.3">
      <c r="A377" s="10" t="s">
        <v>925</v>
      </c>
      <c r="B377" s="6" t="s">
        <v>926</v>
      </c>
      <c r="C377" s="6" t="s">
        <v>927</v>
      </c>
      <c r="D377" s="19" t="s">
        <v>928</v>
      </c>
      <c r="E377" s="20">
        <v>37.932000000000002</v>
      </c>
      <c r="F377" s="21">
        <f>ROUND(7.7*(1+G2/100),2)</f>
        <v>7.7</v>
      </c>
      <c r="G377" s="21">
        <f>ROUND(E377*F377,2)</f>
        <v>292.08</v>
      </c>
      <c r="H377" s="2"/>
      <c r="I377" s="2"/>
      <c r="J377" s="2"/>
    </row>
    <row r="378" spans="1:10" ht="30.6" x14ac:dyDescent="0.3">
      <c r="A378" s="2"/>
      <c r="B378" s="2"/>
      <c r="C378" s="2"/>
      <c r="D378" s="48" t="s">
        <v>929</v>
      </c>
      <c r="E378" s="48"/>
      <c r="F378" s="48"/>
      <c r="G378" s="48"/>
      <c r="H378" s="2"/>
      <c r="I378" s="2"/>
      <c r="J378" s="2"/>
    </row>
    <row r="379" spans="1:10" ht="20.399999999999999" x14ac:dyDescent="0.3">
      <c r="A379" s="10" t="s">
        <v>930</v>
      </c>
      <c r="B379" s="6" t="s">
        <v>931</v>
      </c>
      <c r="C379" s="6" t="s">
        <v>932</v>
      </c>
      <c r="D379" s="19" t="s">
        <v>933</v>
      </c>
      <c r="E379" s="20">
        <v>2.6030000000000002</v>
      </c>
      <c r="F379" s="21">
        <f>ROUND(12.85*(1+G2/100),2)</f>
        <v>12.85</v>
      </c>
      <c r="G379" s="21">
        <f>ROUND(E379*F379,2)</f>
        <v>33.450000000000003</v>
      </c>
      <c r="H379" s="2"/>
      <c r="I379" s="2"/>
      <c r="J379" s="2"/>
    </row>
    <row r="380" spans="1:10" ht="30.6" x14ac:dyDescent="0.3">
      <c r="A380" s="2"/>
      <c r="B380" s="2"/>
      <c r="C380" s="2"/>
      <c r="D380" s="48" t="s">
        <v>934</v>
      </c>
      <c r="E380" s="48"/>
      <c r="F380" s="48"/>
      <c r="G380" s="48"/>
      <c r="H380" s="2"/>
      <c r="I380" s="2"/>
      <c r="J380" s="2"/>
    </row>
    <row r="381" spans="1:10" ht="51" x14ac:dyDescent="0.3">
      <c r="A381" s="10" t="s">
        <v>935</v>
      </c>
      <c r="B381" s="6" t="s">
        <v>936</v>
      </c>
      <c r="C381" s="6" t="s">
        <v>937</v>
      </c>
      <c r="D381" s="19" t="s">
        <v>938</v>
      </c>
      <c r="E381" s="20">
        <v>2.6030000000000002</v>
      </c>
      <c r="F381" s="21">
        <f>ROUND(30.8*(1+G2/100),2)</f>
        <v>30.8</v>
      </c>
      <c r="G381" s="21">
        <f>ROUND(E381*F381,2)</f>
        <v>80.17</v>
      </c>
      <c r="H381" s="2"/>
      <c r="I381" s="2"/>
      <c r="J381" s="2"/>
    </row>
    <row r="382" spans="1:10" ht="51" x14ac:dyDescent="0.3">
      <c r="A382" s="2"/>
      <c r="B382" s="2"/>
      <c r="C382" s="2"/>
      <c r="D382" s="48" t="s">
        <v>939</v>
      </c>
      <c r="E382" s="48"/>
      <c r="F382" s="48"/>
      <c r="G382" s="48"/>
      <c r="H382" s="2"/>
      <c r="I382" s="2"/>
      <c r="J382" s="2"/>
    </row>
    <row r="383" spans="1:10" ht="20.399999999999999" x14ac:dyDescent="0.3">
      <c r="A383" s="10" t="s">
        <v>940</v>
      </c>
      <c r="B383" s="6" t="s">
        <v>941</v>
      </c>
      <c r="C383" s="6" t="s">
        <v>942</v>
      </c>
      <c r="D383" s="19" t="s">
        <v>943</v>
      </c>
      <c r="E383" s="20">
        <v>214</v>
      </c>
      <c r="F383" s="21">
        <f>ROUND(0.66*(1+G2/100),2)</f>
        <v>0.66</v>
      </c>
      <c r="G383" s="21">
        <f>ROUND(E383*F383,2)</f>
        <v>141.24</v>
      </c>
      <c r="H383" s="2"/>
      <c r="I383" s="2"/>
      <c r="J383" s="2"/>
    </row>
    <row r="384" spans="1:10" ht="30.6" x14ac:dyDescent="0.3">
      <c r="A384" s="2"/>
      <c r="B384" s="2"/>
      <c r="C384" s="2"/>
      <c r="D384" s="48" t="s">
        <v>944</v>
      </c>
      <c r="E384" s="48"/>
      <c r="F384" s="48"/>
      <c r="G384" s="48"/>
      <c r="H384" s="2"/>
      <c r="I384" s="2"/>
      <c r="J384" s="2"/>
    </row>
    <row r="385" spans="1:10" ht="40.799999999999997" x14ac:dyDescent="0.3">
      <c r="A385" s="10" t="s">
        <v>945</v>
      </c>
      <c r="B385" s="6" t="s">
        <v>946</v>
      </c>
      <c r="C385" s="6" t="s">
        <v>947</v>
      </c>
      <c r="D385" s="19" t="s">
        <v>948</v>
      </c>
      <c r="E385" s="20">
        <v>2.2280000000000002</v>
      </c>
      <c r="F385" s="21">
        <f>ROUND(92.93*(1+G2/100),2)</f>
        <v>92.93</v>
      </c>
      <c r="G385" s="21">
        <f>ROUND(E385*F385,2)</f>
        <v>207.05</v>
      </c>
      <c r="H385" s="2"/>
      <c r="I385" s="2"/>
      <c r="J385" s="2"/>
    </row>
    <row r="386" spans="1:10" ht="40.799999999999997" x14ac:dyDescent="0.3">
      <c r="A386" s="2"/>
      <c r="B386" s="2"/>
      <c r="C386" s="2"/>
      <c r="D386" s="48" t="s">
        <v>949</v>
      </c>
      <c r="E386" s="48"/>
      <c r="F386" s="48"/>
      <c r="G386" s="48"/>
      <c r="H386" s="2"/>
      <c r="I386" s="2"/>
      <c r="J386" s="2"/>
    </row>
    <row r="387" spans="1:10" ht="20.399999999999999" x14ac:dyDescent="0.3">
      <c r="A387" s="10" t="s">
        <v>950</v>
      </c>
      <c r="B387" s="6" t="s">
        <v>951</v>
      </c>
      <c r="C387" s="6" t="s">
        <v>952</v>
      </c>
      <c r="D387" s="19" t="s">
        <v>953</v>
      </c>
      <c r="E387" s="20">
        <v>0.24</v>
      </c>
      <c r="F387" s="21">
        <f>ROUND(131.16*(1+G2/100),2)</f>
        <v>131.16</v>
      </c>
      <c r="G387" s="21">
        <f>ROUND(E387*F387,2)</f>
        <v>31.48</v>
      </c>
      <c r="H387" s="2"/>
      <c r="I387" s="2"/>
      <c r="J387" s="2"/>
    </row>
    <row r="388" spans="1:10" ht="51" x14ac:dyDescent="0.3">
      <c r="A388" s="2"/>
      <c r="B388" s="2"/>
      <c r="C388" s="2"/>
      <c r="D388" s="48" t="s">
        <v>954</v>
      </c>
      <c r="E388" s="48"/>
      <c r="F388" s="48"/>
      <c r="G388" s="48"/>
      <c r="H388" s="2"/>
      <c r="I388" s="2"/>
      <c r="J388" s="2"/>
    </row>
    <row r="389" spans="1:10" ht="20.399999999999999" x14ac:dyDescent="0.3">
      <c r="A389" s="10" t="s">
        <v>955</v>
      </c>
      <c r="B389" s="6" t="s">
        <v>956</v>
      </c>
      <c r="C389" s="6" t="s">
        <v>957</v>
      </c>
      <c r="D389" s="19" t="s">
        <v>958</v>
      </c>
      <c r="E389" s="20">
        <v>2</v>
      </c>
      <c r="F389" s="21">
        <f>ROUND(38.8*(1+G2/100),2)</f>
        <v>38.799999999999997</v>
      </c>
      <c r="G389" s="21">
        <f>ROUND(E389*F389,2)</f>
        <v>77.599999999999994</v>
      </c>
      <c r="H389" s="2"/>
      <c r="I389" s="2"/>
      <c r="J389" s="2"/>
    </row>
    <row r="390" spans="1:10" ht="20.399999999999999" x14ac:dyDescent="0.3">
      <c r="A390" s="2"/>
      <c r="B390" s="2"/>
      <c r="C390" s="2"/>
      <c r="D390" s="48" t="s">
        <v>959</v>
      </c>
      <c r="E390" s="48"/>
      <c r="F390" s="48"/>
      <c r="G390" s="48"/>
      <c r="H390" s="2"/>
      <c r="I390" s="2"/>
      <c r="J390" s="2"/>
    </row>
    <row r="391" spans="1:10" ht="51" x14ac:dyDescent="0.3">
      <c r="A391" s="10" t="s">
        <v>960</v>
      </c>
      <c r="B391" s="6" t="s">
        <v>961</v>
      </c>
      <c r="C391" s="6" t="s">
        <v>962</v>
      </c>
      <c r="D391" s="19" t="s">
        <v>963</v>
      </c>
      <c r="E391" s="20">
        <v>6</v>
      </c>
      <c r="F391" s="21">
        <f>ROUND(33.86*(1+G2/100),2)</f>
        <v>33.86</v>
      </c>
      <c r="G391" s="21">
        <f>ROUND(E391*F391,2)</f>
        <v>203.16</v>
      </c>
      <c r="H391" s="2"/>
      <c r="I391" s="2"/>
      <c r="J391" s="2"/>
    </row>
    <row r="392" spans="1:10" ht="71.400000000000006" x14ac:dyDescent="0.3">
      <c r="A392" s="2"/>
      <c r="B392" s="2"/>
      <c r="C392" s="2"/>
      <c r="D392" s="48" t="s">
        <v>964</v>
      </c>
      <c r="E392" s="48"/>
      <c r="F392" s="48"/>
      <c r="G392" s="48"/>
      <c r="H392" s="2"/>
      <c r="I392" s="2"/>
      <c r="J392" s="2"/>
    </row>
    <row r="393" spans="1:10" ht="20.399999999999999" x14ac:dyDescent="0.3">
      <c r="A393" s="10" t="s">
        <v>965</v>
      </c>
      <c r="B393" s="6" t="s">
        <v>966</v>
      </c>
      <c r="C393" s="6" t="s">
        <v>967</v>
      </c>
      <c r="D393" s="19" t="s">
        <v>968</v>
      </c>
      <c r="E393" s="20">
        <v>4</v>
      </c>
      <c r="F393" s="21">
        <f>ROUND(44.38*(1+G2/100),2)</f>
        <v>44.38</v>
      </c>
      <c r="G393" s="21">
        <f>ROUND(E393*F393,2)</f>
        <v>177.52</v>
      </c>
      <c r="H393" s="2"/>
      <c r="I393" s="2"/>
      <c r="J393" s="2"/>
    </row>
    <row r="394" spans="1:10" ht="40.799999999999997" x14ac:dyDescent="0.3">
      <c r="A394" s="2"/>
      <c r="B394" s="2"/>
      <c r="C394" s="2"/>
      <c r="D394" s="48" t="s">
        <v>969</v>
      </c>
      <c r="E394" s="48"/>
      <c r="F394" s="48"/>
      <c r="G394" s="48"/>
      <c r="H394" s="2"/>
      <c r="I394" s="2"/>
      <c r="J394" s="2"/>
    </row>
    <row r="395" spans="1:10" ht="30.6" x14ac:dyDescent="0.3">
      <c r="A395" s="10" t="s">
        <v>970</v>
      </c>
      <c r="B395" s="6" t="s">
        <v>971</v>
      </c>
      <c r="C395" s="6" t="s">
        <v>972</v>
      </c>
      <c r="D395" s="19" t="s">
        <v>973</v>
      </c>
      <c r="E395" s="20">
        <v>2</v>
      </c>
      <c r="F395" s="21">
        <f>ROUND(179.4*(1+G2/100),2)</f>
        <v>179.4</v>
      </c>
      <c r="G395" s="21">
        <f>ROUND(E395*F395,2)</f>
        <v>358.8</v>
      </c>
      <c r="H395" s="2"/>
      <c r="I395" s="2"/>
      <c r="J395" s="2"/>
    </row>
    <row r="396" spans="1:10" ht="40.799999999999997" x14ac:dyDescent="0.3">
      <c r="A396" s="2"/>
      <c r="B396" s="2"/>
      <c r="C396" s="2"/>
      <c r="D396" s="48" t="s">
        <v>974</v>
      </c>
      <c r="E396" s="48"/>
      <c r="F396" s="48"/>
      <c r="G396" s="48"/>
      <c r="H396" s="2"/>
      <c r="I396" s="2"/>
      <c r="J396" s="2"/>
    </row>
    <row r="397" spans="1:10" ht="20.399999999999999" x14ac:dyDescent="0.3">
      <c r="A397" s="10" t="s">
        <v>975</v>
      </c>
      <c r="B397" s="6" t="s">
        <v>976</v>
      </c>
      <c r="C397" s="6" t="s">
        <v>977</v>
      </c>
      <c r="D397" s="19" t="s">
        <v>978</v>
      </c>
      <c r="E397" s="20">
        <v>2</v>
      </c>
      <c r="F397" s="21">
        <f>ROUND(371.9*(1+G2/100),2)</f>
        <v>371.9</v>
      </c>
      <c r="G397" s="21">
        <f>ROUND(E397*F397,2)</f>
        <v>743.8</v>
      </c>
      <c r="H397" s="2"/>
      <c r="I397" s="2"/>
      <c r="J397" s="2"/>
    </row>
    <row r="398" spans="1:10" ht="30.6" x14ac:dyDescent="0.3">
      <c r="A398" s="2"/>
      <c r="B398" s="2"/>
      <c r="C398" s="2"/>
      <c r="D398" s="48" t="s">
        <v>979</v>
      </c>
      <c r="E398" s="48"/>
      <c r="F398" s="48"/>
      <c r="G398" s="48"/>
      <c r="H398" s="2"/>
      <c r="I398" s="2"/>
      <c r="J398" s="2"/>
    </row>
    <row r="399" spans="1:10" ht="20.399999999999999" x14ac:dyDescent="0.3">
      <c r="A399" s="10" t="s">
        <v>980</v>
      </c>
      <c r="B399" s="6" t="s">
        <v>981</v>
      </c>
      <c r="C399" s="6" t="s">
        <v>982</v>
      </c>
      <c r="D399" s="19" t="s">
        <v>983</v>
      </c>
      <c r="E399" s="20">
        <v>2</v>
      </c>
      <c r="F399" s="21">
        <f>ROUND(297.29*(1+G2/100),2)</f>
        <v>297.29000000000002</v>
      </c>
      <c r="G399" s="21">
        <f>ROUND(E399*F399,2)</f>
        <v>594.58000000000004</v>
      </c>
      <c r="H399" s="2"/>
      <c r="I399" s="2"/>
      <c r="J399" s="2"/>
    </row>
    <row r="400" spans="1:10" ht="71.400000000000006" x14ac:dyDescent="0.3">
      <c r="A400" s="2"/>
      <c r="B400" s="2"/>
      <c r="C400" s="2"/>
      <c r="D400" s="48" t="s">
        <v>984</v>
      </c>
      <c r="E400" s="48"/>
      <c r="F400" s="48"/>
      <c r="G400" s="48"/>
      <c r="H400" s="2"/>
      <c r="I400" s="2"/>
      <c r="J400" s="2"/>
    </row>
    <row r="401" spans="1:10" ht="20.399999999999999" x14ac:dyDescent="0.3">
      <c r="A401" s="10" t="s">
        <v>985</v>
      </c>
      <c r="B401" s="6" t="s">
        <v>986</v>
      </c>
      <c r="C401" s="6" t="s">
        <v>987</v>
      </c>
      <c r="D401" s="19" t="s">
        <v>988</v>
      </c>
      <c r="E401" s="20">
        <v>15</v>
      </c>
      <c r="F401" s="21">
        <f>ROUND(1.4*(1+G2/100),2)</f>
        <v>1.4</v>
      </c>
      <c r="G401" s="21">
        <f>ROUND(E401*F401,2)</f>
        <v>21</v>
      </c>
      <c r="H401" s="2"/>
      <c r="I401" s="2"/>
      <c r="J401" s="2"/>
    </row>
    <row r="402" spans="1:10" ht="51" x14ac:dyDescent="0.3">
      <c r="A402" s="2"/>
      <c r="B402" s="2"/>
      <c r="C402" s="2"/>
      <c r="D402" s="48" t="s">
        <v>989</v>
      </c>
      <c r="E402" s="48"/>
      <c r="F402" s="48"/>
      <c r="G402" s="48"/>
      <c r="H402" s="2"/>
      <c r="I402" s="2"/>
      <c r="J402" s="2"/>
    </row>
    <row r="403" spans="1:10" x14ac:dyDescent="0.3">
      <c r="A403" s="10" t="s">
        <v>990</v>
      </c>
      <c r="B403" s="6" t="s">
        <v>991</v>
      </c>
      <c r="C403" s="6" t="s">
        <v>992</v>
      </c>
      <c r="D403" s="19" t="s">
        <v>993</v>
      </c>
      <c r="E403" s="20">
        <v>1</v>
      </c>
      <c r="F403" s="21">
        <f>ROUND(575*(1+G2/100),2)</f>
        <v>575</v>
      </c>
      <c r="G403" s="21">
        <f>ROUND(E403*F403,2)</f>
        <v>575</v>
      </c>
      <c r="H403" s="2"/>
      <c r="I403" s="2"/>
      <c r="J403" s="2"/>
    </row>
    <row r="404" spans="1:10" ht="61.2" x14ac:dyDescent="0.3">
      <c r="A404" s="2"/>
      <c r="B404" s="2"/>
      <c r="C404" s="2"/>
      <c r="D404" s="48" t="s">
        <v>994</v>
      </c>
      <c r="E404" s="48"/>
      <c r="F404" s="48"/>
      <c r="G404" s="48"/>
      <c r="H404" s="2"/>
      <c r="I404" s="2"/>
      <c r="J404" s="2"/>
    </row>
    <row r="405" spans="1:10" x14ac:dyDescent="0.3">
      <c r="A405" s="22"/>
      <c r="B405" s="22"/>
      <c r="C405" s="22"/>
      <c r="D405" s="34" t="s">
        <v>995</v>
      </c>
      <c r="E405" s="35"/>
      <c r="F405" s="36">
        <f>G351+G353+G355+G357+G359+G361+G363+G365+G367+G369+G371+G373+G375+G377+G379+G381+G383+G385+G387+G389+G391+G393+G395+G397+G399+G401+G403</f>
        <v>8066.75</v>
      </c>
      <c r="G405" s="36">
        <f>ROUND(F405,2)</f>
        <v>8066.75</v>
      </c>
      <c r="H405" s="2"/>
      <c r="I405" s="2"/>
      <c r="J405" s="2"/>
    </row>
    <row r="406" spans="1:10" x14ac:dyDescent="0.3">
      <c r="A406" s="41"/>
      <c r="B406" s="41"/>
      <c r="C406" s="41"/>
      <c r="D406" s="42" t="s">
        <v>996</v>
      </c>
      <c r="E406" s="43"/>
      <c r="F406" s="44">
        <f>G405</f>
        <v>8066.75</v>
      </c>
      <c r="G406" s="44">
        <f>ROUND(F406,2)</f>
        <v>8066.75</v>
      </c>
      <c r="H406" s="2"/>
      <c r="I406" s="2"/>
      <c r="J406" s="2"/>
    </row>
    <row r="407" spans="1:10" ht="20.399999999999999" x14ac:dyDescent="0.3">
      <c r="A407" s="26" t="s">
        <v>997</v>
      </c>
      <c r="B407" s="26" t="s">
        <v>998</v>
      </c>
      <c r="C407" s="27"/>
      <c r="D407" s="28" t="s">
        <v>999</v>
      </c>
      <c r="E407" s="27"/>
      <c r="F407" s="29">
        <f>F418</f>
        <v>6267.0199999999995</v>
      </c>
      <c r="G407" s="29">
        <f>ROUND(F407,2)</f>
        <v>6267.02</v>
      </c>
      <c r="H407" s="2"/>
      <c r="I407" s="2"/>
      <c r="J407" s="2"/>
    </row>
    <row r="408" spans="1:10" x14ac:dyDescent="0.3">
      <c r="A408" s="10" t="s">
        <v>1000</v>
      </c>
      <c r="B408" s="6" t="s">
        <v>1001</v>
      </c>
      <c r="C408" s="6" t="s">
        <v>1002</v>
      </c>
      <c r="D408" s="19" t="s">
        <v>1003</v>
      </c>
      <c r="E408" s="20">
        <v>1</v>
      </c>
      <c r="F408" s="21">
        <f>ROUND(3200*(1+G2/100),2)</f>
        <v>3200</v>
      </c>
      <c r="G408" s="21">
        <f>ROUND(E408*F408,2)</f>
        <v>3200</v>
      </c>
      <c r="H408" s="2"/>
      <c r="I408" s="2"/>
      <c r="J408" s="2"/>
    </row>
    <row r="409" spans="1:10" ht="30.6" x14ac:dyDescent="0.3">
      <c r="A409" s="2"/>
      <c r="B409" s="2"/>
      <c r="C409" s="2"/>
      <c r="D409" s="48" t="s">
        <v>1004</v>
      </c>
      <c r="E409" s="48"/>
      <c r="F409" s="48"/>
      <c r="G409" s="48"/>
      <c r="H409" s="2"/>
      <c r="I409" s="2"/>
      <c r="J409" s="2"/>
    </row>
    <row r="410" spans="1:10" x14ac:dyDescent="0.3">
      <c r="A410" s="10" t="s">
        <v>1005</v>
      </c>
      <c r="B410" s="6" t="s">
        <v>1006</v>
      </c>
      <c r="C410" s="6" t="s">
        <v>1007</v>
      </c>
      <c r="D410" s="19" t="s">
        <v>1008</v>
      </c>
      <c r="E410" s="20">
        <v>10</v>
      </c>
      <c r="F410" s="21">
        <f>ROUND(140*(1+G2/100),2)</f>
        <v>140</v>
      </c>
      <c r="G410" s="21">
        <f>ROUND(E410*F410,2)</f>
        <v>1400</v>
      </c>
      <c r="H410" s="2"/>
      <c r="I410" s="2"/>
      <c r="J410" s="2"/>
    </row>
    <row r="411" spans="1:10" ht="102" x14ac:dyDescent="0.3">
      <c r="A411" s="2"/>
      <c r="B411" s="2"/>
      <c r="C411" s="2"/>
      <c r="D411" s="48" t="s">
        <v>1009</v>
      </c>
      <c r="E411" s="48"/>
      <c r="F411" s="48"/>
      <c r="G411" s="48"/>
      <c r="H411" s="2"/>
      <c r="I411" s="2"/>
      <c r="J411" s="2"/>
    </row>
    <row r="412" spans="1:10" x14ac:dyDescent="0.3">
      <c r="A412" s="10" t="s">
        <v>1010</v>
      </c>
      <c r="B412" s="6" t="s">
        <v>1011</v>
      </c>
      <c r="C412" s="6" t="s">
        <v>1012</v>
      </c>
      <c r="D412" s="19" t="s">
        <v>1013</v>
      </c>
      <c r="E412" s="20">
        <v>1</v>
      </c>
      <c r="F412" s="21">
        <f>ROUND(750*(1+G2/100),2)</f>
        <v>750</v>
      </c>
      <c r="G412" s="21">
        <f>ROUND(E412*F412,2)</f>
        <v>750</v>
      </c>
      <c r="H412" s="2"/>
      <c r="I412" s="2"/>
      <c r="J412" s="2"/>
    </row>
    <row r="413" spans="1:10" ht="112.2" x14ac:dyDescent="0.3">
      <c r="A413" s="2"/>
      <c r="B413" s="2"/>
      <c r="C413" s="2"/>
      <c r="D413" s="48" t="s">
        <v>1014</v>
      </c>
      <c r="E413" s="48"/>
      <c r="F413" s="48"/>
      <c r="G413" s="48"/>
      <c r="H413" s="2"/>
      <c r="I413" s="2"/>
      <c r="J413" s="2"/>
    </row>
    <row r="414" spans="1:10" ht="20.399999999999999" x14ac:dyDescent="0.3">
      <c r="A414" s="10" t="s">
        <v>1015</v>
      </c>
      <c r="B414" s="6" t="s">
        <v>1016</v>
      </c>
      <c r="C414" s="6" t="s">
        <v>1017</v>
      </c>
      <c r="D414" s="19" t="s">
        <v>1018</v>
      </c>
      <c r="E414" s="20">
        <v>4</v>
      </c>
      <c r="F414" s="21">
        <f>ROUND(66.78*(1+G2/100),2)</f>
        <v>66.78</v>
      </c>
      <c r="G414" s="21">
        <f>ROUND(E414*F414,2)</f>
        <v>267.12</v>
      </c>
      <c r="H414" s="2"/>
      <c r="I414" s="2"/>
      <c r="J414" s="2"/>
    </row>
    <row r="415" spans="1:10" ht="51" x14ac:dyDescent="0.3">
      <c r="A415" s="2"/>
      <c r="B415" s="2"/>
      <c r="C415" s="2"/>
      <c r="D415" s="48" t="s">
        <v>1019</v>
      </c>
      <c r="E415" s="48"/>
      <c r="F415" s="48"/>
      <c r="G415" s="48"/>
      <c r="H415" s="2"/>
      <c r="I415" s="2"/>
      <c r="J415" s="2"/>
    </row>
    <row r="416" spans="1:10" ht="20.399999999999999" x14ac:dyDescent="0.3">
      <c r="A416" s="10" t="s">
        <v>1020</v>
      </c>
      <c r="B416" s="6" t="s">
        <v>1021</v>
      </c>
      <c r="C416" s="6" t="s">
        <v>1022</v>
      </c>
      <c r="D416" s="19" t="s">
        <v>1023</v>
      </c>
      <c r="E416" s="20">
        <v>5</v>
      </c>
      <c r="F416" s="21">
        <f>ROUND(129.98*(1+G2/100),2)</f>
        <v>129.97999999999999</v>
      </c>
      <c r="G416" s="21">
        <f>ROUND(E416*F416,2)</f>
        <v>649.9</v>
      </c>
      <c r="H416" s="2"/>
      <c r="I416" s="2"/>
      <c r="J416" s="2"/>
    </row>
    <row r="417" spans="1:10" ht="51" x14ac:dyDescent="0.3">
      <c r="A417" s="2"/>
      <c r="B417" s="2"/>
      <c r="C417" s="2"/>
      <c r="D417" s="48" t="s">
        <v>1024</v>
      </c>
      <c r="E417" s="48"/>
      <c r="F417" s="48"/>
      <c r="G417" s="48"/>
      <c r="H417" s="2"/>
      <c r="I417" s="2"/>
      <c r="J417" s="2"/>
    </row>
    <row r="418" spans="1:10" x14ac:dyDescent="0.3">
      <c r="A418" s="22"/>
      <c r="B418" s="22"/>
      <c r="C418" s="22"/>
      <c r="D418" s="23" t="s">
        <v>1025</v>
      </c>
      <c r="E418" s="24"/>
      <c r="F418" s="25">
        <f>G408+G410+G412+G414+G416</f>
        <v>6267.0199999999995</v>
      </c>
      <c r="G418" s="25">
        <f>ROUND(F418,2)</f>
        <v>6267.02</v>
      </c>
      <c r="H418" s="2"/>
      <c r="I418" s="2"/>
      <c r="J418" s="2"/>
    </row>
    <row r="419" spans="1:10" x14ac:dyDescent="0.3">
      <c r="A419" s="41"/>
      <c r="B419" s="41"/>
      <c r="C419" s="41"/>
      <c r="D419" s="45" t="s">
        <v>1026</v>
      </c>
      <c r="E419" s="46"/>
      <c r="F419" s="47">
        <f>G46+G72+G102+G144+G178+G192+G196+G204+G348+G406+G418</f>
        <v>247566.99999999997</v>
      </c>
      <c r="G419" s="47">
        <f>ROUND(F419,2)</f>
        <v>247567</v>
      </c>
      <c r="H419" s="2"/>
      <c r="I419" s="2"/>
      <c r="J419" s="2"/>
    </row>
  </sheetData>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Nerea Martínez</cp:lastModifiedBy>
  <dcterms:modified xsi:type="dcterms:W3CDTF">2026-06-29T12:43:40Z</dcterms:modified>
</cp:coreProperties>
</file>