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38845734E\Desktop\CONCURS SERVEI EXTERN NETEJA-MENJADOR\NETEJA I SERVEI ALIMENTACIO 2026-2030\Proposta David Barrera\Annexes\"/>
    </mc:Choice>
  </mc:AlternateContent>
  <bookViews>
    <workbookView xWindow="0" yWindow="0" windowWidth="1840" windowHeight="0"/>
  </bookViews>
  <sheets>
    <sheet name="PROPOSTA ECONÒMICA" sheetId="8" r:id="rId1"/>
    <sheet name="LOT 1 Girona" sheetId="2" r:id="rId2"/>
    <sheet name="LOT 2 Tarragona" sheetId="3" r:id="rId3"/>
    <sheet name="LOT 3 Barcelona" sheetId="4" r:id="rId4"/>
    <sheet name="LOT 4 Lleida" sheetId="5" r:id="rId5"/>
    <sheet name="RESUM CONCURS" sheetId="6" r:id="rId6"/>
  </sheets>
  <definedNames>
    <definedName name="_xlnm.Print_Area" localSheetId="1">'LOT 1 Girona'!$A$1:$O$51</definedName>
    <definedName name="_xlnm.Print_Area" localSheetId="2">'LOT 2 Tarragona'!$A$1:$O$27</definedName>
    <definedName name="_xlnm.Print_Area" localSheetId="3">'LOT 3 Barcelona'!$A$1:$O$33</definedName>
    <definedName name="_xlnm.Print_Area" localSheetId="4">'LOT 4 Lleida'!$A$1:$O$21</definedName>
    <definedName name="_xlnm.Print_Area" localSheetId="5">'RESUM CONCURS'!$A$1:$J$35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7" i="8" l="1"/>
  <c r="L33" i="8"/>
  <c r="L36" i="8"/>
  <c r="L35" i="8"/>
  <c r="L34" i="8"/>
  <c r="K37" i="8"/>
  <c r="K36" i="8"/>
  <c r="K35" i="8"/>
  <c r="K34" i="8"/>
  <c r="K33" i="8"/>
  <c r="J37" i="8"/>
  <c r="J36" i="8"/>
  <c r="J35" i="8"/>
  <c r="J34" i="8"/>
  <c r="J33" i="8"/>
  <c r="J44" i="8"/>
  <c r="J45" i="8"/>
  <c r="J46" i="8"/>
  <c r="K46" i="8"/>
  <c r="K45" i="8"/>
  <c r="K44" i="8"/>
  <c r="L45" i="8"/>
  <c r="L44" i="8"/>
  <c r="L16" i="8"/>
  <c r="L46" i="8"/>
  <c r="L23" i="8"/>
  <c r="L26" i="8"/>
  <c r="L25" i="8"/>
  <c r="L24" i="8"/>
  <c r="L13" i="8"/>
  <c r="K26" i="8"/>
  <c r="K25" i="8"/>
  <c r="K24" i="8"/>
  <c r="K23" i="8"/>
  <c r="J26" i="8"/>
  <c r="J25" i="8"/>
  <c r="J24" i="8"/>
  <c r="J23" i="8"/>
  <c r="L14" i="8" l="1"/>
  <c r="L15" i="8"/>
  <c r="L12" i="8"/>
  <c r="L11" i="8"/>
  <c r="L10" i="8"/>
  <c r="L9" i="8"/>
  <c r="K16" i="8"/>
  <c r="K15" i="8"/>
  <c r="K14" i="8"/>
  <c r="K13" i="8"/>
  <c r="K12" i="8"/>
  <c r="K11" i="8"/>
  <c r="K10" i="8"/>
  <c r="K9" i="8"/>
  <c r="J16" i="8"/>
  <c r="J15" i="8"/>
  <c r="J14" i="8"/>
  <c r="J13" i="8"/>
  <c r="J12" i="8"/>
  <c r="J11" i="8"/>
  <c r="J10" i="8"/>
  <c r="J9" i="8"/>
  <c r="M47" i="8" l="1"/>
  <c r="M38" i="8"/>
  <c r="M27" i="8"/>
  <c r="M17" i="8"/>
  <c r="I33" i="6" l="1"/>
  <c r="I21" i="6"/>
  <c r="I19" i="6"/>
  <c r="I17" i="6"/>
  <c r="I31" i="6"/>
  <c r="I24" i="6"/>
  <c r="I10" i="6"/>
  <c r="I35" i="6"/>
  <c r="I34" i="6"/>
  <c r="I32" i="6"/>
  <c r="I28" i="6"/>
  <c r="I27" i="6"/>
  <c r="I26" i="6"/>
  <c r="I25" i="6"/>
  <c r="I20" i="6"/>
  <c r="I18" i="6"/>
  <c r="I14" i="6"/>
  <c r="I13" i="6"/>
  <c r="I12" i="6"/>
  <c r="I11" i="6"/>
  <c r="D10" i="8" l="1"/>
  <c r="D16" i="8"/>
  <c r="D14" i="8"/>
  <c r="D9" i="8" l="1"/>
  <c r="D44" i="8"/>
  <c r="D45" i="8"/>
  <c r="D33" i="8"/>
  <c r="D35" i="8"/>
  <c r="D37" i="8"/>
  <c r="R33" i="8" l="1"/>
  <c r="AA33" i="8" s="1"/>
  <c r="AJ33" i="8" s="1"/>
  <c r="AS33" i="8" s="1"/>
  <c r="AV37" i="8" s="1"/>
  <c r="R44" i="8"/>
  <c r="R23" i="8"/>
  <c r="AA23" i="8" s="1"/>
  <c r="AJ23" i="8" s="1"/>
  <c r="AS23" i="8" s="1"/>
  <c r="AM35" i="8" l="1"/>
  <c r="AM37" i="8"/>
  <c r="U37" i="8"/>
  <c r="U35" i="8"/>
  <c r="AM33" i="8"/>
  <c r="AV35" i="8"/>
  <c r="AD37" i="8"/>
  <c r="AV33" i="8"/>
  <c r="AD35" i="8"/>
  <c r="AD33" i="8"/>
  <c r="U33" i="8"/>
  <c r="AA44" i="8"/>
  <c r="U44" i="8"/>
  <c r="U45" i="8"/>
  <c r="L38" i="8"/>
  <c r="L27" i="8"/>
  <c r="L47" i="8"/>
  <c r="L17" i="8"/>
  <c r="R9" i="8"/>
  <c r="AJ44" i="8" l="1"/>
  <c r="AD44" i="8"/>
  <c r="AD45" i="8"/>
  <c r="U38" i="8"/>
  <c r="U17" i="8"/>
  <c r="AA9" i="8"/>
  <c r="U47" i="8"/>
  <c r="U27" i="8"/>
  <c r="U10" i="8"/>
  <c r="U16" i="8"/>
  <c r="U14" i="8"/>
  <c r="U9" i="8"/>
  <c r="AS44" i="8" l="1"/>
  <c r="AM44" i="8"/>
  <c r="AM45" i="8"/>
  <c r="AD17" i="8"/>
  <c r="AD10" i="8"/>
  <c r="AD16" i="8"/>
  <c r="AJ9" i="8"/>
  <c r="AD14" i="8"/>
  <c r="AD27" i="8"/>
  <c r="AD38" i="8"/>
  <c r="AD47" i="8"/>
  <c r="AD9" i="8"/>
  <c r="AV45" i="8" l="1"/>
  <c r="AV44" i="8"/>
  <c r="AM47" i="8"/>
  <c r="AM27" i="8"/>
  <c r="AM17" i="8"/>
  <c r="AM38" i="8"/>
  <c r="AM10" i="8"/>
  <c r="AM14" i="8"/>
  <c r="AM16" i="8"/>
  <c r="AM9" i="8"/>
  <c r="AS9" i="8"/>
  <c r="AV47" i="8" l="1"/>
  <c r="AV38" i="8"/>
  <c r="AV27" i="8"/>
  <c r="AV17" i="8"/>
  <c r="AV16" i="8"/>
  <c r="AV14" i="8"/>
  <c r="AV10" i="8"/>
  <c r="AV9" i="8"/>
  <c r="Q33" i="8" l="1"/>
  <c r="Z33" i="8" s="1"/>
  <c r="AI33" i="8" s="1"/>
  <c r="AR33" i="8" s="1"/>
  <c r="Q23" i="8"/>
  <c r="Z23" i="8" s="1"/>
  <c r="AI23" i="8" s="1"/>
  <c r="AR23" i="8" s="1"/>
  <c r="Q44" i="8"/>
  <c r="B44" i="8"/>
  <c r="B45" i="8"/>
  <c r="B46" i="8"/>
  <c r="B37" i="8"/>
  <c r="B36" i="8"/>
  <c r="B33" i="8"/>
  <c r="B35" i="8"/>
  <c r="B34" i="8"/>
  <c r="B9" i="8"/>
  <c r="B10" i="8"/>
  <c r="B11" i="8"/>
  <c r="B13" i="8"/>
  <c r="B14" i="8"/>
  <c r="B15" i="8"/>
  <c r="B16" i="8"/>
  <c r="B23" i="8"/>
  <c r="B24" i="8"/>
  <c r="B25" i="8"/>
  <c r="B26" i="8"/>
  <c r="Z44" i="8" l="1"/>
  <c r="K47" i="8"/>
  <c r="J47" i="8"/>
  <c r="N47" i="8" s="1"/>
  <c r="K38" i="8"/>
  <c r="J38" i="8"/>
  <c r="N38" i="8" s="1"/>
  <c r="K27" i="8"/>
  <c r="J27" i="8"/>
  <c r="J17" i="8"/>
  <c r="K17" i="8"/>
  <c r="Q9" i="8"/>
  <c r="B39" i="8"/>
  <c r="B28" i="8"/>
  <c r="B48" i="8"/>
  <c r="AI44" i="8" l="1"/>
  <c r="N17" i="8"/>
  <c r="N27" i="8"/>
  <c r="T17" i="8"/>
  <c r="Z9" i="8"/>
  <c r="T38" i="8"/>
  <c r="T27" i="8"/>
  <c r="T47" i="8"/>
  <c r="AR44" i="8" l="1"/>
  <c r="AC27" i="8"/>
  <c r="AC47" i="8"/>
  <c r="AC17" i="8"/>
  <c r="AC38" i="8"/>
  <c r="AI9" i="8"/>
  <c r="AL38" i="8" l="1"/>
  <c r="AL27" i="8"/>
  <c r="AL47" i="8"/>
  <c r="AL17" i="8"/>
  <c r="AR9" i="8"/>
  <c r="AU47" i="8" l="1"/>
  <c r="AU38" i="8"/>
  <c r="AU27" i="8"/>
  <c r="AU17" i="8"/>
  <c r="P23" i="8" l="1"/>
  <c r="P33" i="8"/>
  <c r="P44" i="8"/>
  <c r="Y44" i="8" l="1"/>
  <c r="S46" i="8"/>
  <c r="S45" i="8"/>
  <c r="S44" i="8"/>
  <c r="Y23" i="8"/>
  <c r="S25" i="8"/>
  <c r="S23" i="8"/>
  <c r="S24" i="8"/>
  <c r="S26" i="8"/>
  <c r="Y33" i="8"/>
  <c r="S35" i="8"/>
  <c r="S36" i="8"/>
  <c r="S34" i="8"/>
  <c r="S37" i="8"/>
  <c r="S33" i="8"/>
  <c r="P9" i="8"/>
  <c r="D24" i="8"/>
  <c r="AM24" i="8" l="1"/>
  <c r="AD24" i="8"/>
  <c r="U24" i="8"/>
  <c r="AV24" i="8"/>
  <c r="AH44" i="8"/>
  <c r="AB44" i="8"/>
  <c r="AB45" i="8"/>
  <c r="AB46" i="8"/>
  <c r="AH23" i="8"/>
  <c r="AB24" i="8"/>
  <c r="AB25" i="8"/>
  <c r="AB23" i="8"/>
  <c r="AB26" i="8"/>
  <c r="AH33" i="8"/>
  <c r="AB34" i="8"/>
  <c r="AB35" i="8"/>
  <c r="AB37" i="8"/>
  <c r="AB33" i="8"/>
  <c r="AB36" i="8"/>
  <c r="J39" i="8"/>
  <c r="C24" i="6" s="1"/>
  <c r="J18" i="8"/>
  <c r="C10" i="6" s="1"/>
  <c r="J48" i="8"/>
  <c r="C31" i="6" s="1"/>
  <c r="J28" i="8"/>
  <c r="C17" i="6" s="1"/>
  <c r="S27" i="8"/>
  <c r="W27" i="8" s="1"/>
  <c r="S47" i="8"/>
  <c r="W47" i="8" s="1"/>
  <c r="S38" i="8"/>
  <c r="W38" i="8" s="1"/>
  <c r="Y9" i="8"/>
  <c r="S17" i="8"/>
  <c r="W17" i="8" s="1"/>
  <c r="S13" i="8"/>
  <c r="S16" i="8"/>
  <c r="S14" i="8"/>
  <c r="S10" i="8"/>
  <c r="S11" i="8"/>
  <c r="S15" i="8"/>
  <c r="S9" i="8"/>
  <c r="AQ44" i="8" l="1"/>
  <c r="AK46" i="8"/>
  <c r="AK44" i="8"/>
  <c r="AK45" i="8"/>
  <c r="AQ23" i="8"/>
  <c r="AK23" i="8"/>
  <c r="AK24" i="8"/>
  <c r="AK26" i="8"/>
  <c r="AK25" i="8"/>
  <c r="AQ33" i="8"/>
  <c r="AK34" i="8"/>
  <c r="AK33" i="8"/>
  <c r="AK36" i="8"/>
  <c r="AK35" i="8"/>
  <c r="AK37" i="8"/>
  <c r="AB27" i="8"/>
  <c r="AF27" i="8" s="1"/>
  <c r="AB47" i="8"/>
  <c r="AF47" i="8" s="1"/>
  <c r="AB38" i="8"/>
  <c r="AF38" i="8" s="1"/>
  <c r="AB17" i="8"/>
  <c r="AF17" i="8" s="1"/>
  <c r="AH9" i="8"/>
  <c r="AB9" i="8"/>
  <c r="AB13" i="8"/>
  <c r="AB14" i="8"/>
  <c r="AB16" i="8"/>
  <c r="AB15" i="8"/>
  <c r="AB11" i="8"/>
  <c r="AB10" i="8"/>
  <c r="S28" i="8"/>
  <c r="C18" i="6" s="1"/>
  <c r="S48" i="8"/>
  <c r="C32" i="6" s="1"/>
  <c r="S39" i="8"/>
  <c r="C25" i="6" s="1"/>
  <c r="AT44" i="8" l="1"/>
  <c r="AT45" i="8"/>
  <c r="AT46" i="8"/>
  <c r="AT26" i="8"/>
  <c r="AT25" i="8"/>
  <c r="AT23" i="8"/>
  <c r="AT24" i="8"/>
  <c r="AT37" i="8"/>
  <c r="AT33" i="8"/>
  <c r="AT36" i="8"/>
  <c r="AT35" i="8"/>
  <c r="AT34" i="8"/>
  <c r="AB48" i="8"/>
  <c r="C33" i="6" s="1"/>
  <c r="M45" i="8"/>
  <c r="N45" i="8" s="1"/>
  <c r="M34" i="8"/>
  <c r="N34" i="8" s="1"/>
  <c r="AK17" i="8"/>
  <c r="AK27" i="8"/>
  <c r="AK47" i="8"/>
  <c r="AK38" i="8"/>
  <c r="AK13" i="8"/>
  <c r="AK14" i="8"/>
  <c r="AK15" i="8"/>
  <c r="AK10" i="8"/>
  <c r="AK16" i="8"/>
  <c r="AK11" i="8"/>
  <c r="AK9" i="8"/>
  <c r="AB28" i="8"/>
  <c r="C19" i="6" s="1"/>
  <c r="AO47" i="8"/>
  <c r="AO17" i="8"/>
  <c r="AO38" i="8"/>
  <c r="AQ9" i="8"/>
  <c r="AO27" i="8"/>
  <c r="AB39" i="8"/>
  <c r="C26" i="6" s="1"/>
  <c r="D34" i="8"/>
  <c r="M37" i="8"/>
  <c r="N37" i="8" s="1"/>
  <c r="D25" i="8"/>
  <c r="M35" i="8"/>
  <c r="N35" i="8" s="1"/>
  <c r="M25" i="8"/>
  <c r="N25" i="8" s="1"/>
  <c r="M33" i="8"/>
  <c r="M24" i="8"/>
  <c r="N24" i="8" s="1"/>
  <c r="AV34" i="8" l="1"/>
  <c r="AM34" i="8"/>
  <c r="AD34" i="8"/>
  <c r="U34" i="8"/>
  <c r="AM25" i="8"/>
  <c r="AD25" i="8"/>
  <c r="U25" i="8"/>
  <c r="AV25" i="8"/>
  <c r="M16" i="8"/>
  <c r="N16" i="8" s="1"/>
  <c r="AT17" i="8"/>
  <c r="AT47" i="8"/>
  <c r="AT38" i="8"/>
  <c r="AT27" i="8"/>
  <c r="AT14" i="8"/>
  <c r="AT11" i="8"/>
  <c r="AT10" i="8"/>
  <c r="AT9" i="8"/>
  <c r="AT16" i="8"/>
  <c r="AT15" i="8"/>
  <c r="AT13" i="8"/>
  <c r="AK39" i="8"/>
  <c r="C27" i="6" s="1"/>
  <c r="AX17" i="8"/>
  <c r="AX27" i="8"/>
  <c r="AX38" i="8"/>
  <c r="AX47" i="8"/>
  <c r="AK28" i="8"/>
  <c r="C20" i="6" s="1"/>
  <c r="AK48" i="8"/>
  <c r="C34" i="6" s="1"/>
  <c r="D12" i="8"/>
  <c r="C37" i="8"/>
  <c r="C24" i="8"/>
  <c r="M14" i="8"/>
  <c r="N14" i="8" s="1"/>
  <c r="C25" i="8"/>
  <c r="C45" i="8"/>
  <c r="M23" i="8"/>
  <c r="C34" i="8"/>
  <c r="M44" i="8"/>
  <c r="C33" i="8"/>
  <c r="M10" i="8"/>
  <c r="N10" i="8" s="1"/>
  <c r="C35" i="8"/>
  <c r="N33" i="8"/>
  <c r="M15" i="8" l="1"/>
  <c r="N15" i="8" s="1"/>
  <c r="T25" i="8"/>
  <c r="V25" i="8" s="1"/>
  <c r="W25" i="8" s="1"/>
  <c r="AL25" i="8"/>
  <c r="AN25" i="8" s="1"/>
  <c r="AO25" i="8" s="1"/>
  <c r="AC25" i="8"/>
  <c r="AE25" i="8" s="1"/>
  <c r="AF25" i="8" s="1"/>
  <c r="AU25" i="8"/>
  <c r="AW25" i="8" s="1"/>
  <c r="AX25" i="8" s="1"/>
  <c r="AL24" i="8"/>
  <c r="AN24" i="8" s="1"/>
  <c r="AO24" i="8" s="1"/>
  <c r="AC24" i="8"/>
  <c r="AE24" i="8" s="1"/>
  <c r="AF24" i="8" s="1"/>
  <c r="T24" i="8"/>
  <c r="V24" i="8" s="1"/>
  <c r="W24" i="8" s="1"/>
  <c r="AU24" i="8"/>
  <c r="AW24" i="8" s="1"/>
  <c r="AX24" i="8" s="1"/>
  <c r="T45" i="8"/>
  <c r="V45" i="8" s="1"/>
  <c r="W45" i="8" s="1"/>
  <c r="AC45" i="8"/>
  <c r="AE45" i="8" s="1"/>
  <c r="AF45" i="8" s="1"/>
  <c r="AL45" i="8"/>
  <c r="AN45" i="8" s="1"/>
  <c r="AO45" i="8" s="1"/>
  <c r="AU45" i="8"/>
  <c r="AW45" i="8" s="1"/>
  <c r="AX45" i="8" s="1"/>
  <c r="T35" i="8"/>
  <c r="V35" i="8" s="1"/>
  <c r="W35" i="8" s="1"/>
  <c r="AL35" i="8"/>
  <c r="AN35" i="8" s="1"/>
  <c r="AO35" i="8" s="1"/>
  <c r="AC35" i="8"/>
  <c r="AE35" i="8" s="1"/>
  <c r="AF35" i="8" s="1"/>
  <c r="AU35" i="8"/>
  <c r="AW35" i="8" s="1"/>
  <c r="AX35" i="8" s="1"/>
  <c r="AU33" i="8"/>
  <c r="AC33" i="8"/>
  <c r="AL33" i="8"/>
  <c r="T33" i="8"/>
  <c r="AL34" i="8"/>
  <c r="AN34" i="8" s="1"/>
  <c r="AO34" i="8" s="1"/>
  <c r="AC34" i="8"/>
  <c r="AE34" i="8" s="1"/>
  <c r="AF34" i="8" s="1"/>
  <c r="T34" i="8"/>
  <c r="V34" i="8" s="1"/>
  <c r="W34" i="8" s="1"/>
  <c r="AU34" i="8"/>
  <c r="AW34" i="8" s="1"/>
  <c r="AX34" i="8" s="1"/>
  <c r="AC37" i="8"/>
  <c r="AE37" i="8" s="1"/>
  <c r="AF37" i="8" s="1"/>
  <c r="AU37" i="8"/>
  <c r="AW37" i="8" s="1"/>
  <c r="AX37" i="8" s="1"/>
  <c r="T37" i="8"/>
  <c r="V37" i="8" s="1"/>
  <c r="W37" i="8" s="1"/>
  <c r="AL37" i="8"/>
  <c r="AN37" i="8" s="1"/>
  <c r="AO37" i="8" s="1"/>
  <c r="AV12" i="8"/>
  <c r="AM12" i="8"/>
  <c r="AT48" i="8"/>
  <c r="C35" i="6" s="1"/>
  <c r="M11" i="8"/>
  <c r="N11" i="8" s="1"/>
  <c r="AT39" i="8"/>
  <c r="C28" i="6" s="1"/>
  <c r="AT28" i="8"/>
  <c r="C21" i="6" s="1"/>
  <c r="C11" i="8"/>
  <c r="C13" i="8"/>
  <c r="N23" i="8"/>
  <c r="N44" i="8"/>
  <c r="D11" i="8"/>
  <c r="C10" i="8"/>
  <c r="C15" i="8"/>
  <c r="D13" i="8"/>
  <c r="D15" i="8"/>
  <c r="C16" i="8"/>
  <c r="M13" i="8"/>
  <c r="N13" i="8" s="1"/>
  <c r="U12" i="8"/>
  <c r="AD12" i="8"/>
  <c r="C14" i="8"/>
  <c r="L18" i="8"/>
  <c r="G10" i="6" s="1"/>
  <c r="AU11" i="8" l="1"/>
  <c r="AL11" i="8"/>
  <c r="AU15" i="8"/>
  <c r="AL15" i="8"/>
  <c r="AU16" i="8"/>
  <c r="AW16" i="8" s="1"/>
  <c r="AX16" i="8" s="1"/>
  <c r="AL16" i="8"/>
  <c r="AN16" i="8" s="1"/>
  <c r="AO16" i="8" s="1"/>
  <c r="AL13" i="8"/>
  <c r="AU13" i="8"/>
  <c r="AU10" i="8"/>
  <c r="AW10" i="8" s="1"/>
  <c r="AX10" i="8" s="1"/>
  <c r="AL10" i="8"/>
  <c r="AN10" i="8" s="1"/>
  <c r="AO10" i="8" s="1"/>
  <c r="AU14" i="8"/>
  <c r="AW14" i="8" s="1"/>
  <c r="AX14" i="8" s="1"/>
  <c r="AL14" i="8"/>
  <c r="AN14" i="8" s="1"/>
  <c r="AO14" i="8" s="1"/>
  <c r="AM13" i="8"/>
  <c r="AV13" i="8"/>
  <c r="AV15" i="8"/>
  <c r="AM15" i="8"/>
  <c r="AV11" i="8"/>
  <c r="AM11" i="8"/>
  <c r="T15" i="8"/>
  <c r="AC15" i="8"/>
  <c r="AW33" i="8"/>
  <c r="AC10" i="8"/>
  <c r="AE10" i="8" s="1"/>
  <c r="AF10" i="8" s="1"/>
  <c r="T10" i="8"/>
  <c r="V10" i="8" s="1"/>
  <c r="W10" i="8" s="1"/>
  <c r="T13" i="8"/>
  <c r="AC13" i="8"/>
  <c r="U13" i="8"/>
  <c r="AD13" i="8"/>
  <c r="AN33" i="8"/>
  <c r="U11" i="8"/>
  <c r="AD11" i="8"/>
  <c r="D18" i="8"/>
  <c r="AE33" i="8"/>
  <c r="AC14" i="8"/>
  <c r="AE14" i="8" s="1"/>
  <c r="AF14" i="8" s="1"/>
  <c r="T14" i="8"/>
  <c r="V14" i="8" s="1"/>
  <c r="W14" i="8" s="1"/>
  <c r="U15" i="8"/>
  <c r="AD15" i="8"/>
  <c r="AC16" i="8"/>
  <c r="AE16" i="8" s="1"/>
  <c r="AF16" i="8" s="1"/>
  <c r="T16" i="8"/>
  <c r="V16" i="8" s="1"/>
  <c r="W16" i="8" s="1"/>
  <c r="T11" i="8"/>
  <c r="AC11" i="8"/>
  <c r="D23" i="8"/>
  <c r="V33" i="8"/>
  <c r="AD23" i="8" l="1"/>
  <c r="AM23" i="8"/>
  <c r="AV23" i="8"/>
  <c r="U23" i="8"/>
  <c r="V13" i="8"/>
  <c r="W13" i="8" s="1"/>
  <c r="AE11" i="8"/>
  <c r="AF11" i="8" s="1"/>
  <c r="V11" i="8"/>
  <c r="W11" i="8" s="1"/>
  <c r="C23" i="8"/>
  <c r="AX33" i="8"/>
  <c r="AW15" i="8"/>
  <c r="AX15" i="8" s="1"/>
  <c r="AN15" i="8"/>
  <c r="AO15" i="8" s="1"/>
  <c r="AF33" i="8"/>
  <c r="AW13" i="8"/>
  <c r="AX13" i="8" s="1"/>
  <c r="AE15" i="8"/>
  <c r="AF15" i="8" s="1"/>
  <c r="AM18" i="8"/>
  <c r="G13" i="6" s="1"/>
  <c r="AD18" i="8"/>
  <c r="G12" i="6" s="1"/>
  <c r="AN13" i="8"/>
  <c r="AO13" i="8" s="1"/>
  <c r="V15" i="8"/>
  <c r="W15" i="8" s="1"/>
  <c r="W33" i="8"/>
  <c r="AW11" i="8"/>
  <c r="AX11" i="8" s="1"/>
  <c r="AV18" i="8"/>
  <c r="G14" i="6" s="1"/>
  <c r="U18" i="8"/>
  <c r="G11" i="6" s="1"/>
  <c r="AN11" i="8"/>
  <c r="AO11" i="8" s="1"/>
  <c r="AO33" i="8"/>
  <c r="AE13" i="8"/>
  <c r="AF13" i="8" s="1"/>
  <c r="AU23" i="8" l="1"/>
  <c r="AW23" i="8" s="1"/>
  <c r="AC23" i="8"/>
  <c r="AE23" i="8" s="1"/>
  <c r="T23" i="8"/>
  <c r="V23" i="8" s="1"/>
  <c r="AL23" i="8"/>
  <c r="AN23" i="8" s="1"/>
  <c r="AX23" i="8" l="1"/>
  <c r="AO23" i="8"/>
  <c r="AF23" i="8"/>
  <c r="W23" i="8"/>
  <c r="C44" i="8" l="1"/>
  <c r="T44" i="8" l="1"/>
  <c r="V44" i="8" s="1"/>
  <c r="AC44" i="8"/>
  <c r="AE44" i="8" s="1"/>
  <c r="AL44" i="8"/>
  <c r="AN44" i="8" s="1"/>
  <c r="AU44" i="8"/>
  <c r="AW44" i="8" s="1"/>
  <c r="C9" i="8" l="1"/>
  <c r="M9" i="8"/>
  <c r="AX44" i="8"/>
  <c r="W44" i="8"/>
  <c r="AO44" i="8"/>
  <c r="AF44" i="8"/>
  <c r="AU9" i="8" l="1"/>
  <c r="AL9" i="8"/>
  <c r="AC9" i="8"/>
  <c r="T9" i="8"/>
  <c r="N9" i="8"/>
  <c r="AW9" i="8" l="1"/>
  <c r="AE9" i="8"/>
  <c r="AN9" i="8"/>
  <c r="V9" i="8"/>
  <c r="AO9" i="8" l="1"/>
  <c r="W9" i="8"/>
  <c r="AF9" i="8"/>
  <c r="AX9" i="8"/>
  <c r="K48" i="8" l="1"/>
  <c r="E31" i="6" s="1"/>
  <c r="C46" i="8" l="1"/>
  <c r="L48" i="8"/>
  <c r="G31" i="6" s="1"/>
  <c r="M46" i="8"/>
  <c r="D46" i="8"/>
  <c r="U46" i="8" l="1"/>
  <c r="U48" i="8" s="1"/>
  <c r="G32" i="6" s="1"/>
  <c r="AD46" i="8"/>
  <c r="AD48" i="8" s="1"/>
  <c r="G33" i="6" s="1"/>
  <c r="AM46" i="8"/>
  <c r="AM48" i="8" s="1"/>
  <c r="G34" i="6" s="1"/>
  <c r="AV46" i="8"/>
  <c r="AV48" i="8" s="1"/>
  <c r="G35" i="6" s="1"/>
  <c r="T46" i="8"/>
  <c r="AC46" i="8"/>
  <c r="AL46" i="8"/>
  <c r="AU46" i="8"/>
  <c r="C48" i="8"/>
  <c r="D48" i="8"/>
  <c r="N46" i="8"/>
  <c r="N48" i="8" s="1"/>
  <c r="M48" i="8"/>
  <c r="C6" i="6" l="1"/>
  <c r="B31" i="6"/>
  <c r="AN46" i="8"/>
  <c r="AL48" i="8"/>
  <c r="E34" i="6" s="1"/>
  <c r="AW46" i="8"/>
  <c r="AU48" i="8"/>
  <c r="E35" i="6" s="1"/>
  <c r="AE46" i="8"/>
  <c r="AC48" i="8"/>
  <c r="E33" i="6" s="1"/>
  <c r="V46" i="8"/>
  <c r="T48" i="8"/>
  <c r="E32" i="6" s="1"/>
  <c r="D31" i="6" l="1"/>
  <c r="H31" i="6"/>
  <c r="J31" i="6"/>
  <c r="F31" i="6"/>
  <c r="W46" i="8"/>
  <c r="W48" i="8" s="1"/>
  <c r="V48" i="8"/>
  <c r="AF46" i="8"/>
  <c r="AF48" i="8" s="1"/>
  <c r="AE48" i="8"/>
  <c r="AX46" i="8"/>
  <c r="AX48" i="8" s="1"/>
  <c r="AW48" i="8"/>
  <c r="AO46" i="8"/>
  <c r="AO48" i="8" s="1"/>
  <c r="AN48" i="8"/>
  <c r="D6" i="6" l="1"/>
  <c r="B32" i="6"/>
  <c r="G6" i="6"/>
  <c r="B34" i="6"/>
  <c r="H6" i="6"/>
  <c r="B35" i="6"/>
  <c r="K39" i="8"/>
  <c r="E24" i="6" s="1"/>
  <c r="E6" i="6"/>
  <c r="B33" i="6"/>
  <c r="L39" i="8"/>
  <c r="G24" i="6" s="1"/>
  <c r="D35" i="6" l="1"/>
  <c r="J35" i="6"/>
  <c r="H35" i="6"/>
  <c r="F35" i="6"/>
  <c r="J34" i="6"/>
  <c r="H34" i="6"/>
  <c r="D34" i="6"/>
  <c r="F34" i="6"/>
  <c r="H32" i="6"/>
  <c r="D32" i="6"/>
  <c r="J32" i="6"/>
  <c r="F32" i="6"/>
  <c r="J33" i="6"/>
  <c r="H33" i="6"/>
  <c r="D33" i="6"/>
  <c r="F33" i="6"/>
  <c r="I6" i="6"/>
  <c r="F6" i="6"/>
  <c r="D36" i="8"/>
  <c r="C36" i="8"/>
  <c r="M36" i="8"/>
  <c r="U36" i="8" l="1"/>
  <c r="U39" i="8" s="1"/>
  <c r="G25" i="6" s="1"/>
  <c r="AM36" i="8"/>
  <c r="AM39" i="8" s="1"/>
  <c r="G27" i="6" s="1"/>
  <c r="AV36" i="8"/>
  <c r="AD36" i="8"/>
  <c r="AD39" i="8" s="1"/>
  <c r="G26" i="6" s="1"/>
  <c r="T36" i="8"/>
  <c r="AU36" i="8"/>
  <c r="AC36" i="8"/>
  <c r="AL36" i="8"/>
  <c r="J6" i="6"/>
  <c r="AV39" i="8"/>
  <c r="G28" i="6" s="1"/>
  <c r="N36" i="8"/>
  <c r="N39" i="8" s="1"/>
  <c r="M39" i="8"/>
  <c r="C39" i="8"/>
  <c r="D39" i="8"/>
  <c r="C5" i="6" l="1"/>
  <c r="B24" i="6"/>
  <c r="AE36" i="8"/>
  <c r="AC39" i="8"/>
  <c r="E26" i="6" s="1"/>
  <c r="AN36" i="8"/>
  <c r="AL39" i="8"/>
  <c r="E27" i="6" s="1"/>
  <c r="AW36" i="8"/>
  <c r="AU39" i="8"/>
  <c r="E28" i="6" s="1"/>
  <c r="V36" i="8"/>
  <c r="T39" i="8"/>
  <c r="E25" i="6" s="1"/>
  <c r="H24" i="6" l="1"/>
  <c r="D24" i="6"/>
  <c r="J24" i="6"/>
  <c r="F24" i="6"/>
  <c r="W36" i="8"/>
  <c r="W39" i="8" s="1"/>
  <c r="V39" i="8"/>
  <c r="AX36" i="8"/>
  <c r="AX39" i="8" s="1"/>
  <c r="AW39" i="8"/>
  <c r="AO36" i="8"/>
  <c r="AO39" i="8" s="1"/>
  <c r="AN39" i="8"/>
  <c r="AF36" i="8"/>
  <c r="AF39" i="8" s="1"/>
  <c r="AE39" i="8"/>
  <c r="D5" i="6" l="1"/>
  <c r="B25" i="6"/>
  <c r="E5" i="6"/>
  <c r="B26" i="6"/>
  <c r="G5" i="6"/>
  <c r="B27" i="6"/>
  <c r="H5" i="6"/>
  <c r="B28" i="6"/>
  <c r="I5" i="6" l="1"/>
  <c r="H28" i="6"/>
  <c r="D28" i="6"/>
  <c r="J28" i="6"/>
  <c r="F28" i="6"/>
  <c r="H27" i="6"/>
  <c r="J27" i="6"/>
  <c r="D27" i="6"/>
  <c r="F27" i="6"/>
  <c r="J26" i="6"/>
  <c r="D26" i="6"/>
  <c r="H26" i="6"/>
  <c r="F26" i="6"/>
  <c r="H25" i="6"/>
  <c r="J25" i="6"/>
  <c r="D25" i="6"/>
  <c r="F25" i="6"/>
  <c r="F5" i="6"/>
  <c r="L28" i="8"/>
  <c r="G17" i="6" s="1"/>
  <c r="J5" i="6" l="1"/>
  <c r="D26" i="8"/>
  <c r="C26" i="8"/>
  <c r="M26" i="8"/>
  <c r="K28" i="8"/>
  <c r="E17" i="6" s="1"/>
  <c r="AU26" i="8" l="1"/>
  <c r="AL26" i="8"/>
  <c r="AC26" i="8"/>
  <c r="T26" i="8"/>
  <c r="AV26" i="8"/>
  <c r="AV28" i="8" s="1"/>
  <c r="G21" i="6" s="1"/>
  <c r="AM26" i="8"/>
  <c r="AD26" i="8"/>
  <c r="AD28" i="8" s="1"/>
  <c r="G19" i="6" s="1"/>
  <c r="U26" i="8"/>
  <c r="U28" i="8" s="1"/>
  <c r="G18" i="6" s="1"/>
  <c r="AM28" i="8"/>
  <c r="G20" i="6" s="1"/>
  <c r="N26" i="8"/>
  <c r="N28" i="8" s="1"/>
  <c r="M28" i="8"/>
  <c r="C28" i="8"/>
  <c r="D28" i="8"/>
  <c r="C4" i="6" l="1"/>
  <c r="B17" i="6"/>
  <c r="AW26" i="8"/>
  <c r="AU28" i="8"/>
  <c r="E21" i="6" s="1"/>
  <c r="AN26" i="8"/>
  <c r="AL28" i="8"/>
  <c r="E20" i="6" s="1"/>
  <c r="V26" i="8"/>
  <c r="T28" i="8"/>
  <c r="E18" i="6" s="1"/>
  <c r="AE26" i="8"/>
  <c r="AC28" i="8"/>
  <c r="E19" i="6" s="1"/>
  <c r="J17" i="6" l="1"/>
  <c r="D17" i="6"/>
  <c r="H17" i="6"/>
  <c r="F17" i="6"/>
  <c r="AF26" i="8"/>
  <c r="AF28" i="8" s="1"/>
  <c r="AE28" i="8"/>
  <c r="W26" i="8"/>
  <c r="W28" i="8" s="1"/>
  <c r="V28" i="8"/>
  <c r="AO26" i="8"/>
  <c r="AO28" i="8" s="1"/>
  <c r="AN28" i="8"/>
  <c r="AX26" i="8"/>
  <c r="AX28" i="8" s="1"/>
  <c r="AW28" i="8"/>
  <c r="D4" i="6" l="1"/>
  <c r="B18" i="6"/>
  <c r="E4" i="6"/>
  <c r="B19" i="6"/>
  <c r="G4" i="6"/>
  <c r="B20" i="6"/>
  <c r="H4" i="6"/>
  <c r="B21" i="6"/>
  <c r="F4" i="6" l="1"/>
  <c r="H20" i="6"/>
  <c r="J20" i="6"/>
  <c r="D20" i="6"/>
  <c r="F20" i="6"/>
  <c r="J21" i="6"/>
  <c r="D21" i="6"/>
  <c r="H21" i="6"/>
  <c r="F21" i="6"/>
  <c r="I4" i="6"/>
  <c r="H19" i="6"/>
  <c r="J19" i="6"/>
  <c r="D19" i="6"/>
  <c r="F19" i="6"/>
  <c r="D18" i="6"/>
  <c r="H18" i="6"/>
  <c r="J18" i="6"/>
  <c r="F18" i="6"/>
  <c r="J4" i="6" l="1"/>
  <c r="M12" i="8" l="1"/>
  <c r="K18" i="8"/>
  <c r="E10" i="6" s="1"/>
  <c r="N12" i="8" l="1"/>
  <c r="N18" i="8" s="1"/>
  <c r="M18" i="8"/>
  <c r="B10" i="6" l="1"/>
  <c r="C3" i="6"/>
  <c r="C7" i="6" s="1"/>
  <c r="J10" i="6" l="1"/>
  <c r="D10" i="6"/>
  <c r="H10" i="6"/>
  <c r="F10" i="6"/>
  <c r="B12" i="8" l="1"/>
  <c r="B18" i="8" l="1"/>
  <c r="S12" i="8"/>
  <c r="S18" i="8" s="1"/>
  <c r="C11" i="6" s="1"/>
  <c r="AB12" i="8"/>
  <c r="AB18" i="8" s="1"/>
  <c r="C12" i="6" s="1"/>
  <c r="AK12" i="8"/>
  <c r="AK18" i="8" s="1"/>
  <c r="C13" i="6" s="1"/>
  <c r="AT12" i="8"/>
  <c r="C12" i="8"/>
  <c r="T12" i="8" l="1"/>
  <c r="AC12" i="8"/>
  <c r="AL12" i="8"/>
  <c r="AU12" i="8"/>
  <c r="AU18" i="8" s="1"/>
  <c r="E14" i="6" s="1"/>
  <c r="C18" i="8"/>
  <c r="AT18" i="8"/>
  <c r="C14" i="6" s="1"/>
  <c r="AW12" i="8" l="1"/>
  <c r="AW18" i="8" s="1"/>
  <c r="AN12" i="8"/>
  <c r="AL18" i="8"/>
  <c r="E13" i="6" s="1"/>
  <c r="AE12" i="8"/>
  <c r="AC18" i="8"/>
  <c r="E12" i="6" s="1"/>
  <c r="V12" i="8"/>
  <c r="T18" i="8"/>
  <c r="E11" i="6" s="1"/>
  <c r="AX12" i="8" l="1"/>
  <c r="AX18" i="8" s="1"/>
  <c r="W12" i="8"/>
  <c r="W18" i="8" s="1"/>
  <c r="V18" i="8"/>
  <c r="AF12" i="8"/>
  <c r="AF18" i="8" s="1"/>
  <c r="AE18" i="8"/>
  <c r="AO12" i="8"/>
  <c r="AO18" i="8" s="1"/>
  <c r="AN18" i="8"/>
  <c r="H3" i="6"/>
  <c r="H7" i="6" s="1"/>
  <c r="B14" i="6"/>
  <c r="H14" i="6" l="1"/>
  <c r="J14" i="6"/>
  <c r="F14" i="6"/>
  <c r="D14" i="6"/>
  <c r="G3" i="6"/>
  <c r="B13" i="6"/>
  <c r="E3" i="6"/>
  <c r="E7" i="6" s="1"/>
  <c r="B12" i="6"/>
  <c r="D3" i="6"/>
  <c r="B11" i="6"/>
  <c r="H11" i="6" l="1"/>
  <c r="J11" i="6"/>
  <c r="D11" i="6"/>
  <c r="F11" i="6"/>
  <c r="D7" i="6"/>
  <c r="F7" i="6" s="1"/>
  <c r="J7" i="6" s="1"/>
  <c r="F3" i="6"/>
  <c r="J12" i="6"/>
  <c r="H12" i="6"/>
  <c r="D12" i="6"/>
  <c r="F12" i="6"/>
  <c r="H13" i="6"/>
  <c r="J13" i="6"/>
  <c r="D13" i="6"/>
  <c r="F13" i="6"/>
  <c r="I3" i="6"/>
  <c r="I7" i="6" s="1"/>
  <c r="G7" i="6"/>
  <c r="J3" i="6" l="1"/>
</calcChain>
</file>

<file path=xl/comments1.xml><?xml version="1.0" encoding="utf-8"?>
<comments xmlns="http://schemas.openxmlformats.org/spreadsheetml/2006/main">
  <authors>
    <author>Barrera Nogueras, David</author>
  </authors>
  <commentList>
    <comment ref="B52" authorId="0" shapeId="0">
      <text>
        <r>
          <rPr>
            <b/>
            <sz val="9"/>
            <color indexed="81"/>
            <rFont val="Tahoma"/>
            <family val="2"/>
          </rPr>
          <t>Barrera Nogueras, David:</t>
        </r>
        <r>
          <rPr>
            <sz val="9"/>
            <color indexed="81"/>
            <rFont val="Tahoma"/>
            <family val="2"/>
          </rPr>
          <t xml:space="preserve">
Estableixo un criteri, a discutir i consensuar, de 5 jornades per alberg del lot. Lot 1 8 albergs -&gt; 8x5= 40 jornades extra</t>
        </r>
      </text>
    </comment>
  </commentList>
</comments>
</file>

<file path=xl/comments2.xml><?xml version="1.0" encoding="utf-8"?>
<comments xmlns="http://schemas.openxmlformats.org/spreadsheetml/2006/main">
  <authors>
    <author>Barrera Nogueras, David</author>
  </authors>
  <commentList>
    <comment ref="B28" authorId="0" shapeId="0">
      <text>
        <r>
          <rPr>
            <b/>
            <sz val="9"/>
            <color indexed="81"/>
            <rFont val="Tahoma"/>
            <family val="2"/>
          </rPr>
          <t>Barrera Nogueras, David:</t>
        </r>
        <r>
          <rPr>
            <sz val="9"/>
            <color indexed="81"/>
            <rFont val="Tahoma"/>
            <family val="2"/>
          </rPr>
          <t xml:space="preserve">
Estableixo un criteri, a discutir i consensuar, de 5 jornades per alberg del lot. Lot 1 8 albergs -&gt; 8x5= 40 jornades extra</t>
        </r>
      </text>
    </comment>
  </commentList>
</comments>
</file>

<file path=xl/comments3.xml><?xml version="1.0" encoding="utf-8"?>
<comments xmlns="http://schemas.openxmlformats.org/spreadsheetml/2006/main">
  <authors>
    <author>Barrera Nogueras, David</author>
  </authors>
  <commentList>
    <comment ref="B34" authorId="0" shapeId="0">
      <text>
        <r>
          <rPr>
            <b/>
            <sz val="9"/>
            <color indexed="81"/>
            <rFont val="Tahoma"/>
            <family val="2"/>
          </rPr>
          <t>Barrera Nogueras, David:</t>
        </r>
        <r>
          <rPr>
            <sz val="9"/>
            <color indexed="81"/>
            <rFont val="Tahoma"/>
            <family val="2"/>
          </rPr>
          <t xml:space="preserve">
Estableixo un criteri, a discutir i consensuar, de 5 jornades per alberg del lot. Lot 1 8 albergs -&gt; 8x5= 40 jornades extra</t>
        </r>
      </text>
    </comment>
  </commentList>
</comments>
</file>

<file path=xl/comments4.xml><?xml version="1.0" encoding="utf-8"?>
<comments xmlns="http://schemas.openxmlformats.org/spreadsheetml/2006/main">
  <authors>
    <author>Barrera Nogueras, David</author>
  </authors>
  <commentList>
    <comment ref="B22" authorId="0" shapeId="0">
      <text>
        <r>
          <rPr>
            <b/>
            <sz val="9"/>
            <color indexed="81"/>
            <rFont val="Tahoma"/>
            <family val="2"/>
          </rPr>
          <t>Barrera Nogueras, David:</t>
        </r>
        <r>
          <rPr>
            <sz val="9"/>
            <color indexed="81"/>
            <rFont val="Tahoma"/>
            <family val="2"/>
          </rPr>
          <t xml:space="preserve">
Estableixo un criteri, a discutir i consensuar, de 5 jornades per alberg del lot. Lot 1 8 albergs -&gt; 8x5= 40 jornades extra</t>
        </r>
      </text>
    </comment>
  </commentList>
</comments>
</file>

<file path=xl/sharedStrings.xml><?xml version="1.0" encoding="utf-8"?>
<sst xmlns="http://schemas.openxmlformats.org/spreadsheetml/2006/main" count="591" uniqueCount="111">
  <si>
    <t>Girona  </t>
  </si>
  <si>
    <t>La Molina  </t>
  </si>
  <si>
    <t>La Vall d'en Bas  </t>
  </si>
  <si>
    <t>L'Escala  </t>
  </si>
  <si>
    <t>Núria  </t>
  </si>
  <si>
    <t>Olot  </t>
  </si>
  <si>
    <t>Planoles  </t>
  </si>
  <si>
    <t>Sant Joan de les Abadesses  </t>
  </si>
  <si>
    <t>Coma-ruga </t>
  </si>
  <si>
    <t>Deltebre </t>
  </si>
  <si>
    <t>L'Espluga de Francolí </t>
  </si>
  <si>
    <t>Poble Nou del Delta </t>
  </si>
  <si>
    <t>Barcelona </t>
  </si>
  <si>
    <t>Cabrera de Mar </t>
  </si>
  <si>
    <t>Manresa </t>
  </si>
  <si>
    <t>El Masnou </t>
  </si>
  <si>
    <t>Vic </t>
  </si>
  <si>
    <t>La Seu d'Urgell </t>
  </si>
  <si>
    <t>Lleida </t>
  </si>
  <si>
    <t>Tremp </t>
  </si>
  <si>
    <t>ABRIL</t>
  </si>
  <si>
    <t>MAIG</t>
  </si>
  <si>
    <t>JUNY</t>
  </si>
  <si>
    <t>JULIOL</t>
  </si>
  <si>
    <t>AGOST</t>
  </si>
  <si>
    <t>GENER</t>
  </si>
  <si>
    <t>FEBRER</t>
  </si>
  <si>
    <t>MARÇ</t>
  </si>
  <si>
    <t>SETEMBRE</t>
  </si>
  <si>
    <t>OCTUBRE</t>
  </si>
  <si>
    <t>NOVEMBRE</t>
  </si>
  <si>
    <t>DESEMBRE</t>
  </si>
  <si>
    <t>TOTAL</t>
  </si>
  <si>
    <t>Jornades</t>
  </si>
  <si>
    <t>GESTIÓ TÈCNICA</t>
  </si>
  <si>
    <t>ALBERG</t>
  </si>
  <si>
    <t>CONCURS</t>
  </si>
  <si>
    <t>GIRONA</t>
  </si>
  <si>
    <t>TARRAGONA</t>
  </si>
  <si>
    <t>BARCELONA</t>
  </si>
  <si>
    <t>LLEIDA</t>
  </si>
  <si>
    <t>Càlculs Concurs</t>
  </si>
  <si>
    <t>Nº Lot</t>
  </si>
  <si>
    <t>TOTAL ANUAL I TOTAL CONCURS</t>
  </si>
  <si>
    <t>Previsió nombre hores</t>
  </si>
  <si>
    <t>Complement Festius</t>
  </si>
  <si>
    <t>Jornades / hores servei</t>
  </si>
  <si>
    <t>Complement hora festiva</t>
  </si>
  <si>
    <t>Neteges Especials</t>
  </si>
  <si>
    <t>% Jornades / hores servei</t>
  </si>
  <si>
    <t>% Complement hora festiva</t>
  </si>
  <si>
    <t>% Neteges Especials</t>
  </si>
  <si>
    <t>% Jornades / Hores Extra</t>
  </si>
  <si>
    <t>Jornades / Hores Extra</t>
  </si>
  <si>
    <t>Previsió nombre hores extra</t>
  </si>
  <si>
    <t>Nombre de Jornades Extra</t>
  </si>
  <si>
    <t>Jornades Especialista</t>
  </si>
  <si>
    <t>Previsió hores Especialista</t>
  </si>
  <si>
    <t>Previsió hores Festives</t>
  </si>
  <si>
    <t>CAT. NETEJADOR/A</t>
  </si>
  <si>
    <t>CAT. ESPECIALISTA</t>
  </si>
  <si>
    <t>INCREMENT:</t>
  </si>
  <si>
    <t>HORES ANY LABORABLES</t>
  </si>
  <si>
    <t>HORES ANY FESTIVES</t>
  </si>
  <si>
    <t>HORES ANY</t>
  </si>
  <si>
    <t>PREUS/H sense IVA</t>
  </si>
  <si>
    <t>IMPORTS DE LICITACIÓ sense IVA</t>
  </si>
  <si>
    <t>Amb IVA</t>
  </si>
  <si>
    <t>NOM CENTRE</t>
  </si>
  <si>
    <t>diürnes</t>
  </si>
  <si>
    <t>Lab. Diürna</t>
  </si>
  <si>
    <t>Especialista</t>
  </si>
  <si>
    <t>Total</t>
  </si>
  <si>
    <t>Total amb IVA</t>
  </si>
  <si>
    <t>Subtotal Hores / Any</t>
  </si>
  <si>
    <t>ALBERGS XANASCAT</t>
  </si>
  <si>
    <t>LOT 1 - GIRONA</t>
  </si>
  <si>
    <t>2026 (3 mesos)</t>
  </si>
  <si>
    <t>LA MOLINA</t>
  </si>
  <si>
    <t>LA VALL D'EN BAS</t>
  </si>
  <si>
    <t>L'ESCALA</t>
  </si>
  <si>
    <t>NÚRIA</t>
  </si>
  <si>
    <t>OLOT</t>
  </si>
  <si>
    <t>PLANOLES</t>
  </si>
  <si>
    <t>SANT JOAN DE LES ABADESSES</t>
  </si>
  <si>
    <t>festives</t>
  </si>
  <si>
    <t>especialista</t>
  </si>
  <si>
    <t>TASQUES URGÈNCIA I IMPREVISTOS</t>
  </si>
  <si>
    <t>LOT 4 - LLEIDA</t>
  </si>
  <si>
    <t>LOT 3 - BARCELONA</t>
  </si>
  <si>
    <t>LOT 2 - TARRAGONA I TERRES DE L'EBRE</t>
  </si>
  <si>
    <t>LOT 2 - TARRAGONA I TERRES EBRE</t>
  </si>
  <si>
    <t>COMA-RUGA</t>
  </si>
  <si>
    <t>DELTEBRE</t>
  </si>
  <si>
    <t>L'ESPLUGA DE FRANCOLÍ</t>
  </si>
  <si>
    <t>POBLE NOU DEL DELTA</t>
  </si>
  <si>
    <t>CABRERA DE MAR</t>
  </si>
  <si>
    <t>MANRESA</t>
  </si>
  <si>
    <t>EL MASNOU</t>
  </si>
  <si>
    <t>VIC</t>
  </si>
  <si>
    <t>LA SEU D'URGELL</t>
  </si>
  <si>
    <t>TREMP</t>
  </si>
  <si>
    <t>IMPORT CONCURS NETEJA XANASCAT</t>
  </si>
  <si>
    <t>IMPORT MÀXIM PREVIST</t>
  </si>
  <si>
    <t>IMPORT PRÒRROGUES</t>
  </si>
  <si>
    <t>IMPORT PER LOT ANYS CONCURS</t>
  </si>
  <si>
    <t>Increment anual:</t>
  </si>
  <si>
    <t>Els preus poden ser diferents per cadascun dels 4 lots. Els preus han d'estar arrodonits a dos decimals.</t>
  </si>
  <si>
    <t>Per realitzar la simulació de proposta econòmica hauran de complimentar-se només les columnes de color GROC dels preus/h sense IVA de la primera anualitat (2026), la resta d'anualitats es calcularan soles.</t>
  </si>
  <si>
    <t>Cal tenir en compte al fer la proposta econòmica, que si es vol optar als 4 lots, caldrà introduir 12 imports (3 per cada lot).</t>
  </si>
  <si>
    <t>Els imports de les columnes de color GROC introduïts d'inici són els imports de licitació. Cal canviar-los i posar la oferta presentada per veure la simulació.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</si>
</sst>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#,##0.00\ &quot;€&quot;;[Red]\-#,##0.00\ &quot;€&quot;"/>
    <numFmt numFmtId="164" formatCode="#,##0_ ;[Red]\-#,##0\ "/>
    <numFmt numFmtId="165" formatCode="0_ ;[Red]\-0\ "/>
    <numFmt numFmtId="166" formatCode="0.0%"/>
    <numFmt numFmtId="167" formatCode="#,##0.00_ ;[Red]\-#,##0.00\ "/>
    <numFmt numFmtId="168" formatCode="#,##0.00\ &quot;€&quot;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b/>
      <sz val="11"/>
      <color theme="1"/>
      <name val="Arial Narrow"/>
      <family val="2"/>
    </font>
    <font>
      <b/>
      <sz val="22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8" tint="-0.249977111117893"/>
      <name val="Arial Narrow"/>
      <family val="2"/>
    </font>
    <font>
      <b/>
      <sz val="10"/>
      <color theme="9" tint="-0.249977111117893"/>
      <name val="Arial Narrow"/>
      <family val="2"/>
    </font>
    <font>
      <sz val="11"/>
      <color theme="1"/>
      <name val="Arial Narrow"/>
      <family val="2"/>
    </font>
    <font>
      <b/>
      <sz val="11"/>
      <color theme="8" tint="-0.249977111117893"/>
      <name val="Arial Narrow"/>
      <family val="2"/>
    </font>
    <font>
      <b/>
      <sz val="11"/>
      <color theme="9" tint="-0.249977111117893"/>
      <name val="Arial Narrow"/>
      <family val="2"/>
    </font>
    <font>
      <b/>
      <sz val="11"/>
      <color theme="8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8" tint="-0.249977111117893"/>
      <name val="Arial Narrow"/>
      <family val="2"/>
    </font>
    <font>
      <sz val="11"/>
      <color theme="9" tint="-0.249977111117893"/>
      <name val="Arial Narrow"/>
      <family val="2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7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23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0" fillId="0" borderId="0" xfId="0" applyBorder="1"/>
    <xf numFmtId="0" fontId="3" fillId="0" borderId="0" xfId="0" applyFont="1" applyBorder="1" applyAlignment="1">
      <alignment vertical="center" wrapText="1"/>
    </xf>
    <xf numFmtId="0" fontId="0" fillId="0" borderId="0" xfId="0" applyAlignment="1"/>
    <xf numFmtId="0" fontId="0" fillId="0" borderId="0" xfId="0" applyAlignment="1">
      <alignment horizontal="left"/>
    </xf>
    <xf numFmtId="0" fontId="0" fillId="0" borderId="9" xfId="0" applyBorder="1"/>
    <xf numFmtId="0" fontId="0" fillId="0" borderId="10" xfId="0" applyBorder="1"/>
    <xf numFmtId="0" fontId="1" fillId="0" borderId="11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4" xfId="0" applyBorder="1"/>
    <xf numFmtId="0" fontId="0" fillId="0" borderId="25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1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left" vertical="center" wrapText="1"/>
    </xf>
    <xf numFmtId="0" fontId="2" fillId="0" borderId="35" xfId="0" applyFont="1" applyBorder="1" applyAlignment="1">
      <alignment vertical="center" wrapText="1"/>
    </xf>
    <xf numFmtId="0" fontId="1" fillId="0" borderId="40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0" fillId="0" borderId="4" xfId="0" applyBorder="1"/>
    <xf numFmtId="0" fontId="0" fillId="0" borderId="8" xfId="0" applyBorder="1"/>
    <xf numFmtId="165" fontId="0" fillId="0" borderId="1" xfId="0" applyNumberFormat="1" applyBorder="1"/>
    <xf numFmtId="0" fontId="0" fillId="0" borderId="7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65" fontId="0" fillId="0" borderId="7" xfId="0" applyNumberFormat="1" applyBorder="1"/>
    <xf numFmtId="0" fontId="0" fillId="0" borderId="12" xfId="0" applyBorder="1"/>
    <xf numFmtId="8" fontId="0" fillId="0" borderId="0" xfId="0" applyNumberFormat="1" applyAlignment="1">
      <alignment horizontal="center"/>
    </xf>
    <xf numFmtId="166" fontId="0" fillId="0" borderId="41" xfId="0" applyNumberFormat="1" applyBorder="1" applyAlignment="1">
      <alignment horizontal="center"/>
    </xf>
    <xf numFmtId="166" fontId="0" fillId="0" borderId="6" xfId="0" applyNumberFormat="1" applyBorder="1" applyAlignment="1">
      <alignment horizontal="center"/>
    </xf>
    <xf numFmtId="166" fontId="0" fillId="0" borderId="48" xfId="0" applyNumberFormat="1" applyBorder="1" applyAlignment="1">
      <alignment horizontal="center"/>
    </xf>
    <xf numFmtId="166" fontId="0" fillId="0" borderId="51" xfId="0" applyNumberFormat="1" applyBorder="1" applyAlignment="1">
      <alignment horizontal="center"/>
    </xf>
    <xf numFmtId="166" fontId="0" fillId="0" borderId="54" xfId="0" applyNumberFormat="1" applyBorder="1" applyAlignment="1">
      <alignment horizontal="center"/>
    </xf>
    <xf numFmtId="0" fontId="0" fillId="0" borderId="55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57" xfId="0" applyBorder="1"/>
    <xf numFmtId="0" fontId="0" fillId="0" borderId="59" xfId="0" applyBorder="1"/>
    <xf numFmtId="0" fontId="0" fillId="0" borderId="8" xfId="0" applyBorder="1" applyAlignment="1">
      <alignment horizontal="center"/>
    </xf>
    <xf numFmtId="10" fontId="0" fillId="0" borderId="9" xfId="0" applyNumberFormat="1" applyBorder="1" applyAlignment="1">
      <alignment horizontal="center"/>
    </xf>
    <xf numFmtId="10" fontId="0" fillId="0" borderId="56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167" fontId="0" fillId="0" borderId="1" xfId="0" applyNumberFormat="1" applyBorder="1"/>
    <xf numFmtId="167" fontId="0" fillId="0" borderId="23" xfId="0" applyNumberFormat="1" applyBorder="1"/>
    <xf numFmtId="165" fontId="0" fillId="0" borderId="23" xfId="0" applyNumberFormat="1" applyBorder="1"/>
    <xf numFmtId="167" fontId="0" fillId="0" borderId="31" xfId="0" applyNumberFormat="1" applyBorder="1"/>
    <xf numFmtId="0" fontId="0" fillId="0" borderId="0" xfId="0" applyAlignment="1">
      <alignment horizontal="right"/>
    </xf>
    <xf numFmtId="165" fontId="0" fillId="0" borderId="61" xfId="0" applyNumberFormat="1" applyBorder="1"/>
    <xf numFmtId="165" fontId="0" fillId="0" borderId="26" xfId="0" applyNumberFormat="1" applyBorder="1"/>
    <xf numFmtId="165" fontId="0" fillId="0" borderId="34" xfId="0" applyNumberFormat="1" applyBorder="1"/>
    <xf numFmtId="167" fontId="0" fillId="0" borderId="61" xfId="0" applyNumberFormat="1" applyBorder="1"/>
    <xf numFmtId="0" fontId="8" fillId="0" borderId="44" xfId="2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47" xfId="0" applyFont="1" applyBorder="1" applyAlignment="1">
      <alignment vertical="center"/>
    </xf>
    <xf numFmtId="10" fontId="9" fillId="0" borderId="47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8" fillId="3" borderId="44" xfId="2" applyFont="1" applyFill="1" applyBorder="1" applyAlignment="1">
      <alignment horizontal="center" vertical="center"/>
    </xf>
    <xf numFmtId="0" fontId="10" fillId="0" borderId="44" xfId="2" applyFont="1" applyBorder="1" applyAlignment="1">
      <alignment horizontal="center" vertical="center" wrapText="1"/>
    </xf>
    <xf numFmtId="0" fontId="10" fillId="0" borderId="39" xfId="2" applyFont="1" applyBorder="1" applyAlignment="1">
      <alignment horizontal="center" vertical="center" wrapText="1"/>
    </xf>
    <xf numFmtId="0" fontId="12" fillId="0" borderId="44" xfId="2" applyFont="1" applyBorder="1" applyAlignment="1">
      <alignment horizontal="center" vertical="center" wrapText="1"/>
    </xf>
    <xf numFmtId="0" fontId="13" fillId="0" borderId="44" xfId="2" applyFont="1" applyBorder="1" applyAlignment="1">
      <alignment horizontal="center" vertical="center"/>
    </xf>
    <xf numFmtId="0" fontId="13" fillId="0" borderId="44" xfId="2" applyFont="1" applyBorder="1" applyAlignment="1">
      <alignment horizontal="center" vertical="center" wrapText="1"/>
    </xf>
    <xf numFmtId="4" fontId="15" fillId="0" borderId="39" xfId="2" applyNumberFormat="1" applyFont="1" applyBorder="1" applyAlignment="1">
      <alignment vertical="center"/>
    </xf>
    <xf numFmtId="4" fontId="16" fillId="0" borderId="39" xfId="2" applyNumberFormat="1" applyFont="1" applyBorder="1" applyAlignment="1">
      <alignment vertical="center"/>
    </xf>
    <xf numFmtId="4" fontId="8" fillId="4" borderId="39" xfId="2" applyNumberFormat="1" applyFont="1" applyFill="1" applyBorder="1" applyAlignment="1">
      <alignment vertical="center"/>
    </xf>
    <xf numFmtId="168" fontId="19" fillId="0" borderId="44" xfId="0" applyNumberFormat="1" applyFont="1" applyBorder="1" applyAlignment="1">
      <alignment vertical="center"/>
    </xf>
    <xf numFmtId="168" fontId="20" fillId="0" borderId="44" xfId="0" applyNumberFormat="1" applyFont="1" applyBorder="1" applyAlignment="1">
      <alignment vertical="center"/>
    </xf>
    <xf numFmtId="168" fontId="14" fillId="0" borderId="44" xfId="0" applyNumberFormat="1" applyFont="1" applyBorder="1" applyAlignment="1">
      <alignment vertical="center"/>
    </xf>
    <xf numFmtId="168" fontId="8" fillId="0" borderId="44" xfId="0" applyNumberFormat="1" applyFont="1" applyBorder="1" applyAlignment="1">
      <alignment vertical="center"/>
    </xf>
    <xf numFmtId="0" fontId="8" fillId="0" borderId="44" xfId="2" applyFont="1" applyBorder="1" applyAlignment="1">
      <alignment horizontal="right" vertical="center"/>
    </xf>
    <xf numFmtId="4" fontId="15" fillId="0" borderId="63" xfId="2" applyNumberFormat="1" applyFont="1" applyBorder="1" applyAlignment="1">
      <alignment vertical="center"/>
    </xf>
    <xf numFmtId="4" fontId="16" fillId="0" borderId="63" xfId="2" applyNumberFormat="1" applyFont="1" applyBorder="1" applyAlignment="1">
      <alignment vertical="center"/>
    </xf>
    <xf numFmtId="4" fontId="8" fillId="4" borderId="63" xfId="2" applyNumberFormat="1" applyFont="1" applyFill="1" applyBorder="1" applyAlignment="1">
      <alignment vertical="center"/>
    </xf>
    <xf numFmtId="168" fontId="15" fillId="0" borderId="63" xfId="0" applyNumberFormat="1" applyFont="1" applyBorder="1" applyAlignment="1">
      <alignment vertical="center"/>
    </xf>
    <xf numFmtId="168" fontId="16" fillId="0" borderId="63" xfId="0" applyNumberFormat="1" applyFont="1" applyBorder="1" applyAlignment="1">
      <alignment vertical="center"/>
    </xf>
    <xf numFmtId="168" fontId="8" fillId="0" borderId="63" xfId="0" applyNumberFormat="1" applyFont="1" applyBorder="1" applyAlignment="1">
      <alignment vertical="center"/>
    </xf>
    <xf numFmtId="0" fontId="8" fillId="0" borderId="2" xfId="2" applyFont="1" applyBorder="1" applyAlignment="1">
      <alignment horizontal="center" vertical="center" wrapText="1"/>
    </xf>
    <xf numFmtId="0" fontId="10" fillId="0" borderId="44" xfId="2" applyFont="1" applyFill="1" applyBorder="1" applyAlignment="1">
      <alignment horizontal="center" vertical="center"/>
    </xf>
    <xf numFmtId="168" fontId="15" fillId="0" borderId="64" xfId="0" applyNumberFormat="1" applyFont="1" applyBorder="1" applyAlignment="1">
      <alignment vertical="center"/>
    </xf>
    <xf numFmtId="168" fontId="16" fillId="0" borderId="64" xfId="0" applyNumberFormat="1" applyFont="1" applyBorder="1" applyAlignment="1">
      <alignment vertical="center"/>
    </xf>
    <xf numFmtId="168" fontId="8" fillId="0" borderId="64" xfId="0" applyNumberFormat="1" applyFont="1" applyBorder="1" applyAlignment="1">
      <alignment vertical="center"/>
    </xf>
    <xf numFmtId="168" fontId="8" fillId="0" borderId="65" xfId="0" applyNumberFormat="1" applyFont="1" applyBorder="1" applyAlignment="1">
      <alignment vertical="center"/>
    </xf>
    <xf numFmtId="0" fontId="0" fillId="0" borderId="47" xfId="0" applyBorder="1" applyAlignment="1">
      <alignment vertical="center"/>
    </xf>
    <xf numFmtId="0" fontId="7" fillId="3" borderId="44" xfId="2" applyFont="1" applyFill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4" fillId="0" borderId="33" xfId="2" applyFont="1" applyBorder="1" applyAlignment="1">
      <alignment vertical="center"/>
    </xf>
    <xf numFmtId="0" fontId="14" fillId="0" borderId="31" xfId="2" applyFont="1" applyBorder="1" applyAlignment="1">
      <alignment vertical="center"/>
    </xf>
    <xf numFmtId="0" fontId="7" fillId="3" borderId="37" xfId="2" applyFont="1" applyFill="1" applyBorder="1" applyAlignment="1">
      <alignment horizontal="center" vertical="center"/>
    </xf>
    <xf numFmtId="0" fontId="14" fillId="5" borderId="32" xfId="2" applyFont="1" applyFill="1" applyBorder="1" applyAlignment="1">
      <alignment vertical="center" wrapText="1"/>
    </xf>
    <xf numFmtId="4" fontId="15" fillId="5" borderId="39" xfId="2" applyNumberFormat="1" applyFont="1" applyFill="1" applyBorder="1" applyAlignment="1">
      <alignment vertical="center"/>
    </xf>
    <xf numFmtId="4" fontId="16" fillId="5" borderId="39" xfId="2" applyNumberFormat="1" applyFont="1" applyFill="1" applyBorder="1" applyAlignment="1">
      <alignment vertical="center"/>
    </xf>
    <xf numFmtId="168" fontId="19" fillId="4" borderId="44" xfId="0" applyNumberFormat="1" applyFont="1" applyFill="1" applyBorder="1" applyAlignment="1">
      <alignment vertical="center"/>
    </xf>
    <xf numFmtId="168" fontId="20" fillId="4" borderId="44" xfId="0" applyNumberFormat="1" applyFont="1" applyFill="1" applyBorder="1" applyAlignment="1">
      <alignment vertical="center"/>
    </xf>
    <xf numFmtId="168" fontId="14" fillId="4" borderId="44" xfId="0" applyNumberFormat="1" applyFont="1" applyFill="1" applyBorder="1" applyAlignment="1">
      <alignment vertical="center"/>
    </xf>
    <xf numFmtId="168" fontId="8" fillId="4" borderId="44" xfId="0" applyNumberFormat="1" applyFont="1" applyFill="1" applyBorder="1" applyAlignment="1">
      <alignment vertic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166" fontId="0" fillId="0" borderId="52" xfId="0" applyNumberFormat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0" xfId="0" applyBorder="1" applyAlignment="1">
      <alignment horizontal="center"/>
    </xf>
    <xf numFmtId="8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10" fontId="0" fillId="0" borderId="0" xfId="0" applyNumberFormat="1" applyBorder="1" applyAlignment="1">
      <alignment horizontal="center"/>
    </xf>
    <xf numFmtId="166" fontId="0" fillId="0" borderId="0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10" fontId="0" fillId="0" borderId="20" xfId="0" applyNumberFormat="1" applyBorder="1" applyAlignment="1">
      <alignment horizontal="center"/>
    </xf>
    <xf numFmtId="8" fontId="0" fillId="0" borderId="59" xfId="0" applyNumberFormat="1" applyBorder="1" applyAlignment="1">
      <alignment horizontal="right"/>
    </xf>
    <xf numFmtId="8" fontId="0" fillId="0" borderId="41" xfId="0" applyNumberFormat="1" applyBorder="1" applyAlignment="1">
      <alignment horizontal="right"/>
    </xf>
    <xf numFmtId="8" fontId="0" fillId="4" borderId="30" xfId="0" applyNumberFormat="1" applyFill="1" applyBorder="1" applyAlignment="1">
      <alignment horizontal="right"/>
    </xf>
    <xf numFmtId="8" fontId="0" fillId="0" borderId="21" xfId="0" applyNumberFormat="1" applyBorder="1" applyAlignment="1">
      <alignment horizontal="right"/>
    </xf>
    <xf numFmtId="8" fontId="0" fillId="4" borderId="33" xfId="0" applyNumberFormat="1" applyFill="1" applyBorder="1" applyAlignment="1">
      <alignment horizontal="right"/>
    </xf>
    <xf numFmtId="8" fontId="0" fillId="0" borderId="55" xfId="0" applyNumberFormat="1" applyBorder="1" applyAlignment="1">
      <alignment horizontal="right"/>
    </xf>
    <xf numFmtId="8" fontId="0" fillId="0" borderId="57" xfId="0" applyNumberFormat="1" applyBorder="1" applyAlignment="1">
      <alignment horizontal="right"/>
    </xf>
    <xf numFmtId="8" fontId="0" fillId="0" borderId="69" xfId="0" applyNumberFormat="1" applyBorder="1" applyAlignment="1">
      <alignment horizontal="right"/>
    </xf>
    <xf numFmtId="8" fontId="0" fillId="0" borderId="51" xfId="0" applyNumberFormat="1" applyBorder="1" applyAlignment="1">
      <alignment horizontal="right"/>
    </xf>
    <xf numFmtId="8" fontId="0" fillId="0" borderId="68" xfId="0" applyNumberFormat="1" applyBorder="1" applyAlignment="1">
      <alignment horizontal="right"/>
    </xf>
    <xf numFmtId="8" fontId="0" fillId="4" borderId="38" xfId="0" applyNumberFormat="1" applyFill="1" applyBorder="1" applyAlignment="1">
      <alignment horizontal="right"/>
    </xf>
    <xf numFmtId="8" fontId="0" fillId="0" borderId="58" xfId="0" applyNumberFormat="1" applyBorder="1" applyAlignment="1">
      <alignment horizontal="right"/>
    </xf>
    <xf numFmtId="8" fontId="0" fillId="0" borderId="45" xfId="0" applyNumberFormat="1" applyBorder="1" applyAlignment="1">
      <alignment horizontal="right"/>
    </xf>
    <xf numFmtId="8" fontId="0" fillId="4" borderId="44" xfId="0" applyNumberFormat="1" applyFill="1" applyBorder="1" applyAlignment="1">
      <alignment horizontal="right"/>
    </xf>
    <xf numFmtId="8" fontId="0" fillId="0" borderId="50" xfId="0" applyNumberFormat="1" applyBorder="1" applyAlignment="1">
      <alignment horizontal="right"/>
    </xf>
    <xf numFmtId="8" fontId="0" fillId="0" borderId="4" xfId="0" applyNumberFormat="1" applyBorder="1" applyAlignment="1">
      <alignment horizontal="right"/>
    </xf>
    <xf numFmtId="8" fontId="0" fillId="0" borderId="7" xfId="0" applyNumberFormat="1" applyBorder="1" applyAlignment="1">
      <alignment horizontal="right"/>
    </xf>
    <xf numFmtId="8" fontId="0" fillId="0" borderId="13" xfId="0" applyNumberFormat="1" applyBorder="1" applyAlignment="1">
      <alignment horizontal="right"/>
    </xf>
    <xf numFmtId="8" fontId="0" fillId="0" borderId="19" xfId="0" applyNumberFormat="1" applyBorder="1" applyAlignment="1">
      <alignment horizontal="right"/>
    </xf>
    <xf numFmtId="8" fontId="0" fillId="0" borderId="61" xfId="0" applyNumberFormat="1" applyBorder="1" applyAlignment="1">
      <alignment horizontal="right"/>
    </xf>
    <xf numFmtId="8" fontId="0" fillId="0" borderId="30" xfId="0" applyNumberFormat="1" applyBorder="1" applyAlignment="1">
      <alignment horizontal="right"/>
    </xf>
    <xf numFmtId="8" fontId="0" fillId="0" borderId="31" xfId="0" applyNumberFormat="1" applyBorder="1" applyAlignment="1">
      <alignment horizontal="right"/>
    </xf>
    <xf numFmtId="8" fontId="0" fillId="0" borderId="34" xfId="0" applyNumberFormat="1" applyBorder="1" applyAlignment="1">
      <alignment horizontal="right"/>
    </xf>
    <xf numFmtId="8" fontId="0" fillId="6" borderId="17" xfId="0" applyNumberFormat="1" applyFill="1" applyBorder="1" applyAlignment="1">
      <alignment horizontal="right"/>
    </xf>
    <xf numFmtId="8" fontId="0" fillId="6" borderId="43" xfId="0" applyNumberFormat="1" applyFill="1" applyBorder="1" applyAlignment="1">
      <alignment horizontal="right"/>
    </xf>
    <xf numFmtId="8" fontId="0" fillId="4" borderId="39" xfId="0" applyNumberFormat="1" applyFill="1" applyBorder="1" applyAlignment="1">
      <alignment horizontal="right"/>
    </xf>
    <xf numFmtId="8" fontId="0" fillId="4" borderId="31" xfId="0" applyNumberFormat="1" applyFill="1" applyBorder="1" applyAlignment="1">
      <alignment horizontal="right"/>
    </xf>
    <xf numFmtId="8" fontId="0" fillId="4" borderId="32" xfId="0" applyNumberFormat="1" applyFill="1" applyBorder="1" applyAlignment="1">
      <alignment horizontal="right"/>
    </xf>
    <xf numFmtId="0" fontId="0" fillId="6" borderId="30" xfId="0" applyFill="1" applyBorder="1" applyAlignment="1">
      <alignment horizontal="center"/>
    </xf>
    <xf numFmtId="8" fontId="0" fillId="6" borderId="30" xfId="0" applyNumberFormat="1" applyFill="1" applyBorder="1" applyAlignment="1">
      <alignment horizontal="right"/>
    </xf>
    <xf numFmtId="8" fontId="0" fillId="6" borderId="4" xfId="0" applyNumberFormat="1" applyFill="1" applyBorder="1" applyAlignment="1">
      <alignment horizontal="right"/>
    </xf>
    <xf numFmtId="166" fontId="0" fillId="6" borderId="6" xfId="0" applyNumberFormat="1" applyFill="1" applyBorder="1" applyAlignment="1">
      <alignment horizontal="center"/>
    </xf>
    <xf numFmtId="166" fontId="0" fillId="6" borderId="52" xfId="0" applyNumberFormat="1" applyFill="1" applyBorder="1" applyAlignment="1">
      <alignment horizontal="center"/>
    </xf>
    <xf numFmtId="8" fontId="0" fillId="6" borderId="19" xfId="0" applyNumberFormat="1" applyFill="1" applyBorder="1" applyAlignment="1">
      <alignment horizontal="right"/>
    </xf>
    <xf numFmtId="0" fontId="0" fillId="6" borderId="32" xfId="0" applyFill="1" applyBorder="1" applyAlignment="1">
      <alignment horizontal="center"/>
    </xf>
    <xf numFmtId="8" fontId="0" fillId="6" borderId="32" xfId="0" applyNumberFormat="1" applyFill="1" applyBorder="1" applyAlignment="1">
      <alignment horizontal="right"/>
    </xf>
    <xf numFmtId="8" fontId="0" fillId="6" borderId="8" xfId="0" applyNumberFormat="1" applyFill="1" applyBorder="1" applyAlignment="1">
      <alignment horizontal="right"/>
    </xf>
    <xf numFmtId="166" fontId="0" fillId="6" borderId="53" xfId="0" applyNumberFormat="1" applyFill="1" applyBorder="1" applyAlignment="1">
      <alignment horizontal="center"/>
    </xf>
    <xf numFmtId="8" fontId="0" fillId="6" borderId="20" xfId="0" applyNumberFormat="1" applyFill="1" applyBorder="1" applyAlignment="1">
      <alignment horizontal="right"/>
    </xf>
    <xf numFmtId="166" fontId="0" fillId="6" borderId="67" xfId="0" applyNumberFormat="1" applyFill="1" applyBorder="1" applyAlignment="1">
      <alignment horizontal="center"/>
    </xf>
    <xf numFmtId="0" fontId="0" fillId="4" borderId="42" xfId="0" applyFill="1" applyBorder="1" applyAlignment="1">
      <alignment horizontal="center" vertical="center"/>
    </xf>
    <xf numFmtId="8" fontId="0" fillId="4" borderId="44" xfId="0" applyNumberFormat="1" applyFill="1" applyBorder="1" applyAlignment="1">
      <alignment horizontal="center" vertical="center" wrapText="1"/>
    </xf>
    <xf numFmtId="0" fontId="0" fillId="4" borderId="42" xfId="0" applyFill="1" applyBorder="1" applyAlignment="1">
      <alignment horizontal="center" vertical="center" wrapText="1"/>
    </xf>
    <xf numFmtId="0" fontId="0" fillId="4" borderId="49" xfId="0" applyFill="1" applyBorder="1" applyAlignment="1">
      <alignment horizontal="center" vertical="center" wrapText="1"/>
    </xf>
    <xf numFmtId="0" fontId="0" fillId="4" borderId="50" xfId="0" applyFill="1" applyBorder="1" applyAlignment="1">
      <alignment horizontal="center" vertical="center" wrapText="1"/>
    </xf>
    <xf numFmtId="0" fontId="0" fillId="4" borderId="45" xfId="0" applyFill="1" applyBorder="1" applyAlignment="1">
      <alignment horizontal="center" vertical="center" wrapText="1"/>
    </xf>
    <xf numFmtId="8" fontId="0" fillId="6" borderId="44" xfId="0" applyNumberFormat="1" applyFill="1" applyBorder="1" applyAlignment="1">
      <alignment horizontal="right"/>
    </xf>
    <xf numFmtId="0" fontId="2" fillId="0" borderId="2" xfId="0" applyFont="1" applyBorder="1" applyAlignment="1">
      <alignment horizontal="left" vertical="center" wrapText="1"/>
    </xf>
    <xf numFmtId="0" fontId="2" fillId="0" borderId="44" xfId="0" applyFont="1" applyBorder="1" applyAlignment="1">
      <alignment horizontal="left" vertical="center" wrapText="1"/>
    </xf>
    <xf numFmtId="0" fontId="1" fillId="0" borderId="50" xfId="0" applyFont="1" applyBorder="1" applyAlignment="1">
      <alignment horizontal="center"/>
    </xf>
    <xf numFmtId="0" fontId="1" fillId="0" borderId="58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167" fontId="0" fillId="0" borderId="26" xfId="0" applyNumberFormat="1" applyBorder="1"/>
    <xf numFmtId="0" fontId="0" fillId="0" borderId="52" xfId="0" applyBorder="1"/>
    <xf numFmtId="0" fontId="0" fillId="0" borderId="56" xfId="0" applyBorder="1"/>
    <xf numFmtId="0" fontId="1" fillId="0" borderId="44" xfId="0" applyFont="1" applyBorder="1" applyAlignment="1">
      <alignment horizontal="center"/>
    </xf>
    <xf numFmtId="164" fontId="0" fillId="0" borderId="31" xfId="0" applyNumberFormat="1" applyBorder="1"/>
    <xf numFmtId="0" fontId="1" fillId="0" borderId="66" xfId="0" applyFont="1" applyBorder="1" applyAlignment="1">
      <alignment horizontal="center"/>
    </xf>
    <xf numFmtId="167" fontId="0" fillId="0" borderId="7" xfId="0" applyNumberFormat="1" applyBorder="1"/>
    <xf numFmtId="165" fontId="0" fillId="0" borderId="13" xfId="0" applyNumberFormat="1" applyBorder="1"/>
    <xf numFmtId="0" fontId="3" fillId="0" borderId="30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8" fillId="0" borderId="46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168" fontId="17" fillId="0" borderId="37" xfId="0" applyNumberFormat="1" applyFont="1" applyBorder="1" applyAlignment="1">
      <alignment horizontal="center" vertical="center"/>
    </xf>
    <xf numFmtId="168" fontId="17" fillId="0" borderId="38" xfId="0" applyNumberFormat="1" applyFont="1" applyBorder="1" applyAlignment="1">
      <alignment horizontal="center" vertical="center"/>
    </xf>
    <xf numFmtId="168" fontId="17" fillId="0" borderId="39" xfId="0" applyNumberFormat="1" applyFont="1" applyBorder="1" applyAlignment="1">
      <alignment horizontal="center" vertical="center"/>
    </xf>
    <xf numFmtId="168" fontId="18" fillId="0" borderId="37" xfId="0" applyNumberFormat="1" applyFont="1" applyBorder="1" applyAlignment="1">
      <alignment horizontal="center" vertical="center"/>
    </xf>
    <xf numFmtId="168" fontId="18" fillId="0" borderId="38" xfId="0" applyNumberFormat="1" applyFont="1" applyBorder="1" applyAlignment="1">
      <alignment horizontal="center" vertical="center"/>
    </xf>
    <xf numFmtId="168" fontId="18" fillId="0" borderId="39" xfId="0" applyNumberFormat="1" applyFont="1" applyBorder="1" applyAlignment="1">
      <alignment horizontal="center" vertical="center"/>
    </xf>
    <xf numFmtId="168" fontId="1" fillId="0" borderId="37" xfId="0" applyNumberFormat="1" applyFont="1" applyBorder="1" applyAlignment="1">
      <alignment horizontal="center" vertical="center"/>
    </xf>
    <xf numFmtId="168" fontId="1" fillId="0" borderId="38" xfId="0" applyNumberFormat="1" applyFont="1" applyBorder="1" applyAlignment="1">
      <alignment horizontal="center" vertical="center"/>
    </xf>
    <xf numFmtId="168" fontId="1" fillId="0" borderId="39" xfId="0" applyNumberFormat="1" applyFont="1" applyBorder="1" applyAlignment="1">
      <alignment horizontal="center" vertical="center"/>
    </xf>
    <xf numFmtId="168" fontId="17" fillId="2" borderId="37" xfId="0" applyNumberFormat="1" applyFont="1" applyFill="1" applyBorder="1" applyAlignment="1" applyProtection="1">
      <alignment horizontal="center" vertical="center"/>
      <protection locked="0"/>
    </xf>
    <xf numFmtId="168" fontId="17" fillId="2" borderId="38" xfId="0" applyNumberFormat="1" applyFont="1" applyFill="1" applyBorder="1" applyAlignment="1" applyProtection="1">
      <alignment horizontal="center" vertical="center"/>
      <protection locked="0"/>
    </xf>
    <xf numFmtId="168" fontId="17" fillId="2" borderId="39" xfId="0" applyNumberFormat="1" applyFont="1" applyFill="1" applyBorder="1" applyAlignment="1" applyProtection="1">
      <alignment horizontal="center" vertical="center"/>
      <protection locked="0"/>
    </xf>
    <xf numFmtId="168" fontId="18" fillId="2" borderId="37" xfId="0" applyNumberFormat="1" applyFont="1" applyFill="1" applyBorder="1" applyAlignment="1" applyProtection="1">
      <alignment horizontal="center" vertical="center"/>
      <protection locked="0"/>
    </xf>
    <xf numFmtId="168" fontId="18" fillId="2" borderId="38" xfId="0" applyNumberFormat="1" applyFont="1" applyFill="1" applyBorder="1" applyAlignment="1" applyProtection="1">
      <alignment horizontal="center" vertical="center"/>
      <protection locked="0"/>
    </xf>
    <xf numFmtId="168" fontId="18" fillId="2" borderId="39" xfId="0" applyNumberFormat="1" applyFont="1" applyFill="1" applyBorder="1" applyAlignment="1" applyProtection="1">
      <alignment horizontal="center" vertical="center"/>
      <protection locked="0"/>
    </xf>
    <xf numFmtId="168" fontId="1" fillId="2" borderId="37" xfId="0" applyNumberFormat="1" applyFont="1" applyFill="1" applyBorder="1" applyAlignment="1" applyProtection="1">
      <alignment horizontal="center" vertical="center"/>
      <protection locked="0"/>
    </xf>
    <xf numFmtId="168" fontId="1" fillId="2" borderId="38" xfId="0" applyNumberFormat="1" applyFont="1" applyFill="1" applyBorder="1" applyAlignment="1" applyProtection="1">
      <alignment horizontal="center" vertical="center"/>
      <protection locked="0"/>
    </xf>
    <xf numFmtId="168" fontId="1" fillId="2" borderId="39" xfId="0" applyNumberFormat="1" applyFont="1" applyFill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1" fillId="0" borderId="0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43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4" xfId="0" applyFont="1" applyBorder="1" applyAlignment="1">
      <alignment vertical="center" wrapText="1"/>
    </xf>
    <xf numFmtId="0" fontId="3" fillId="0" borderId="43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0" fillId="4" borderId="37" xfId="0" applyFill="1" applyBorder="1" applyAlignment="1">
      <alignment horizontal="center" vertical="center" wrapText="1"/>
    </xf>
    <xf numFmtId="0" fontId="0" fillId="4" borderId="39" xfId="0" applyFill="1" applyBorder="1" applyAlignment="1">
      <alignment horizontal="center" vertical="center" wrapText="1"/>
    </xf>
    <xf numFmtId="0" fontId="0" fillId="0" borderId="42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4" borderId="37" xfId="0" applyFill="1" applyBorder="1" applyAlignment="1">
      <alignment horizontal="center" wrapText="1"/>
    </xf>
    <xf numFmtId="0" fontId="0" fillId="4" borderId="38" xfId="0" applyFill="1" applyBorder="1" applyAlignment="1">
      <alignment horizontal="center" wrapText="1"/>
    </xf>
    <xf numFmtId="0" fontId="0" fillId="6" borderId="14" xfId="0" applyFill="1" applyBorder="1" applyAlignment="1">
      <alignment horizontal="center" wrapText="1"/>
    </xf>
    <xf numFmtId="0" fontId="0" fillId="6" borderId="16" xfId="0" applyFill="1" applyBorder="1" applyAlignment="1">
      <alignment horizontal="center" wrapText="1"/>
    </xf>
  </cellXfs>
  <cellStyles count="3">
    <cellStyle name="Normal" xfId="0" builtinId="0"/>
    <cellStyle name="Normal 4" xfId="2"/>
    <cellStyle name="Normal 5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48"/>
  <sheetViews>
    <sheetView tabSelected="1" workbookViewId="0">
      <pane xSplit="1" ySplit="6" topLeftCell="B7" activePane="bottomRight" state="frozen"/>
      <selection pane="topRight" activeCell="B1" sqref="B1"/>
      <selection pane="bottomLeft" activeCell="A2" sqref="A2"/>
      <selection pane="bottomRight" activeCell="G33" sqref="G33:G39"/>
    </sheetView>
  </sheetViews>
  <sheetFormatPr defaultColWidth="11.453125" defaultRowHeight="14.5" x14ac:dyDescent="0.35"/>
  <cols>
    <col min="1" max="1" width="31" style="65" bestFit="1" customWidth="1"/>
    <col min="2" max="2" width="12.1796875" style="65" bestFit="1" customWidth="1"/>
    <col min="3" max="3" width="10.54296875" style="65" bestFit="1" customWidth="1"/>
    <col min="4" max="4" width="12.81640625" style="65" bestFit="1" customWidth="1"/>
    <col min="5" max="6" width="3.453125" style="65" customWidth="1"/>
    <col min="7" max="7" width="9" style="65" bestFit="1" customWidth="1"/>
    <col min="8" max="8" width="9.6328125" style="65" bestFit="1" customWidth="1"/>
    <col min="9" max="9" width="9.1796875" style="65" bestFit="1" customWidth="1"/>
    <col min="10" max="10" width="10.36328125" style="65" bestFit="1" customWidth="1"/>
    <col min="11" max="11" width="10.54296875" style="65" customWidth="1"/>
    <col min="12" max="12" width="9.1796875" style="65" bestFit="1" customWidth="1"/>
    <col min="13" max="13" width="10.36328125" style="65" bestFit="1" customWidth="1"/>
    <col min="14" max="14" width="10.54296875" style="65" bestFit="1" customWidth="1"/>
    <col min="15" max="15" width="3.453125" style="65" customWidth="1"/>
    <col min="16" max="16" width="9" style="65" bestFit="1" customWidth="1"/>
    <col min="17" max="17" width="9.6328125" style="65" bestFit="1" customWidth="1"/>
    <col min="18" max="18" width="9.1796875" style="65" bestFit="1" customWidth="1"/>
    <col min="19" max="19" width="10.54296875" style="65" customWidth="1"/>
    <col min="20" max="20" width="11.08984375" style="65" customWidth="1"/>
    <col min="21" max="21" width="12" style="65" customWidth="1"/>
    <col min="22" max="23" width="11.81640625" style="65" bestFit="1" customWidth="1"/>
    <col min="24" max="24" width="29.6328125" style="65" customWidth="1"/>
    <col min="25" max="29" width="10.81640625" style="65" customWidth="1"/>
    <col min="30" max="30" width="11.81640625" style="65" customWidth="1"/>
    <col min="31" max="32" width="11.81640625" style="65" bestFit="1" customWidth="1"/>
    <col min="33" max="33" width="3.453125" style="65" customWidth="1"/>
    <col min="34" max="34" width="9" style="65" bestFit="1" customWidth="1"/>
    <col min="35" max="35" width="9.6328125" style="65" bestFit="1" customWidth="1"/>
    <col min="36" max="36" width="9.1796875" style="65" bestFit="1" customWidth="1"/>
    <col min="37" max="37" width="11.81640625" style="65" customWidth="1"/>
    <col min="38" max="38" width="9.6328125" style="65" bestFit="1" customWidth="1"/>
    <col min="39" max="39" width="11.1796875" style="65" bestFit="1" customWidth="1"/>
    <col min="40" max="41" width="11.81640625" style="65" bestFit="1" customWidth="1"/>
    <col min="42" max="42" width="3.54296875" style="65" customWidth="1"/>
    <col min="43" max="43" width="9" style="65" bestFit="1" customWidth="1"/>
    <col min="44" max="44" width="9.6328125" style="65" bestFit="1" customWidth="1"/>
    <col min="45" max="45" width="9.1796875" style="65" bestFit="1" customWidth="1"/>
    <col min="46" max="46" width="11.1796875" style="65" customWidth="1"/>
    <col min="47" max="47" width="10.6328125" style="65" customWidth="1"/>
    <col min="48" max="48" width="11.1796875" style="65" customWidth="1"/>
    <col min="49" max="50" width="11.81640625" style="65" bestFit="1" customWidth="1"/>
    <col min="51" max="16384" width="11.453125" style="65"/>
  </cols>
  <sheetData>
    <row r="1" spans="1:50" ht="15" customHeight="1" x14ac:dyDescent="0.35">
      <c r="A1" s="214" t="s">
        <v>108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</row>
    <row r="2" spans="1:50" ht="15" customHeight="1" x14ac:dyDescent="0.35">
      <c r="A2" s="214" t="s">
        <v>110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</row>
    <row r="3" spans="1:50" ht="15" customHeight="1" x14ac:dyDescent="0.35">
      <c r="A3" s="214" t="s">
        <v>109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</row>
    <row r="4" spans="1:50" ht="15" customHeight="1" x14ac:dyDescent="0.35">
      <c r="A4" s="214" t="s">
        <v>107</v>
      </c>
      <c r="B4" s="214"/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4"/>
      <c r="W4" s="214"/>
    </row>
    <row r="5" spans="1:50" ht="15" customHeight="1" thickBot="1" x14ac:dyDescent="0.4">
      <c r="A5" s="184"/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</row>
    <row r="6" spans="1:50" ht="29" thickBot="1" x14ac:dyDescent="0.4">
      <c r="A6" s="96" t="s">
        <v>75</v>
      </c>
      <c r="B6" s="209" t="s">
        <v>59</v>
      </c>
      <c r="C6" s="210"/>
      <c r="D6" s="64" t="s">
        <v>60</v>
      </c>
      <c r="G6" s="211" t="s">
        <v>77</v>
      </c>
      <c r="H6" s="212"/>
      <c r="I6" s="212"/>
      <c r="J6" s="212"/>
      <c r="K6" s="212"/>
      <c r="L6" s="212"/>
      <c r="M6" s="212"/>
      <c r="N6" s="213"/>
      <c r="P6" s="211">
        <v>2027</v>
      </c>
      <c r="Q6" s="212"/>
      <c r="R6" s="212"/>
      <c r="S6" s="66" t="s">
        <v>61</v>
      </c>
      <c r="T6" s="95"/>
      <c r="U6" s="67">
        <v>0.03</v>
      </c>
      <c r="V6" s="66"/>
      <c r="W6" s="68"/>
      <c r="Y6" s="211">
        <v>2028</v>
      </c>
      <c r="Z6" s="212"/>
      <c r="AA6" s="212"/>
      <c r="AB6" s="66" t="s">
        <v>61</v>
      </c>
      <c r="AC6" s="95"/>
      <c r="AD6" s="67">
        <v>0.03</v>
      </c>
      <c r="AE6" s="66"/>
      <c r="AF6" s="68"/>
      <c r="AH6" s="211">
        <v>2029</v>
      </c>
      <c r="AI6" s="212"/>
      <c r="AJ6" s="212"/>
      <c r="AK6" s="66" t="s">
        <v>61</v>
      </c>
      <c r="AL6" s="95"/>
      <c r="AM6" s="67">
        <v>1.4999999999999999E-2</v>
      </c>
      <c r="AN6" s="66"/>
      <c r="AO6" s="68"/>
      <c r="AQ6" s="211">
        <v>2030</v>
      </c>
      <c r="AR6" s="212"/>
      <c r="AS6" s="212"/>
      <c r="AT6" s="66" t="s">
        <v>61</v>
      </c>
      <c r="AU6" s="95"/>
      <c r="AV6" s="67">
        <v>1.4999999999999999E-2</v>
      </c>
      <c r="AW6" s="66"/>
      <c r="AX6" s="68"/>
    </row>
    <row r="7" spans="1:50" ht="40" customHeight="1" thickBot="1" x14ac:dyDescent="0.4">
      <c r="A7" s="69" t="s">
        <v>76</v>
      </c>
      <c r="B7" s="89" t="s">
        <v>62</v>
      </c>
      <c r="C7" s="64" t="s">
        <v>63</v>
      </c>
      <c r="D7" s="64" t="s">
        <v>64</v>
      </c>
      <c r="G7" s="206" t="s">
        <v>65</v>
      </c>
      <c r="H7" s="207"/>
      <c r="I7" s="208"/>
      <c r="J7" s="206" t="s">
        <v>66</v>
      </c>
      <c r="K7" s="207"/>
      <c r="L7" s="207"/>
      <c r="M7" s="208"/>
      <c r="N7" s="70" t="s">
        <v>67</v>
      </c>
      <c r="P7" s="185" t="s">
        <v>65</v>
      </c>
      <c r="Q7" s="186"/>
      <c r="R7" s="187"/>
      <c r="S7" s="185" t="s">
        <v>66</v>
      </c>
      <c r="T7" s="186"/>
      <c r="U7" s="186"/>
      <c r="V7" s="187"/>
      <c r="W7" s="71" t="s">
        <v>67</v>
      </c>
      <c r="Y7" s="185" t="s">
        <v>65</v>
      </c>
      <c r="Z7" s="186"/>
      <c r="AA7" s="187"/>
      <c r="AB7" s="185" t="s">
        <v>66</v>
      </c>
      <c r="AC7" s="186"/>
      <c r="AD7" s="186"/>
      <c r="AE7" s="187"/>
      <c r="AF7" s="71" t="s">
        <v>67</v>
      </c>
      <c r="AH7" s="185" t="s">
        <v>65</v>
      </c>
      <c r="AI7" s="186"/>
      <c r="AJ7" s="187"/>
      <c r="AK7" s="185" t="s">
        <v>66</v>
      </c>
      <c r="AL7" s="186"/>
      <c r="AM7" s="186"/>
      <c r="AN7" s="187"/>
      <c r="AO7" s="71" t="s">
        <v>67</v>
      </c>
      <c r="AQ7" s="185" t="s">
        <v>65</v>
      </c>
      <c r="AR7" s="186"/>
      <c r="AS7" s="187"/>
      <c r="AT7" s="185" t="s">
        <v>66</v>
      </c>
      <c r="AU7" s="186"/>
      <c r="AV7" s="186"/>
      <c r="AW7" s="187"/>
      <c r="AX7" s="71" t="s">
        <v>67</v>
      </c>
    </row>
    <row r="8" spans="1:50" ht="26.5" thickBot="1" x14ac:dyDescent="0.4">
      <c r="A8" s="97" t="s">
        <v>68</v>
      </c>
      <c r="B8" s="72" t="s">
        <v>69</v>
      </c>
      <c r="C8" s="73" t="s">
        <v>85</v>
      </c>
      <c r="D8" s="90" t="s">
        <v>86</v>
      </c>
      <c r="G8" s="70" t="s">
        <v>70</v>
      </c>
      <c r="H8" s="70" t="s">
        <v>47</v>
      </c>
      <c r="I8" s="70" t="s">
        <v>71</v>
      </c>
      <c r="J8" s="72" t="s">
        <v>70</v>
      </c>
      <c r="K8" s="74" t="s">
        <v>47</v>
      </c>
      <c r="L8" s="70" t="s">
        <v>71</v>
      </c>
      <c r="M8" s="70" t="s">
        <v>72</v>
      </c>
      <c r="N8" s="70" t="s">
        <v>73</v>
      </c>
      <c r="P8" s="70" t="s">
        <v>70</v>
      </c>
      <c r="Q8" s="70" t="s">
        <v>47</v>
      </c>
      <c r="R8" s="70" t="s">
        <v>71</v>
      </c>
      <c r="S8" s="72" t="s">
        <v>70</v>
      </c>
      <c r="T8" s="74" t="s">
        <v>47</v>
      </c>
      <c r="U8" s="70" t="s">
        <v>71</v>
      </c>
      <c r="V8" s="70" t="s">
        <v>72</v>
      </c>
      <c r="W8" s="70" t="s">
        <v>73</v>
      </c>
      <c r="Y8" s="70" t="s">
        <v>70</v>
      </c>
      <c r="Z8" s="70" t="s">
        <v>47</v>
      </c>
      <c r="AA8" s="70" t="s">
        <v>71</v>
      </c>
      <c r="AB8" s="72" t="s">
        <v>70</v>
      </c>
      <c r="AC8" s="74" t="s">
        <v>47</v>
      </c>
      <c r="AD8" s="70" t="s">
        <v>71</v>
      </c>
      <c r="AE8" s="70" t="s">
        <v>72</v>
      </c>
      <c r="AF8" s="70" t="s">
        <v>73</v>
      </c>
      <c r="AH8" s="70" t="s">
        <v>70</v>
      </c>
      <c r="AI8" s="70" t="s">
        <v>47</v>
      </c>
      <c r="AJ8" s="70" t="s">
        <v>71</v>
      </c>
      <c r="AK8" s="72" t="s">
        <v>70</v>
      </c>
      <c r="AL8" s="74" t="s">
        <v>47</v>
      </c>
      <c r="AM8" s="70" t="s">
        <v>71</v>
      </c>
      <c r="AN8" s="70" t="s">
        <v>72</v>
      </c>
      <c r="AO8" s="70" t="s">
        <v>73</v>
      </c>
      <c r="AQ8" s="70" t="s">
        <v>70</v>
      </c>
      <c r="AR8" s="70" t="s">
        <v>47</v>
      </c>
      <c r="AS8" s="70" t="s">
        <v>71</v>
      </c>
      <c r="AT8" s="72" t="s">
        <v>70</v>
      </c>
      <c r="AU8" s="74" t="s">
        <v>47</v>
      </c>
      <c r="AV8" s="70" t="s">
        <v>71</v>
      </c>
      <c r="AW8" s="70" t="s">
        <v>72</v>
      </c>
      <c r="AX8" s="70" t="s">
        <v>73</v>
      </c>
    </row>
    <row r="9" spans="1:50" ht="15" thickBot="1" x14ac:dyDescent="0.4">
      <c r="A9" s="98" t="s">
        <v>37</v>
      </c>
      <c r="B9" s="75">
        <f>'LOT 1 Girona'!O5</f>
        <v>6068.3636363636369</v>
      </c>
      <c r="C9" s="76">
        <f>'LOT 1 Girona'!O7</f>
        <v>1233.90625</v>
      </c>
      <c r="D9" s="77">
        <f>'LOT 1 Girona'!O8</f>
        <v>200</v>
      </c>
      <c r="G9" s="197">
        <v>20</v>
      </c>
      <c r="H9" s="200">
        <v>9.58</v>
      </c>
      <c r="I9" s="203">
        <v>21.92</v>
      </c>
      <c r="J9" s="78">
        <f>ROUND(1588.1735*G$9,2)</f>
        <v>31763.47</v>
      </c>
      <c r="K9" s="79">
        <f>ROUND(339.9446*H$9,2)</f>
        <v>3256.67</v>
      </c>
      <c r="L9" s="80">
        <f>ROUND(56.0059*I$9,2)</f>
        <v>1227.6500000000001</v>
      </c>
      <c r="M9" s="81">
        <f t="shared" ref="M9:M16" si="0">SUM(J9:L9)</f>
        <v>36247.79</v>
      </c>
      <c r="N9" s="81">
        <f t="shared" ref="N9:N17" si="1">ROUND(M9*1.21,2)</f>
        <v>43859.83</v>
      </c>
      <c r="P9" s="188">
        <f>ROUND(G9*(1+$U$6),2)</f>
        <v>20.6</v>
      </c>
      <c r="Q9" s="191">
        <f>ROUND(H9*(1+$U$6),2)</f>
        <v>9.8699999999999992</v>
      </c>
      <c r="R9" s="194">
        <f>ROUND(I9*(1+$U$6),2)</f>
        <v>22.58</v>
      </c>
      <c r="S9" s="78">
        <f t="shared" ref="S9:S17" si="2">ROUND(B9*P$9,2)</f>
        <v>125008.29</v>
      </c>
      <c r="T9" s="79">
        <f t="shared" ref="T9:T17" si="3">ROUND(C9*Q$9,2)</f>
        <v>12178.65</v>
      </c>
      <c r="U9" s="80">
        <f t="shared" ref="U9:U17" si="4">ROUND(D9*R$9,2)</f>
        <v>4516</v>
      </c>
      <c r="V9" s="81">
        <f t="shared" ref="V9:V16" si="5">SUM(S9:U9)</f>
        <v>141702.94</v>
      </c>
      <c r="W9" s="81">
        <f t="shared" ref="W9:W17" si="6">ROUND(V9*1.21,2)</f>
        <v>171460.56</v>
      </c>
      <c r="Y9" s="188">
        <f>ROUND(P9*(1+$AD$6),2)</f>
        <v>21.22</v>
      </c>
      <c r="Z9" s="191">
        <f>ROUND(Q9*(1+$AD$6),2)</f>
        <v>10.17</v>
      </c>
      <c r="AA9" s="194">
        <f>ROUND(R9*(1+$AD$6),2)</f>
        <v>23.26</v>
      </c>
      <c r="AB9" s="78">
        <f t="shared" ref="AB9:AB17" si="7">ROUND(B9*Y$9,2)</f>
        <v>128770.68</v>
      </c>
      <c r="AC9" s="79">
        <f t="shared" ref="AC9:AC17" si="8">ROUND(C9*Z$9,2)</f>
        <v>12548.83</v>
      </c>
      <c r="AD9" s="80">
        <f t="shared" ref="AD9:AD17" si="9">ROUND(D9*AA$9,2)</f>
        <v>4652</v>
      </c>
      <c r="AE9" s="81">
        <f t="shared" ref="AE9:AE16" si="10">SUM(AB9:AD9)</f>
        <v>145971.50999999998</v>
      </c>
      <c r="AF9" s="81">
        <f t="shared" ref="AF9:AF17" si="11">ROUND(AE9*1.21,2)</f>
        <v>176625.53</v>
      </c>
      <c r="AH9" s="188">
        <f>ROUND(Y9*(1+$AM$6),2)</f>
        <v>21.54</v>
      </c>
      <c r="AI9" s="191">
        <f>ROUND(Z9*(1+$AM$6),2)</f>
        <v>10.32</v>
      </c>
      <c r="AJ9" s="194">
        <f>ROUND(AA9*(1+$AM$6),2)</f>
        <v>23.61</v>
      </c>
      <c r="AK9" s="78">
        <f>ROUND($B9*AH$9,2)</f>
        <v>130712.55</v>
      </c>
      <c r="AL9" s="79">
        <f>ROUND($C9*AI$9,2)</f>
        <v>12733.91</v>
      </c>
      <c r="AM9" s="80">
        <f>ROUND($D9*AJ$9,2)</f>
        <v>4722</v>
      </c>
      <c r="AN9" s="81">
        <f t="shared" ref="AN9:AN16" si="12">SUM(AK9:AM9)</f>
        <v>148168.46</v>
      </c>
      <c r="AO9" s="81">
        <f t="shared" ref="AO9:AO17" si="13">ROUND(AN9*1.21,2)</f>
        <v>179283.84</v>
      </c>
      <c r="AQ9" s="188">
        <f>ROUND(AH9*(1+$AV$6),2)</f>
        <v>21.86</v>
      </c>
      <c r="AR9" s="191">
        <f>ROUND(AI9*(1+$AV$6),2)</f>
        <v>10.47</v>
      </c>
      <c r="AS9" s="194">
        <f>ROUND(AJ9*(1+$AV$6),2)</f>
        <v>23.96</v>
      </c>
      <c r="AT9" s="78">
        <f>ROUND($B9*AQ$9,2)</f>
        <v>132654.43</v>
      </c>
      <c r="AU9" s="79">
        <f>ROUND($C9*AR$9,2)</f>
        <v>12919</v>
      </c>
      <c r="AV9" s="80">
        <f>ROUND($D9*AS$9,2)</f>
        <v>4792</v>
      </c>
      <c r="AW9" s="81">
        <f t="shared" ref="AW9:AW16" si="14">SUM(AT9:AV9)</f>
        <v>150365.43</v>
      </c>
      <c r="AX9" s="81">
        <f t="shared" ref="AX9:AX17" si="15">ROUND(AW9*1.21,2)</f>
        <v>181942.17</v>
      </c>
    </row>
    <row r="10" spans="1:50" ht="15" thickBot="1" x14ac:dyDescent="0.4">
      <c r="A10" s="99" t="s">
        <v>78</v>
      </c>
      <c r="B10" s="75">
        <f>'LOT 1 Girona'!O11</f>
        <v>6597.8181818181811</v>
      </c>
      <c r="C10" s="76">
        <f>'LOT 1 Girona'!O13</f>
        <v>1195.4482758620688</v>
      </c>
      <c r="D10" s="77">
        <f>'LOT 1 Girona'!O14</f>
        <v>200</v>
      </c>
      <c r="G10" s="198"/>
      <c r="H10" s="201"/>
      <c r="I10" s="204"/>
      <c r="J10" s="78">
        <f>ROUND(610.836*G$9,2)</f>
        <v>12216.72</v>
      </c>
      <c r="K10" s="79">
        <f>ROUND(121.5135*H$9,2)</f>
        <v>1164.0999999999999</v>
      </c>
      <c r="L10" s="80">
        <f>ROUND(56.0059*I$9,2)</f>
        <v>1227.6500000000001</v>
      </c>
      <c r="M10" s="81">
        <f t="shared" si="0"/>
        <v>14608.47</v>
      </c>
      <c r="N10" s="81">
        <f t="shared" si="1"/>
        <v>17676.25</v>
      </c>
      <c r="P10" s="189"/>
      <c r="Q10" s="192"/>
      <c r="R10" s="195"/>
      <c r="S10" s="78">
        <f t="shared" si="2"/>
        <v>135915.04999999999</v>
      </c>
      <c r="T10" s="79">
        <f t="shared" si="3"/>
        <v>11799.07</v>
      </c>
      <c r="U10" s="80">
        <f t="shared" si="4"/>
        <v>4516</v>
      </c>
      <c r="V10" s="81">
        <f t="shared" si="5"/>
        <v>152230.12</v>
      </c>
      <c r="W10" s="81">
        <f t="shared" si="6"/>
        <v>184198.45</v>
      </c>
      <c r="Y10" s="189"/>
      <c r="Z10" s="192"/>
      <c r="AA10" s="195"/>
      <c r="AB10" s="78">
        <f t="shared" si="7"/>
        <v>140005.70000000001</v>
      </c>
      <c r="AC10" s="79">
        <f t="shared" si="8"/>
        <v>12157.71</v>
      </c>
      <c r="AD10" s="80">
        <f t="shared" si="9"/>
        <v>4652</v>
      </c>
      <c r="AE10" s="81">
        <f t="shared" si="10"/>
        <v>156815.41</v>
      </c>
      <c r="AF10" s="81">
        <f t="shared" si="11"/>
        <v>189746.65</v>
      </c>
      <c r="AH10" s="189"/>
      <c r="AI10" s="192"/>
      <c r="AJ10" s="195"/>
      <c r="AK10" s="78">
        <f t="shared" ref="AK10:AK16" si="16">ROUND($B10*AH$9,2)</f>
        <v>142117</v>
      </c>
      <c r="AL10" s="79">
        <f t="shared" ref="AL10:AL16" si="17">ROUND($C10*AI$9,2)</f>
        <v>12337.03</v>
      </c>
      <c r="AM10" s="80">
        <f t="shared" ref="AM10:AM16" si="18">ROUND($D10*AJ$9,2)</f>
        <v>4722</v>
      </c>
      <c r="AN10" s="81">
        <f t="shared" si="12"/>
        <v>159176.03</v>
      </c>
      <c r="AO10" s="81">
        <f t="shared" si="13"/>
        <v>192603</v>
      </c>
      <c r="AQ10" s="189"/>
      <c r="AR10" s="192"/>
      <c r="AS10" s="195"/>
      <c r="AT10" s="78">
        <f t="shared" ref="AT10:AT16" si="19">ROUND($B10*AQ$9,2)</f>
        <v>144228.31</v>
      </c>
      <c r="AU10" s="79">
        <f t="shared" ref="AU10:AU16" si="20">ROUND($C10*AR$9,2)</f>
        <v>12516.34</v>
      </c>
      <c r="AV10" s="80">
        <f t="shared" ref="AV10:AV16" si="21">ROUND($D10*AS$9,2)</f>
        <v>4792</v>
      </c>
      <c r="AW10" s="81">
        <f t="shared" si="14"/>
        <v>161536.65</v>
      </c>
      <c r="AX10" s="81">
        <f t="shared" si="15"/>
        <v>195459.35</v>
      </c>
    </row>
    <row r="11" spans="1:50" ht="15" thickBot="1" x14ac:dyDescent="0.4">
      <c r="A11" s="99" t="s">
        <v>79</v>
      </c>
      <c r="B11" s="75">
        <f>'LOT 1 Girona'!O17</f>
        <v>1506.909090909091</v>
      </c>
      <c r="C11" s="76">
        <f>'LOT 1 Girona'!O19</f>
        <v>240.50000000000006</v>
      </c>
      <c r="D11" s="77">
        <f>'LOT 1 Girona'!O20</f>
        <v>112</v>
      </c>
      <c r="G11" s="198"/>
      <c r="H11" s="201"/>
      <c r="I11" s="204"/>
      <c r="J11" s="78">
        <f>ROUND(244.3345*G$9,2)</f>
        <v>4886.6899999999996</v>
      </c>
      <c r="K11" s="79">
        <f>ROUND(41.9384*H$9,2)</f>
        <v>401.77</v>
      </c>
      <c r="L11" s="80">
        <f>ROUND(40.0041*I$9,2)</f>
        <v>876.89</v>
      </c>
      <c r="M11" s="81">
        <f t="shared" si="0"/>
        <v>6165.3499999999995</v>
      </c>
      <c r="N11" s="81">
        <f t="shared" si="1"/>
        <v>7460.07</v>
      </c>
      <c r="P11" s="189"/>
      <c r="Q11" s="192"/>
      <c r="R11" s="195"/>
      <c r="S11" s="78">
        <f t="shared" si="2"/>
        <v>31042.33</v>
      </c>
      <c r="T11" s="79">
        <f t="shared" si="3"/>
        <v>2373.7399999999998</v>
      </c>
      <c r="U11" s="80">
        <f t="shared" si="4"/>
        <v>2528.96</v>
      </c>
      <c r="V11" s="81">
        <f t="shared" si="5"/>
        <v>35945.03</v>
      </c>
      <c r="W11" s="81">
        <f t="shared" si="6"/>
        <v>43493.49</v>
      </c>
      <c r="Y11" s="189"/>
      <c r="Z11" s="192"/>
      <c r="AA11" s="195"/>
      <c r="AB11" s="78">
        <f t="shared" si="7"/>
        <v>31976.61</v>
      </c>
      <c r="AC11" s="79">
        <f t="shared" si="8"/>
        <v>2445.89</v>
      </c>
      <c r="AD11" s="80">
        <f t="shared" si="9"/>
        <v>2605.12</v>
      </c>
      <c r="AE11" s="81">
        <f t="shared" si="10"/>
        <v>37027.620000000003</v>
      </c>
      <c r="AF11" s="81">
        <f t="shared" si="11"/>
        <v>44803.42</v>
      </c>
      <c r="AH11" s="189"/>
      <c r="AI11" s="192"/>
      <c r="AJ11" s="195"/>
      <c r="AK11" s="78">
        <f t="shared" si="16"/>
        <v>32458.82</v>
      </c>
      <c r="AL11" s="79">
        <f t="shared" si="17"/>
        <v>2481.96</v>
      </c>
      <c r="AM11" s="80">
        <f t="shared" si="18"/>
        <v>2644.32</v>
      </c>
      <c r="AN11" s="81">
        <f t="shared" si="12"/>
        <v>37585.1</v>
      </c>
      <c r="AO11" s="81">
        <f t="shared" si="13"/>
        <v>45477.97</v>
      </c>
      <c r="AQ11" s="189"/>
      <c r="AR11" s="192"/>
      <c r="AS11" s="195"/>
      <c r="AT11" s="78">
        <f t="shared" si="19"/>
        <v>32941.03</v>
      </c>
      <c r="AU11" s="79">
        <f t="shared" si="20"/>
        <v>2518.04</v>
      </c>
      <c r="AV11" s="80">
        <f t="shared" si="21"/>
        <v>2683.52</v>
      </c>
      <c r="AW11" s="81">
        <f t="shared" si="14"/>
        <v>38142.589999999997</v>
      </c>
      <c r="AX11" s="81">
        <f t="shared" si="15"/>
        <v>46152.53</v>
      </c>
    </row>
    <row r="12" spans="1:50" ht="15" thickBot="1" x14ac:dyDescent="0.4">
      <c r="A12" s="99" t="s">
        <v>80</v>
      </c>
      <c r="B12" s="75">
        <f>'LOT 1 Girona'!O23</f>
        <v>5050.181818181818</v>
      </c>
      <c r="C12" s="76">
        <f>'LOT 1 Girona'!O25</f>
        <v>1060.5263157894738</v>
      </c>
      <c r="D12" s="77">
        <f>'LOT 1 Girona'!O26</f>
        <v>352</v>
      </c>
      <c r="G12" s="198"/>
      <c r="H12" s="201"/>
      <c r="I12" s="204"/>
      <c r="J12" s="78">
        <f>ROUND(977.3375*G$9,2)</f>
        <v>19546.75</v>
      </c>
      <c r="K12" s="79">
        <f>ROUND(208.8653*H$9,2)</f>
        <v>2000.93</v>
      </c>
      <c r="L12" s="80">
        <f>ROUND(96.01*I$9,2)</f>
        <v>2104.54</v>
      </c>
      <c r="M12" s="81">
        <f t="shared" si="0"/>
        <v>23652.22</v>
      </c>
      <c r="N12" s="81">
        <f t="shared" si="1"/>
        <v>28619.19</v>
      </c>
      <c r="P12" s="189"/>
      <c r="Q12" s="192"/>
      <c r="R12" s="195"/>
      <c r="S12" s="78">
        <f t="shared" si="2"/>
        <v>104033.75</v>
      </c>
      <c r="T12" s="79">
        <f t="shared" si="3"/>
        <v>10467.39</v>
      </c>
      <c r="U12" s="80">
        <f t="shared" si="4"/>
        <v>7948.16</v>
      </c>
      <c r="V12" s="81">
        <f t="shared" si="5"/>
        <v>122449.3</v>
      </c>
      <c r="W12" s="81">
        <f t="shared" si="6"/>
        <v>148163.65</v>
      </c>
      <c r="Y12" s="189"/>
      <c r="Z12" s="192"/>
      <c r="AA12" s="195"/>
      <c r="AB12" s="78">
        <f t="shared" si="7"/>
        <v>107164.86</v>
      </c>
      <c r="AC12" s="79">
        <f t="shared" si="8"/>
        <v>10785.55</v>
      </c>
      <c r="AD12" s="80">
        <f t="shared" si="9"/>
        <v>8187.52</v>
      </c>
      <c r="AE12" s="81">
        <f t="shared" si="10"/>
        <v>126137.93000000001</v>
      </c>
      <c r="AF12" s="81">
        <f t="shared" si="11"/>
        <v>152626.9</v>
      </c>
      <c r="AH12" s="189"/>
      <c r="AI12" s="192"/>
      <c r="AJ12" s="195"/>
      <c r="AK12" s="78">
        <f t="shared" si="16"/>
        <v>108780.92</v>
      </c>
      <c r="AL12" s="79">
        <f t="shared" si="17"/>
        <v>10944.63</v>
      </c>
      <c r="AM12" s="80">
        <f t="shared" si="18"/>
        <v>8310.7199999999993</v>
      </c>
      <c r="AN12" s="81">
        <f t="shared" si="12"/>
        <v>128036.27</v>
      </c>
      <c r="AO12" s="81">
        <f t="shared" si="13"/>
        <v>154923.89000000001</v>
      </c>
      <c r="AQ12" s="189"/>
      <c r="AR12" s="192"/>
      <c r="AS12" s="195"/>
      <c r="AT12" s="78">
        <f t="shared" si="19"/>
        <v>110396.97</v>
      </c>
      <c r="AU12" s="79">
        <f t="shared" si="20"/>
        <v>11103.71</v>
      </c>
      <c r="AV12" s="80">
        <f t="shared" si="21"/>
        <v>8433.92</v>
      </c>
      <c r="AW12" s="81">
        <f t="shared" si="14"/>
        <v>129934.59999999999</v>
      </c>
      <c r="AX12" s="81">
        <f t="shared" si="15"/>
        <v>157220.87</v>
      </c>
    </row>
    <row r="13" spans="1:50" ht="15" thickBot="1" x14ac:dyDescent="0.4">
      <c r="A13" s="99" t="s">
        <v>81</v>
      </c>
      <c r="B13" s="75">
        <f>'LOT 1 Girona'!O29</f>
        <v>7493.818181818182</v>
      </c>
      <c r="C13" s="76">
        <f>'LOT 1 Girona'!O31</f>
        <v>1847.5102040816328</v>
      </c>
      <c r="D13" s="77">
        <f>'LOT 1 Girona'!O32</f>
        <v>176</v>
      </c>
      <c r="G13" s="198"/>
      <c r="H13" s="201"/>
      <c r="I13" s="204"/>
      <c r="J13" s="78">
        <f>ROUND(1221.672*G$9,2)</f>
        <v>24433.439999999999</v>
      </c>
      <c r="K13" s="79">
        <f>ROUND(334.2421*H$9,2)</f>
        <v>3202.04</v>
      </c>
      <c r="L13" s="80">
        <f>ROUND(32.0031*I$9,2)</f>
        <v>701.51</v>
      </c>
      <c r="M13" s="81">
        <f t="shared" si="0"/>
        <v>28336.989999999998</v>
      </c>
      <c r="N13" s="81">
        <f t="shared" si="1"/>
        <v>34287.760000000002</v>
      </c>
      <c r="P13" s="189"/>
      <c r="Q13" s="192"/>
      <c r="R13" s="195"/>
      <c r="S13" s="78">
        <f t="shared" si="2"/>
        <v>154372.65</v>
      </c>
      <c r="T13" s="79">
        <f t="shared" si="3"/>
        <v>18234.93</v>
      </c>
      <c r="U13" s="80">
        <f t="shared" si="4"/>
        <v>3974.08</v>
      </c>
      <c r="V13" s="81">
        <f t="shared" si="5"/>
        <v>176581.65999999997</v>
      </c>
      <c r="W13" s="81">
        <f t="shared" si="6"/>
        <v>213663.81</v>
      </c>
      <c r="Y13" s="189"/>
      <c r="Z13" s="192"/>
      <c r="AA13" s="195"/>
      <c r="AB13" s="78">
        <f t="shared" si="7"/>
        <v>159018.82</v>
      </c>
      <c r="AC13" s="79">
        <f t="shared" si="8"/>
        <v>18789.18</v>
      </c>
      <c r="AD13" s="80">
        <f t="shared" si="9"/>
        <v>4093.76</v>
      </c>
      <c r="AE13" s="81">
        <f t="shared" si="10"/>
        <v>181901.76</v>
      </c>
      <c r="AF13" s="81">
        <f t="shared" si="11"/>
        <v>220101.13</v>
      </c>
      <c r="AH13" s="189"/>
      <c r="AI13" s="192"/>
      <c r="AJ13" s="195"/>
      <c r="AK13" s="78">
        <f t="shared" si="16"/>
        <v>161416.84</v>
      </c>
      <c r="AL13" s="79">
        <f t="shared" si="17"/>
        <v>19066.310000000001</v>
      </c>
      <c r="AM13" s="80">
        <f t="shared" si="18"/>
        <v>4155.3599999999997</v>
      </c>
      <c r="AN13" s="81">
        <f t="shared" si="12"/>
        <v>184638.50999999998</v>
      </c>
      <c r="AO13" s="81">
        <f t="shared" si="13"/>
        <v>223412.6</v>
      </c>
      <c r="AQ13" s="189"/>
      <c r="AR13" s="192"/>
      <c r="AS13" s="195"/>
      <c r="AT13" s="78">
        <f t="shared" si="19"/>
        <v>163814.87</v>
      </c>
      <c r="AU13" s="79">
        <f t="shared" si="20"/>
        <v>19343.43</v>
      </c>
      <c r="AV13" s="80">
        <f t="shared" si="21"/>
        <v>4216.96</v>
      </c>
      <c r="AW13" s="81">
        <f t="shared" si="14"/>
        <v>187375.25999999998</v>
      </c>
      <c r="AX13" s="81">
        <f t="shared" si="15"/>
        <v>226724.06</v>
      </c>
    </row>
    <row r="14" spans="1:50" ht="15" thickBot="1" x14ac:dyDescent="0.4">
      <c r="A14" s="99" t="s">
        <v>82</v>
      </c>
      <c r="B14" s="75">
        <f>'LOT 1 Girona'!O35</f>
        <v>2525.0909090909095</v>
      </c>
      <c r="C14" s="76">
        <f>'LOT 1 Girona'!O37</f>
        <v>479.76190476190476</v>
      </c>
      <c r="D14" s="77">
        <f>'LOT 1 Girona'!O38</f>
        <v>160</v>
      </c>
      <c r="G14" s="198"/>
      <c r="H14" s="201"/>
      <c r="I14" s="204"/>
      <c r="J14" s="78">
        <f>ROUND(570.1135*G$9,2)</f>
        <v>11402.27</v>
      </c>
      <c r="K14" s="79">
        <f>ROUND(109.2505*H$9,2)</f>
        <v>1046.6199999999999</v>
      </c>
      <c r="L14" s="80">
        <f>ROUND(52.0054*I$9,2)</f>
        <v>1139.96</v>
      </c>
      <c r="M14" s="81">
        <f t="shared" si="0"/>
        <v>13588.849999999999</v>
      </c>
      <c r="N14" s="81">
        <f t="shared" si="1"/>
        <v>16442.509999999998</v>
      </c>
      <c r="P14" s="189"/>
      <c r="Q14" s="192"/>
      <c r="R14" s="195"/>
      <c r="S14" s="78">
        <f t="shared" si="2"/>
        <v>52016.87</v>
      </c>
      <c r="T14" s="79">
        <f t="shared" si="3"/>
        <v>4735.25</v>
      </c>
      <c r="U14" s="80">
        <f t="shared" si="4"/>
        <v>3612.8</v>
      </c>
      <c r="V14" s="81">
        <f t="shared" si="5"/>
        <v>60364.920000000006</v>
      </c>
      <c r="W14" s="81">
        <f t="shared" si="6"/>
        <v>73041.55</v>
      </c>
      <c r="Y14" s="189"/>
      <c r="Z14" s="192"/>
      <c r="AA14" s="195"/>
      <c r="AB14" s="78">
        <f t="shared" si="7"/>
        <v>53582.43</v>
      </c>
      <c r="AC14" s="79">
        <f t="shared" si="8"/>
        <v>4879.18</v>
      </c>
      <c r="AD14" s="80">
        <f t="shared" si="9"/>
        <v>3721.6</v>
      </c>
      <c r="AE14" s="81">
        <f t="shared" si="10"/>
        <v>62183.21</v>
      </c>
      <c r="AF14" s="81">
        <f t="shared" si="11"/>
        <v>75241.679999999993</v>
      </c>
      <c r="AH14" s="189"/>
      <c r="AI14" s="192"/>
      <c r="AJ14" s="195"/>
      <c r="AK14" s="78">
        <f t="shared" si="16"/>
        <v>54390.46</v>
      </c>
      <c r="AL14" s="79">
        <f t="shared" si="17"/>
        <v>4951.1400000000003</v>
      </c>
      <c r="AM14" s="80">
        <f t="shared" si="18"/>
        <v>3777.6</v>
      </c>
      <c r="AN14" s="81">
        <f t="shared" si="12"/>
        <v>63119.199999999997</v>
      </c>
      <c r="AO14" s="81">
        <f t="shared" si="13"/>
        <v>76374.23</v>
      </c>
      <c r="AQ14" s="189"/>
      <c r="AR14" s="192"/>
      <c r="AS14" s="195"/>
      <c r="AT14" s="78">
        <f t="shared" si="19"/>
        <v>55198.49</v>
      </c>
      <c r="AU14" s="79">
        <f t="shared" si="20"/>
        <v>5023.1099999999997</v>
      </c>
      <c r="AV14" s="80">
        <f t="shared" si="21"/>
        <v>3833.6</v>
      </c>
      <c r="AW14" s="81">
        <f t="shared" si="14"/>
        <v>64055.199999999997</v>
      </c>
      <c r="AX14" s="81">
        <f t="shared" si="15"/>
        <v>77506.789999999994</v>
      </c>
    </row>
    <row r="15" spans="1:50" ht="15" thickBot="1" x14ac:dyDescent="0.4">
      <c r="A15" s="99" t="s">
        <v>83</v>
      </c>
      <c r="B15" s="75">
        <f>'LOT 1 Girona'!O41</f>
        <v>6516.363636363636</v>
      </c>
      <c r="C15" s="76">
        <f>'LOT 1 Girona'!O43</f>
        <v>1212.8571428571429</v>
      </c>
      <c r="D15" s="77">
        <f>'LOT 1 Girona'!O44</f>
        <v>96</v>
      </c>
      <c r="G15" s="198"/>
      <c r="H15" s="201"/>
      <c r="I15" s="204"/>
      <c r="J15" s="78">
        <f>ROUND(1466.006*G$9,2)</f>
        <v>29320.12</v>
      </c>
      <c r="K15" s="79">
        <f>ROUND(280.0313*H$9,2)</f>
        <v>2682.7</v>
      </c>
      <c r="L15" s="80">
        <f>ROUND(32.0031*I$9,2)</f>
        <v>701.51</v>
      </c>
      <c r="M15" s="81">
        <f t="shared" si="0"/>
        <v>32704.329999999998</v>
      </c>
      <c r="N15" s="81">
        <f t="shared" si="1"/>
        <v>39572.239999999998</v>
      </c>
      <c r="P15" s="189"/>
      <c r="Q15" s="192"/>
      <c r="R15" s="195"/>
      <c r="S15" s="78">
        <f t="shared" si="2"/>
        <v>134237.09</v>
      </c>
      <c r="T15" s="79">
        <f t="shared" si="3"/>
        <v>11970.9</v>
      </c>
      <c r="U15" s="80">
        <f t="shared" si="4"/>
        <v>2167.6799999999998</v>
      </c>
      <c r="V15" s="81">
        <f t="shared" si="5"/>
        <v>148375.66999999998</v>
      </c>
      <c r="W15" s="81">
        <f t="shared" si="6"/>
        <v>179534.56</v>
      </c>
      <c r="Y15" s="189"/>
      <c r="Z15" s="192"/>
      <c r="AA15" s="195"/>
      <c r="AB15" s="78">
        <f t="shared" si="7"/>
        <v>138277.24</v>
      </c>
      <c r="AC15" s="79">
        <f t="shared" si="8"/>
        <v>12334.76</v>
      </c>
      <c r="AD15" s="80">
        <f t="shared" si="9"/>
        <v>2232.96</v>
      </c>
      <c r="AE15" s="81">
        <f t="shared" si="10"/>
        <v>152844.96</v>
      </c>
      <c r="AF15" s="81">
        <f t="shared" si="11"/>
        <v>184942.4</v>
      </c>
      <c r="AH15" s="189"/>
      <c r="AI15" s="192"/>
      <c r="AJ15" s="195"/>
      <c r="AK15" s="78">
        <f t="shared" si="16"/>
        <v>140362.47</v>
      </c>
      <c r="AL15" s="79">
        <f t="shared" si="17"/>
        <v>12516.69</v>
      </c>
      <c r="AM15" s="80">
        <f t="shared" si="18"/>
        <v>2266.56</v>
      </c>
      <c r="AN15" s="81">
        <f t="shared" si="12"/>
        <v>155145.72</v>
      </c>
      <c r="AO15" s="81">
        <f t="shared" si="13"/>
        <v>187726.32</v>
      </c>
      <c r="AQ15" s="189"/>
      <c r="AR15" s="192"/>
      <c r="AS15" s="195"/>
      <c r="AT15" s="78">
        <f t="shared" si="19"/>
        <v>142447.71</v>
      </c>
      <c r="AU15" s="79">
        <f t="shared" si="20"/>
        <v>12698.61</v>
      </c>
      <c r="AV15" s="80">
        <f t="shared" si="21"/>
        <v>2300.16</v>
      </c>
      <c r="AW15" s="81">
        <f t="shared" si="14"/>
        <v>157446.48000000001</v>
      </c>
      <c r="AX15" s="81">
        <f t="shared" si="15"/>
        <v>190510.24</v>
      </c>
    </row>
    <row r="16" spans="1:50" ht="15" thickBot="1" x14ac:dyDescent="0.4">
      <c r="A16" s="99" t="s">
        <v>84</v>
      </c>
      <c r="B16" s="75">
        <f>'LOT 1 Girona'!O47</f>
        <v>2973.0909090909095</v>
      </c>
      <c r="C16" s="76">
        <f>'LOT 1 Girona'!O49</f>
        <v>541.88461538461536</v>
      </c>
      <c r="D16" s="77">
        <f>'LOT 1 Girona'!O50</f>
        <v>208</v>
      </c>
      <c r="G16" s="198"/>
      <c r="H16" s="201"/>
      <c r="I16" s="204"/>
      <c r="J16" s="78">
        <f>ROUND(651.5585*G$9,2)</f>
        <v>13031.17</v>
      </c>
      <c r="K16" s="79">
        <f>ROUND(123.5521*H$9,2)</f>
        <v>1183.6300000000001</v>
      </c>
      <c r="L16" s="80">
        <f>ROUND(64.0068*I$9,2)</f>
        <v>1403.03</v>
      </c>
      <c r="M16" s="81">
        <f t="shared" si="0"/>
        <v>15617.83</v>
      </c>
      <c r="N16" s="81">
        <f t="shared" ref="N16" si="22">ROUND(M16*1.21,2)</f>
        <v>18897.57</v>
      </c>
      <c r="P16" s="189"/>
      <c r="Q16" s="192"/>
      <c r="R16" s="195"/>
      <c r="S16" s="78">
        <f t="shared" si="2"/>
        <v>61245.67</v>
      </c>
      <c r="T16" s="79">
        <f t="shared" si="3"/>
        <v>5348.4</v>
      </c>
      <c r="U16" s="80">
        <f t="shared" si="4"/>
        <v>4696.6400000000003</v>
      </c>
      <c r="V16" s="81">
        <f t="shared" si="5"/>
        <v>71290.709999999992</v>
      </c>
      <c r="W16" s="81">
        <f t="shared" ref="W16" si="23">ROUND(V16*1.21,2)</f>
        <v>86261.759999999995</v>
      </c>
      <c r="Y16" s="189"/>
      <c r="Z16" s="192"/>
      <c r="AA16" s="195"/>
      <c r="AB16" s="78">
        <f t="shared" si="7"/>
        <v>63088.99</v>
      </c>
      <c r="AC16" s="79">
        <f t="shared" si="8"/>
        <v>5510.97</v>
      </c>
      <c r="AD16" s="80">
        <f t="shared" si="9"/>
        <v>4838.08</v>
      </c>
      <c r="AE16" s="81">
        <f t="shared" si="10"/>
        <v>73438.039999999994</v>
      </c>
      <c r="AF16" s="81">
        <f t="shared" ref="AF16" si="24">ROUND(AE16*1.21,2)</f>
        <v>88860.03</v>
      </c>
      <c r="AH16" s="189"/>
      <c r="AI16" s="192"/>
      <c r="AJ16" s="195"/>
      <c r="AK16" s="78">
        <f t="shared" si="16"/>
        <v>64040.38</v>
      </c>
      <c r="AL16" s="79">
        <f t="shared" si="17"/>
        <v>5592.25</v>
      </c>
      <c r="AM16" s="80">
        <f t="shared" si="18"/>
        <v>4910.88</v>
      </c>
      <c r="AN16" s="81">
        <f t="shared" si="12"/>
        <v>74543.510000000009</v>
      </c>
      <c r="AO16" s="81">
        <f t="shared" ref="AO16" si="25">ROUND(AN16*1.21,2)</f>
        <v>90197.65</v>
      </c>
      <c r="AQ16" s="189"/>
      <c r="AR16" s="192"/>
      <c r="AS16" s="195"/>
      <c r="AT16" s="78">
        <f t="shared" si="19"/>
        <v>64991.77</v>
      </c>
      <c r="AU16" s="79">
        <f t="shared" si="20"/>
        <v>5673.53</v>
      </c>
      <c r="AV16" s="80">
        <f t="shared" si="21"/>
        <v>4983.68</v>
      </c>
      <c r="AW16" s="81">
        <f t="shared" si="14"/>
        <v>75648.98000000001</v>
      </c>
      <c r="AX16" s="81">
        <f t="shared" ref="AX16" si="26">ROUND(AW16*1.21,2)</f>
        <v>91535.27</v>
      </c>
    </row>
    <row r="17" spans="1:50" ht="15" customHeight="1" thickBot="1" x14ac:dyDescent="0.4">
      <c r="A17" s="101" t="s">
        <v>87</v>
      </c>
      <c r="B17" s="102">
        <v>0</v>
      </c>
      <c r="C17" s="103">
        <v>0</v>
      </c>
      <c r="D17" s="77">
        <v>0</v>
      </c>
      <c r="G17" s="198"/>
      <c r="H17" s="201"/>
      <c r="I17" s="204"/>
      <c r="J17" s="104">
        <f>ROUND(B17*H$9,2)</f>
        <v>0</v>
      </c>
      <c r="K17" s="105">
        <f>ROUND(C17*H$9,2)</f>
        <v>0</v>
      </c>
      <c r="L17" s="106">
        <f t="shared" ref="L17" si="27">ROUND(D17*I$9,2)</f>
        <v>0</v>
      </c>
      <c r="M17" s="107">
        <f>101539.31*25%</f>
        <v>25384.827499999999</v>
      </c>
      <c r="N17" s="107">
        <f t="shared" si="1"/>
        <v>30715.64</v>
      </c>
      <c r="P17" s="189"/>
      <c r="Q17" s="192"/>
      <c r="R17" s="195"/>
      <c r="S17" s="104">
        <f t="shared" si="2"/>
        <v>0</v>
      </c>
      <c r="T17" s="105">
        <f t="shared" si="3"/>
        <v>0</v>
      </c>
      <c r="U17" s="106">
        <f t="shared" si="4"/>
        <v>0</v>
      </c>
      <c r="V17" s="107">
        <v>101539.31</v>
      </c>
      <c r="W17" s="107">
        <f t="shared" si="6"/>
        <v>122862.57</v>
      </c>
      <c r="Y17" s="189"/>
      <c r="Z17" s="192"/>
      <c r="AA17" s="195"/>
      <c r="AB17" s="104">
        <f t="shared" si="7"/>
        <v>0</v>
      </c>
      <c r="AC17" s="105">
        <f t="shared" si="8"/>
        <v>0</v>
      </c>
      <c r="AD17" s="106">
        <f t="shared" si="9"/>
        <v>0</v>
      </c>
      <c r="AE17" s="107">
        <v>101539.31</v>
      </c>
      <c r="AF17" s="107">
        <f t="shared" si="11"/>
        <v>122862.57</v>
      </c>
      <c r="AH17" s="189"/>
      <c r="AI17" s="192"/>
      <c r="AJ17" s="195"/>
      <c r="AK17" s="104">
        <f>ROUND($B17*AH$9,2)</f>
        <v>0</v>
      </c>
      <c r="AL17" s="105">
        <f>ROUND($C17*AI$9,2)</f>
        <v>0</v>
      </c>
      <c r="AM17" s="106">
        <f>ROUND($D17*AJ$9,2)</f>
        <v>0</v>
      </c>
      <c r="AN17" s="107">
        <v>101539.31</v>
      </c>
      <c r="AO17" s="107">
        <f t="shared" si="13"/>
        <v>122862.57</v>
      </c>
      <c r="AQ17" s="189"/>
      <c r="AR17" s="192"/>
      <c r="AS17" s="195"/>
      <c r="AT17" s="104">
        <f>ROUND($B17*AQ$9,2)</f>
        <v>0</v>
      </c>
      <c r="AU17" s="105">
        <f>ROUND($C17*AR$9,2)</f>
        <v>0</v>
      </c>
      <c r="AV17" s="106">
        <f>ROUND($D17*AS$9,2)</f>
        <v>0</v>
      </c>
      <c r="AW17" s="107">
        <v>101539.31</v>
      </c>
      <c r="AX17" s="107">
        <f t="shared" si="15"/>
        <v>122862.57</v>
      </c>
    </row>
    <row r="18" spans="1:50" ht="15.5" thickTop="1" thickBot="1" x14ac:dyDescent="0.4">
      <c r="A18" s="82" t="s">
        <v>74</v>
      </c>
      <c r="B18" s="83">
        <f>SUM(B9:B17)</f>
        <v>38731.636363636368</v>
      </c>
      <c r="C18" s="84">
        <f>SUM(C9:C17)</f>
        <v>7812.3947087368379</v>
      </c>
      <c r="D18" s="85">
        <f>SUM(D9:D17)</f>
        <v>1504</v>
      </c>
      <c r="G18" s="199"/>
      <c r="H18" s="202"/>
      <c r="I18" s="205"/>
      <c r="J18" s="86">
        <f>SUM(J9:J17)</f>
        <v>146600.63000000003</v>
      </c>
      <c r="K18" s="87">
        <f>SUM(K9:K17)</f>
        <v>14938.460000000003</v>
      </c>
      <c r="L18" s="88">
        <f>SUM(L9:L17)</f>
        <v>9382.74</v>
      </c>
      <c r="M18" s="88">
        <f>SUM(M9:M17)</f>
        <v>196306.65749999997</v>
      </c>
      <c r="N18" s="88">
        <f>SUM(N9:N17)</f>
        <v>237531.06</v>
      </c>
      <c r="P18" s="190"/>
      <c r="Q18" s="193"/>
      <c r="R18" s="196"/>
      <c r="S18" s="91">
        <f>SUM(S9:S17)</f>
        <v>797871.7</v>
      </c>
      <c r="T18" s="92">
        <f>SUM(T9:T17)</f>
        <v>77108.329999999987</v>
      </c>
      <c r="U18" s="93">
        <f>SUM(U9:U17)</f>
        <v>33960.32</v>
      </c>
      <c r="V18" s="93">
        <f>SUM(V9:V17)</f>
        <v>1010479.6599999999</v>
      </c>
      <c r="W18" s="94">
        <f>SUM(W9:W17)</f>
        <v>1222680.4000000001</v>
      </c>
      <c r="Y18" s="190"/>
      <c r="Z18" s="193"/>
      <c r="AA18" s="196"/>
      <c r="AB18" s="91">
        <f>SUM(AB9:AB17)</f>
        <v>821885.33</v>
      </c>
      <c r="AC18" s="92">
        <f>SUM(AC9:AC17)</f>
        <v>79452.069999999992</v>
      </c>
      <c r="AD18" s="93">
        <f>SUM(AD9:AD17)</f>
        <v>34983.040000000001</v>
      </c>
      <c r="AE18" s="93">
        <f>SUM(AE9:AE17)</f>
        <v>1037859.75</v>
      </c>
      <c r="AF18" s="94">
        <f>SUM(AF9:AF17)</f>
        <v>1255810.31</v>
      </c>
      <c r="AH18" s="190"/>
      <c r="AI18" s="193"/>
      <c r="AJ18" s="196"/>
      <c r="AK18" s="91">
        <f>SUM(AK9:AK17)</f>
        <v>834279.44</v>
      </c>
      <c r="AL18" s="92">
        <f>SUM(AL9:AL17)</f>
        <v>80623.92</v>
      </c>
      <c r="AM18" s="93">
        <f>SUM(AM9:AM17)</f>
        <v>35509.440000000002</v>
      </c>
      <c r="AN18" s="93">
        <f>SUM(AN9:AN17)</f>
        <v>1051952.1099999999</v>
      </c>
      <c r="AO18" s="94">
        <f>SUM(AO9:AO17)</f>
        <v>1272862.0699999998</v>
      </c>
      <c r="AQ18" s="190"/>
      <c r="AR18" s="193"/>
      <c r="AS18" s="196"/>
      <c r="AT18" s="91">
        <f>SUM(AT9:AT17)</f>
        <v>846673.58</v>
      </c>
      <c r="AU18" s="92">
        <f>SUM(AU9:AU17)</f>
        <v>81795.76999999999</v>
      </c>
      <c r="AV18" s="93">
        <f>SUM(AV9:AV17)</f>
        <v>36035.839999999997</v>
      </c>
      <c r="AW18" s="93">
        <f>SUM(AW9:AW17)</f>
        <v>1066044.4999999998</v>
      </c>
      <c r="AX18" s="94">
        <f>SUM(AX9:AX17)</f>
        <v>1289913.8500000001</v>
      </c>
    </row>
    <row r="19" spans="1:50" ht="15" thickBot="1" x14ac:dyDescent="0.4"/>
    <row r="20" spans="1:50" ht="29" thickBot="1" x14ac:dyDescent="0.4">
      <c r="A20" s="100" t="s">
        <v>75</v>
      </c>
      <c r="B20" s="209" t="s">
        <v>59</v>
      </c>
      <c r="C20" s="210"/>
      <c r="D20" s="64" t="s">
        <v>60</v>
      </c>
      <c r="G20" s="211" t="s">
        <v>77</v>
      </c>
      <c r="H20" s="212"/>
      <c r="I20" s="212"/>
      <c r="J20" s="212"/>
      <c r="K20" s="212"/>
      <c r="L20" s="212"/>
      <c r="M20" s="212"/>
      <c r="N20" s="213"/>
      <c r="P20" s="211">
        <v>2027</v>
      </c>
      <c r="Q20" s="212"/>
      <c r="R20" s="212"/>
      <c r="S20" s="66" t="s">
        <v>61</v>
      </c>
      <c r="T20" s="95"/>
      <c r="U20" s="67">
        <v>0.03</v>
      </c>
      <c r="V20" s="66"/>
      <c r="W20" s="68"/>
      <c r="Y20" s="211">
        <v>2028</v>
      </c>
      <c r="Z20" s="212"/>
      <c r="AA20" s="212"/>
      <c r="AB20" s="66" t="s">
        <v>61</v>
      </c>
      <c r="AC20" s="95"/>
      <c r="AD20" s="67">
        <v>0.03</v>
      </c>
      <c r="AE20" s="66"/>
      <c r="AF20" s="68"/>
      <c r="AH20" s="211">
        <v>2029</v>
      </c>
      <c r="AI20" s="212"/>
      <c r="AJ20" s="212"/>
      <c r="AK20" s="66" t="s">
        <v>61</v>
      </c>
      <c r="AL20" s="95"/>
      <c r="AM20" s="67">
        <v>1.4999999999999999E-2</v>
      </c>
      <c r="AN20" s="66"/>
      <c r="AO20" s="68"/>
      <c r="AQ20" s="211">
        <v>2030</v>
      </c>
      <c r="AR20" s="212"/>
      <c r="AS20" s="212"/>
      <c r="AT20" s="66" t="s">
        <v>61</v>
      </c>
      <c r="AU20" s="95"/>
      <c r="AV20" s="67">
        <v>1.4999999999999999E-2</v>
      </c>
      <c r="AW20" s="66"/>
      <c r="AX20" s="68"/>
    </row>
    <row r="21" spans="1:50" ht="28.5" thickBot="1" x14ac:dyDescent="0.4">
      <c r="A21" s="69" t="s">
        <v>91</v>
      </c>
      <c r="B21" s="89" t="s">
        <v>62</v>
      </c>
      <c r="C21" s="64" t="s">
        <v>63</v>
      </c>
      <c r="D21" s="64" t="s">
        <v>64</v>
      </c>
      <c r="G21" s="206" t="s">
        <v>65</v>
      </c>
      <c r="H21" s="207"/>
      <c r="I21" s="208"/>
      <c r="J21" s="206" t="s">
        <v>66</v>
      </c>
      <c r="K21" s="207"/>
      <c r="L21" s="207"/>
      <c r="M21" s="208"/>
      <c r="N21" s="70" t="s">
        <v>67</v>
      </c>
      <c r="P21" s="185" t="s">
        <v>65</v>
      </c>
      <c r="Q21" s="186"/>
      <c r="R21" s="187"/>
      <c r="S21" s="185" t="s">
        <v>66</v>
      </c>
      <c r="T21" s="186"/>
      <c r="U21" s="186"/>
      <c r="V21" s="187"/>
      <c r="W21" s="71" t="s">
        <v>67</v>
      </c>
      <c r="Y21" s="185" t="s">
        <v>65</v>
      </c>
      <c r="Z21" s="186"/>
      <c r="AA21" s="187"/>
      <c r="AB21" s="185" t="s">
        <v>66</v>
      </c>
      <c r="AC21" s="186"/>
      <c r="AD21" s="186"/>
      <c r="AE21" s="187"/>
      <c r="AF21" s="71" t="s">
        <v>67</v>
      </c>
      <c r="AH21" s="185" t="s">
        <v>65</v>
      </c>
      <c r="AI21" s="186"/>
      <c r="AJ21" s="187"/>
      <c r="AK21" s="185" t="s">
        <v>66</v>
      </c>
      <c r="AL21" s="186"/>
      <c r="AM21" s="186"/>
      <c r="AN21" s="187"/>
      <c r="AO21" s="71" t="s">
        <v>67</v>
      </c>
      <c r="AQ21" s="185" t="s">
        <v>65</v>
      </c>
      <c r="AR21" s="186"/>
      <c r="AS21" s="187"/>
      <c r="AT21" s="185" t="s">
        <v>66</v>
      </c>
      <c r="AU21" s="186"/>
      <c r="AV21" s="186"/>
      <c r="AW21" s="187"/>
      <c r="AX21" s="71" t="s">
        <v>67</v>
      </c>
    </row>
    <row r="22" spans="1:50" ht="26.5" thickBot="1" x14ac:dyDescent="0.4">
      <c r="A22" s="97" t="s">
        <v>68</v>
      </c>
      <c r="B22" s="72" t="s">
        <v>69</v>
      </c>
      <c r="C22" s="73" t="s">
        <v>85</v>
      </c>
      <c r="D22" s="90" t="s">
        <v>86</v>
      </c>
      <c r="G22" s="70" t="s">
        <v>70</v>
      </c>
      <c r="H22" s="70" t="s">
        <v>47</v>
      </c>
      <c r="I22" s="70" t="s">
        <v>71</v>
      </c>
      <c r="J22" s="72" t="s">
        <v>70</v>
      </c>
      <c r="K22" s="74" t="s">
        <v>47</v>
      </c>
      <c r="L22" s="70" t="s">
        <v>71</v>
      </c>
      <c r="M22" s="70" t="s">
        <v>72</v>
      </c>
      <c r="N22" s="70" t="s">
        <v>73</v>
      </c>
      <c r="P22" s="70" t="s">
        <v>70</v>
      </c>
      <c r="Q22" s="70" t="s">
        <v>47</v>
      </c>
      <c r="R22" s="70" t="s">
        <v>71</v>
      </c>
      <c r="S22" s="72" t="s">
        <v>70</v>
      </c>
      <c r="T22" s="74" t="s">
        <v>47</v>
      </c>
      <c r="U22" s="70" t="s">
        <v>71</v>
      </c>
      <c r="V22" s="70" t="s">
        <v>72</v>
      </c>
      <c r="W22" s="70" t="s">
        <v>73</v>
      </c>
      <c r="Y22" s="70" t="s">
        <v>70</v>
      </c>
      <c r="Z22" s="70" t="s">
        <v>47</v>
      </c>
      <c r="AA22" s="70" t="s">
        <v>71</v>
      </c>
      <c r="AB22" s="72" t="s">
        <v>70</v>
      </c>
      <c r="AC22" s="74" t="s">
        <v>47</v>
      </c>
      <c r="AD22" s="70" t="s">
        <v>71</v>
      </c>
      <c r="AE22" s="70" t="s">
        <v>72</v>
      </c>
      <c r="AF22" s="70" t="s">
        <v>73</v>
      </c>
      <c r="AH22" s="70" t="s">
        <v>70</v>
      </c>
      <c r="AI22" s="70" t="s">
        <v>47</v>
      </c>
      <c r="AJ22" s="70" t="s">
        <v>71</v>
      </c>
      <c r="AK22" s="72" t="s">
        <v>70</v>
      </c>
      <c r="AL22" s="74" t="s">
        <v>47</v>
      </c>
      <c r="AM22" s="70" t="s">
        <v>71</v>
      </c>
      <c r="AN22" s="70" t="s">
        <v>72</v>
      </c>
      <c r="AO22" s="70" t="s">
        <v>73</v>
      </c>
      <c r="AQ22" s="70" t="s">
        <v>70</v>
      </c>
      <c r="AR22" s="70" t="s">
        <v>47</v>
      </c>
      <c r="AS22" s="70" t="s">
        <v>71</v>
      </c>
      <c r="AT22" s="72" t="s">
        <v>70</v>
      </c>
      <c r="AU22" s="74" t="s">
        <v>47</v>
      </c>
      <c r="AV22" s="70" t="s">
        <v>71</v>
      </c>
      <c r="AW22" s="70" t="s">
        <v>72</v>
      </c>
      <c r="AX22" s="70" t="s">
        <v>73</v>
      </c>
    </row>
    <row r="23" spans="1:50" ht="15" thickBot="1" x14ac:dyDescent="0.4">
      <c r="A23" s="98" t="s">
        <v>92</v>
      </c>
      <c r="B23" s="75">
        <f>'LOT 2 Tarragona'!O5</f>
        <v>6597.818181818182</v>
      </c>
      <c r="C23" s="76">
        <f>'LOT 2 Tarragona'!O7</f>
        <v>1550.0454545454545</v>
      </c>
      <c r="D23" s="77">
        <f>'LOT 2 Tarragona'!O8</f>
        <v>88</v>
      </c>
      <c r="G23" s="197">
        <v>20</v>
      </c>
      <c r="H23" s="200">
        <v>9.58</v>
      </c>
      <c r="I23" s="203">
        <v>21.92</v>
      </c>
      <c r="J23" s="78">
        <f>ROUND(1058.782*G$23,2)</f>
        <v>21175.64</v>
      </c>
      <c r="K23" s="79">
        <f>ROUND(239.345*H$23,2)</f>
        <v>2292.9299999999998</v>
      </c>
      <c r="L23" s="80">
        <f>ROUND(16.0018*I$23,2)</f>
        <v>350.76</v>
      </c>
      <c r="M23" s="81">
        <f>SUM(J23:L23)</f>
        <v>23819.329999999998</v>
      </c>
      <c r="N23" s="81">
        <f t="shared" ref="N23:N27" si="28">ROUND(M23*1.21,2)</f>
        <v>28821.39</v>
      </c>
      <c r="P23" s="188">
        <f>ROUND(G23*(1+$U$6),2)</f>
        <v>20.6</v>
      </c>
      <c r="Q23" s="191">
        <f>ROUND(H23*(1+$U$6),2)</f>
        <v>9.8699999999999992</v>
      </c>
      <c r="R23" s="194">
        <f>ROUND(I23*(1+$U$6),2)</f>
        <v>22.58</v>
      </c>
      <c r="S23" s="78">
        <f t="shared" ref="S23:U26" si="29">ROUND(B23*P$23,2)</f>
        <v>135915.04999999999</v>
      </c>
      <c r="T23" s="79">
        <f t="shared" si="29"/>
        <v>15298.95</v>
      </c>
      <c r="U23" s="80">
        <f t="shared" si="29"/>
        <v>1987.04</v>
      </c>
      <c r="V23" s="81">
        <f>SUM(S23:U23)</f>
        <v>153201.04</v>
      </c>
      <c r="W23" s="81">
        <f t="shared" ref="W23:W27" si="30">ROUND(V23*1.21,2)</f>
        <v>185373.26</v>
      </c>
      <c r="Y23" s="188">
        <f>ROUND(P23*(1+$AD$6),2)</f>
        <v>21.22</v>
      </c>
      <c r="Z23" s="191">
        <f>ROUND(Q23*(1+$AD$6),2)</f>
        <v>10.17</v>
      </c>
      <c r="AA23" s="194">
        <f>ROUND(R23*(1+$AD$6),2)</f>
        <v>23.26</v>
      </c>
      <c r="AB23" s="78">
        <f t="shared" ref="AB23:AD26" si="31">ROUND(B23*Y$23,2)</f>
        <v>140005.70000000001</v>
      </c>
      <c r="AC23" s="79">
        <f t="shared" si="31"/>
        <v>15763.96</v>
      </c>
      <c r="AD23" s="80">
        <f t="shared" si="31"/>
        <v>2046.88</v>
      </c>
      <c r="AE23" s="81">
        <f>SUM(AB23:AD23)</f>
        <v>157816.54</v>
      </c>
      <c r="AF23" s="81">
        <f t="shared" ref="AF23:AF27" si="32">ROUND(AE23*1.21,2)</f>
        <v>190958.01</v>
      </c>
      <c r="AH23" s="188">
        <f>ROUND(Y23*(1+$AM$6),2)</f>
        <v>21.54</v>
      </c>
      <c r="AI23" s="191">
        <f>ROUND(Z23*(1+$AM$6),2)</f>
        <v>10.32</v>
      </c>
      <c r="AJ23" s="194">
        <f>ROUND(AA23*(1+$AM$6),2)</f>
        <v>23.61</v>
      </c>
      <c r="AK23" s="78">
        <f>ROUND($B23*AH$23,2)</f>
        <v>142117</v>
      </c>
      <c r="AL23" s="79">
        <f>ROUND($C23*AI$23,2)</f>
        <v>15996.47</v>
      </c>
      <c r="AM23" s="80">
        <f>ROUND($D23*AJ$23,2)</f>
        <v>2077.6799999999998</v>
      </c>
      <c r="AN23" s="81">
        <f>SUM(AK23:AM23)</f>
        <v>160191.15</v>
      </c>
      <c r="AO23" s="81">
        <f t="shared" ref="AO23:AO27" si="33">ROUND(AN23*1.21,2)</f>
        <v>193831.29</v>
      </c>
      <c r="AQ23" s="188">
        <f>ROUND(AH23*(1+$AV$6),2)</f>
        <v>21.86</v>
      </c>
      <c r="AR23" s="191">
        <f>ROUND(AI23*(1+$AV$6),2)</f>
        <v>10.47</v>
      </c>
      <c r="AS23" s="194">
        <f>ROUND(AJ23*(1+$AV$6),2)</f>
        <v>23.96</v>
      </c>
      <c r="AT23" s="78">
        <f>ROUND($B23*AQ$23,2)</f>
        <v>144228.31</v>
      </c>
      <c r="AU23" s="79">
        <f>ROUND($C23*AR$23,2)</f>
        <v>16228.98</v>
      </c>
      <c r="AV23" s="80">
        <f>ROUND($D23*AS$23,2)</f>
        <v>2108.48</v>
      </c>
      <c r="AW23" s="81">
        <f>SUM(AT23:AV23)</f>
        <v>162565.77000000002</v>
      </c>
      <c r="AX23" s="81">
        <f t="shared" ref="AX23:AX27" si="34">ROUND(AW23*1.21,2)</f>
        <v>196704.58</v>
      </c>
    </row>
    <row r="24" spans="1:50" ht="15" thickBot="1" x14ac:dyDescent="0.4">
      <c r="A24" s="99" t="s">
        <v>93</v>
      </c>
      <c r="B24" s="75">
        <f>'LOT 2 Tarragona'!O11</f>
        <v>4032.0000000000005</v>
      </c>
      <c r="C24" s="76">
        <f>'LOT 2 Tarragona'!O13</f>
        <v>738.25714285714287</v>
      </c>
      <c r="D24" s="77">
        <f>'LOT 2 Tarragona'!O14</f>
        <v>96</v>
      </c>
      <c r="G24" s="198"/>
      <c r="H24" s="201"/>
      <c r="I24" s="204"/>
      <c r="J24" s="78">
        <f>ROUND(529.391*G$23,2)</f>
        <v>10587.82</v>
      </c>
      <c r="K24" s="79">
        <f>ROUND(97.597*H$23,2)</f>
        <v>934.98</v>
      </c>
      <c r="L24" s="80">
        <f>ROUND(32.0031*I$23,2)</f>
        <v>701.51</v>
      </c>
      <c r="M24" s="81">
        <f>SUM(J24:L24)</f>
        <v>12224.31</v>
      </c>
      <c r="N24" s="81">
        <f t="shared" si="28"/>
        <v>14791.42</v>
      </c>
      <c r="P24" s="189"/>
      <c r="Q24" s="192"/>
      <c r="R24" s="195"/>
      <c r="S24" s="78">
        <f t="shared" si="29"/>
        <v>83059.199999999997</v>
      </c>
      <c r="T24" s="79">
        <f t="shared" si="29"/>
        <v>7286.6</v>
      </c>
      <c r="U24" s="80">
        <f t="shared" si="29"/>
        <v>2167.6799999999998</v>
      </c>
      <c r="V24" s="81">
        <f>SUM(S24:U24)</f>
        <v>92513.48</v>
      </c>
      <c r="W24" s="81">
        <f t="shared" si="30"/>
        <v>111941.31</v>
      </c>
      <c r="Y24" s="189"/>
      <c r="Z24" s="192"/>
      <c r="AA24" s="195"/>
      <c r="AB24" s="78">
        <f t="shared" si="31"/>
        <v>85559.039999999994</v>
      </c>
      <c r="AC24" s="79">
        <f t="shared" si="31"/>
        <v>7508.08</v>
      </c>
      <c r="AD24" s="80">
        <f t="shared" si="31"/>
        <v>2232.96</v>
      </c>
      <c r="AE24" s="81">
        <f>SUM(AB24:AD24)</f>
        <v>95300.08</v>
      </c>
      <c r="AF24" s="81">
        <f t="shared" si="32"/>
        <v>115313.1</v>
      </c>
      <c r="AH24" s="189"/>
      <c r="AI24" s="192"/>
      <c r="AJ24" s="195"/>
      <c r="AK24" s="78">
        <f>ROUND($B24*AH$23,2)</f>
        <v>86849.279999999999</v>
      </c>
      <c r="AL24" s="79">
        <f>ROUND($C24*AI$23,2)</f>
        <v>7618.81</v>
      </c>
      <c r="AM24" s="80">
        <f>ROUND($D24*AJ$23,2)</f>
        <v>2266.56</v>
      </c>
      <c r="AN24" s="81">
        <f>SUM(AK24:AM24)</f>
        <v>96734.65</v>
      </c>
      <c r="AO24" s="81">
        <f t="shared" si="33"/>
        <v>117048.93</v>
      </c>
      <c r="AQ24" s="189"/>
      <c r="AR24" s="192"/>
      <c r="AS24" s="195"/>
      <c r="AT24" s="78">
        <f>ROUND($B24*AQ$23,2)</f>
        <v>88139.520000000004</v>
      </c>
      <c r="AU24" s="79">
        <f>ROUND($C24*AR$23,2)</f>
        <v>7729.55</v>
      </c>
      <c r="AV24" s="80">
        <f>ROUND($D24*AS$23,2)</f>
        <v>2300.16</v>
      </c>
      <c r="AW24" s="81">
        <f>SUM(AT24:AV24)</f>
        <v>98169.23000000001</v>
      </c>
      <c r="AX24" s="81">
        <f t="shared" si="34"/>
        <v>118784.77</v>
      </c>
    </row>
    <row r="25" spans="1:50" ht="15" thickBot="1" x14ac:dyDescent="0.4">
      <c r="A25" s="99" t="s">
        <v>94</v>
      </c>
      <c r="B25" s="75">
        <f>'LOT 2 Tarragona'!O17</f>
        <v>2932.3636363636365</v>
      </c>
      <c r="C25" s="76">
        <f>'LOT 2 Tarragona'!O19</f>
        <v>676.80000000000007</v>
      </c>
      <c r="D25" s="77">
        <f>'LOT 2 Tarragona'!O20</f>
        <v>176</v>
      </c>
      <c r="G25" s="198"/>
      <c r="H25" s="201"/>
      <c r="I25" s="204"/>
      <c r="J25" s="78">
        <f>ROUND(651.5585*G$23,2)</f>
        <v>13031.17</v>
      </c>
      <c r="K25" s="79">
        <f>ROUND(151.217*H$23,2)</f>
        <v>1448.66</v>
      </c>
      <c r="L25" s="80">
        <f>ROUND(48.005*I$23,2)</f>
        <v>1052.27</v>
      </c>
      <c r="M25" s="81">
        <f>SUM(J25:L25)</f>
        <v>15532.1</v>
      </c>
      <c r="N25" s="81">
        <f t="shared" si="28"/>
        <v>18793.84</v>
      </c>
      <c r="P25" s="189"/>
      <c r="Q25" s="192"/>
      <c r="R25" s="195"/>
      <c r="S25" s="78">
        <f t="shared" si="29"/>
        <v>60406.69</v>
      </c>
      <c r="T25" s="79">
        <f t="shared" si="29"/>
        <v>6680.02</v>
      </c>
      <c r="U25" s="80">
        <f t="shared" si="29"/>
        <v>3974.08</v>
      </c>
      <c r="V25" s="81">
        <f>SUM(S25:U25)</f>
        <v>71060.790000000008</v>
      </c>
      <c r="W25" s="81">
        <f t="shared" si="30"/>
        <v>85983.56</v>
      </c>
      <c r="Y25" s="189"/>
      <c r="Z25" s="192"/>
      <c r="AA25" s="195"/>
      <c r="AB25" s="78">
        <f t="shared" si="31"/>
        <v>62224.76</v>
      </c>
      <c r="AC25" s="79">
        <f t="shared" si="31"/>
        <v>6883.06</v>
      </c>
      <c r="AD25" s="80">
        <f t="shared" si="31"/>
        <v>4093.76</v>
      </c>
      <c r="AE25" s="81">
        <f>SUM(AB25:AD25)</f>
        <v>73201.58</v>
      </c>
      <c r="AF25" s="81">
        <f t="shared" si="32"/>
        <v>88573.91</v>
      </c>
      <c r="AH25" s="189"/>
      <c r="AI25" s="192"/>
      <c r="AJ25" s="195"/>
      <c r="AK25" s="78">
        <f>ROUND($B25*AH$23,2)</f>
        <v>63163.11</v>
      </c>
      <c r="AL25" s="79">
        <f>ROUND($C25*AI$23,2)</f>
        <v>6984.58</v>
      </c>
      <c r="AM25" s="80">
        <f>ROUND($D25*AJ$23,2)</f>
        <v>4155.3599999999997</v>
      </c>
      <c r="AN25" s="81">
        <f>SUM(AK25:AM25)</f>
        <v>74303.05</v>
      </c>
      <c r="AO25" s="81">
        <f t="shared" si="33"/>
        <v>89906.69</v>
      </c>
      <c r="AQ25" s="189"/>
      <c r="AR25" s="192"/>
      <c r="AS25" s="195"/>
      <c r="AT25" s="78">
        <f>ROUND($B25*AQ$23,2)</f>
        <v>64101.47</v>
      </c>
      <c r="AU25" s="79">
        <f>ROUND($C25*AR$23,2)</f>
        <v>7086.1</v>
      </c>
      <c r="AV25" s="80">
        <f>ROUND($D25*AS$23,2)</f>
        <v>4216.96</v>
      </c>
      <c r="AW25" s="81">
        <f>SUM(AT25:AV25)</f>
        <v>75404.530000000013</v>
      </c>
      <c r="AX25" s="81">
        <f t="shared" si="34"/>
        <v>91239.48</v>
      </c>
    </row>
    <row r="26" spans="1:50" ht="15" thickBot="1" x14ac:dyDescent="0.4">
      <c r="A26" s="99" t="s">
        <v>95</v>
      </c>
      <c r="B26" s="75">
        <f>'LOT 2 Tarragona'!O23</f>
        <v>1873.454545454546</v>
      </c>
      <c r="C26" s="76">
        <f>'LOT 2 Tarragona'!O25</f>
        <v>306.66666666666663</v>
      </c>
      <c r="D26" s="77">
        <f>'LOT 2 Tarragona'!O26</f>
        <v>96</v>
      </c>
      <c r="G26" s="198"/>
      <c r="H26" s="201"/>
      <c r="I26" s="204"/>
      <c r="J26" s="78">
        <f>ROUND(244.3345*G$23,2)</f>
        <v>4886.6899999999996</v>
      </c>
      <c r="K26" s="79">
        <f>ROUND(38.337*H$23,2)</f>
        <v>367.27</v>
      </c>
      <c r="L26" s="80">
        <f>ROUND(32.0031*I$23,2)</f>
        <v>701.51</v>
      </c>
      <c r="M26" s="81">
        <f>SUM(J26:L26)</f>
        <v>5955.4699999999993</v>
      </c>
      <c r="N26" s="81">
        <f t="shared" si="28"/>
        <v>7206.12</v>
      </c>
      <c r="P26" s="189"/>
      <c r="Q26" s="192"/>
      <c r="R26" s="195"/>
      <c r="S26" s="78">
        <f t="shared" si="29"/>
        <v>38593.160000000003</v>
      </c>
      <c r="T26" s="79">
        <f t="shared" si="29"/>
        <v>3026.8</v>
      </c>
      <c r="U26" s="80">
        <f t="shared" si="29"/>
        <v>2167.6799999999998</v>
      </c>
      <c r="V26" s="81">
        <f>SUM(S26:U26)</f>
        <v>43787.640000000007</v>
      </c>
      <c r="W26" s="81">
        <f t="shared" si="30"/>
        <v>52983.040000000001</v>
      </c>
      <c r="Y26" s="189"/>
      <c r="Z26" s="192"/>
      <c r="AA26" s="195"/>
      <c r="AB26" s="78">
        <f t="shared" si="31"/>
        <v>39754.71</v>
      </c>
      <c r="AC26" s="79">
        <f t="shared" si="31"/>
        <v>3118.8</v>
      </c>
      <c r="AD26" s="80">
        <f t="shared" si="31"/>
        <v>2232.96</v>
      </c>
      <c r="AE26" s="81">
        <f>SUM(AB26:AD26)</f>
        <v>45106.47</v>
      </c>
      <c r="AF26" s="81">
        <f t="shared" si="32"/>
        <v>54578.83</v>
      </c>
      <c r="AH26" s="189"/>
      <c r="AI26" s="192"/>
      <c r="AJ26" s="195"/>
      <c r="AK26" s="78">
        <f>ROUND($B26*AH$23,2)</f>
        <v>40354.21</v>
      </c>
      <c r="AL26" s="79">
        <f>ROUND($C26*AI$23,2)</f>
        <v>3164.8</v>
      </c>
      <c r="AM26" s="80">
        <f>ROUND($D26*AJ$23,2)</f>
        <v>2266.56</v>
      </c>
      <c r="AN26" s="81">
        <f>SUM(AK26:AM26)</f>
        <v>45785.57</v>
      </c>
      <c r="AO26" s="81">
        <f t="shared" si="33"/>
        <v>55400.54</v>
      </c>
      <c r="AQ26" s="189"/>
      <c r="AR26" s="192"/>
      <c r="AS26" s="195"/>
      <c r="AT26" s="78">
        <f>ROUND($B26*AQ$23,2)</f>
        <v>40953.72</v>
      </c>
      <c r="AU26" s="79">
        <f>ROUND($C26*AR$23,2)</f>
        <v>3210.8</v>
      </c>
      <c r="AV26" s="80">
        <f>ROUND($D26*AS$23,2)</f>
        <v>2300.16</v>
      </c>
      <c r="AW26" s="81">
        <f>SUM(AT26:AV26)</f>
        <v>46464.680000000008</v>
      </c>
      <c r="AX26" s="81">
        <f t="shared" si="34"/>
        <v>56222.26</v>
      </c>
    </row>
    <row r="27" spans="1:50" ht="15" thickBot="1" x14ac:dyDescent="0.4">
      <c r="A27" s="101" t="s">
        <v>87</v>
      </c>
      <c r="B27" s="102">
        <v>0</v>
      </c>
      <c r="C27" s="103">
        <v>0</v>
      </c>
      <c r="D27" s="77">
        <v>0</v>
      </c>
      <c r="G27" s="198"/>
      <c r="H27" s="201"/>
      <c r="I27" s="204"/>
      <c r="J27" s="104">
        <f>ROUND(B27*H$9,2)</f>
        <v>0</v>
      </c>
      <c r="K27" s="105">
        <f>ROUND(C27*H$9,2)</f>
        <v>0</v>
      </c>
      <c r="L27" s="106">
        <f t="shared" ref="L27" si="35">ROUND(D27*I$9,2)</f>
        <v>0</v>
      </c>
      <c r="M27" s="107">
        <f>50769.66*25%</f>
        <v>12692.415000000001</v>
      </c>
      <c r="N27" s="107">
        <f t="shared" si="28"/>
        <v>15357.82</v>
      </c>
      <c r="P27" s="189"/>
      <c r="Q27" s="192"/>
      <c r="R27" s="195"/>
      <c r="S27" s="104">
        <f t="shared" ref="S27:U27" si="36">ROUND(B27*P$9,2)</f>
        <v>0</v>
      </c>
      <c r="T27" s="105">
        <f t="shared" si="36"/>
        <v>0</v>
      </c>
      <c r="U27" s="106">
        <f t="shared" si="36"/>
        <v>0</v>
      </c>
      <c r="V27" s="107">
        <v>50769.66</v>
      </c>
      <c r="W27" s="107">
        <f t="shared" si="30"/>
        <v>61431.29</v>
      </c>
      <c r="Y27" s="189"/>
      <c r="Z27" s="192"/>
      <c r="AA27" s="195"/>
      <c r="AB27" s="104">
        <f t="shared" ref="AB27:AD27" si="37">ROUND(B27*Y$9,2)</f>
        <v>0</v>
      </c>
      <c r="AC27" s="105">
        <f t="shared" si="37"/>
        <v>0</v>
      </c>
      <c r="AD27" s="106">
        <f t="shared" si="37"/>
        <v>0</v>
      </c>
      <c r="AE27" s="107">
        <v>50769.66</v>
      </c>
      <c r="AF27" s="107">
        <f t="shared" si="32"/>
        <v>61431.29</v>
      </c>
      <c r="AH27" s="189"/>
      <c r="AI27" s="192"/>
      <c r="AJ27" s="195"/>
      <c r="AK27" s="104">
        <f>ROUND($B27*AH$9,2)</f>
        <v>0</v>
      </c>
      <c r="AL27" s="105">
        <f>ROUND($C27*AI$9,2)</f>
        <v>0</v>
      </c>
      <c r="AM27" s="106">
        <f>ROUND($D27*AJ$9,2)</f>
        <v>0</v>
      </c>
      <c r="AN27" s="107">
        <v>50769.66</v>
      </c>
      <c r="AO27" s="107">
        <f t="shared" si="33"/>
        <v>61431.29</v>
      </c>
      <c r="AQ27" s="189"/>
      <c r="AR27" s="192"/>
      <c r="AS27" s="195"/>
      <c r="AT27" s="104">
        <f>ROUND($B27*AQ$9,2)</f>
        <v>0</v>
      </c>
      <c r="AU27" s="105">
        <f>ROUND($C27*AR$9,2)</f>
        <v>0</v>
      </c>
      <c r="AV27" s="106">
        <f>ROUND($D27*AS$9,2)</f>
        <v>0</v>
      </c>
      <c r="AW27" s="107">
        <v>50769.66</v>
      </c>
      <c r="AX27" s="107">
        <f t="shared" si="34"/>
        <v>61431.29</v>
      </c>
    </row>
    <row r="28" spans="1:50" ht="15.5" thickTop="1" thickBot="1" x14ac:dyDescent="0.4">
      <c r="A28" s="82" t="s">
        <v>74</v>
      </c>
      <c r="B28" s="83">
        <f>SUM(B23:B27)</f>
        <v>15435.636363636364</v>
      </c>
      <c r="C28" s="84">
        <f>SUM(C23:C27)</f>
        <v>3271.769264069264</v>
      </c>
      <c r="D28" s="85">
        <f>SUM(D23:D27)</f>
        <v>456</v>
      </c>
      <c r="G28" s="199"/>
      <c r="H28" s="202"/>
      <c r="I28" s="205"/>
      <c r="J28" s="86">
        <f>SUM(J23:J27)</f>
        <v>49681.32</v>
      </c>
      <c r="K28" s="87">
        <f>SUM(K23:K27)</f>
        <v>5043.84</v>
      </c>
      <c r="L28" s="88">
        <f>SUM(L23:L27)</f>
        <v>2806.05</v>
      </c>
      <c r="M28" s="88">
        <f>SUM(M23:M27)</f>
        <v>70223.625</v>
      </c>
      <c r="N28" s="88">
        <f>SUM(N23:N27)</f>
        <v>84970.59</v>
      </c>
      <c r="P28" s="190"/>
      <c r="Q28" s="193"/>
      <c r="R28" s="196"/>
      <c r="S28" s="91">
        <f>SUM(S23:S27)</f>
        <v>317974.09999999998</v>
      </c>
      <c r="T28" s="92">
        <f>SUM(T23:T27)</f>
        <v>32292.370000000003</v>
      </c>
      <c r="U28" s="93">
        <f>SUM(U23:U27)</f>
        <v>10296.48</v>
      </c>
      <c r="V28" s="93">
        <f>SUM(V23:V27)</f>
        <v>411332.6100000001</v>
      </c>
      <c r="W28" s="94">
        <f>SUM(W23:W27)</f>
        <v>497712.45999999996</v>
      </c>
      <c r="Y28" s="190"/>
      <c r="Z28" s="193"/>
      <c r="AA28" s="196"/>
      <c r="AB28" s="91">
        <f>SUM(AB23:AB27)</f>
        <v>327544.21000000002</v>
      </c>
      <c r="AC28" s="92">
        <f>SUM(AC23:AC27)</f>
        <v>33273.9</v>
      </c>
      <c r="AD28" s="93">
        <f>SUM(AD23:AD27)</f>
        <v>10606.560000000001</v>
      </c>
      <c r="AE28" s="93">
        <f>SUM(AE23:AE27)</f>
        <v>422194.33000000007</v>
      </c>
      <c r="AF28" s="94">
        <f>SUM(AF23:AF27)</f>
        <v>510855.14</v>
      </c>
      <c r="AH28" s="190"/>
      <c r="AI28" s="193"/>
      <c r="AJ28" s="196"/>
      <c r="AK28" s="91">
        <f>SUM(AK23:AK27)</f>
        <v>332483.60000000003</v>
      </c>
      <c r="AL28" s="92">
        <f>SUM(AL23:AL27)</f>
        <v>33764.660000000003</v>
      </c>
      <c r="AM28" s="93">
        <f>SUM(AM23:AM27)</f>
        <v>10766.159999999998</v>
      </c>
      <c r="AN28" s="93">
        <f>SUM(AN23:AN27)</f>
        <v>427784.07999999996</v>
      </c>
      <c r="AO28" s="94">
        <f>SUM(AO23:AO27)</f>
        <v>517618.73999999993</v>
      </c>
      <c r="AQ28" s="190"/>
      <c r="AR28" s="193"/>
      <c r="AS28" s="196"/>
      <c r="AT28" s="91">
        <f>SUM(AT23:AT27)</f>
        <v>337423.02</v>
      </c>
      <c r="AU28" s="92">
        <f>SUM(AU23:AU27)</f>
        <v>34255.43</v>
      </c>
      <c r="AV28" s="93">
        <f>SUM(AV23:AV27)</f>
        <v>10925.759999999998</v>
      </c>
      <c r="AW28" s="93">
        <f>SUM(AW23:AW27)</f>
        <v>433373.87</v>
      </c>
      <c r="AX28" s="94">
        <f>SUM(AX23:AX27)</f>
        <v>524382.38</v>
      </c>
    </row>
    <row r="29" spans="1:50" ht="15" thickBot="1" x14ac:dyDescent="0.4"/>
    <row r="30" spans="1:50" ht="29" thickBot="1" x14ac:dyDescent="0.4">
      <c r="A30" s="100" t="s">
        <v>75</v>
      </c>
      <c r="B30" s="209" t="s">
        <v>59</v>
      </c>
      <c r="C30" s="210"/>
      <c r="D30" s="64" t="s">
        <v>60</v>
      </c>
      <c r="G30" s="211" t="s">
        <v>77</v>
      </c>
      <c r="H30" s="212"/>
      <c r="I30" s="212"/>
      <c r="J30" s="212"/>
      <c r="K30" s="212"/>
      <c r="L30" s="212"/>
      <c r="M30" s="212"/>
      <c r="N30" s="213"/>
      <c r="P30" s="211">
        <v>2027</v>
      </c>
      <c r="Q30" s="212"/>
      <c r="R30" s="212"/>
      <c r="S30" s="66" t="s">
        <v>61</v>
      </c>
      <c r="T30" s="95"/>
      <c r="U30" s="67">
        <v>0.03</v>
      </c>
      <c r="V30" s="66"/>
      <c r="W30" s="68"/>
      <c r="Y30" s="211">
        <v>2028</v>
      </c>
      <c r="Z30" s="212"/>
      <c r="AA30" s="212"/>
      <c r="AB30" s="66" t="s">
        <v>61</v>
      </c>
      <c r="AC30" s="95"/>
      <c r="AD30" s="67">
        <v>0.03</v>
      </c>
      <c r="AE30" s="66"/>
      <c r="AF30" s="68"/>
      <c r="AH30" s="211">
        <v>2029</v>
      </c>
      <c r="AI30" s="212"/>
      <c r="AJ30" s="212"/>
      <c r="AK30" s="66" t="s">
        <v>61</v>
      </c>
      <c r="AL30" s="95"/>
      <c r="AM30" s="67">
        <v>1.4999999999999999E-2</v>
      </c>
      <c r="AN30" s="66"/>
      <c r="AO30" s="68"/>
      <c r="AQ30" s="211">
        <v>2030</v>
      </c>
      <c r="AR30" s="212"/>
      <c r="AS30" s="212"/>
      <c r="AT30" s="66" t="s">
        <v>61</v>
      </c>
      <c r="AU30" s="95"/>
      <c r="AV30" s="67">
        <v>1.4999999999999999E-2</v>
      </c>
      <c r="AW30" s="66"/>
      <c r="AX30" s="68"/>
    </row>
    <row r="31" spans="1:50" ht="28.5" thickBot="1" x14ac:dyDescent="0.4">
      <c r="A31" s="69" t="s">
        <v>89</v>
      </c>
      <c r="B31" s="89" t="s">
        <v>62</v>
      </c>
      <c r="C31" s="64" t="s">
        <v>63</v>
      </c>
      <c r="D31" s="64" t="s">
        <v>64</v>
      </c>
      <c r="G31" s="206" t="s">
        <v>65</v>
      </c>
      <c r="H31" s="207"/>
      <c r="I31" s="208"/>
      <c r="J31" s="206" t="s">
        <v>66</v>
      </c>
      <c r="K31" s="207"/>
      <c r="L31" s="207"/>
      <c r="M31" s="208"/>
      <c r="N31" s="70" t="s">
        <v>67</v>
      </c>
      <c r="P31" s="185" t="s">
        <v>65</v>
      </c>
      <c r="Q31" s="186"/>
      <c r="R31" s="187"/>
      <c r="S31" s="185" t="s">
        <v>66</v>
      </c>
      <c r="T31" s="186"/>
      <c r="U31" s="186"/>
      <c r="V31" s="187"/>
      <c r="W31" s="71" t="s">
        <v>67</v>
      </c>
      <c r="Y31" s="185" t="s">
        <v>65</v>
      </c>
      <c r="Z31" s="186"/>
      <c r="AA31" s="187"/>
      <c r="AB31" s="185" t="s">
        <v>66</v>
      </c>
      <c r="AC31" s="186"/>
      <c r="AD31" s="186"/>
      <c r="AE31" s="187"/>
      <c r="AF31" s="71" t="s">
        <v>67</v>
      </c>
      <c r="AH31" s="185" t="s">
        <v>65</v>
      </c>
      <c r="AI31" s="186"/>
      <c r="AJ31" s="187"/>
      <c r="AK31" s="185" t="s">
        <v>66</v>
      </c>
      <c r="AL31" s="186"/>
      <c r="AM31" s="186"/>
      <c r="AN31" s="187"/>
      <c r="AO31" s="71" t="s">
        <v>67</v>
      </c>
      <c r="AQ31" s="185" t="s">
        <v>65</v>
      </c>
      <c r="AR31" s="186"/>
      <c r="AS31" s="187"/>
      <c r="AT31" s="185" t="s">
        <v>66</v>
      </c>
      <c r="AU31" s="186"/>
      <c r="AV31" s="186"/>
      <c r="AW31" s="187"/>
      <c r="AX31" s="71" t="s">
        <v>67</v>
      </c>
    </row>
    <row r="32" spans="1:50" ht="26.5" thickBot="1" x14ac:dyDescent="0.4">
      <c r="A32" s="97" t="s">
        <v>68</v>
      </c>
      <c r="B32" s="72" t="s">
        <v>69</v>
      </c>
      <c r="C32" s="73" t="s">
        <v>85</v>
      </c>
      <c r="D32" s="90" t="s">
        <v>86</v>
      </c>
      <c r="G32" s="70" t="s">
        <v>70</v>
      </c>
      <c r="H32" s="70" t="s">
        <v>47</v>
      </c>
      <c r="I32" s="70" t="s">
        <v>71</v>
      </c>
      <c r="J32" s="72" t="s">
        <v>70</v>
      </c>
      <c r="K32" s="74" t="s">
        <v>47</v>
      </c>
      <c r="L32" s="70" t="s">
        <v>71</v>
      </c>
      <c r="M32" s="70" t="s">
        <v>72</v>
      </c>
      <c r="N32" s="70" t="s">
        <v>73</v>
      </c>
      <c r="P32" s="70" t="s">
        <v>70</v>
      </c>
      <c r="Q32" s="70" t="s">
        <v>47</v>
      </c>
      <c r="R32" s="70" t="s">
        <v>71</v>
      </c>
      <c r="S32" s="72" t="s">
        <v>70</v>
      </c>
      <c r="T32" s="74" t="s">
        <v>47</v>
      </c>
      <c r="U32" s="70" t="s">
        <v>71</v>
      </c>
      <c r="V32" s="70" t="s">
        <v>72</v>
      </c>
      <c r="W32" s="70" t="s">
        <v>73</v>
      </c>
      <c r="Y32" s="70" t="s">
        <v>70</v>
      </c>
      <c r="Z32" s="70" t="s">
        <v>47</v>
      </c>
      <c r="AA32" s="70" t="s">
        <v>71</v>
      </c>
      <c r="AB32" s="72" t="s">
        <v>70</v>
      </c>
      <c r="AC32" s="74" t="s">
        <v>47</v>
      </c>
      <c r="AD32" s="70" t="s">
        <v>71</v>
      </c>
      <c r="AE32" s="70" t="s">
        <v>72</v>
      </c>
      <c r="AF32" s="70" t="s">
        <v>73</v>
      </c>
      <c r="AH32" s="70" t="s">
        <v>70</v>
      </c>
      <c r="AI32" s="70" t="s">
        <v>47</v>
      </c>
      <c r="AJ32" s="70" t="s">
        <v>71</v>
      </c>
      <c r="AK32" s="72" t="s">
        <v>70</v>
      </c>
      <c r="AL32" s="74" t="s">
        <v>47</v>
      </c>
      <c r="AM32" s="70" t="s">
        <v>71</v>
      </c>
      <c r="AN32" s="70" t="s">
        <v>72</v>
      </c>
      <c r="AO32" s="70" t="s">
        <v>73</v>
      </c>
      <c r="AQ32" s="70" t="s">
        <v>70</v>
      </c>
      <c r="AR32" s="70" t="s">
        <v>47</v>
      </c>
      <c r="AS32" s="70" t="s">
        <v>71</v>
      </c>
      <c r="AT32" s="72" t="s">
        <v>70</v>
      </c>
      <c r="AU32" s="74" t="s">
        <v>47</v>
      </c>
      <c r="AV32" s="70" t="s">
        <v>71</v>
      </c>
      <c r="AW32" s="70" t="s">
        <v>72</v>
      </c>
      <c r="AX32" s="70" t="s">
        <v>73</v>
      </c>
    </row>
    <row r="33" spans="1:50" ht="15" thickBot="1" x14ac:dyDescent="0.4">
      <c r="A33" s="98" t="s">
        <v>39</v>
      </c>
      <c r="B33" s="75">
        <f>'LOT 3 Barcelona'!O5</f>
        <v>9000.7272727272702</v>
      </c>
      <c r="C33" s="76">
        <f>'LOT 3 Barcelona'!O7</f>
        <v>1909.375</v>
      </c>
      <c r="D33" s="77">
        <f>'LOT 3 Barcelona'!O8</f>
        <v>304</v>
      </c>
      <c r="G33" s="197">
        <v>20</v>
      </c>
      <c r="H33" s="200">
        <v>9.58</v>
      </c>
      <c r="I33" s="203">
        <v>21.92</v>
      </c>
      <c r="J33" s="78">
        <f>ROUND(1995.397*G$33,2)</f>
        <v>39907.94</v>
      </c>
      <c r="K33" s="79">
        <f>ROUND(450.1764*H$33,2)</f>
        <v>4312.6899999999996</v>
      </c>
      <c r="L33" s="80">
        <f>ROUND(88.0091*I$33,2)</f>
        <v>1929.16</v>
      </c>
      <c r="M33" s="81">
        <f>SUM(J33:L33)</f>
        <v>46149.790000000008</v>
      </c>
      <c r="N33" s="81">
        <f t="shared" ref="N33:N38" si="38">ROUND(M33*1.21,2)</f>
        <v>55841.25</v>
      </c>
      <c r="P33" s="188">
        <f>ROUND(G33*(1+$U$6),2)</f>
        <v>20.6</v>
      </c>
      <c r="Q33" s="191">
        <f>ROUND(H33*(1+$U$6),2)</f>
        <v>9.8699999999999992</v>
      </c>
      <c r="R33" s="194">
        <f>ROUND(I33*(1+$U$6),2)</f>
        <v>22.58</v>
      </c>
      <c r="S33" s="78">
        <f t="shared" ref="S33:U37" si="39">ROUND(B33*P$33,2)</f>
        <v>185414.98</v>
      </c>
      <c r="T33" s="79">
        <f t="shared" si="39"/>
        <v>18845.53</v>
      </c>
      <c r="U33" s="80">
        <f t="shared" si="39"/>
        <v>6864.32</v>
      </c>
      <c r="V33" s="81">
        <f>SUM(S33:U33)</f>
        <v>211124.83000000002</v>
      </c>
      <c r="W33" s="81">
        <f t="shared" ref="W33:W38" si="40">ROUND(V33*1.21,2)</f>
        <v>255461.04</v>
      </c>
      <c r="Y33" s="188">
        <f>ROUND(P33*(1+$AD$6),2)</f>
        <v>21.22</v>
      </c>
      <c r="Z33" s="191">
        <f>ROUND(Q33*(1+$AD$6),2)</f>
        <v>10.17</v>
      </c>
      <c r="AA33" s="194">
        <f>ROUND(R33*(1+$AD$6),2)</f>
        <v>23.26</v>
      </c>
      <c r="AB33" s="78">
        <f t="shared" ref="AB33:AD37" si="41">ROUND(B33*Y$33,2)</f>
        <v>190995.43</v>
      </c>
      <c r="AC33" s="79">
        <f t="shared" si="41"/>
        <v>19418.34</v>
      </c>
      <c r="AD33" s="80">
        <f t="shared" si="41"/>
        <v>7071.04</v>
      </c>
      <c r="AE33" s="81">
        <f>SUM(AB33:AD33)</f>
        <v>217484.81</v>
      </c>
      <c r="AF33" s="81">
        <f t="shared" ref="AF33:AF38" si="42">ROUND(AE33*1.21,2)</f>
        <v>263156.62</v>
      </c>
      <c r="AH33" s="188">
        <f>ROUND(Y33*(1+$AM$6),2)</f>
        <v>21.54</v>
      </c>
      <c r="AI33" s="191">
        <f>ROUND(Z33*(1+$AM$6),2)</f>
        <v>10.32</v>
      </c>
      <c r="AJ33" s="194">
        <f>ROUND(AA33*(1+$AM$6),2)</f>
        <v>23.61</v>
      </c>
      <c r="AK33" s="78">
        <f>ROUND($B33*AH$33,2)</f>
        <v>193875.67</v>
      </c>
      <c r="AL33" s="79">
        <f>ROUND($C33*AI$33,2)</f>
        <v>19704.75</v>
      </c>
      <c r="AM33" s="80">
        <f>ROUND($D33*AJ$33,2)</f>
        <v>7177.44</v>
      </c>
      <c r="AN33" s="81">
        <f>SUM(AK33:AM33)</f>
        <v>220757.86000000002</v>
      </c>
      <c r="AO33" s="81">
        <f t="shared" ref="AO33:AO38" si="43">ROUND(AN33*1.21,2)</f>
        <v>267117.01</v>
      </c>
      <c r="AQ33" s="188">
        <f>ROUND(AH33*(1+$AV$6),2)</f>
        <v>21.86</v>
      </c>
      <c r="AR33" s="191">
        <f>ROUND(AI33*(1+$AV$6),2)</f>
        <v>10.47</v>
      </c>
      <c r="AS33" s="194">
        <f>ROUND(AJ33*(1+$AV$6),2)</f>
        <v>23.96</v>
      </c>
      <c r="AT33" s="78">
        <f>ROUND($B33*AQ$33,2)</f>
        <v>196755.9</v>
      </c>
      <c r="AU33" s="79">
        <f>ROUND($C33*AR$33,2)</f>
        <v>19991.16</v>
      </c>
      <c r="AV33" s="80">
        <f>ROUND($D33*AS$33,2)</f>
        <v>7283.84</v>
      </c>
      <c r="AW33" s="81">
        <f>SUM(AT33:AV33)</f>
        <v>224030.9</v>
      </c>
      <c r="AX33" s="81">
        <f t="shared" ref="AX33:AX38" si="44">ROUND(AW33*1.21,2)</f>
        <v>271077.39</v>
      </c>
    </row>
    <row r="34" spans="1:50" ht="15" thickBot="1" x14ac:dyDescent="0.4">
      <c r="A34" s="99" t="s">
        <v>96</v>
      </c>
      <c r="B34" s="75">
        <f>'LOT 3 Barcelona'!O11</f>
        <v>6068.3636363636351</v>
      </c>
      <c r="C34" s="76">
        <f>'LOT 3 Barcelona'!O13</f>
        <v>1383.5714285714287</v>
      </c>
      <c r="D34" s="77">
        <f>'LOT 3 Barcelona'!O14</f>
        <v>236</v>
      </c>
      <c r="G34" s="198"/>
      <c r="H34" s="201"/>
      <c r="I34" s="204"/>
      <c r="J34" s="78">
        <f>ROUND(1140.227*G$33,2)</f>
        <v>22804.54</v>
      </c>
      <c r="K34" s="79">
        <f>ROUND(262.5532*H$33,2)</f>
        <v>2515.2600000000002</v>
      </c>
      <c r="L34" s="80">
        <f>ROUND(76.0082*I$33,2)</f>
        <v>1666.1</v>
      </c>
      <c r="M34" s="81">
        <f>SUM(J34:L34)</f>
        <v>26985.9</v>
      </c>
      <c r="N34" s="81">
        <f t="shared" si="38"/>
        <v>32652.94</v>
      </c>
      <c r="P34" s="189"/>
      <c r="Q34" s="192"/>
      <c r="R34" s="195"/>
      <c r="S34" s="78">
        <f t="shared" si="39"/>
        <v>125008.29</v>
      </c>
      <c r="T34" s="79">
        <f t="shared" si="39"/>
        <v>13655.85</v>
      </c>
      <c r="U34" s="80">
        <f t="shared" si="39"/>
        <v>5328.88</v>
      </c>
      <c r="V34" s="81">
        <f>SUM(S34:U34)</f>
        <v>143993.01999999999</v>
      </c>
      <c r="W34" s="81">
        <f t="shared" si="40"/>
        <v>174231.55</v>
      </c>
      <c r="Y34" s="189"/>
      <c r="Z34" s="192"/>
      <c r="AA34" s="195"/>
      <c r="AB34" s="78">
        <f t="shared" si="41"/>
        <v>128770.68</v>
      </c>
      <c r="AC34" s="79">
        <f t="shared" si="41"/>
        <v>14070.92</v>
      </c>
      <c r="AD34" s="80">
        <f t="shared" si="41"/>
        <v>5489.36</v>
      </c>
      <c r="AE34" s="81">
        <f>SUM(AB34:AD34)</f>
        <v>148330.96</v>
      </c>
      <c r="AF34" s="81">
        <f t="shared" si="42"/>
        <v>179480.46</v>
      </c>
      <c r="AH34" s="189"/>
      <c r="AI34" s="192"/>
      <c r="AJ34" s="195"/>
      <c r="AK34" s="78">
        <f>ROUND($B34*AH$33,2)</f>
        <v>130712.55</v>
      </c>
      <c r="AL34" s="79">
        <f>ROUND($C34*AI$33,2)</f>
        <v>14278.46</v>
      </c>
      <c r="AM34" s="80">
        <f>ROUND($D34*AJ$33,2)</f>
        <v>5571.96</v>
      </c>
      <c r="AN34" s="81">
        <f>SUM(AK34:AM34)</f>
        <v>150562.97</v>
      </c>
      <c r="AO34" s="81">
        <f t="shared" si="43"/>
        <v>182181.19</v>
      </c>
      <c r="AQ34" s="189"/>
      <c r="AR34" s="192"/>
      <c r="AS34" s="195"/>
      <c r="AT34" s="78">
        <f>ROUND($B34*AQ$33,2)</f>
        <v>132654.43</v>
      </c>
      <c r="AU34" s="79">
        <f>ROUND($C34*AR$33,2)</f>
        <v>14485.99</v>
      </c>
      <c r="AV34" s="80">
        <f>ROUND($D34*AS$33,2)</f>
        <v>5654.56</v>
      </c>
      <c r="AW34" s="81">
        <f>SUM(AT34:AV34)</f>
        <v>152794.97999999998</v>
      </c>
      <c r="AX34" s="81">
        <f t="shared" si="44"/>
        <v>184881.93</v>
      </c>
    </row>
    <row r="35" spans="1:50" ht="15" thickBot="1" x14ac:dyDescent="0.4">
      <c r="A35" s="99" t="s">
        <v>97</v>
      </c>
      <c r="B35" s="75">
        <f>'LOT 3 Barcelona'!O17</f>
        <v>2606.5454545454554</v>
      </c>
      <c r="C35" s="76">
        <f>'LOT 3 Barcelona'!O19</f>
        <v>338</v>
      </c>
      <c r="D35" s="77">
        <f>'LOT 3 Barcelona'!O20</f>
        <v>240</v>
      </c>
      <c r="G35" s="198"/>
      <c r="H35" s="201"/>
      <c r="I35" s="204"/>
      <c r="J35" s="78">
        <f>ROUND(651.5585*G$33,2)</f>
        <v>13031.17</v>
      </c>
      <c r="K35" s="79">
        <f>ROUND(88.01*H$33,2)</f>
        <v>843.14</v>
      </c>
      <c r="L35" s="80">
        <f>ROUND(60.0063*I$33,2)</f>
        <v>1315.34</v>
      </c>
      <c r="M35" s="81">
        <f>SUM(J35:L35)</f>
        <v>15189.65</v>
      </c>
      <c r="N35" s="81">
        <f t="shared" si="38"/>
        <v>18379.48</v>
      </c>
      <c r="P35" s="189"/>
      <c r="Q35" s="192"/>
      <c r="R35" s="195"/>
      <c r="S35" s="78">
        <f t="shared" si="39"/>
        <v>53694.84</v>
      </c>
      <c r="T35" s="79">
        <f t="shared" si="39"/>
        <v>3336.06</v>
      </c>
      <c r="U35" s="80">
        <f t="shared" si="39"/>
        <v>5419.2</v>
      </c>
      <c r="V35" s="81">
        <f>SUM(S35:U35)</f>
        <v>62450.099999999991</v>
      </c>
      <c r="W35" s="81">
        <f t="shared" si="40"/>
        <v>75564.62</v>
      </c>
      <c r="Y35" s="189"/>
      <c r="Z35" s="192"/>
      <c r="AA35" s="195"/>
      <c r="AB35" s="78">
        <f t="shared" si="41"/>
        <v>55310.89</v>
      </c>
      <c r="AC35" s="79">
        <f t="shared" si="41"/>
        <v>3437.46</v>
      </c>
      <c r="AD35" s="80">
        <f t="shared" si="41"/>
        <v>5582.4</v>
      </c>
      <c r="AE35" s="81">
        <f>SUM(AB35:AD35)</f>
        <v>64330.75</v>
      </c>
      <c r="AF35" s="81">
        <f t="shared" si="42"/>
        <v>77840.210000000006</v>
      </c>
      <c r="AH35" s="189"/>
      <c r="AI35" s="192"/>
      <c r="AJ35" s="195"/>
      <c r="AK35" s="78">
        <f>ROUND($B35*AH$33,2)</f>
        <v>56144.99</v>
      </c>
      <c r="AL35" s="79">
        <f>ROUND($C35*AI$33,2)</f>
        <v>3488.16</v>
      </c>
      <c r="AM35" s="80">
        <f>ROUND($D35*AJ$33,2)</f>
        <v>5666.4</v>
      </c>
      <c r="AN35" s="81">
        <f>SUM(AK35:AM35)</f>
        <v>65299.549999999996</v>
      </c>
      <c r="AO35" s="81">
        <f t="shared" si="43"/>
        <v>79012.460000000006</v>
      </c>
      <c r="AQ35" s="189"/>
      <c r="AR35" s="192"/>
      <c r="AS35" s="195"/>
      <c r="AT35" s="78">
        <f>ROUND($B35*AQ$33,2)</f>
        <v>56979.08</v>
      </c>
      <c r="AU35" s="79">
        <f>ROUND($C35*AR$33,2)</f>
        <v>3538.86</v>
      </c>
      <c r="AV35" s="80">
        <f>ROUND($D35*AS$33,2)</f>
        <v>5750.4</v>
      </c>
      <c r="AW35" s="81">
        <f>SUM(AT35:AV35)</f>
        <v>66268.34</v>
      </c>
      <c r="AX35" s="81">
        <f t="shared" si="44"/>
        <v>80184.69</v>
      </c>
    </row>
    <row r="36" spans="1:50" ht="15" thickBot="1" x14ac:dyDescent="0.4">
      <c r="A36" s="99" t="s">
        <v>98</v>
      </c>
      <c r="B36" s="75">
        <f>'LOT 3 Barcelona'!O23</f>
        <v>3909.8181818181824</v>
      </c>
      <c r="C36" s="76">
        <f>'LOT 3 Barcelona'!O25</f>
        <v>682.66666666666663</v>
      </c>
      <c r="D36" s="77">
        <f>'LOT 3 Barcelona'!O26</f>
        <v>104</v>
      </c>
      <c r="G36" s="198"/>
      <c r="H36" s="201"/>
      <c r="I36" s="204"/>
      <c r="J36" s="78">
        <f>ROUND(977.3375*G$33,2)</f>
        <v>19546.75</v>
      </c>
      <c r="K36" s="79">
        <f>ROUND(181.3538*H$33,2)</f>
        <v>1737.37</v>
      </c>
      <c r="L36" s="80">
        <f>ROUND(32.0031*I$33,2)</f>
        <v>701.51</v>
      </c>
      <c r="M36" s="81">
        <f>SUM(J36:L36)</f>
        <v>21985.629999999997</v>
      </c>
      <c r="N36" s="81">
        <f t="shared" si="38"/>
        <v>26602.61</v>
      </c>
      <c r="P36" s="189"/>
      <c r="Q36" s="192"/>
      <c r="R36" s="195"/>
      <c r="S36" s="78">
        <f t="shared" si="39"/>
        <v>80542.25</v>
      </c>
      <c r="T36" s="79">
        <f t="shared" si="39"/>
        <v>6737.92</v>
      </c>
      <c r="U36" s="80">
        <f t="shared" si="39"/>
        <v>2348.3200000000002</v>
      </c>
      <c r="V36" s="81">
        <f>SUM(S36:U36)</f>
        <v>89628.49</v>
      </c>
      <c r="W36" s="81">
        <f t="shared" si="40"/>
        <v>108450.47</v>
      </c>
      <c r="Y36" s="189"/>
      <c r="Z36" s="192"/>
      <c r="AA36" s="195"/>
      <c r="AB36" s="78">
        <f t="shared" si="41"/>
        <v>82966.34</v>
      </c>
      <c r="AC36" s="79">
        <f t="shared" si="41"/>
        <v>6942.72</v>
      </c>
      <c r="AD36" s="80">
        <f t="shared" si="41"/>
        <v>2419.04</v>
      </c>
      <c r="AE36" s="81">
        <f>SUM(AB36:AD36)</f>
        <v>92328.099999999991</v>
      </c>
      <c r="AF36" s="81">
        <f t="shared" si="42"/>
        <v>111717</v>
      </c>
      <c r="AH36" s="189"/>
      <c r="AI36" s="192"/>
      <c r="AJ36" s="195"/>
      <c r="AK36" s="78">
        <f>ROUND($B36*AH$33,2)</f>
        <v>84217.48</v>
      </c>
      <c r="AL36" s="79">
        <f>ROUND($C36*AI$33,2)</f>
        <v>7045.12</v>
      </c>
      <c r="AM36" s="80">
        <f>ROUND($D36*AJ$33,2)</f>
        <v>2455.44</v>
      </c>
      <c r="AN36" s="81">
        <f>SUM(AK36:AM36)</f>
        <v>93718.04</v>
      </c>
      <c r="AO36" s="81">
        <f t="shared" si="43"/>
        <v>113398.83</v>
      </c>
      <c r="AQ36" s="189"/>
      <c r="AR36" s="192"/>
      <c r="AS36" s="195"/>
      <c r="AT36" s="78">
        <f>ROUND($B36*AQ$33,2)</f>
        <v>85468.63</v>
      </c>
      <c r="AU36" s="79">
        <f>ROUND($C36*AR$33,2)</f>
        <v>7147.52</v>
      </c>
      <c r="AV36" s="80">
        <f>ROUND($D36*AS$33,2)</f>
        <v>2491.84</v>
      </c>
      <c r="AW36" s="81">
        <f>SUM(AT36:AV36)</f>
        <v>95107.99</v>
      </c>
      <c r="AX36" s="81">
        <f t="shared" si="44"/>
        <v>115080.67</v>
      </c>
    </row>
    <row r="37" spans="1:50" ht="15" thickBot="1" x14ac:dyDescent="0.4">
      <c r="A37" s="99" t="s">
        <v>99</v>
      </c>
      <c r="B37" s="75">
        <f>'LOT 3 Barcelona'!O29</f>
        <v>5294.545454545454</v>
      </c>
      <c r="C37" s="76">
        <f>'LOT 3 Barcelona'!O31</f>
        <v>1249.4444444444446</v>
      </c>
      <c r="D37" s="77">
        <f>'LOT 3 Barcelona'!O32</f>
        <v>304</v>
      </c>
      <c r="G37" s="198"/>
      <c r="H37" s="201"/>
      <c r="I37" s="204"/>
      <c r="J37" s="78">
        <f>ROUND(1262.394*G$33,2)</f>
        <v>25247.88</v>
      </c>
      <c r="K37" s="79">
        <f>ROUND(316.0083*H$33,2)</f>
        <v>3027.36</v>
      </c>
      <c r="L37" s="80">
        <f>ROUND(88.0091*I$33,2)</f>
        <v>1929.16</v>
      </c>
      <c r="M37" s="81">
        <f>SUM(J37:L37)</f>
        <v>30204.400000000001</v>
      </c>
      <c r="N37" s="81">
        <f t="shared" si="38"/>
        <v>36547.32</v>
      </c>
      <c r="P37" s="189"/>
      <c r="Q37" s="192"/>
      <c r="R37" s="195"/>
      <c r="S37" s="78">
        <f t="shared" si="39"/>
        <v>109067.64</v>
      </c>
      <c r="T37" s="79">
        <f t="shared" si="39"/>
        <v>12332.02</v>
      </c>
      <c r="U37" s="80">
        <f t="shared" si="39"/>
        <v>6864.32</v>
      </c>
      <c r="V37" s="81">
        <f>SUM(S37:U37)</f>
        <v>128263.98000000001</v>
      </c>
      <c r="W37" s="81">
        <f t="shared" si="40"/>
        <v>155199.42000000001</v>
      </c>
      <c r="Y37" s="189"/>
      <c r="Z37" s="192"/>
      <c r="AA37" s="195"/>
      <c r="AB37" s="78">
        <f t="shared" si="41"/>
        <v>112350.25</v>
      </c>
      <c r="AC37" s="79">
        <f t="shared" si="41"/>
        <v>12706.85</v>
      </c>
      <c r="AD37" s="80">
        <f t="shared" si="41"/>
        <v>7071.04</v>
      </c>
      <c r="AE37" s="81">
        <f>SUM(AB37:AD37)</f>
        <v>132128.14000000001</v>
      </c>
      <c r="AF37" s="81">
        <f t="shared" si="42"/>
        <v>159875.04999999999</v>
      </c>
      <c r="AH37" s="189"/>
      <c r="AI37" s="192"/>
      <c r="AJ37" s="195"/>
      <c r="AK37" s="78">
        <f>ROUND($B37*AH$33,2)</f>
        <v>114044.51</v>
      </c>
      <c r="AL37" s="79">
        <f>ROUND($C37*AI$33,2)</f>
        <v>12894.27</v>
      </c>
      <c r="AM37" s="80">
        <f>ROUND($D37*AJ$33,2)</f>
        <v>7177.44</v>
      </c>
      <c r="AN37" s="81">
        <f>SUM(AK37:AM37)</f>
        <v>134116.22</v>
      </c>
      <c r="AO37" s="81">
        <f t="shared" si="43"/>
        <v>162280.63</v>
      </c>
      <c r="AQ37" s="189"/>
      <c r="AR37" s="192"/>
      <c r="AS37" s="195"/>
      <c r="AT37" s="78">
        <f>ROUND($B37*AQ$33,2)</f>
        <v>115738.76</v>
      </c>
      <c r="AU37" s="79">
        <f>ROUND($C37*AR$33,2)</f>
        <v>13081.68</v>
      </c>
      <c r="AV37" s="80">
        <f>ROUND($D37*AS$33,2)</f>
        <v>7283.84</v>
      </c>
      <c r="AW37" s="81">
        <f>SUM(AT37:AV37)</f>
        <v>136104.28</v>
      </c>
      <c r="AX37" s="81">
        <f t="shared" si="44"/>
        <v>164686.18</v>
      </c>
    </row>
    <row r="38" spans="1:50" ht="15" thickBot="1" x14ac:dyDescent="0.4">
      <c r="A38" s="101" t="s">
        <v>87</v>
      </c>
      <c r="B38" s="102">
        <v>0</v>
      </c>
      <c r="C38" s="103">
        <v>0</v>
      </c>
      <c r="D38" s="77">
        <v>0</v>
      </c>
      <c r="G38" s="198"/>
      <c r="H38" s="201"/>
      <c r="I38" s="204"/>
      <c r="J38" s="104">
        <f>ROUND(B38*H$9,2)</f>
        <v>0</v>
      </c>
      <c r="K38" s="105">
        <f>ROUND(C38*H$9,2)</f>
        <v>0</v>
      </c>
      <c r="L38" s="106">
        <f t="shared" ref="L38" si="45">ROUND(D38*I$9,2)</f>
        <v>0</v>
      </c>
      <c r="M38" s="107">
        <f>63462.07*25%</f>
        <v>15865.5175</v>
      </c>
      <c r="N38" s="107">
        <f t="shared" si="38"/>
        <v>19197.28</v>
      </c>
      <c r="P38" s="189"/>
      <c r="Q38" s="192"/>
      <c r="R38" s="195"/>
      <c r="S38" s="104">
        <f t="shared" ref="S38:U38" si="46">ROUND(B38*P$9,2)</f>
        <v>0</v>
      </c>
      <c r="T38" s="105">
        <f t="shared" si="46"/>
        <v>0</v>
      </c>
      <c r="U38" s="106">
        <f t="shared" si="46"/>
        <v>0</v>
      </c>
      <c r="V38" s="107">
        <v>63462.07</v>
      </c>
      <c r="W38" s="107">
        <f t="shared" si="40"/>
        <v>76789.100000000006</v>
      </c>
      <c r="Y38" s="189"/>
      <c r="Z38" s="192"/>
      <c r="AA38" s="195"/>
      <c r="AB38" s="104">
        <f t="shared" ref="AB38:AD38" si="47">ROUND(B38*Y$9,2)</f>
        <v>0</v>
      </c>
      <c r="AC38" s="105">
        <f t="shared" si="47"/>
        <v>0</v>
      </c>
      <c r="AD38" s="106">
        <f t="shared" si="47"/>
        <v>0</v>
      </c>
      <c r="AE38" s="107">
        <v>63462.07</v>
      </c>
      <c r="AF38" s="107">
        <f t="shared" si="42"/>
        <v>76789.100000000006</v>
      </c>
      <c r="AH38" s="189"/>
      <c r="AI38" s="192"/>
      <c r="AJ38" s="195"/>
      <c r="AK38" s="104">
        <f>ROUND($B38*AH$9,2)</f>
        <v>0</v>
      </c>
      <c r="AL38" s="105">
        <f>ROUND($C38*AI$9,2)</f>
        <v>0</v>
      </c>
      <c r="AM38" s="106">
        <f>ROUND($D38*AJ$9,2)</f>
        <v>0</v>
      </c>
      <c r="AN38" s="107">
        <v>63462.07</v>
      </c>
      <c r="AO38" s="107">
        <f t="shared" si="43"/>
        <v>76789.100000000006</v>
      </c>
      <c r="AQ38" s="189"/>
      <c r="AR38" s="192"/>
      <c r="AS38" s="195"/>
      <c r="AT38" s="104">
        <f>ROUND($B38*AQ$9,2)</f>
        <v>0</v>
      </c>
      <c r="AU38" s="105">
        <f>ROUND($C38*AR$9,2)</f>
        <v>0</v>
      </c>
      <c r="AV38" s="106">
        <f>ROUND($D38*AS$9,2)</f>
        <v>0</v>
      </c>
      <c r="AW38" s="107">
        <v>63462.07</v>
      </c>
      <c r="AX38" s="107">
        <f t="shared" si="44"/>
        <v>76789.100000000006</v>
      </c>
    </row>
    <row r="39" spans="1:50" ht="15.5" thickTop="1" thickBot="1" x14ac:dyDescent="0.4">
      <c r="A39" s="82" t="s">
        <v>74</v>
      </c>
      <c r="B39" s="83">
        <f>SUM(B33:B38)</f>
        <v>26880</v>
      </c>
      <c r="C39" s="84">
        <f>SUM(C33:C38)</f>
        <v>5563.0575396825398</v>
      </c>
      <c r="D39" s="85">
        <f>SUM(D33:D38)</f>
        <v>1188</v>
      </c>
      <c r="G39" s="199"/>
      <c r="H39" s="202"/>
      <c r="I39" s="205"/>
      <c r="J39" s="86">
        <f>SUM(J33:J38)</f>
        <v>120538.28000000001</v>
      </c>
      <c r="K39" s="87">
        <f>SUM(K33:K38)</f>
        <v>12435.82</v>
      </c>
      <c r="L39" s="88">
        <f>SUM(L33:L38)</f>
        <v>7541.27</v>
      </c>
      <c r="M39" s="88">
        <f>SUM(M33:M38)</f>
        <v>156380.88749999998</v>
      </c>
      <c r="N39" s="88">
        <f>SUM(N33:N38)</f>
        <v>189220.88</v>
      </c>
      <c r="P39" s="190"/>
      <c r="Q39" s="193"/>
      <c r="R39" s="196"/>
      <c r="S39" s="91">
        <f>SUM(S33:S38)</f>
        <v>553728</v>
      </c>
      <c r="T39" s="92">
        <f>SUM(T33:T38)</f>
        <v>54907.37999999999</v>
      </c>
      <c r="U39" s="93">
        <f>SUM(U33:U38)</f>
        <v>26825.040000000001</v>
      </c>
      <c r="V39" s="93">
        <f>SUM(V33:V38)</f>
        <v>698922.48999999987</v>
      </c>
      <c r="W39" s="94">
        <f>SUM(W33:W38)</f>
        <v>845696.2</v>
      </c>
      <c r="Y39" s="190"/>
      <c r="Z39" s="193"/>
      <c r="AA39" s="196"/>
      <c r="AB39" s="91">
        <f>SUM(AB33:AB38)</f>
        <v>570393.59</v>
      </c>
      <c r="AC39" s="92">
        <f>SUM(AC33:AC38)</f>
        <v>56576.29</v>
      </c>
      <c r="AD39" s="93">
        <f>SUM(AD33:AD38)</f>
        <v>27632.880000000001</v>
      </c>
      <c r="AE39" s="93">
        <f>SUM(AE33:AE38)</f>
        <v>718064.83</v>
      </c>
      <c r="AF39" s="94">
        <f>SUM(AF33:AF38)</f>
        <v>868858.44000000006</v>
      </c>
      <c r="AH39" s="190"/>
      <c r="AI39" s="193"/>
      <c r="AJ39" s="196"/>
      <c r="AK39" s="91">
        <f>SUM(AK33:AK38)</f>
        <v>578995.19999999995</v>
      </c>
      <c r="AL39" s="92">
        <f>SUM(AL33:AL38)</f>
        <v>57410.759999999995</v>
      </c>
      <c r="AM39" s="93">
        <f>SUM(AM33:AM38)</f>
        <v>28048.679999999997</v>
      </c>
      <c r="AN39" s="93">
        <f>SUM(AN33:AN38)</f>
        <v>727916.71</v>
      </c>
      <c r="AO39" s="94">
        <f>SUM(AO33:AO38)</f>
        <v>880779.22</v>
      </c>
      <c r="AQ39" s="190"/>
      <c r="AR39" s="193"/>
      <c r="AS39" s="196"/>
      <c r="AT39" s="91">
        <f>SUM(AT33:AT38)</f>
        <v>587596.79999999993</v>
      </c>
      <c r="AU39" s="92">
        <f>SUM(AU33:AU38)</f>
        <v>58245.21</v>
      </c>
      <c r="AV39" s="93">
        <f>SUM(AV33:AV38)</f>
        <v>28464.480000000003</v>
      </c>
      <c r="AW39" s="93">
        <f>SUM(AW33:AW38)</f>
        <v>737768.55999999994</v>
      </c>
      <c r="AX39" s="94">
        <f>SUM(AX33:AX38)</f>
        <v>892699.96000000008</v>
      </c>
    </row>
    <row r="40" spans="1:50" ht="15" thickBot="1" x14ac:dyDescent="0.4"/>
    <row r="41" spans="1:50" ht="29" thickBot="1" x14ac:dyDescent="0.4">
      <c r="A41" s="100" t="s">
        <v>75</v>
      </c>
      <c r="B41" s="209" t="s">
        <v>59</v>
      </c>
      <c r="C41" s="210"/>
      <c r="D41" s="64" t="s">
        <v>60</v>
      </c>
      <c r="G41" s="211" t="s">
        <v>77</v>
      </c>
      <c r="H41" s="212"/>
      <c r="I41" s="212"/>
      <c r="J41" s="212"/>
      <c r="K41" s="212"/>
      <c r="L41" s="212"/>
      <c r="M41" s="212"/>
      <c r="N41" s="213"/>
      <c r="P41" s="211">
        <v>2027</v>
      </c>
      <c r="Q41" s="212"/>
      <c r="R41" s="212"/>
      <c r="S41" s="66" t="s">
        <v>61</v>
      </c>
      <c r="T41" s="95"/>
      <c r="U41" s="67">
        <v>0.03</v>
      </c>
      <c r="V41" s="66"/>
      <c r="W41" s="68"/>
      <c r="Y41" s="211">
        <v>2028</v>
      </c>
      <c r="Z41" s="212"/>
      <c r="AA41" s="212"/>
      <c r="AB41" s="66" t="s">
        <v>61</v>
      </c>
      <c r="AC41" s="95"/>
      <c r="AD41" s="67">
        <v>0.03</v>
      </c>
      <c r="AE41" s="66"/>
      <c r="AF41" s="68"/>
      <c r="AH41" s="211">
        <v>2029</v>
      </c>
      <c r="AI41" s="212"/>
      <c r="AJ41" s="212"/>
      <c r="AK41" s="66" t="s">
        <v>61</v>
      </c>
      <c r="AL41" s="95"/>
      <c r="AM41" s="67">
        <v>1.4999999999999999E-2</v>
      </c>
      <c r="AN41" s="66"/>
      <c r="AO41" s="68"/>
      <c r="AQ41" s="211">
        <v>2030</v>
      </c>
      <c r="AR41" s="212"/>
      <c r="AS41" s="212"/>
      <c r="AT41" s="66" t="s">
        <v>61</v>
      </c>
      <c r="AU41" s="95"/>
      <c r="AV41" s="67">
        <v>1.4999999999999999E-2</v>
      </c>
      <c r="AW41" s="66"/>
      <c r="AX41" s="68"/>
    </row>
    <row r="42" spans="1:50" ht="28.5" thickBot="1" x14ac:dyDescent="0.4">
      <c r="A42" s="69" t="s">
        <v>88</v>
      </c>
      <c r="B42" s="89" t="s">
        <v>62</v>
      </c>
      <c r="C42" s="64" t="s">
        <v>63</v>
      </c>
      <c r="D42" s="64" t="s">
        <v>64</v>
      </c>
      <c r="G42" s="206" t="s">
        <v>65</v>
      </c>
      <c r="H42" s="207"/>
      <c r="I42" s="208"/>
      <c r="J42" s="206" t="s">
        <v>66</v>
      </c>
      <c r="K42" s="207"/>
      <c r="L42" s="207"/>
      <c r="M42" s="208"/>
      <c r="N42" s="70" t="s">
        <v>67</v>
      </c>
      <c r="P42" s="185" t="s">
        <v>65</v>
      </c>
      <c r="Q42" s="186"/>
      <c r="R42" s="187"/>
      <c r="S42" s="185" t="s">
        <v>66</v>
      </c>
      <c r="T42" s="186"/>
      <c r="U42" s="186"/>
      <c r="V42" s="187"/>
      <c r="W42" s="71" t="s">
        <v>67</v>
      </c>
      <c r="Y42" s="185" t="s">
        <v>65</v>
      </c>
      <c r="Z42" s="186"/>
      <c r="AA42" s="187"/>
      <c r="AB42" s="185" t="s">
        <v>66</v>
      </c>
      <c r="AC42" s="186"/>
      <c r="AD42" s="186"/>
      <c r="AE42" s="187"/>
      <c r="AF42" s="71" t="s">
        <v>67</v>
      </c>
      <c r="AH42" s="185" t="s">
        <v>65</v>
      </c>
      <c r="AI42" s="186"/>
      <c r="AJ42" s="187"/>
      <c r="AK42" s="185" t="s">
        <v>66</v>
      </c>
      <c r="AL42" s="186"/>
      <c r="AM42" s="186"/>
      <c r="AN42" s="187"/>
      <c r="AO42" s="71" t="s">
        <v>67</v>
      </c>
      <c r="AQ42" s="185" t="s">
        <v>65</v>
      </c>
      <c r="AR42" s="186"/>
      <c r="AS42" s="187"/>
      <c r="AT42" s="185" t="s">
        <v>66</v>
      </c>
      <c r="AU42" s="186"/>
      <c r="AV42" s="186"/>
      <c r="AW42" s="187"/>
      <c r="AX42" s="71" t="s">
        <v>67</v>
      </c>
    </row>
    <row r="43" spans="1:50" ht="26.5" thickBot="1" x14ac:dyDescent="0.4">
      <c r="A43" s="97" t="s">
        <v>68</v>
      </c>
      <c r="B43" s="72" t="s">
        <v>69</v>
      </c>
      <c r="C43" s="73" t="s">
        <v>85</v>
      </c>
      <c r="D43" s="90" t="s">
        <v>86</v>
      </c>
      <c r="G43" s="70" t="s">
        <v>70</v>
      </c>
      <c r="H43" s="70" t="s">
        <v>47</v>
      </c>
      <c r="I43" s="70" t="s">
        <v>71</v>
      </c>
      <c r="J43" s="72" t="s">
        <v>70</v>
      </c>
      <c r="K43" s="74" t="s">
        <v>47</v>
      </c>
      <c r="L43" s="70" t="s">
        <v>71</v>
      </c>
      <c r="M43" s="70" t="s">
        <v>72</v>
      </c>
      <c r="N43" s="70" t="s">
        <v>73</v>
      </c>
      <c r="P43" s="70" t="s">
        <v>70</v>
      </c>
      <c r="Q43" s="70" t="s">
        <v>47</v>
      </c>
      <c r="R43" s="70" t="s">
        <v>71</v>
      </c>
      <c r="S43" s="72" t="s">
        <v>70</v>
      </c>
      <c r="T43" s="74" t="s">
        <v>47</v>
      </c>
      <c r="U43" s="70" t="s">
        <v>71</v>
      </c>
      <c r="V43" s="70" t="s">
        <v>72</v>
      </c>
      <c r="W43" s="70" t="s">
        <v>73</v>
      </c>
      <c r="Y43" s="70" t="s">
        <v>70</v>
      </c>
      <c r="Z43" s="70" t="s">
        <v>47</v>
      </c>
      <c r="AA43" s="70" t="s">
        <v>71</v>
      </c>
      <c r="AB43" s="72" t="s">
        <v>70</v>
      </c>
      <c r="AC43" s="74" t="s">
        <v>47</v>
      </c>
      <c r="AD43" s="70" t="s">
        <v>71</v>
      </c>
      <c r="AE43" s="70" t="s">
        <v>72</v>
      </c>
      <c r="AF43" s="70" t="s">
        <v>73</v>
      </c>
      <c r="AH43" s="70" t="s">
        <v>70</v>
      </c>
      <c r="AI43" s="70" t="s">
        <v>47</v>
      </c>
      <c r="AJ43" s="70" t="s">
        <v>71</v>
      </c>
      <c r="AK43" s="72" t="s">
        <v>70</v>
      </c>
      <c r="AL43" s="74" t="s">
        <v>47</v>
      </c>
      <c r="AM43" s="70" t="s">
        <v>71</v>
      </c>
      <c r="AN43" s="70" t="s">
        <v>72</v>
      </c>
      <c r="AO43" s="70" t="s">
        <v>73</v>
      </c>
      <c r="AQ43" s="70" t="s">
        <v>70</v>
      </c>
      <c r="AR43" s="70" t="s">
        <v>47</v>
      </c>
      <c r="AS43" s="70" t="s">
        <v>71</v>
      </c>
      <c r="AT43" s="72" t="s">
        <v>70</v>
      </c>
      <c r="AU43" s="74" t="s">
        <v>47</v>
      </c>
      <c r="AV43" s="70" t="s">
        <v>71</v>
      </c>
      <c r="AW43" s="70" t="s">
        <v>72</v>
      </c>
      <c r="AX43" s="70" t="s">
        <v>73</v>
      </c>
    </row>
    <row r="44" spans="1:50" ht="15" thickBot="1" x14ac:dyDescent="0.4">
      <c r="A44" s="98" t="s">
        <v>100</v>
      </c>
      <c r="B44" s="75">
        <f>'LOT 4 Lleida'!O5</f>
        <v>5294.545454545454</v>
      </c>
      <c r="C44" s="76">
        <f>'LOT 4 Lleida'!O7</f>
        <v>1233.1944444444443</v>
      </c>
      <c r="D44" s="77">
        <f>'LOT 4 Lleida'!O8</f>
        <v>208</v>
      </c>
      <c r="G44" s="197">
        <v>20</v>
      </c>
      <c r="H44" s="200">
        <v>9.58</v>
      </c>
      <c r="I44" s="203">
        <v>21.92</v>
      </c>
      <c r="J44" s="78">
        <f>ROUND(814.448*G$44,2)</f>
        <v>16288.96</v>
      </c>
      <c r="K44" s="79">
        <f>ROUND(202.245*H$44,2)</f>
        <v>1937.51</v>
      </c>
      <c r="L44" s="80">
        <f>ROUND(64.0068*I$44,2)</f>
        <v>1403.03</v>
      </c>
      <c r="M44" s="81">
        <f>SUM(J44:L44)</f>
        <v>19629.499999999996</v>
      </c>
      <c r="N44" s="81">
        <f t="shared" ref="N44:N47" si="48">ROUND(M44*1.21,2)</f>
        <v>23751.7</v>
      </c>
      <c r="P44" s="188">
        <f>ROUND(G44*(1+$U$6),2)</f>
        <v>20.6</v>
      </c>
      <c r="Q44" s="191">
        <f>ROUND(H44*(1+$U$6),2)</f>
        <v>9.8699999999999992</v>
      </c>
      <c r="R44" s="194">
        <f>ROUND(I44*(1+$U$6),2)</f>
        <v>22.58</v>
      </c>
      <c r="S44" s="78">
        <f t="shared" ref="S44:U46" si="49">ROUND(B44*P$44,2)</f>
        <v>109067.64</v>
      </c>
      <c r="T44" s="79">
        <f t="shared" si="49"/>
        <v>12171.63</v>
      </c>
      <c r="U44" s="80">
        <f t="shared" si="49"/>
        <v>4696.6400000000003</v>
      </c>
      <c r="V44" s="81">
        <f>SUM(S44:U44)</f>
        <v>125935.91</v>
      </c>
      <c r="W44" s="81">
        <f t="shared" ref="W44:W47" si="50">ROUND(V44*1.21,2)</f>
        <v>152382.45000000001</v>
      </c>
      <c r="Y44" s="188">
        <f>ROUND(P44*(1+$AD$6),2)</f>
        <v>21.22</v>
      </c>
      <c r="Z44" s="191">
        <f>ROUND(Q44*(1+$AD$6),2)</f>
        <v>10.17</v>
      </c>
      <c r="AA44" s="194">
        <f>ROUND(R44*(1+$AD$6),2)</f>
        <v>23.26</v>
      </c>
      <c r="AB44" s="78">
        <f t="shared" ref="AB44:AD46" si="51">ROUND(B44*Y$44,2)</f>
        <v>112350.25</v>
      </c>
      <c r="AC44" s="79">
        <f t="shared" si="51"/>
        <v>12541.59</v>
      </c>
      <c r="AD44" s="80">
        <f t="shared" si="51"/>
        <v>4838.08</v>
      </c>
      <c r="AE44" s="81">
        <f>SUM(AB44:AD44)</f>
        <v>129729.92</v>
      </c>
      <c r="AF44" s="81">
        <f t="shared" ref="AF44:AF47" si="52">ROUND(AE44*1.21,2)</f>
        <v>156973.20000000001</v>
      </c>
      <c r="AH44" s="188">
        <f>ROUND(Y44*(1+$AM$6),2)</f>
        <v>21.54</v>
      </c>
      <c r="AI44" s="191">
        <f>ROUND(Z44*(1+$AM$6),2)</f>
        <v>10.32</v>
      </c>
      <c r="AJ44" s="194">
        <f>ROUND(AA44*(1+$AM$6),2)</f>
        <v>23.61</v>
      </c>
      <c r="AK44" s="78">
        <f>ROUND($B44*AH$44,2)</f>
        <v>114044.51</v>
      </c>
      <c r="AL44" s="79">
        <f>ROUND($C44*AI$44,2)</f>
        <v>12726.57</v>
      </c>
      <c r="AM44" s="80">
        <f>ROUND($D44*AJ$44,2)</f>
        <v>4910.88</v>
      </c>
      <c r="AN44" s="81">
        <f>SUM(AK44:AM44)</f>
        <v>131681.96</v>
      </c>
      <c r="AO44" s="81">
        <f t="shared" ref="AO44:AO47" si="53">ROUND(AN44*1.21,2)</f>
        <v>159335.17000000001</v>
      </c>
      <c r="AQ44" s="188">
        <f>ROUND(AH44*(1+$AV$6),2)</f>
        <v>21.86</v>
      </c>
      <c r="AR44" s="191">
        <f>ROUND(AI44*(1+$AV$6),2)</f>
        <v>10.47</v>
      </c>
      <c r="AS44" s="194">
        <f>ROUND(AJ44*(1+$AV$6),2)</f>
        <v>23.96</v>
      </c>
      <c r="AT44" s="78">
        <f>ROUND($B44*AQ$44,2)</f>
        <v>115738.76</v>
      </c>
      <c r="AU44" s="79">
        <f>ROUND($C44*AR$44,2)</f>
        <v>12911.55</v>
      </c>
      <c r="AV44" s="80">
        <f>ROUND($D44*AS$44,2)</f>
        <v>4983.68</v>
      </c>
      <c r="AW44" s="81">
        <f>SUM(AT44:AV44)</f>
        <v>133633.99</v>
      </c>
      <c r="AX44" s="81">
        <f t="shared" ref="AX44:AX47" si="54">ROUND(AW44*1.21,2)</f>
        <v>161697.13</v>
      </c>
    </row>
    <row r="45" spans="1:50" ht="15" thickBot="1" x14ac:dyDescent="0.4">
      <c r="A45" s="99" t="s">
        <v>40</v>
      </c>
      <c r="B45" s="75">
        <f>'LOT 4 Lleida'!O11</f>
        <v>5864.7272727272748</v>
      </c>
      <c r="C45" s="76">
        <f>'LOT 4 Lleida'!O13</f>
        <v>1536</v>
      </c>
      <c r="D45" s="77">
        <f>'LOT 4 Lleida'!O14</f>
        <v>200</v>
      </c>
      <c r="G45" s="198"/>
      <c r="H45" s="201"/>
      <c r="I45" s="204"/>
      <c r="J45" s="78">
        <f>ROUND(1466.006*G$44,2)</f>
        <v>29320.12</v>
      </c>
      <c r="K45" s="79">
        <f>ROUND(408.0459*H$44,2)</f>
        <v>3909.08</v>
      </c>
      <c r="L45" s="80">
        <f>ROUND(56.0059*I$44,2)</f>
        <v>1227.6500000000001</v>
      </c>
      <c r="M45" s="81">
        <f>SUM(J45:L45)</f>
        <v>34456.85</v>
      </c>
      <c r="N45" s="81">
        <f t="shared" si="48"/>
        <v>41692.79</v>
      </c>
      <c r="P45" s="189"/>
      <c r="Q45" s="192"/>
      <c r="R45" s="195"/>
      <c r="S45" s="78">
        <f t="shared" si="49"/>
        <v>120813.38</v>
      </c>
      <c r="T45" s="79">
        <f t="shared" si="49"/>
        <v>15160.32</v>
      </c>
      <c r="U45" s="80">
        <f t="shared" si="49"/>
        <v>4516</v>
      </c>
      <c r="V45" s="81">
        <f>SUM(S45:U45)</f>
        <v>140489.70000000001</v>
      </c>
      <c r="W45" s="81">
        <f t="shared" si="50"/>
        <v>169992.54</v>
      </c>
      <c r="Y45" s="189"/>
      <c r="Z45" s="192"/>
      <c r="AA45" s="195"/>
      <c r="AB45" s="78">
        <f t="shared" si="51"/>
        <v>124449.51</v>
      </c>
      <c r="AC45" s="79">
        <f t="shared" si="51"/>
        <v>15621.12</v>
      </c>
      <c r="AD45" s="80">
        <f t="shared" si="51"/>
        <v>4652</v>
      </c>
      <c r="AE45" s="81">
        <f>SUM(AB45:AD45)</f>
        <v>144722.63</v>
      </c>
      <c r="AF45" s="81">
        <f t="shared" si="52"/>
        <v>175114.38</v>
      </c>
      <c r="AH45" s="189"/>
      <c r="AI45" s="192"/>
      <c r="AJ45" s="195"/>
      <c r="AK45" s="78">
        <f>ROUND($B45*AH$44,2)</f>
        <v>126326.23</v>
      </c>
      <c r="AL45" s="79">
        <f>ROUND($C45*AI$44,2)</f>
        <v>15851.52</v>
      </c>
      <c r="AM45" s="80">
        <f>ROUND($D45*AJ$44,2)</f>
        <v>4722</v>
      </c>
      <c r="AN45" s="81">
        <f>SUM(AK45:AM45)</f>
        <v>146899.75</v>
      </c>
      <c r="AO45" s="81">
        <f t="shared" si="53"/>
        <v>177748.7</v>
      </c>
      <c r="AQ45" s="189"/>
      <c r="AR45" s="192"/>
      <c r="AS45" s="195"/>
      <c r="AT45" s="78">
        <f>ROUND($B45*AQ$44,2)</f>
        <v>128202.94</v>
      </c>
      <c r="AU45" s="79">
        <f>ROUND($C45*AR$44,2)</f>
        <v>16081.92</v>
      </c>
      <c r="AV45" s="80">
        <f>ROUND($D45*AS$44,2)</f>
        <v>4792</v>
      </c>
      <c r="AW45" s="81">
        <f>SUM(AT45:AV45)</f>
        <v>149076.86000000002</v>
      </c>
      <c r="AX45" s="81">
        <f t="shared" si="54"/>
        <v>180383</v>
      </c>
    </row>
    <row r="46" spans="1:50" ht="15" thickBot="1" x14ac:dyDescent="0.4">
      <c r="A46" s="99" t="s">
        <v>101</v>
      </c>
      <c r="B46" s="75">
        <f>'LOT 4 Lleida'!O17</f>
        <v>2321.454545454545</v>
      </c>
      <c r="C46" s="76">
        <f>'LOT 4 Lleida'!O19</f>
        <v>329.94230769230774</v>
      </c>
      <c r="D46" s="77">
        <f>'LOT 4 Lleida'!O20</f>
        <v>88</v>
      </c>
      <c r="G46" s="198"/>
      <c r="H46" s="201"/>
      <c r="I46" s="204"/>
      <c r="J46" s="78">
        <f>ROUND(244.3345*G$44,2)</f>
        <v>4886.6899999999996</v>
      </c>
      <c r="K46" s="79">
        <f>ROUND(37.2734*H$44,2)</f>
        <v>357.08</v>
      </c>
      <c r="L46" s="80">
        <f>ROUND(16.0018*I$44,2)</f>
        <v>350.76</v>
      </c>
      <c r="M46" s="81">
        <f>SUM(J46:L46)</f>
        <v>5594.53</v>
      </c>
      <c r="N46" s="81">
        <f t="shared" si="48"/>
        <v>6769.38</v>
      </c>
      <c r="P46" s="189"/>
      <c r="Q46" s="192"/>
      <c r="R46" s="195"/>
      <c r="S46" s="78">
        <f t="shared" si="49"/>
        <v>47821.96</v>
      </c>
      <c r="T46" s="79">
        <f t="shared" si="49"/>
        <v>3256.53</v>
      </c>
      <c r="U46" s="80">
        <f t="shared" si="49"/>
        <v>1987.04</v>
      </c>
      <c r="V46" s="81">
        <f>SUM(S46:U46)</f>
        <v>53065.53</v>
      </c>
      <c r="W46" s="81">
        <f t="shared" si="50"/>
        <v>64209.29</v>
      </c>
      <c r="Y46" s="189"/>
      <c r="Z46" s="192"/>
      <c r="AA46" s="195"/>
      <c r="AB46" s="78">
        <f t="shared" si="51"/>
        <v>49261.27</v>
      </c>
      <c r="AC46" s="79">
        <f t="shared" si="51"/>
        <v>3355.51</v>
      </c>
      <c r="AD46" s="80">
        <f t="shared" si="51"/>
        <v>2046.88</v>
      </c>
      <c r="AE46" s="81">
        <f>SUM(AB46:AD46)</f>
        <v>54663.659999999996</v>
      </c>
      <c r="AF46" s="81">
        <f t="shared" si="52"/>
        <v>66143.03</v>
      </c>
      <c r="AH46" s="189"/>
      <c r="AI46" s="192"/>
      <c r="AJ46" s="195"/>
      <c r="AK46" s="78">
        <f>ROUND($B46*AH$44,2)</f>
        <v>50004.13</v>
      </c>
      <c r="AL46" s="79">
        <f>ROUND($C46*AI$44,2)</f>
        <v>3405</v>
      </c>
      <c r="AM46" s="80">
        <f>ROUND($D46*AJ$44,2)</f>
        <v>2077.6799999999998</v>
      </c>
      <c r="AN46" s="81">
        <f>SUM(AK46:AM46)</f>
        <v>55486.81</v>
      </c>
      <c r="AO46" s="81">
        <f t="shared" si="53"/>
        <v>67139.039999999994</v>
      </c>
      <c r="AQ46" s="189"/>
      <c r="AR46" s="192"/>
      <c r="AS46" s="195"/>
      <c r="AT46" s="78">
        <f>ROUND($B46*AQ$44,2)</f>
        <v>50747</v>
      </c>
      <c r="AU46" s="79">
        <f>ROUND($C46*AR$44,2)</f>
        <v>3454.5</v>
      </c>
      <c r="AV46" s="80">
        <f>ROUND($D46*AS$44,2)</f>
        <v>2108.48</v>
      </c>
      <c r="AW46" s="81">
        <f>SUM(AT46:AV46)</f>
        <v>56309.98</v>
      </c>
      <c r="AX46" s="81">
        <f t="shared" si="54"/>
        <v>68135.08</v>
      </c>
    </row>
    <row r="47" spans="1:50" ht="15" thickBot="1" x14ac:dyDescent="0.4">
      <c r="A47" s="101" t="s">
        <v>87</v>
      </c>
      <c r="B47" s="102">
        <v>0</v>
      </c>
      <c r="C47" s="103">
        <v>0</v>
      </c>
      <c r="D47" s="77">
        <v>0</v>
      </c>
      <c r="G47" s="198"/>
      <c r="H47" s="201"/>
      <c r="I47" s="204"/>
      <c r="J47" s="104">
        <f>ROUND(B47*H$9,2)</f>
        <v>0</v>
      </c>
      <c r="K47" s="105">
        <f>ROUND(C47*H$9,2)</f>
        <v>0</v>
      </c>
      <c r="L47" s="106">
        <f t="shared" ref="L47" si="55">ROUND(D47*I$9,2)</f>
        <v>0</v>
      </c>
      <c r="M47" s="107">
        <f>38077.24*25%</f>
        <v>9519.31</v>
      </c>
      <c r="N47" s="107">
        <f t="shared" si="48"/>
        <v>11518.37</v>
      </c>
      <c r="P47" s="189"/>
      <c r="Q47" s="192"/>
      <c r="R47" s="195"/>
      <c r="S47" s="104">
        <f t="shared" ref="S47:U47" si="56">ROUND(B47*P$9,2)</f>
        <v>0</v>
      </c>
      <c r="T47" s="105">
        <f t="shared" si="56"/>
        <v>0</v>
      </c>
      <c r="U47" s="106">
        <f t="shared" si="56"/>
        <v>0</v>
      </c>
      <c r="V47" s="107">
        <v>38077.24</v>
      </c>
      <c r="W47" s="107">
        <f t="shared" si="50"/>
        <v>46073.46</v>
      </c>
      <c r="Y47" s="189"/>
      <c r="Z47" s="192"/>
      <c r="AA47" s="195"/>
      <c r="AB47" s="104">
        <f t="shared" ref="AB47:AD47" si="57">ROUND(B47*Y$9,2)</f>
        <v>0</v>
      </c>
      <c r="AC47" s="105">
        <f t="shared" si="57"/>
        <v>0</v>
      </c>
      <c r="AD47" s="106">
        <f t="shared" si="57"/>
        <v>0</v>
      </c>
      <c r="AE47" s="107">
        <v>38077.24</v>
      </c>
      <c r="AF47" s="107">
        <f t="shared" si="52"/>
        <v>46073.46</v>
      </c>
      <c r="AH47" s="189"/>
      <c r="AI47" s="192"/>
      <c r="AJ47" s="195"/>
      <c r="AK47" s="104">
        <f>ROUND($B47*AH$9,2)</f>
        <v>0</v>
      </c>
      <c r="AL47" s="105">
        <f>ROUND($C47*AI$9,2)</f>
        <v>0</v>
      </c>
      <c r="AM47" s="106">
        <f>ROUND($D47*AJ$9,2)</f>
        <v>0</v>
      </c>
      <c r="AN47" s="107">
        <v>38077.24</v>
      </c>
      <c r="AO47" s="107">
        <f t="shared" si="53"/>
        <v>46073.46</v>
      </c>
      <c r="AQ47" s="189"/>
      <c r="AR47" s="192"/>
      <c r="AS47" s="195"/>
      <c r="AT47" s="104">
        <f>ROUND($B47*AQ$9,2)</f>
        <v>0</v>
      </c>
      <c r="AU47" s="105">
        <f>ROUND($C47*AR$9,2)</f>
        <v>0</v>
      </c>
      <c r="AV47" s="106">
        <f>ROUND($D47*AS$9,2)</f>
        <v>0</v>
      </c>
      <c r="AW47" s="107">
        <v>38077.24</v>
      </c>
      <c r="AX47" s="107">
        <f t="shared" si="54"/>
        <v>46073.46</v>
      </c>
    </row>
    <row r="48" spans="1:50" ht="15.5" thickTop="1" thickBot="1" x14ac:dyDescent="0.4">
      <c r="A48" s="82" t="s">
        <v>74</v>
      </c>
      <c r="B48" s="83">
        <f>SUM(B44:B47)</f>
        <v>13480.727272727272</v>
      </c>
      <c r="C48" s="84">
        <f>SUM(C44:C47)</f>
        <v>3099.136752136752</v>
      </c>
      <c r="D48" s="85">
        <f>SUM(D44:D47)</f>
        <v>496</v>
      </c>
      <c r="G48" s="199"/>
      <c r="H48" s="202"/>
      <c r="I48" s="205"/>
      <c r="J48" s="86">
        <f>SUM(J44:J47)</f>
        <v>50495.770000000004</v>
      </c>
      <c r="K48" s="87">
        <f>SUM(K44:K47)</f>
        <v>6203.67</v>
      </c>
      <c r="L48" s="88">
        <f>SUM(L44:L47)</f>
        <v>2981.4400000000005</v>
      </c>
      <c r="M48" s="88">
        <f>SUM(M44:M47)</f>
        <v>69200.189999999988</v>
      </c>
      <c r="N48" s="88">
        <f>SUM(N44:N47)</f>
        <v>83732.240000000005</v>
      </c>
      <c r="P48" s="190"/>
      <c r="Q48" s="193"/>
      <c r="R48" s="196"/>
      <c r="S48" s="91">
        <f>SUM(S44:S47)</f>
        <v>277702.98000000004</v>
      </c>
      <c r="T48" s="92">
        <f>SUM(T44:T47)</f>
        <v>30588.479999999996</v>
      </c>
      <c r="U48" s="93">
        <f>SUM(U44:U47)</f>
        <v>11199.68</v>
      </c>
      <c r="V48" s="93">
        <f>SUM(V44:V47)</f>
        <v>357568.38</v>
      </c>
      <c r="W48" s="94">
        <f>SUM(W44:W47)</f>
        <v>432657.74</v>
      </c>
      <c r="Y48" s="190"/>
      <c r="Z48" s="193"/>
      <c r="AA48" s="196"/>
      <c r="AB48" s="91">
        <f>SUM(AB44:AB47)</f>
        <v>286061.03000000003</v>
      </c>
      <c r="AC48" s="92">
        <f>SUM(AC44:AC47)</f>
        <v>31518.22</v>
      </c>
      <c r="AD48" s="93">
        <f>SUM(AD44:AD47)</f>
        <v>11536.96</v>
      </c>
      <c r="AE48" s="93">
        <f>SUM(AE44:AE47)</f>
        <v>367193.44999999995</v>
      </c>
      <c r="AF48" s="94">
        <f>SUM(AF44:AF47)</f>
        <v>444304.07</v>
      </c>
      <c r="AH48" s="190"/>
      <c r="AI48" s="193"/>
      <c r="AJ48" s="196"/>
      <c r="AK48" s="91">
        <f>SUM(AK44:AK47)</f>
        <v>290374.87</v>
      </c>
      <c r="AL48" s="92">
        <f>SUM(AL44:AL47)</f>
        <v>31983.09</v>
      </c>
      <c r="AM48" s="93">
        <f>SUM(AM44:AM47)</f>
        <v>11710.560000000001</v>
      </c>
      <c r="AN48" s="93">
        <f>SUM(AN44:AN47)</f>
        <v>372145.75999999995</v>
      </c>
      <c r="AO48" s="94">
        <f>SUM(AO44:AO47)</f>
        <v>450296.37</v>
      </c>
      <c r="AQ48" s="190"/>
      <c r="AR48" s="193"/>
      <c r="AS48" s="196"/>
      <c r="AT48" s="91">
        <f>SUM(AT44:AT47)</f>
        <v>294688.7</v>
      </c>
      <c r="AU48" s="92">
        <f>SUM(AU44:AU47)</f>
        <v>32447.97</v>
      </c>
      <c r="AV48" s="93">
        <f>SUM(AV44:AV47)</f>
        <v>11884.16</v>
      </c>
      <c r="AW48" s="93">
        <f>SUM(AW44:AW47)</f>
        <v>377098.06999999995</v>
      </c>
      <c r="AX48" s="94">
        <f>SUM(AX44:AX47)</f>
        <v>456288.67000000004</v>
      </c>
    </row>
  </sheetData>
  <sheetProtection sheet="1" objects="1" scenarios="1"/>
  <mergeCells count="128">
    <mergeCell ref="A1:W1"/>
    <mergeCell ref="A3:W3"/>
    <mergeCell ref="A4:W4"/>
    <mergeCell ref="B6:C6"/>
    <mergeCell ref="G6:N6"/>
    <mergeCell ref="P6:R6"/>
    <mergeCell ref="Y6:AA6"/>
    <mergeCell ref="AH6:AJ6"/>
    <mergeCell ref="A2:W2"/>
    <mergeCell ref="AQ6:AS6"/>
    <mergeCell ref="AB7:AE7"/>
    <mergeCell ref="AH7:AJ7"/>
    <mergeCell ref="AK7:AN7"/>
    <mergeCell ref="AQ7:AS7"/>
    <mergeCell ref="AT7:AW7"/>
    <mergeCell ref="G9:G18"/>
    <mergeCell ref="H9:H18"/>
    <mergeCell ref="I9:I18"/>
    <mergeCell ref="P9:P18"/>
    <mergeCell ref="G7:I7"/>
    <mergeCell ref="J7:M7"/>
    <mergeCell ref="P7:R7"/>
    <mergeCell ref="S7:V7"/>
    <mergeCell ref="Y7:AA7"/>
    <mergeCell ref="AR9:AR18"/>
    <mergeCell ref="AS9:AS18"/>
    <mergeCell ref="B20:C20"/>
    <mergeCell ref="G20:N20"/>
    <mergeCell ref="P20:R20"/>
    <mergeCell ref="Y20:AA20"/>
    <mergeCell ref="AH20:AJ20"/>
    <mergeCell ref="AQ20:AS20"/>
    <mergeCell ref="AA9:AA18"/>
    <mergeCell ref="AH9:AH18"/>
    <mergeCell ref="AI9:AI18"/>
    <mergeCell ref="AJ9:AJ18"/>
    <mergeCell ref="AQ9:AQ18"/>
    <mergeCell ref="Q9:Q18"/>
    <mergeCell ref="R9:R18"/>
    <mergeCell ref="Y9:Y18"/>
    <mergeCell ref="Z9:Z18"/>
    <mergeCell ref="AT21:AW21"/>
    <mergeCell ref="G23:G28"/>
    <mergeCell ref="H23:H28"/>
    <mergeCell ref="I23:I28"/>
    <mergeCell ref="P23:P28"/>
    <mergeCell ref="Q23:Q28"/>
    <mergeCell ref="R23:R28"/>
    <mergeCell ref="G21:I21"/>
    <mergeCell ref="J21:M21"/>
    <mergeCell ref="P21:R21"/>
    <mergeCell ref="S21:V21"/>
    <mergeCell ref="Y21:AA21"/>
    <mergeCell ref="AB21:AE21"/>
    <mergeCell ref="AQ23:AQ28"/>
    <mergeCell ref="AR23:AR28"/>
    <mergeCell ref="AS23:AS28"/>
    <mergeCell ref="Y23:Y28"/>
    <mergeCell ref="Z23:Z28"/>
    <mergeCell ref="AA23:AA28"/>
    <mergeCell ref="AH23:AH28"/>
    <mergeCell ref="AI23:AI28"/>
    <mergeCell ref="AJ23:AJ28"/>
    <mergeCell ref="AH21:AJ21"/>
    <mergeCell ref="AK21:AN21"/>
    <mergeCell ref="AQ21:AS21"/>
    <mergeCell ref="AT42:AW42"/>
    <mergeCell ref="S42:V42"/>
    <mergeCell ref="Y42:AA42"/>
    <mergeCell ref="AB42:AE42"/>
    <mergeCell ref="B30:C30"/>
    <mergeCell ref="G30:N30"/>
    <mergeCell ref="P30:R30"/>
    <mergeCell ref="Y30:AA30"/>
    <mergeCell ref="AH30:AJ30"/>
    <mergeCell ref="AQ30:AS30"/>
    <mergeCell ref="AH31:AJ31"/>
    <mergeCell ref="AK31:AN31"/>
    <mergeCell ref="AQ31:AS31"/>
    <mergeCell ref="AT31:AW31"/>
    <mergeCell ref="G33:G39"/>
    <mergeCell ref="H33:H39"/>
    <mergeCell ref="I33:I39"/>
    <mergeCell ref="P33:P39"/>
    <mergeCell ref="Q33:Q39"/>
    <mergeCell ref="R33:R39"/>
    <mergeCell ref="G31:I31"/>
    <mergeCell ref="J31:M31"/>
    <mergeCell ref="P31:R31"/>
    <mergeCell ref="S31:V31"/>
    <mergeCell ref="Y31:AA31"/>
    <mergeCell ref="AB31:AE31"/>
    <mergeCell ref="AQ33:AQ39"/>
    <mergeCell ref="AR33:AR39"/>
    <mergeCell ref="AS33:AS39"/>
    <mergeCell ref="B41:C41"/>
    <mergeCell ref="G41:N41"/>
    <mergeCell ref="P41:R41"/>
    <mergeCell ref="Y41:AA41"/>
    <mergeCell ref="AH41:AJ41"/>
    <mergeCell ref="AQ41:AS41"/>
    <mergeCell ref="Y33:Y39"/>
    <mergeCell ref="Z33:Z39"/>
    <mergeCell ref="AA33:AA39"/>
    <mergeCell ref="AH33:AH39"/>
    <mergeCell ref="AI33:AI39"/>
    <mergeCell ref="AJ33:AJ39"/>
    <mergeCell ref="G44:G48"/>
    <mergeCell ref="H44:H48"/>
    <mergeCell ref="I44:I48"/>
    <mergeCell ref="P44:P48"/>
    <mergeCell ref="Q44:Q48"/>
    <mergeCell ref="R44:R48"/>
    <mergeCell ref="G42:I42"/>
    <mergeCell ref="J42:M42"/>
    <mergeCell ref="P42:R42"/>
    <mergeCell ref="AH42:AJ42"/>
    <mergeCell ref="AK42:AN42"/>
    <mergeCell ref="AQ44:AQ48"/>
    <mergeCell ref="AR44:AR48"/>
    <mergeCell ref="AS44:AS48"/>
    <mergeCell ref="Y44:Y48"/>
    <mergeCell ref="Z44:Z48"/>
    <mergeCell ref="AA44:AA48"/>
    <mergeCell ref="AH44:AH48"/>
    <mergeCell ref="AI44:AI48"/>
    <mergeCell ref="AJ44:AJ48"/>
    <mergeCell ref="AQ42:AS4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8" fitToWidth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55"/>
  <sheetViews>
    <sheetView zoomScaleNormal="100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D25" sqref="D25"/>
    </sheetView>
  </sheetViews>
  <sheetFormatPr defaultRowHeight="14.5" x14ac:dyDescent="0.35"/>
  <cols>
    <col min="1" max="1" width="25.81640625" style="6" customWidth="1"/>
    <col min="2" max="2" width="26.81640625" bestFit="1" customWidth="1"/>
    <col min="3" max="15" width="10.81640625" customWidth="1"/>
  </cols>
  <sheetData>
    <row r="1" spans="1:15" x14ac:dyDescent="0.35">
      <c r="A1" s="6" t="s">
        <v>76</v>
      </c>
    </row>
    <row r="2" spans="1:15" ht="15" thickBot="1" x14ac:dyDescent="0.4"/>
    <row r="3" spans="1:15" ht="15" customHeight="1" thickBot="1" x14ac:dyDescent="0.4">
      <c r="A3" s="166" t="s">
        <v>35</v>
      </c>
      <c r="B3" s="167" t="s">
        <v>36</v>
      </c>
      <c r="C3" s="168" t="s">
        <v>25</v>
      </c>
      <c r="D3" s="169" t="s">
        <v>26</v>
      </c>
      <c r="E3" s="169" t="s">
        <v>27</v>
      </c>
      <c r="F3" s="169" t="s">
        <v>20</v>
      </c>
      <c r="G3" s="169" t="s">
        <v>21</v>
      </c>
      <c r="H3" s="169" t="s">
        <v>22</v>
      </c>
      <c r="I3" s="169" t="s">
        <v>23</v>
      </c>
      <c r="J3" s="169" t="s">
        <v>24</v>
      </c>
      <c r="K3" s="169" t="s">
        <v>28</v>
      </c>
      <c r="L3" s="169" t="s">
        <v>29</v>
      </c>
      <c r="M3" s="169" t="s">
        <v>30</v>
      </c>
      <c r="N3" s="170" t="s">
        <v>31</v>
      </c>
      <c r="O3" s="174" t="s">
        <v>32</v>
      </c>
    </row>
    <row r="4" spans="1:15" ht="15" customHeight="1" x14ac:dyDescent="0.35">
      <c r="A4" s="219" t="s">
        <v>0</v>
      </c>
      <c r="B4" s="179" t="s">
        <v>33</v>
      </c>
      <c r="C4" s="12">
        <v>3</v>
      </c>
      <c r="D4" s="12">
        <v>3</v>
      </c>
      <c r="E4" s="12">
        <v>3</v>
      </c>
      <c r="F4" s="12">
        <v>3</v>
      </c>
      <c r="G4" s="12">
        <v>3.5</v>
      </c>
      <c r="H4" s="12">
        <v>3</v>
      </c>
      <c r="I4" s="12">
        <v>3</v>
      </c>
      <c r="J4" s="12">
        <v>3</v>
      </c>
      <c r="K4" s="12">
        <v>3</v>
      </c>
      <c r="L4" s="12">
        <v>3.25</v>
      </c>
      <c r="M4" s="12">
        <v>3.5</v>
      </c>
      <c r="N4" s="15">
        <v>3</v>
      </c>
      <c r="O4" s="21">
        <v>37.25</v>
      </c>
    </row>
    <row r="5" spans="1:15" ht="15" customHeight="1" x14ac:dyDescent="0.35">
      <c r="A5" s="222"/>
      <c r="B5" s="22" t="s">
        <v>44</v>
      </c>
      <c r="C5" s="55">
        <v>488.72727272727275</v>
      </c>
      <c r="D5" s="55">
        <v>488.72727272727275</v>
      </c>
      <c r="E5" s="55">
        <v>488.72727272727275</v>
      </c>
      <c r="F5" s="55">
        <v>488.72727272727275</v>
      </c>
      <c r="G5" s="55">
        <v>570.18181818181813</v>
      </c>
      <c r="H5" s="55">
        <v>488.72727272727275</v>
      </c>
      <c r="I5" s="55">
        <v>488.72727272727275</v>
      </c>
      <c r="J5" s="55">
        <v>488.72727272727275</v>
      </c>
      <c r="K5" s="55">
        <v>488.72727272727275</v>
      </c>
      <c r="L5" s="55">
        <v>529.4545454545455</v>
      </c>
      <c r="M5" s="55">
        <v>570.18181818181813</v>
      </c>
      <c r="N5" s="56">
        <v>488.72727272727275</v>
      </c>
      <c r="O5" s="58">
        <v>6068.3636363636369</v>
      </c>
    </row>
    <row r="6" spans="1:15" ht="15" hidden="1" customHeight="1" x14ac:dyDescent="0.35">
      <c r="A6" s="222"/>
      <c r="B6" s="180" t="s">
        <v>45</v>
      </c>
      <c r="C6" s="33">
        <v>18</v>
      </c>
      <c r="D6" s="33">
        <v>12</v>
      </c>
      <c r="E6" s="33">
        <v>15</v>
      </c>
      <c r="F6" s="33">
        <v>18</v>
      </c>
      <c r="G6" s="33">
        <v>21</v>
      </c>
      <c r="H6" s="33">
        <v>15</v>
      </c>
      <c r="I6" s="33">
        <v>12</v>
      </c>
      <c r="J6" s="33">
        <v>18</v>
      </c>
      <c r="K6" s="33">
        <v>15</v>
      </c>
      <c r="L6" s="33">
        <v>16.25</v>
      </c>
      <c r="M6" s="33">
        <v>17.5</v>
      </c>
      <c r="N6" s="57">
        <v>21</v>
      </c>
      <c r="O6" s="22">
        <v>198.75</v>
      </c>
    </row>
    <row r="7" spans="1:15" ht="15" customHeight="1" x14ac:dyDescent="0.35">
      <c r="A7" s="223"/>
      <c r="B7" s="181" t="s">
        <v>58</v>
      </c>
      <c r="C7" s="60">
        <v>111.75</v>
      </c>
      <c r="D7" s="60">
        <v>74.5</v>
      </c>
      <c r="E7" s="60">
        <v>93.125</v>
      </c>
      <c r="F7" s="60">
        <v>111.75</v>
      </c>
      <c r="G7" s="60">
        <v>130.375</v>
      </c>
      <c r="H7" s="60">
        <v>93.125</v>
      </c>
      <c r="I7" s="60">
        <v>74.5</v>
      </c>
      <c r="J7" s="60">
        <v>111.75</v>
      </c>
      <c r="K7" s="60">
        <v>93.125</v>
      </c>
      <c r="L7" s="60">
        <v>100.88541666666666</v>
      </c>
      <c r="M7" s="60">
        <v>108.64583333333333</v>
      </c>
      <c r="N7" s="61">
        <v>130.375</v>
      </c>
      <c r="O7" s="58">
        <v>1233.90625</v>
      </c>
    </row>
    <row r="8" spans="1:15" ht="15" customHeight="1" x14ac:dyDescent="0.35">
      <c r="A8" s="223"/>
      <c r="B8" s="181" t="s">
        <v>57</v>
      </c>
      <c r="C8" s="60">
        <v>16</v>
      </c>
      <c r="D8" s="60">
        <v>16</v>
      </c>
      <c r="E8" s="60">
        <v>16</v>
      </c>
      <c r="F8" s="60">
        <v>16</v>
      </c>
      <c r="G8" s="60">
        <v>16</v>
      </c>
      <c r="H8" s="60">
        <v>16</v>
      </c>
      <c r="I8" s="60">
        <v>16</v>
      </c>
      <c r="J8" s="60">
        <v>16</v>
      </c>
      <c r="K8" s="60">
        <v>16</v>
      </c>
      <c r="L8" s="60">
        <v>24</v>
      </c>
      <c r="M8" s="60">
        <v>16</v>
      </c>
      <c r="N8" s="61">
        <v>16</v>
      </c>
      <c r="O8" s="22">
        <v>200</v>
      </c>
    </row>
    <row r="9" spans="1:15" ht="15" customHeight="1" thickBot="1" x14ac:dyDescent="0.4">
      <c r="A9" s="221"/>
      <c r="B9" s="182" t="s">
        <v>56</v>
      </c>
      <c r="C9" s="13">
        <v>2</v>
      </c>
      <c r="D9" s="13">
        <v>2</v>
      </c>
      <c r="E9" s="13">
        <v>2</v>
      </c>
      <c r="F9" s="13">
        <v>2</v>
      </c>
      <c r="G9" s="13">
        <v>2</v>
      </c>
      <c r="H9" s="13">
        <v>2</v>
      </c>
      <c r="I9" s="13">
        <v>2</v>
      </c>
      <c r="J9" s="13">
        <v>2</v>
      </c>
      <c r="K9" s="13">
        <v>2</v>
      </c>
      <c r="L9" s="13">
        <v>3</v>
      </c>
      <c r="M9" s="13">
        <v>2</v>
      </c>
      <c r="N9" s="16">
        <v>2</v>
      </c>
      <c r="O9" s="23">
        <v>25</v>
      </c>
    </row>
    <row r="10" spans="1:15" ht="15" customHeight="1" x14ac:dyDescent="0.35">
      <c r="A10" s="224" t="s">
        <v>1</v>
      </c>
      <c r="B10" s="179" t="s">
        <v>33</v>
      </c>
      <c r="C10" s="38">
        <v>4.25</v>
      </c>
      <c r="D10" s="14">
        <v>4.25</v>
      </c>
      <c r="E10" s="14">
        <v>4.25</v>
      </c>
      <c r="F10" s="14">
        <v>4.25</v>
      </c>
      <c r="G10" s="14">
        <v>4.25</v>
      </c>
      <c r="H10" s="14">
        <v>4.25</v>
      </c>
      <c r="I10" s="14">
        <v>4.25</v>
      </c>
      <c r="J10" s="14">
        <v>4.25</v>
      </c>
      <c r="K10" s="14">
        <v>2.75</v>
      </c>
      <c r="L10" s="14">
        <v>0</v>
      </c>
      <c r="M10" s="14">
        <v>2.25</v>
      </c>
      <c r="N10" s="17">
        <v>1.5</v>
      </c>
      <c r="O10" s="24">
        <v>40.5</v>
      </c>
    </row>
    <row r="11" spans="1:15" ht="15" customHeight="1" x14ac:dyDescent="0.35">
      <c r="A11" s="222"/>
      <c r="B11" s="22" t="s">
        <v>44</v>
      </c>
      <c r="C11" s="55">
        <v>692.36363636363637</v>
      </c>
      <c r="D11" s="55">
        <v>692.36363636363637</v>
      </c>
      <c r="E11" s="55">
        <v>692.36363636363637</v>
      </c>
      <c r="F11" s="55">
        <v>692.36363636363637</v>
      </c>
      <c r="G11" s="55">
        <v>692.36363636363637</v>
      </c>
      <c r="H11" s="55">
        <v>692.36363636363637</v>
      </c>
      <c r="I11" s="55">
        <v>692.36363636363637</v>
      </c>
      <c r="J11" s="55">
        <v>692.36363636363637</v>
      </c>
      <c r="K11" s="55">
        <v>448</v>
      </c>
      <c r="L11" s="55">
        <v>0</v>
      </c>
      <c r="M11" s="55">
        <v>366.54545454545456</v>
      </c>
      <c r="N11" s="56">
        <v>244.36363636363637</v>
      </c>
      <c r="O11" s="58">
        <v>6597.8181818181811</v>
      </c>
    </row>
    <row r="12" spans="1:15" ht="15" hidden="1" customHeight="1" x14ac:dyDescent="0.35">
      <c r="A12" s="222"/>
      <c r="B12" s="180" t="s">
        <v>45</v>
      </c>
      <c r="C12" s="37">
        <v>25.5</v>
      </c>
      <c r="D12" s="33">
        <v>17</v>
      </c>
      <c r="E12" s="33">
        <v>21.25</v>
      </c>
      <c r="F12" s="33">
        <v>25.5</v>
      </c>
      <c r="G12" s="33">
        <v>25.5</v>
      </c>
      <c r="H12" s="33">
        <v>21.25</v>
      </c>
      <c r="I12" s="33">
        <v>17</v>
      </c>
      <c r="J12" s="33">
        <v>25.5</v>
      </c>
      <c r="K12" s="33">
        <v>13.75</v>
      </c>
      <c r="L12" s="33">
        <v>0</v>
      </c>
      <c r="M12" s="33">
        <v>11.25</v>
      </c>
      <c r="N12" s="57">
        <v>10.5</v>
      </c>
      <c r="O12" s="22">
        <v>214</v>
      </c>
    </row>
    <row r="13" spans="1:15" ht="15" customHeight="1" x14ac:dyDescent="0.35">
      <c r="A13" s="223"/>
      <c r="B13" s="181" t="s">
        <v>58</v>
      </c>
      <c r="C13" s="63">
        <v>142.44827586206895</v>
      </c>
      <c r="D13" s="63">
        <v>94.965517241379317</v>
      </c>
      <c r="E13" s="63">
        <v>118.70689655172414</v>
      </c>
      <c r="F13" s="63">
        <v>142.44827586206895</v>
      </c>
      <c r="G13" s="63">
        <v>142.44827586206895</v>
      </c>
      <c r="H13" s="63">
        <v>118.70689655172414</v>
      </c>
      <c r="I13" s="63">
        <v>94.965517241379317</v>
      </c>
      <c r="J13" s="63">
        <v>142.44827586206895</v>
      </c>
      <c r="K13" s="63">
        <v>76.810344827586206</v>
      </c>
      <c r="L13" s="63">
        <v>0</v>
      </c>
      <c r="M13" s="63">
        <v>62.844827586206897</v>
      </c>
      <c r="N13" s="171">
        <v>58.655172413793103</v>
      </c>
      <c r="O13" s="58">
        <v>1195.4482758620688</v>
      </c>
    </row>
    <row r="14" spans="1:15" ht="15" customHeight="1" x14ac:dyDescent="0.35">
      <c r="A14" s="223"/>
      <c r="B14" s="181" t="s">
        <v>57</v>
      </c>
      <c r="C14" s="60">
        <v>16</v>
      </c>
      <c r="D14" s="60">
        <v>16</v>
      </c>
      <c r="E14" s="60">
        <v>16</v>
      </c>
      <c r="F14" s="60">
        <v>16</v>
      </c>
      <c r="G14" s="60">
        <v>16</v>
      </c>
      <c r="H14" s="60">
        <v>16</v>
      </c>
      <c r="I14" s="60">
        <v>16</v>
      </c>
      <c r="J14" s="60">
        <v>16</v>
      </c>
      <c r="K14" s="60">
        <v>16</v>
      </c>
      <c r="L14" s="60">
        <v>24</v>
      </c>
      <c r="M14" s="60">
        <v>16</v>
      </c>
      <c r="N14" s="61">
        <v>16</v>
      </c>
      <c r="O14" s="22">
        <v>200</v>
      </c>
    </row>
    <row r="15" spans="1:15" ht="15" customHeight="1" thickBot="1" x14ac:dyDescent="0.4">
      <c r="A15" s="223"/>
      <c r="B15" s="182" t="s">
        <v>56</v>
      </c>
      <c r="C15" s="13">
        <v>2</v>
      </c>
      <c r="D15" s="13">
        <v>2</v>
      </c>
      <c r="E15" s="13">
        <v>2</v>
      </c>
      <c r="F15" s="13">
        <v>2</v>
      </c>
      <c r="G15" s="13">
        <v>2</v>
      </c>
      <c r="H15" s="13">
        <v>2</v>
      </c>
      <c r="I15" s="13">
        <v>2</v>
      </c>
      <c r="J15" s="13">
        <v>2</v>
      </c>
      <c r="K15" s="13">
        <v>2</v>
      </c>
      <c r="L15" s="13">
        <v>3</v>
      </c>
      <c r="M15" s="13">
        <v>2</v>
      </c>
      <c r="N15" s="16">
        <v>2</v>
      </c>
      <c r="O15" s="22">
        <v>25</v>
      </c>
    </row>
    <row r="16" spans="1:15" ht="15" customHeight="1" x14ac:dyDescent="0.35">
      <c r="A16" s="219" t="s">
        <v>2</v>
      </c>
      <c r="B16" s="179" t="s">
        <v>33</v>
      </c>
      <c r="C16" s="31">
        <v>0.5</v>
      </c>
      <c r="D16" s="12">
        <v>0.5</v>
      </c>
      <c r="E16" s="12">
        <v>0.5</v>
      </c>
      <c r="F16" s="12">
        <v>0.75</v>
      </c>
      <c r="G16" s="12">
        <v>0.75</v>
      </c>
      <c r="H16" s="12">
        <v>1.25</v>
      </c>
      <c r="I16" s="12">
        <v>1.5</v>
      </c>
      <c r="J16" s="12">
        <v>1.5</v>
      </c>
      <c r="K16" s="12">
        <v>0.5</v>
      </c>
      <c r="L16" s="12">
        <v>0.5</v>
      </c>
      <c r="M16" s="12">
        <v>0.5</v>
      </c>
      <c r="N16" s="15">
        <v>0.5</v>
      </c>
      <c r="O16" s="21">
        <v>9.25</v>
      </c>
    </row>
    <row r="17" spans="1:15" ht="15" customHeight="1" x14ac:dyDescent="0.35">
      <c r="A17" s="222"/>
      <c r="B17" s="22" t="s">
        <v>44</v>
      </c>
      <c r="C17" s="55">
        <v>81.454545454545453</v>
      </c>
      <c r="D17" s="55">
        <v>81.454545454545453</v>
      </c>
      <c r="E17" s="55">
        <v>81.454545454545453</v>
      </c>
      <c r="F17" s="55">
        <v>122.18181818181819</v>
      </c>
      <c r="G17" s="55">
        <v>122.18181818181819</v>
      </c>
      <c r="H17" s="55">
        <v>203.63636363636363</v>
      </c>
      <c r="I17" s="55">
        <v>244.36363636363637</v>
      </c>
      <c r="J17" s="55">
        <v>244.36363636363637</v>
      </c>
      <c r="K17" s="55">
        <v>81.454545454545453</v>
      </c>
      <c r="L17" s="55">
        <v>81.454545454545453</v>
      </c>
      <c r="M17" s="55">
        <v>81.454545454545453</v>
      </c>
      <c r="N17" s="56">
        <v>81.454545454545453</v>
      </c>
      <c r="O17" s="58">
        <v>1506.909090909091</v>
      </c>
    </row>
    <row r="18" spans="1:15" ht="15" hidden="1" customHeight="1" x14ac:dyDescent="0.35">
      <c r="A18" s="222"/>
      <c r="B18" s="180" t="s">
        <v>45</v>
      </c>
      <c r="C18" s="37">
        <v>3</v>
      </c>
      <c r="D18" s="33">
        <v>2</v>
      </c>
      <c r="E18" s="33">
        <v>2.5</v>
      </c>
      <c r="F18" s="33">
        <v>4.5</v>
      </c>
      <c r="G18" s="33">
        <v>4.5</v>
      </c>
      <c r="H18" s="33">
        <v>6.25</v>
      </c>
      <c r="I18" s="33">
        <v>6</v>
      </c>
      <c r="J18" s="33">
        <v>9</v>
      </c>
      <c r="K18" s="33">
        <v>2.5</v>
      </c>
      <c r="L18" s="33">
        <v>2.5</v>
      </c>
      <c r="M18" s="33">
        <v>2.5</v>
      </c>
      <c r="N18" s="57">
        <v>3.5</v>
      </c>
      <c r="O18" s="22">
        <v>48.75</v>
      </c>
    </row>
    <row r="19" spans="1:15" ht="15" customHeight="1" x14ac:dyDescent="0.35">
      <c r="A19" s="223"/>
      <c r="B19" s="181" t="s">
        <v>58</v>
      </c>
      <c r="C19" s="63">
        <v>14.8</v>
      </c>
      <c r="D19" s="63">
        <v>9.8666666666666671</v>
      </c>
      <c r="E19" s="63">
        <v>12.333333333333334</v>
      </c>
      <c r="F19" s="63">
        <v>22.200000000000003</v>
      </c>
      <c r="G19" s="63">
        <v>22.200000000000003</v>
      </c>
      <c r="H19" s="63">
        <v>30.833333333333336</v>
      </c>
      <c r="I19" s="63">
        <v>29.6</v>
      </c>
      <c r="J19" s="63">
        <v>44.400000000000006</v>
      </c>
      <c r="K19" s="63">
        <v>12.333333333333334</v>
      </c>
      <c r="L19" s="63">
        <v>12.333333333333334</v>
      </c>
      <c r="M19" s="63">
        <v>12.333333333333334</v>
      </c>
      <c r="N19" s="171">
        <v>17.266666666666666</v>
      </c>
      <c r="O19" s="58">
        <v>240.50000000000006</v>
      </c>
    </row>
    <row r="20" spans="1:15" ht="15" customHeight="1" x14ac:dyDescent="0.35">
      <c r="A20" s="223"/>
      <c r="B20" s="181" t="s">
        <v>57</v>
      </c>
      <c r="C20" s="60">
        <v>8</v>
      </c>
      <c r="D20" s="60">
        <v>8</v>
      </c>
      <c r="E20" s="60">
        <v>8</v>
      </c>
      <c r="F20" s="60">
        <v>8</v>
      </c>
      <c r="G20" s="60">
        <v>8</v>
      </c>
      <c r="H20" s="60">
        <v>8</v>
      </c>
      <c r="I20" s="60">
        <v>8</v>
      </c>
      <c r="J20" s="60">
        <v>8</v>
      </c>
      <c r="K20" s="60">
        <v>8</v>
      </c>
      <c r="L20" s="60">
        <v>24</v>
      </c>
      <c r="M20" s="60">
        <v>8</v>
      </c>
      <c r="N20" s="61">
        <v>8</v>
      </c>
      <c r="O20" s="22">
        <v>112</v>
      </c>
    </row>
    <row r="21" spans="1:15" ht="15" customHeight="1" thickBot="1" x14ac:dyDescent="0.4">
      <c r="A21" s="221"/>
      <c r="B21" s="182" t="s">
        <v>56</v>
      </c>
      <c r="C21" s="32">
        <v>1</v>
      </c>
      <c r="D21" s="13">
        <v>1</v>
      </c>
      <c r="E21" s="13">
        <v>1</v>
      </c>
      <c r="F21" s="13">
        <v>1</v>
      </c>
      <c r="G21" s="13">
        <v>1</v>
      </c>
      <c r="H21" s="13">
        <v>1</v>
      </c>
      <c r="I21" s="13">
        <v>1</v>
      </c>
      <c r="J21" s="13">
        <v>1</v>
      </c>
      <c r="K21" s="13">
        <v>1</v>
      </c>
      <c r="L21" s="13">
        <v>3</v>
      </c>
      <c r="M21" s="13">
        <v>1</v>
      </c>
      <c r="N21" s="16">
        <v>1</v>
      </c>
      <c r="O21" s="23">
        <v>14</v>
      </c>
    </row>
    <row r="22" spans="1:15" ht="15" customHeight="1" x14ac:dyDescent="0.35">
      <c r="A22" s="224" t="s">
        <v>3</v>
      </c>
      <c r="B22" s="179" t="s">
        <v>33</v>
      </c>
      <c r="C22" s="38">
        <v>0</v>
      </c>
      <c r="D22" s="14">
        <v>1.5</v>
      </c>
      <c r="E22" s="14">
        <v>3.5</v>
      </c>
      <c r="F22" s="14">
        <v>3.5</v>
      </c>
      <c r="G22" s="14">
        <v>3.5</v>
      </c>
      <c r="H22" s="14">
        <v>3.5</v>
      </c>
      <c r="I22" s="14">
        <v>3.5</v>
      </c>
      <c r="J22" s="14">
        <v>3.5</v>
      </c>
      <c r="K22" s="14">
        <v>2.5</v>
      </c>
      <c r="L22" s="14">
        <v>3</v>
      </c>
      <c r="M22" s="14">
        <v>2</v>
      </c>
      <c r="N22" s="17">
        <v>1</v>
      </c>
      <c r="O22" s="24">
        <v>31</v>
      </c>
    </row>
    <row r="23" spans="1:15" ht="15" customHeight="1" x14ac:dyDescent="0.35">
      <c r="A23" s="222"/>
      <c r="B23" s="22" t="s">
        <v>44</v>
      </c>
      <c r="C23" s="55">
        <v>0</v>
      </c>
      <c r="D23" s="55">
        <v>244.36363636363637</v>
      </c>
      <c r="E23" s="55">
        <v>570.18181818181813</v>
      </c>
      <c r="F23" s="55">
        <v>570.18181818181813</v>
      </c>
      <c r="G23" s="55">
        <v>570.18181818181813</v>
      </c>
      <c r="H23" s="55">
        <v>570.18181818181813</v>
      </c>
      <c r="I23" s="55">
        <v>570.18181818181813</v>
      </c>
      <c r="J23" s="55">
        <v>570.18181818181813</v>
      </c>
      <c r="K23" s="55">
        <v>407.27272727272725</v>
      </c>
      <c r="L23" s="55">
        <v>488.72727272727275</v>
      </c>
      <c r="M23" s="55">
        <v>325.81818181818181</v>
      </c>
      <c r="N23" s="56">
        <v>162.90909090909091</v>
      </c>
      <c r="O23" s="58">
        <v>5050.181818181818</v>
      </c>
    </row>
    <row r="24" spans="1:15" ht="15" hidden="1" customHeight="1" x14ac:dyDescent="0.35">
      <c r="A24" s="222"/>
      <c r="B24" s="180" t="s">
        <v>45</v>
      </c>
      <c r="C24" s="37">
        <v>0</v>
      </c>
      <c r="D24" s="33">
        <v>6</v>
      </c>
      <c r="E24" s="33">
        <v>17.5</v>
      </c>
      <c r="F24" s="33">
        <v>21</v>
      </c>
      <c r="G24" s="33">
        <v>21</v>
      </c>
      <c r="H24" s="33">
        <v>17.5</v>
      </c>
      <c r="I24" s="33">
        <v>14</v>
      </c>
      <c r="J24" s="33">
        <v>21</v>
      </c>
      <c r="K24" s="33">
        <v>12.5</v>
      </c>
      <c r="L24" s="33">
        <v>15</v>
      </c>
      <c r="M24" s="33">
        <v>10</v>
      </c>
      <c r="N24" s="57">
        <v>7</v>
      </c>
      <c r="O24" s="22">
        <v>162.5</v>
      </c>
    </row>
    <row r="25" spans="1:15" ht="15" customHeight="1" x14ac:dyDescent="0.35">
      <c r="A25" s="223"/>
      <c r="B25" s="181" t="s">
        <v>58</v>
      </c>
      <c r="C25" s="63">
        <v>0</v>
      </c>
      <c r="D25" s="63">
        <v>39.157894736842103</v>
      </c>
      <c r="E25" s="63">
        <v>114.21052631578947</v>
      </c>
      <c r="F25" s="63">
        <v>137.05263157894737</v>
      </c>
      <c r="G25" s="63">
        <v>137.05263157894737</v>
      </c>
      <c r="H25" s="63">
        <v>114.21052631578947</v>
      </c>
      <c r="I25" s="63">
        <v>91.368421052631575</v>
      </c>
      <c r="J25" s="63">
        <v>137.05263157894737</v>
      </c>
      <c r="K25" s="63">
        <v>81.578947368421055</v>
      </c>
      <c r="L25" s="63">
        <v>97.89473684210526</v>
      </c>
      <c r="M25" s="63">
        <v>65.263157894736835</v>
      </c>
      <c r="N25" s="171">
        <v>45.684210526315788</v>
      </c>
      <c r="O25" s="58">
        <v>1060.5263157894738</v>
      </c>
    </row>
    <row r="26" spans="1:15" ht="15" customHeight="1" x14ac:dyDescent="0.35">
      <c r="A26" s="223"/>
      <c r="B26" s="181" t="s">
        <v>57</v>
      </c>
      <c r="C26" s="60">
        <v>0</v>
      </c>
      <c r="D26" s="60">
        <v>32</v>
      </c>
      <c r="E26" s="60">
        <v>32</v>
      </c>
      <c r="F26" s="60">
        <v>32</v>
      </c>
      <c r="G26" s="60">
        <v>32</v>
      </c>
      <c r="H26" s="60">
        <v>32</v>
      </c>
      <c r="I26" s="60">
        <v>32</v>
      </c>
      <c r="J26" s="60">
        <v>32</v>
      </c>
      <c r="K26" s="60">
        <v>32</v>
      </c>
      <c r="L26" s="60">
        <v>32</v>
      </c>
      <c r="M26" s="60">
        <v>32</v>
      </c>
      <c r="N26" s="61">
        <v>32</v>
      </c>
      <c r="O26" s="22">
        <v>352</v>
      </c>
    </row>
    <row r="27" spans="1:15" ht="15" customHeight="1" thickBot="1" x14ac:dyDescent="0.4">
      <c r="A27" s="223"/>
      <c r="B27" s="182" t="s">
        <v>56</v>
      </c>
      <c r="C27" s="32">
        <v>0</v>
      </c>
      <c r="D27" s="13">
        <v>4</v>
      </c>
      <c r="E27" s="13">
        <v>4</v>
      </c>
      <c r="F27" s="13">
        <v>4</v>
      </c>
      <c r="G27" s="13">
        <v>4</v>
      </c>
      <c r="H27" s="13">
        <v>4</v>
      </c>
      <c r="I27" s="13">
        <v>4</v>
      </c>
      <c r="J27" s="13">
        <v>4</v>
      </c>
      <c r="K27" s="13">
        <v>4</v>
      </c>
      <c r="L27" s="13">
        <v>4</v>
      </c>
      <c r="M27" s="13">
        <v>4</v>
      </c>
      <c r="N27" s="16">
        <v>4</v>
      </c>
      <c r="O27" s="25">
        <v>44</v>
      </c>
    </row>
    <row r="28" spans="1:15" ht="15" customHeight="1" x14ac:dyDescent="0.35">
      <c r="A28" s="219" t="s">
        <v>4</v>
      </c>
      <c r="B28" s="179" t="s">
        <v>33</v>
      </c>
      <c r="C28" s="31">
        <v>3.5</v>
      </c>
      <c r="D28" s="12">
        <v>4</v>
      </c>
      <c r="E28" s="12">
        <v>4</v>
      </c>
      <c r="F28" s="12">
        <v>4</v>
      </c>
      <c r="G28" s="12">
        <v>4.5</v>
      </c>
      <c r="H28" s="12">
        <v>4.5</v>
      </c>
      <c r="I28" s="12">
        <v>4.5</v>
      </c>
      <c r="J28" s="12">
        <v>5.5</v>
      </c>
      <c r="K28" s="12">
        <v>4</v>
      </c>
      <c r="L28" s="12">
        <v>4</v>
      </c>
      <c r="M28" s="12">
        <v>0</v>
      </c>
      <c r="N28" s="15">
        <v>3.5</v>
      </c>
      <c r="O28" s="21">
        <v>46</v>
      </c>
    </row>
    <row r="29" spans="1:15" ht="15" customHeight="1" x14ac:dyDescent="0.35">
      <c r="A29" s="222"/>
      <c r="B29" s="22" t="s">
        <v>44</v>
      </c>
      <c r="C29" s="55">
        <v>570.18181818181813</v>
      </c>
      <c r="D29" s="55">
        <v>651.63636363636363</v>
      </c>
      <c r="E29" s="55">
        <v>651.63636363636363</v>
      </c>
      <c r="F29" s="55">
        <v>651.63636363636363</v>
      </c>
      <c r="G29" s="55">
        <v>733.09090909090912</v>
      </c>
      <c r="H29" s="55">
        <v>733.09090909090912</v>
      </c>
      <c r="I29" s="55">
        <v>733.09090909090912</v>
      </c>
      <c r="J29" s="55">
        <v>896</v>
      </c>
      <c r="K29" s="55">
        <v>651.63636363636363</v>
      </c>
      <c r="L29" s="55">
        <v>651.63636363636363</v>
      </c>
      <c r="M29" s="55">
        <v>0</v>
      </c>
      <c r="N29" s="56">
        <v>570.18181818181813</v>
      </c>
      <c r="O29" s="58">
        <v>7493.818181818182</v>
      </c>
    </row>
    <row r="30" spans="1:15" ht="15" hidden="1" customHeight="1" x14ac:dyDescent="0.35">
      <c r="A30" s="222"/>
      <c r="B30" s="180" t="s">
        <v>45</v>
      </c>
      <c r="C30" s="37">
        <v>21</v>
      </c>
      <c r="D30" s="33">
        <v>16</v>
      </c>
      <c r="E30" s="33">
        <v>20</v>
      </c>
      <c r="F30" s="33">
        <v>24</v>
      </c>
      <c r="G30" s="33">
        <v>27</v>
      </c>
      <c r="H30" s="33">
        <v>22.5</v>
      </c>
      <c r="I30" s="33">
        <v>18</v>
      </c>
      <c r="J30" s="33">
        <v>33</v>
      </c>
      <c r="K30" s="33">
        <v>20</v>
      </c>
      <c r="L30" s="33">
        <v>20</v>
      </c>
      <c r="M30" s="33">
        <v>0</v>
      </c>
      <c r="N30" s="57">
        <v>24.5</v>
      </c>
      <c r="O30" s="22">
        <v>246</v>
      </c>
    </row>
    <row r="31" spans="1:15" ht="15" customHeight="1" x14ac:dyDescent="0.35">
      <c r="A31" s="223"/>
      <c r="B31" s="181" t="s">
        <v>58</v>
      </c>
      <c r="C31" s="63">
        <v>157.71428571428572</v>
      </c>
      <c r="D31" s="63">
        <v>120.16326530612245</v>
      </c>
      <c r="E31" s="63">
        <v>150.20408163265307</v>
      </c>
      <c r="F31" s="63">
        <v>180.24489795918367</v>
      </c>
      <c r="G31" s="63">
        <v>202.77551020408166</v>
      </c>
      <c r="H31" s="63">
        <v>168.9795918367347</v>
      </c>
      <c r="I31" s="63">
        <v>135.18367346938777</v>
      </c>
      <c r="J31" s="63">
        <v>247.83673469387756</v>
      </c>
      <c r="K31" s="63">
        <v>150.20408163265307</v>
      </c>
      <c r="L31" s="63">
        <v>150.20408163265307</v>
      </c>
      <c r="M31" s="63">
        <v>0</v>
      </c>
      <c r="N31" s="171">
        <v>184</v>
      </c>
      <c r="O31" s="58">
        <v>1847.5102040816328</v>
      </c>
    </row>
    <row r="32" spans="1:15" ht="15" customHeight="1" x14ac:dyDescent="0.35">
      <c r="A32" s="223"/>
      <c r="B32" s="181" t="s">
        <v>57</v>
      </c>
      <c r="C32" s="60">
        <v>16</v>
      </c>
      <c r="D32" s="60">
        <v>16</v>
      </c>
      <c r="E32" s="60">
        <v>16</v>
      </c>
      <c r="F32" s="60">
        <v>16</v>
      </c>
      <c r="G32" s="60">
        <v>16</v>
      </c>
      <c r="H32" s="60">
        <v>16</v>
      </c>
      <c r="I32" s="60">
        <v>16</v>
      </c>
      <c r="J32" s="60">
        <v>16</v>
      </c>
      <c r="K32" s="60">
        <v>16</v>
      </c>
      <c r="L32" s="60">
        <v>16</v>
      </c>
      <c r="M32" s="60">
        <v>0</v>
      </c>
      <c r="N32" s="61">
        <v>16</v>
      </c>
      <c r="O32" s="22">
        <v>176</v>
      </c>
    </row>
    <row r="33" spans="1:15" ht="15" customHeight="1" thickBot="1" x14ac:dyDescent="0.4">
      <c r="A33" s="221"/>
      <c r="B33" s="182" t="s">
        <v>56</v>
      </c>
      <c r="C33" s="32">
        <v>2</v>
      </c>
      <c r="D33" s="13">
        <v>2</v>
      </c>
      <c r="E33" s="13">
        <v>2</v>
      </c>
      <c r="F33" s="13">
        <v>2</v>
      </c>
      <c r="G33" s="13">
        <v>2</v>
      </c>
      <c r="H33" s="13">
        <v>2</v>
      </c>
      <c r="I33" s="13">
        <v>2</v>
      </c>
      <c r="J33" s="13">
        <v>2</v>
      </c>
      <c r="K33" s="13">
        <v>2</v>
      </c>
      <c r="L33" s="13">
        <v>2</v>
      </c>
      <c r="M33" s="13">
        <v>0</v>
      </c>
      <c r="N33" s="16">
        <v>2</v>
      </c>
      <c r="O33" s="23">
        <v>22</v>
      </c>
    </row>
    <row r="34" spans="1:15" ht="15" customHeight="1" x14ac:dyDescent="0.35">
      <c r="A34" s="224" t="s">
        <v>5</v>
      </c>
      <c r="B34" s="179" t="s">
        <v>33</v>
      </c>
      <c r="C34" s="38">
        <v>0.5</v>
      </c>
      <c r="D34" s="14">
        <v>1</v>
      </c>
      <c r="E34" s="14">
        <v>1.75</v>
      </c>
      <c r="F34" s="14">
        <v>1.75</v>
      </c>
      <c r="G34" s="14">
        <v>1.75</v>
      </c>
      <c r="H34" s="14">
        <v>1.5</v>
      </c>
      <c r="I34" s="14">
        <v>1.5</v>
      </c>
      <c r="J34" s="14">
        <v>1.25</v>
      </c>
      <c r="K34" s="14">
        <v>1</v>
      </c>
      <c r="L34" s="14">
        <v>1.5</v>
      </c>
      <c r="M34" s="14">
        <v>1.5</v>
      </c>
      <c r="N34" s="17">
        <v>0.5</v>
      </c>
      <c r="O34" s="24">
        <v>15.5</v>
      </c>
    </row>
    <row r="35" spans="1:15" ht="15" customHeight="1" x14ac:dyDescent="0.35">
      <c r="A35" s="222"/>
      <c r="B35" s="22" t="s">
        <v>44</v>
      </c>
      <c r="C35" s="55">
        <v>81.454545454545453</v>
      </c>
      <c r="D35" s="55">
        <v>162.90909090909091</v>
      </c>
      <c r="E35" s="55">
        <v>285.09090909090907</v>
      </c>
      <c r="F35" s="55">
        <v>285.09090909090907</v>
      </c>
      <c r="G35" s="55">
        <v>285.09090909090907</v>
      </c>
      <c r="H35" s="55">
        <v>244.36363636363637</v>
      </c>
      <c r="I35" s="55">
        <v>244.36363636363637</v>
      </c>
      <c r="J35" s="55">
        <v>203.63636363636363</v>
      </c>
      <c r="K35" s="55">
        <v>162.90909090909091</v>
      </c>
      <c r="L35" s="55">
        <v>244.36363636363637</v>
      </c>
      <c r="M35" s="55">
        <v>244.36363636363637</v>
      </c>
      <c r="N35" s="56">
        <v>81.454545454545453</v>
      </c>
      <c r="O35" s="58">
        <v>2525.0909090909095</v>
      </c>
    </row>
    <row r="36" spans="1:15" ht="15" hidden="1" customHeight="1" x14ac:dyDescent="0.35">
      <c r="A36" s="222"/>
      <c r="B36" s="180" t="s">
        <v>45</v>
      </c>
      <c r="C36" s="37">
        <v>3</v>
      </c>
      <c r="D36" s="33">
        <v>4</v>
      </c>
      <c r="E36" s="33">
        <v>8.75</v>
      </c>
      <c r="F36" s="33">
        <v>10.5</v>
      </c>
      <c r="G36" s="33">
        <v>10.5</v>
      </c>
      <c r="H36" s="33">
        <v>7.5</v>
      </c>
      <c r="I36" s="33">
        <v>6</v>
      </c>
      <c r="J36" s="33">
        <v>7.5</v>
      </c>
      <c r="K36" s="33">
        <v>5</v>
      </c>
      <c r="L36" s="33">
        <v>7.5</v>
      </c>
      <c r="M36" s="33">
        <v>7.5</v>
      </c>
      <c r="N36" s="57">
        <v>3.5</v>
      </c>
      <c r="O36" s="22">
        <v>81.25</v>
      </c>
    </row>
    <row r="37" spans="1:15" ht="15" customHeight="1" x14ac:dyDescent="0.35">
      <c r="A37" s="223"/>
      <c r="B37" s="181" t="s">
        <v>58</v>
      </c>
      <c r="C37" s="63">
        <v>17.714285714285715</v>
      </c>
      <c r="D37" s="63">
        <v>23.61904761904762</v>
      </c>
      <c r="E37" s="63">
        <v>51.666666666666671</v>
      </c>
      <c r="F37" s="63">
        <v>62</v>
      </c>
      <c r="G37" s="63">
        <v>62</v>
      </c>
      <c r="H37" s="63">
        <v>44.285714285714292</v>
      </c>
      <c r="I37" s="63">
        <v>35.428571428571431</v>
      </c>
      <c r="J37" s="63">
        <v>44.285714285714292</v>
      </c>
      <c r="K37" s="63">
        <v>29.523809523809526</v>
      </c>
      <c r="L37" s="63">
        <v>44.285714285714292</v>
      </c>
      <c r="M37" s="63">
        <v>44.285714285714292</v>
      </c>
      <c r="N37" s="171">
        <v>20.666666666666668</v>
      </c>
      <c r="O37" s="58">
        <v>479.76190476190476</v>
      </c>
    </row>
    <row r="38" spans="1:15" ht="15" customHeight="1" x14ac:dyDescent="0.35">
      <c r="A38" s="223"/>
      <c r="B38" s="181" t="s">
        <v>57</v>
      </c>
      <c r="C38" s="60">
        <v>12</v>
      </c>
      <c r="D38" s="60">
        <v>12</v>
      </c>
      <c r="E38" s="60">
        <v>12</v>
      </c>
      <c r="F38" s="60">
        <v>12</v>
      </c>
      <c r="G38" s="60">
        <v>12</v>
      </c>
      <c r="H38" s="60">
        <v>12</v>
      </c>
      <c r="I38" s="60">
        <v>12</v>
      </c>
      <c r="J38" s="60">
        <v>12</v>
      </c>
      <c r="K38" s="60">
        <v>12</v>
      </c>
      <c r="L38" s="60">
        <v>28</v>
      </c>
      <c r="M38" s="60">
        <v>12</v>
      </c>
      <c r="N38" s="61">
        <v>12</v>
      </c>
      <c r="O38" s="22">
        <v>160</v>
      </c>
    </row>
    <row r="39" spans="1:15" ht="15" customHeight="1" thickBot="1" x14ac:dyDescent="0.4">
      <c r="A39" s="223"/>
      <c r="B39" s="182" t="s">
        <v>56</v>
      </c>
      <c r="C39" s="32">
        <v>1.5</v>
      </c>
      <c r="D39" s="13">
        <v>1.5</v>
      </c>
      <c r="E39" s="13">
        <v>1.5</v>
      </c>
      <c r="F39" s="13">
        <v>1.5</v>
      </c>
      <c r="G39" s="13">
        <v>1.5</v>
      </c>
      <c r="H39" s="13">
        <v>1.5</v>
      </c>
      <c r="I39" s="13">
        <v>1.5</v>
      </c>
      <c r="J39" s="13">
        <v>1.5</v>
      </c>
      <c r="K39" s="13">
        <v>1.5</v>
      </c>
      <c r="L39" s="13">
        <v>3.5</v>
      </c>
      <c r="M39" s="13">
        <v>1.5</v>
      </c>
      <c r="N39" s="16">
        <v>1.5</v>
      </c>
      <c r="O39" s="25">
        <v>20</v>
      </c>
    </row>
    <row r="40" spans="1:15" ht="15" customHeight="1" x14ac:dyDescent="0.35">
      <c r="A40" s="219" t="s">
        <v>6</v>
      </c>
      <c r="B40" s="179" t="s">
        <v>33</v>
      </c>
      <c r="C40" s="31">
        <v>3</v>
      </c>
      <c r="D40" s="12">
        <v>3</v>
      </c>
      <c r="E40" s="12">
        <v>4</v>
      </c>
      <c r="F40" s="12">
        <v>4</v>
      </c>
      <c r="G40" s="12">
        <v>4.25</v>
      </c>
      <c r="H40" s="12">
        <v>4.25</v>
      </c>
      <c r="I40" s="12">
        <v>4.25</v>
      </c>
      <c r="J40" s="12">
        <v>4.25</v>
      </c>
      <c r="K40" s="12">
        <v>0</v>
      </c>
      <c r="L40" s="12">
        <v>3.5</v>
      </c>
      <c r="M40" s="12">
        <v>3.5</v>
      </c>
      <c r="N40" s="15">
        <v>2</v>
      </c>
      <c r="O40" s="21">
        <v>40</v>
      </c>
    </row>
    <row r="41" spans="1:15" ht="15" customHeight="1" x14ac:dyDescent="0.35">
      <c r="A41" s="222"/>
      <c r="B41" s="22" t="s">
        <v>44</v>
      </c>
      <c r="C41" s="55">
        <v>488.72727272727275</v>
      </c>
      <c r="D41" s="55">
        <v>488.72727272727275</v>
      </c>
      <c r="E41" s="55">
        <v>651.63636363636363</v>
      </c>
      <c r="F41" s="55">
        <v>651.63636363636363</v>
      </c>
      <c r="G41" s="55">
        <v>692.36363636363637</v>
      </c>
      <c r="H41" s="55">
        <v>692.36363636363637</v>
      </c>
      <c r="I41" s="55">
        <v>692.36363636363637</v>
      </c>
      <c r="J41" s="55">
        <v>692.36363636363637</v>
      </c>
      <c r="K41" s="55">
        <v>0</v>
      </c>
      <c r="L41" s="55">
        <v>570.18181818181813</v>
      </c>
      <c r="M41" s="55">
        <v>570.18181818181813</v>
      </c>
      <c r="N41" s="56">
        <v>325.81818181818181</v>
      </c>
      <c r="O41" s="58">
        <v>6516.363636363636</v>
      </c>
    </row>
    <row r="42" spans="1:15" ht="15" hidden="1" customHeight="1" x14ac:dyDescent="0.35">
      <c r="A42" s="222"/>
      <c r="B42" s="180" t="s">
        <v>45</v>
      </c>
      <c r="C42" s="37">
        <v>18</v>
      </c>
      <c r="D42" s="33">
        <v>12</v>
      </c>
      <c r="E42" s="33">
        <v>20</v>
      </c>
      <c r="F42" s="33">
        <v>24</v>
      </c>
      <c r="G42" s="33">
        <v>25.5</v>
      </c>
      <c r="H42" s="33">
        <v>21.25</v>
      </c>
      <c r="I42" s="33">
        <v>17</v>
      </c>
      <c r="J42" s="33">
        <v>25.5</v>
      </c>
      <c r="K42" s="33">
        <v>0</v>
      </c>
      <c r="L42" s="33">
        <v>17.5</v>
      </c>
      <c r="M42" s="33">
        <v>17.5</v>
      </c>
      <c r="N42" s="57">
        <v>14</v>
      </c>
      <c r="O42" s="175">
        <v>212.25</v>
      </c>
    </row>
    <row r="43" spans="1:15" ht="15" customHeight="1" x14ac:dyDescent="0.35">
      <c r="A43" s="223"/>
      <c r="B43" s="181" t="s">
        <v>58</v>
      </c>
      <c r="C43" s="63">
        <v>102.85714285714286</v>
      </c>
      <c r="D43" s="63">
        <v>68.571428571428569</v>
      </c>
      <c r="E43" s="63">
        <v>114.28571428571429</v>
      </c>
      <c r="F43" s="63">
        <v>137.14285714285714</v>
      </c>
      <c r="G43" s="63">
        <v>145.71428571428572</v>
      </c>
      <c r="H43" s="63">
        <v>121.42857142857143</v>
      </c>
      <c r="I43" s="63">
        <v>97.142857142857139</v>
      </c>
      <c r="J43" s="63">
        <v>145.71428571428572</v>
      </c>
      <c r="K43" s="63">
        <v>0</v>
      </c>
      <c r="L43" s="63">
        <v>100</v>
      </c>
      <c r="M43" s="63">
        <v>100</v>
      </c>
      <c r="N43" s="171">
        <v>80</v>
      </c>
      <c r="O43" s="58">
        <v>1212.8571428571429</v>
      </c>
    </row>
    <row r="44" spans="1:15" ht="15" customHeight="1" x14ac:dyDescent="0.35">
      <c r="A44" s="223"/>
      <c r="B44" s="181" t="s">
        <v>57</v>
      </c>
      <c r="C44" s="60">
        <v>8</v>
      </c>
      <c r="D44" s="60">
        <v>8</v>
      </c>
      <c r="E44" s="60">
        <v>8</v>
      </c>
      <c r="F44" s="60">
        <v>8</v>
      </c>
      <c r="G44" s="60">
        <v>8</v>
      </c>
      <c r="H44" s="60">
        <v>8</v>
      </c>
      <c r="I44" s="60">
        <v>8</v>
      </c>
      <c r="J44" s="60">
        <v>8</v>
      </c>
      <c r="K44" s="60">
        <v>0</v>
      </c>
      <c r="L44" s="60">
        <v>16</v>
      </c>
      <c r="M44" s="60">
        <v>8</v>
      </c>
      <c r="N44" s="61">
        <v>8</v>
      </c>
      <c r="O44" s="22">
        <v>96</v>
      </c>
    </row>
    <row r="45" spans="1:15" ht="15" customHeight="1" thickBot="1" x14ac:dyDescent="0.4">
      <c r="A45" s="221"/>
      <c r="B45" s="182" t="s">
        <v>56</v>
      </c>
      <c r="C45" s="32">
        <v>1</v>
      </c>
      <c r="D45" s="13">
        <v>1</v>
      </c>
      <c r="E45" s="13">
        <v>1</v>
      </c>
      <c r="F45" s="13">
        <v>1</v>
      </c>
      <c r="G45" s="13">
        <v>1</v>
      </c>
      <c r="H45" s="13">
        <v>1</v>
      </c>
      <c r="I45" s="13">
        <v>1</v>
      </c>
      <c r="J45" s="13">
        <v>1</v>
      </c>
      <c r="K45" s="13">
        <v>0</v>
      </c>
      <c r="L45" s="13">
        <v>2</v>
      </c>
      <c r="M45" s="13">
        <v>1</v>
      </c>
      <c r="N45" s="16">
        <v>1</v>
      </c>
      <c r="O45" s="23">
        <v>12</v>
      </c>
    </row>
    <row r="46" spans="1:15" ht="15" customHeight="1" x14ac:dyDescent="0.35">
      <c r="A46" s="215" t="s">
        <v>7</v>
      </c>
      <c r="B46" s="179" t="s">
        <v>33</v>
      </c>
      <c r="C46" s="38">
        <v>1</v>
      </c>
      <c r="D46" s="14">
        <v>1</v>
      </c>
      <c r="E46" s="14">
        <v>1.5</v>
      </c>
      <c r="F46" s="14">
        <v>1.5</v>
      </c>
      <c r="G46" s="14">
        <v>1.75</v>
      </c>
      <c r="H46" s="14">
        <v>2</v>
      </c>
      <c r="I46" s="14">
        <v>2.25</v>
      </c>
      <c r="J46" s="14">
        <v>2.25</v>
      </c>
      <c r="K46" s="14">
        <v>1</v>
      </c>
      <c r="L46" s="14">
        <v>1.5</v>
      </c>
      <c r="M46" s="14">
        <v>1.5</v>
      </c>
      <c r="N46" s="17">
        <v>1</v>
      </c>
      <c r="O46" s="24">
        <v>18.25</v>
      </c>
    </row>
    <row r="47" spans="1:15" x14ac:dyDescent="0.35">
      <c r="A47" s="216"/>
      <c r="B47" s="22" t="s">
        <v>44</v>
      </c>
      <c r="C47" s="55">
        <v>162.90909090909091</v>
      </c>
      <c r="D47" s="55">
        <v>162.90909090909091</v>
      </c>
      <c r="E47" s="55">
        <v>244.36363636363637</v>
      </c>
      <c r="F47" s="55">
        <v>244.36363636363637</v>
      </c>
      <c r="G47" s="55">
        <v>285.09090909090907</v>
      </c>
      <c r="H47" s="55">
        <v>325.81818181818181</v>
      </c>
      <c r="I47" s="55">
        <v>366.54545454545456</v>
      </c>
      <c r="J47" s="55">
        <v>366.54545454545456</v>
      </c>
      <c r="K47" s="55">
        <v>162.90909090909091</v>
      </c>
      <c r="L47" s="55">
        <v>244.36363636363637</v>
      </c>
      <c r="M47" s="55">
        <v>244.36363636363637</v>
      </c>
      <c r="N47" s="56">
        <v>162.90909090909091</v>
      </c>
      <c r="O47" s="58">
        <v>2973.0909090909095</v>
      </c>
    </row>
    <row r="48" spans="1:15" ht="14.5" hidden="1" customHeight="1" x14ac:dyDescent="0.35">
      <c r="A48" s="216"/>
      <c r="B48" s="180" t="s">
        <v>45</v>
      </c>
      <c r="C48" s="37">
        <v>6</v>
      </c>
      <c r="D48" s="33">
        <v>4</v>
      </c>
      <c r="E48" s="33">
        <v>7.5</v>
      </c>
      <c r="F48" s="33">
        <v>9</v>
      </c>
      <c r="G48" s="33">
        <v>10.5</v>
      </c>
      <c r="H48" s="33">
        <v>10</v>
      </c>
      <c r="I48" s="33">
        <v>9</v>
      </c>
      <c r="J48" s="33">
        <v>13.5</v>
      </c>
      <c r="K48" s="33">
        <v>5</v>
      </c>
      <c r="L48" s="33">
        <v>7.5</v>
      </c>
      <c r="M48" s="33">
        <v>7.5</v>
      </c>
      <c r="N48" s="57">
        <v>7</v>
      </c>
      <c r="O48" s="175">
        <v>96.5</v>
      </c>
    </row>
    <row r="49" spans="1:15" x14ac:dyDescent="0.35">
      <c r="A49" s="217"/>
      <c r="B49" s="181" t="s">
        <v>58</v>
      </c>
      <c r="C49" s="63">
        <v>33.692307692307693</v>
      </c>
      <c r="D49" s="63">
        <v>22.46153846153846</v>
      </c>
      <c r="E49" s="63">
        <v>42.115384615384613</v>
      </c>
      <c r="F49" s="63">
        <v>50.538461538461533</v>
      </c>
      <c r="G49" s="63">
        <v>58.96153846153846</v>
      </c>
      <c r="H49" s="63">
        <v>56.153846153846146</v>
      </c>
      <c r="I49" s="63">
        <v>50.538461538461533</v>
      </c>
      <c r="J49" s="63">
        <v>75.807692307692307</v>
      </c>
      <c r="K49" s="63">
        <v>28.076923076923073</v>
      </c>
      <c r="L49" s="63">
        <v>42.115384615384613</v>
      </c>
      <c r="M49" s="63">
        <v>42.115384615384613</v>
      </c>
      <c r="N49" s="171">
        <v>39.307692307692307</v>
      </c>
      <c r="O49" s="58">
        <v>541.88461538461536</v>
      </c>
    </row>
    <row r="50" spans="1:15" x14ac:dyDescent="0.35">
      <c r="A50" s="217"/>
      <c r="B50" s="181" t="s">
        <v>57</v>
      </c>
      <c r="C50" s="60">
        <v>16</v>
      </c>
      <c r="D50" s="60">
        <v>16</v>
      </c>
      <c r="E50" s="60">
        <v>16</v>
      </c>
      <c r="F50" s="60">
        <v>16</v>
      </c>
      <c r="G50" s="60">
        <v>16</v>
      </c>
      <c r="H50" s="60">
        <v>16</v>
      </c>
      <c r="I50" s="60">
        <v>16</v>
      </c>
      <c r="J50" s="60">
        <v>16</v>
      </c>
      <c r="K50" s="60">
        <v>16</v>
      </c>
      <c r="L50" s="60">
        <v>32</v>
      </c>
      <c r="M50" s="60">
        <v>16</v>
      </c>
      <c r="N50" s="61">
        <v>16</v>
      </c>
      <c r="O50" s="22">
        <v>208</v>
      </c>
    </row>
    <row r="51" spans="1:15" ht="15" thickBot="1" x14ac:dyDescent="0.4">
      <c r="A51" s="218"/>
      <c r="B51" s="182" t="s">
        <v>56</v>
      </c>
      <c r="C51" s="32">
        <v>2</v>
      </c>
      <c r="D51" s="13">
        <v>2</v>
      </c>
      <c r="E51" s="13">
        <v>2</v>
      </c>
      <c r="F51" s="13">
        <v>2</v>
      </c>
      <c r="G51" s="13">
        <v>2</v>
      </c>
      <c r="H51" s="13">
        <v>2</v>
      </c>
      <c r="I51" s="13">
        <v>2</v>
      </c>
      <c r="J51" s="13">
        <v>2</v>
      </c>
      <c r="K51" s="13">
        <v>2</v>
      </c>
      <c r="L51" s="13">
        <v>4</v>
      </c>
      <c r="M51" s="13">
        <v>2</v>
      </c>
      <c r="N51" s="16">
        <v>2</v>
      </c>
      <c r="O51" s="23">
        <v>26</v>
      </c>
    </row>
    <row r="52" spans="1:15" x14ac:dyDescent="0.35">
      <c r="A52" s="219" t="s">
        <v>34</v>
      </c>
      <c r="B52" s="179" t="s">
        <v>55</v>
      </c>
      <c r="C52" s="31">
        <v>40</v>
      </c>
      <c r="D52" s="10">
        <v>40</v>
      </c>
      <c r="E52" s="10">
        <v>40</v>
      </c>
      <c r="F52" s="10">
        <v>40</v>
      </c>
      <c r="G52" s="10">
        <v>40</v>
      </c>
      <c r="H52" s="10">
        <v>40</v>
      </c>
      <c r="I52" s="10">
        <v>40</v>
      </c>
      <c r="J52" s="10">
        <v>40</v>
      </c>
      <c r="K52" s="10">
        <v>40</v>
      </c>
      <c r="L52" s="10">
        <v>40</v>
      </c>
      <c r="M52" s="10">
        <v>40</v>
      </c>
      <c r="N52" s="172">
        <v>40</v>
      </c>
      <c r="O52" s="21">
        <v>480</v>
      </c>
    </row>
    <row r="53" spans="1:15" x14ac:dyDescent="0.35">
      <c r="A53" s="220"/>
      <c r="B53" s="22" t="s">
        <v>54</v>
      </c>
      <c r="C53" s="55">
        <v>320</v>
      </c>
      <c r="D53" s="55">
        <v>320</v>
      </c>
      <c r="E53" s="55">
        <v>320</v>
      </c>
      <c r="F53" s="55">
        <v>320</v>
      </c>
      <c r="G53" s="55">
        <v>320</v>
      </c>
      <c r="H53" s="55">
        <v>320</v>
      </c>
      <c r="I53" s="55">
        <v>320</v>
      </c>
      <c r="J53" s="55">
        <v>320</v>
      </c>
      <c r="K53" s="55">
        <v>320</v>
      </c>
      <c r="L53" s="55">
        <v>320</v>
      </c>
      <c r="M53" s="55">
        <v>320</v>
      </c>
      <c r="N53" s="56">
        <v>320</v>
      </c>
      <c r="O53" s="58">
        <v>3840</v>
      </c>
    </row>
    <row r="54" spans="1:15" x14ac:dyDescent="0.35">
      <c r="A54" s="220"/>
      <c r="B54" s="181" t="s">
        <v>58</v>
      </c>
      <c r="C54" s="63">
        <v>192</v>
      </c>
      <c r="D54" s="63">
        <v>128</v>
      </c>
      <c r="E54" s="63">
        <v>160</v>
      </c>
      <c r="F54" s="63">
        <v>192</v>
      </c>
      <c r="G54" s="63">
        <v>192</v>
      </c>
      <c r="H54" s="63">
        <v>160</v>
      </c>
      <c r="I54" s="63">
        <v>128</v>
      </c>
      <c r="J54" s="63">
        <v>192</v>
      </c>
      <c r="K54" s="63">
        <v>160</v>
      </c>
      <c r="L54" s="63">
        <v>160</v>
      </c>
      <c r="M54" s="63">
        <v>160</v>
      </c>
      <c r="N54" s="171">
        <v>224</v>
      </c>
      <c r="O54" s="58">
        <v>2048</v>
      </c>
    </row>
    <row r="55" spans="1:15" ht="15" thickBot="1" x14ac:dyDescent="0.4">
      <c r="A55" s="221"/>
      <c r="B55" s="182" t="s">
        <v>45</v>
      </c>
      <c r="C55" s="32">
        <v>6</v>
      </c>
      <c r="D55" s="7">
        <v>4</v>
      </c>
      <c r="E55" s="7">
        <v>5</v>
      </c>
      <c r="F55" s="7">
        <v>6</v>
      </c>
      <c r="G55" s="7">
        <v>6</v>
      </c>
      <c r="H55" s="7">
        <v>5</v>
      </c>
      <c r="I55" s="7">
        <v>4</v>
      </c>
      <c r="J55" s="7">
        <v>6</v>
      </c>
      <c r="K55" s="7">
        <v>5</v>
      </c>
      <c r="L55" s="7">
        <v>5</v>
      </c>
      <c r="M55" s="7">
        <v>5</v>
      </c>
      <c r="N55" s="173">
        <v>7</v>
      </c>
      <c r="O55" s="23">
        <v>64</v>
      </c>
    </row>
  </sheetData>
  <sheetProtection sheet="1" objects="1" scenarios="1"/>
  <mergeCells count="9">
    <mergeCell ref="A46:A51"/>
    <mergeCell ref="A52:A55"/>
    <mergeCell ref="A16:A21"/>
    <mergeCell ref="A40:A45"/>
    <mergeCell ref="A4:A9"/>
    <mergeCell ref="A10:A15"/>
    <mergeCell ref="A22:A27"/>
    <mergeCell ref="A28:A33"/>
    <mergeCell ref="A34:A39"/>
  </mergeCells>
  <pageMargins left="0.7" right="0.7" top="0.75" bottom="0.75" header="0.3" footer="0.3"/>
  <pageSetup paperSize="9" scale="68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zoomScaleNormal="100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C23" sqref="C23"/>
    </sheetView>
  </sheetViews>
  <sheetFormatPr defaultRowHeight="14.5" x14ac:dyDescent="0.35"/>
  <cols>
    <col min="1" max="1" width="25.81640625" style="5" customWidth="1"/>
    <col min="2" max="2" width="26.81640625" bestFit="1" customWidth="1"/>
    <col min="3" max="15" width="10.81640625" customWidth="1"/>
  </cols>
  <sheetData>
    <row r="1" spans="1:15" x14ac:dyDescent="0.35">
      <c r="A1" s="5" t="s">
        <v>90</v>
      </c>
    </row>
    <row r="2" spans="1:15" ht="15" thickBot="1" x14ac:dyDescent="0.4"/>
    <row r="3" spans="1:15" ht="15" thickBot="1" x14ac:dyDescent="0.4">
      <c r="A3" s="28" t="s">
        <v>35</v>
      </c>
      <c r="B3" s="27" t="s">
        <v>36</v>
      </c>
      <c r="C3" s="26" t="s">
        <v>25</v>
      </c>
      <c r="D3" s="9" t="s">
        <v>26</v>
      </c>
      <c r="E3" s="9" t="s">
        <v>27</v>
      </c>
      <c r="F3" s="9" t="s">
        <v>20</v>
      </c>
      <c r="G3" s="9" t="s">
        <v>21</v>
      </c>
      <c r="H3" s="9" t="s">
        <v>22</v>
      </c>
      <c r="I3" s="9" t="s">
        <v>23</v>
      </c>
      <c r="J3" s="9" t="s">
        <v>24</v>
      </c>
      <c r="K3" s="9" t="s">
        <v>28</v>
      </c>
      <c r="L3" s="9" t="s">
        <v>29</v>
      </c>
      <c r="M3" s="9" t="s">
        <v>30</v>
      </c>
      <c r="N3" s="29" t="s">
        <v>31</v>
      </c>
      <c r="O3" s="30" t="s">
        <v>32</v>
      </c>
    </row>
    <row r="4" spans="1:15" x14ac:dyDescent="0.35">
      <c r="A4" s="225" t="s">
        <v>8</v>
      </c>
      <c r="B4" s="179" t="s">
        <v>33</v>
      </c>
      <c r="C4" s="12">
        <v>1.5</v>
      </c>
      <c r="D4" s="12">
        <v>2</v>
      </c>
      <c r="E4" s="12">
        <v>4</v>
      </c>
      <c r="F4" s="12">
        <v>4</v>
      </c>
      <c r="G4" s="12">
        <v>4.5</v>
      </c>
      <c r="H4" s="12">
        <v>4.5</v>
      </c>
      <c r="I4" s="12">
        <v>4.5</v>
      </c>
      <c r="J4" s="12">
        <v>4.5</v>
      </c>
      <c r="K4" s="12">
        <v>4.5</v>
      </c>
      <c r="L4" s="12">
        <v>4</v>
      </c>
      <c r="M4" s="12">
        <v>2.5</v>
      </c>
      <c r="N4" s="12">
        <v>0</v>
      </c>
      <c r="O4" s="21">
        <v>40.5</v>
      </c>
    </row>
    <row r="5" spans="1:15" x14ac:dyDescent="0.35">
      <c r="A5" s="228"/>
      <c r="B5" s="22" t="s">
        <v>44</v>
      </c>
      <c r="C5" s="55">
        <v>244.36363636363637</v>
      </c>
      <c r="D5" s="55">
        <v>325.81818181818181</v>
      </c>
      <c r="E5" s="55">
        <v>651.63636363636363</v>
      </c>
      <c r="F5" s="55">
        <v>651.63636363636363</v>
      </c>
      <c r="G5" s="55">
        <v>733.09090909090912</v>
      </c>
      <c r="H5" s="55">
        <v>733.09090909090912</v>
      </c>
      <c r="I5" s="55">
        <v>733.09090909090912</v>
      </c>
      <c r="J5" s="55">
        <v>733.09090909090912</v>
      </c>
      <c r="K5" s="55">
        <v>733.09090909090912</v>
      </c>
      <c r="L5" s="55">
        <v>651.63636363636363</v>
      </c>
      <c r="M5" s="55">
        <v>407.27272727272725</v>
      </c>
      <c r="N5" s="56">
        <v>0</v>
      </c>
      <c r="O5" s="58">
        <v>6597.818181818182</v>
      </c>
    </row>
    <row r="6" spans="1:15" ht="14.5" hidden="1" customHeight="1" x14ac:dyDescent="0.35">
      <c r="A6" s="228"/>
      <c r="B6" s="180" t="s">
        <v>45</v>
      </c>
      <c r="C6" s="33">
        <v>9</v>
      </c>
      <c r="D6" s="33">
        <v>8</v>
      </c>
      <c r="E6" s="33">
        <v>20</v>
      </c>
      <c r="F6" s="33">
        <v>24</v>
      </c>
      <c r="G6" s="33">
        <v>27</v>
      </c>
      <c r="H6" s="33">
        <v>22.5</v>
      </c>
      <c r="I6" s="33">
        <v>18</v>
      </c>
      <c r="J6" s="33">
        <v>27</v>
      </c>
      <c r="K6" s="33">
        <v>22.5</v>
      </c>
      <c r="L6" s="33">
        <v>20</v>
      </c>
      <c r="M6" s="33">
        <v>12.5</v>
      </c>
      <c r="N6" s="33">
        <v>0</v>
      </c>
      <c r="O6" s="22">
        <v>210.5</v>
      </c>
    </row>
    <row r="7" spans="1:15" x14ac:dyDescent="0.35">
      <c r="A7" s="229"/>
      <c r="B7" s="181" t="s">
        <v>58</v>
      </c>
      <c r="C7" s="60">
        <v>66.272727272727266</v>
      </c>
      <c r="D7" s="60">
        <v>58.909090909090907</v>
      </c>
      <c r="E7" s="60">
        <v>147.27272727272725</v>
      </c>
      <c r="F7" s="60">
        <v>176.72727272727272</v>
      </c>
      <c r="G7" s="60">
        <v>198.81818181818181</v>
      </c>
      <c r="H7" s="60">
        <v>165.68181818181819</v>
      </c>
      <c r="I7" s="60">
        <v>132.54545454545453</v>
      </c>
      <c r="J7" s="60">
        <v>198.81818181818181</v>
      </c>
      <c r="K7" s="60">
        <v>165.68181818181819</v>
      </c>
      <c r="L7" s="60">
        <v>147.27272727272725</v>
      </c>
      <c r="M7" s="60">
        <v>92.045454545454547</v>
      </c>
      <c r="N7" s="60">
        <v>0</v>
      </c>
      <c r="O7" s="58">
        <v>1550.0454545454545</v>
      </c>
    </row>
    <row r="8" spans="1:15" x14ac:dyDescent="0.35">
      <c r="A8" s="229"/>
      <c r="B8" s="181" t="s">
        <v>57</v>
      </c>
      <c r="C8" s="60">
        <v>8</v>
      </c>
      <c r="D8" s="60">
        <v>8</v>
      </c>
      <c r="E8" s="60">
        <v>8</v>
      </c>
      <c r="F8" s="60">
        <v>8</v>
      </c>
      <c r="G8" s="60">
        <v>8</v>
      </c>
      <c r="H8" s="60">
        <v>8</v>
      </c>
      <c r="I8" s="60">
        <v>8</v>
      </c>
      <c r="J8" s="60">
        <v>8</v>
      </c>
      <c r="K8" s="60">
        <v>8</v>
      </c>
      <c r="L8" s="60">
        <v>8</v>
      </c>
      <c r="M8" s="60">
        <v>8</v>
      </c>
      <c r="N8" s="60">
        <v>0</v>
      </c>
      <c r="O8" s="22">
        <v>88</v>
      </c>
    </row>
    <row r="9" spans="1:15" ht="15" thickBot="1" x14ac:dyDescent="0.4">
      <c r="A9" s="227"/>
      <c r="B9" s="182" t="s">
        <v>56</v>
      </c>
      <c r="C9" s="13">
        <v>1</v>
      </c>
      <c r="D9" s="13">
        <v>1</v>
      </c>
      <c r="E9" s="13">
        <v>1</v>
      </c>
      <c r="F9" s="13">
        <v>1</v>
      </c>
      <c r="G9" s="13">
        <v>1</v>
      </c>
      <c r="H9" s="13">
        <v>1</v>
      </c>
      <c r="I9" s="13">
        <v>1</v>
      </c>
      <c r="J9" s="13">
        <v>1</v>
      </c>
      <c r="K9" s="13">
        <v>1</v>
      </c>
      <c r="L9" s="13">
        <v>1</v>
      </c>
      <c r="M9" s="13">
        <v>1</v>
      </c>
      <c r="N9" s="13">
        <v>0</v>
      </c>
      <c r="O9" s="23">
        <v>11</v>
      </c>
    </row>
    <row r="10" spans="1:15" x14ac:dyDescent="0.35">
      <c r="A10" s="230" t="s">
        <v>9</v>
      </c>
      <c r="B10" s="179" t="s">
        <v>33</v>
      </c>
      <c r="C10" s="14">
        <v>0</v>
      </c>
      <c r="D10" s="14">
        <v>0.75</v>
      </c>
      <c r="E10" s="14">
        <v>2</v>
      </c>
      <c r="F10" s="14">
        <v>2.75</v>
      </c>
      <c r="G10" s="14">
        <v>3.75</v>
      </c>
      <c r="H10" s="14">
        <v>3.75</v>
      </c>
      <c r="I10" s="14">
        <v>3.75</v>
      </c>
      <c r="J10" s="14">
        <v>3.75</v>
      </c>
      <c r="K10" s="14">
        <v>1</v>
      </c>
      <c r="L10" s="14">
        <v>2</v>
      </c>
      <c r="M10" s="14">
        <v>0.75</v>
      </c>
      <c r="N10" s="14">
        <v>0.5</v>
      </c>
      <c r="O10" s="24">
        <v>24.75</v>
      </c>
    </row>
    <row r="11" spans="1:15" x14ac:dyDescent="0.35">
      <c r="A11" s="228"/>
      <c r="B11" s="22" t="s">
        <v>44</v>
      </c>
      <c r="C11" s="55">
        <v>0</v>
      </c>
      <c r="D11" s="55">
        <v>122.18181818181819</v>
      </c>
      <c r="E11" s="55">
        <v>325.81818181818181</v>
      </c>
      <c r="F11" s="55">
        <v>448</v>
      </c>
      <c r="G11" s="55">
        <v>610.90909090909088</v>
      </c>
      <c r="H11" s="55">
        <v>610.90909090909088</v>
      </c>
      <c r="I11" s="55">
        <v>610.90909090909088</v>
      </c>
      <c r="J11" s="55">
        <v>610.90909090909088</v>
      </c>
      <c r="K11" s="55">
        <v>162.90909090909091</v>
      </c>
      <c r="L11" s="55">
        <v>325.81818181818181</v>
      </c>
      <c r="M11" s="55">
        <v>122.18181818181819</v>
      </c>
      <c r="N11" s="56">
        <v>81.454545454545453</v>
      </c>
      <c r="O11" s="58">
        <v>4032.0000000000005</v>
      </c>
    </row>
    <row r="12" spans="1:15" ht="14.5" hidden="1" customHeight="1" x14ac:dyDescent="0.35">
      <c r="A12" s="228"/>
      <c r="B12" s="180" t="s">
        <v>45</v>
      </c>
      <c r="C12" s="33">
        <v>0</v>
      </c>
      <c r="D12" s="33">
        <v>3</v>
      </c>
      <c r="E12" s="33">
        <v>10</v>
      </c>
      <c r="F12" s="33">
        <v>16.5</v>
      </c>
      <c r="G12" s="33">
        <v>22.5</v>
      </c>
      <c r="H12" s="33">
        <v>18.75</v>
      </c>
      <c r="I12" s="33">
        <v>15</v>
      </c>
      <c r="J12" s="33">
        <v>22.5</v>
      </c>
      <c r="K12" s="33">
        <v>5</v>
      </c>
      <c r="L12" s="33">
        <v>10</v>
      </c>
      <c r="M12" s="33">
        <v>3.75</v>
      </c>
      <c r="N12" s="33">
        <v>3.5</v>
      </c>
      <c r="O12" s="22">
        <v>130.5</v>
      </c>
    </row>
    <row r="13" spans="1:15" x14ac:dyDescent="0.35">
      <c r="A13" s="229"/>
      <c r="B13" s="181" t="s">
        <v>58</v>
      </c>
      <c r="C13" s="60">
        <v>0</v>
      </c>
      <c r="D13" s="60">
        <v>16.971428571428572</v>
      </c>
      <c r="E13" s="60">
        <v>56.571428571428577</v>
      </c>
      <c r="F13" s="60">
        <v>93.342857142857142</v>
      </c>
      <c r="G13" s="60">
        <v>127.28571428571429</v>
      </c>
      <c r="H13" s="60">
        <v>106.07142857142858</v>
      </c>
      <c r="I13" s="60">
        <v>84.857142857142861</v>
      </c>
      <c r="J13" s="60">
        <v>127.28571428571429</v>
      </c>
      <c r="K13" s="60">
        <v>28.285714285714288</v>
      </c>
      <c r="L13" s="60">
        <v>56.571428571428577</v>
      </c>
      <c r="M13" s="60">
        <v>21.214285714285715</v>
      </c>
      <c r="N13" s="60">
        <v>19.8</v>
      </c>
      <c r="O13" s="58">
        <v>738.25714285714287</v>
      </c>
    </row>
    <row r="14" spans="1:15" x14ac:dyDescent="0.35">
      <c r="A14" s="229"/>
      <c r="B14" s="181" t="s">
        <v>57</v>
      </c>
      <c r="C14" s="60">
        <v>0</v>
      </c>
      <c r="D14" s="60">
        <v>8</v>
      </c>
      <c r="E14" s="60">
        <v>8</v>
      </c>
      <c r="F14" s="60">
        <v>8</v>
      </c>
      <c r="G14" s="60">
        <v>8</v>
      </c>
      <c r="H14" s="60">
        <v>8</v>
      </c>
      <c r="I14" s="60">
        <v>8</v>
      </c>
      <c r="J14" s="60">
        <v>8</v>
      </c>
      <c r="K14" s="60">
        <v>8</v>
      </c>
      <c r="L14" s="60">
        <v>16</v>
      </c>
      <c r="M14" s="60">
        <v>8</v>
      </c>
      <c r="N14" s="60">
        <v>8</v>
      </c>
      <c r="O14" s="22">
        <v>96</v>
      </c>
    </row>
    <row r="15" spans="1:15" ht="15" thickBot="1" x14ac:dyDescent="0.4">
      <c r="A15" s="229"/>
      <c r="B15" s="182" t="s">
        <v>56</v>
      </c>
      <c r="C15" s="13">
        <v>0</v>
      </c>
      <c r="D15" s="13">
        <v>1</v>
      </c>
      <c r="E15" s="13">
        <v>1</v>
      </c>
      <c r="F15" s="13">
        <v>1</v>
      </c>
      <c r="G15" s="13">
        <v>1</v>
      </c>
      <c r="H15" s="13">
        <v>1</v>
      </c>
      <c r="I15" s="13">
        <v>1</v>
      </c>
      <c r="J15" s="13">
        <v>1</v>
      </c>
      <c r="K15" s="13">
        <v>1</v>
      </c>
      <c r="L15" s="13">
        <v>2</v>
      </c>
      <c r="M15" s="13">
        <v>1</v>
      </c>
      <c r="N15" s="13">
        <v>1</v>
      </c>
      <c r="O15" s="25">
        <v>12</v>
      </c>
    </row>
    <row r="16" spans="1:15" x14ac:dyDescent="0.35">
      <c r="A16" s="225" t="s">
        <v>10</v>
      </c>
      <c r="B16" s="179" t="s">
        <v>33</v>
      </c>
      <c r="C16" s="12">
        <v>0.5</v>
      </c>
      <c r="D16" s="12">
        <v>1.5</v>
      </c>
      <c r="E16" s="12">
        <v>2</v>
      </c>
      <c r="F16" s="12">
        <v>2</v>
      </c>
      <c r="G16" s="12">
        <v>2</v>
      </c>
      <c r="H16" s="12">
        <v>2</v>
      </c>
      <c r="I16" s="12">
        <v>2</v>
      </c>
      <c r="J16" s="12">
        <v>2</v>
      </c>
      <c r="K16" s="12">
        <v>0</v>
      </c>
      <c r="L16" s="12">
        <v>2</v>
      </c>
      <c r="M16" s="12">
        <v>1.5</v>
      </c>
      <c r="N16" s="12">
        <v>0.5</v>
      </c>
      <c r="O16" s="21">
        <v>18</v>
      </c>
    </row>
    <row r="17" spans="1:15" x14ac:dyDescent="0.35">
      <c r="A17" s="228"/>
      <c r="B17" s="22" t="s">
        <v>44</v>
      </c>
      <c r="C17" s="55">
        <v>81.454545454545453</v>
      </c>
      <c r="D17" s="55">
        <v>244.36363636363637</v>
      </c>
      <c r="E17" s="55">
        <v>325.81818181818181</v>
      </c>
      <c r="F17" s="55">
        <v>325.81818181818181</v>
      </c>
      <c r="G17" s="55">
        <v>325.81818181818181</v>
      </c>
      <c r="H17" s="55">
        <v>325.81818181818181</v>
      </c>
      <c r="I17" s="55">
        <v>325.81818181818181</v>
      </c>
      <c r="J17" s="55">
        <v>325.81818181818181</v>
      </c>
      <c r="K17" s="55">
        <v>0</v>
      </c>
      <c r="L17" s="55">
        <v>325.81818181818181</v>
      </c>
      <c r="M17" s="55">
        <v>244.36363636363637</v>
      </c>
      <c r="N17" s="56">
        <v>81.454545454545453</v>
      </c>
      <c r="O17" s="58">
        <v>2932.3636363636365</v>
      </c>
    </row>
    <row r="18" spans="1:15" ht="14.5" hidden="1" customHeight="1" x14ac:dyDescent="0.35">
      <c r="A18" s="228"/>
      <c r="B18" s="180" t="s">
        <v>45</v>
      </c>
      <c r="C18" s="33">
        <v>3</v>
      </c>
      <c r="D18" s="33">
        <v>6</v>
      </c>
      <c r="E18" s="33">
        <v>10</v>
      </c>
      <c r="F18" s="33">
        <v>12</v>
      </c>
      <c r="G18" s="33">
        <v>12</v>
      </c>
      <c r="H18" s="33">
        <v>10</v>
      </c>
      <c r="I18" s="33">
        <v>8</v>
      </c>
      <c r="J18" s="33">
        <v>12</v>
      </c>
      <c r="K18" s="33">
        <v>0</v>
      </c>
      <c r="L18" s="33">
        <v>10</v>
      </c>
      <c r="M18" s="33">
        <v>7.5</v>
      </c>
      <c r="N18" s="33">
        <v>3.5</v>
      </c>
      <c r="O18" s="22">
        <v>94</v>
      </c>
    </row>
    <row r="19" spans="1:15" x14ac:dyDescent="0.35">
      <c r="A19" s="229"/>
      <c r="B19" s="181" t="s">
        <v>58</v>
      </c>
      <c r="C19" s="60">
        <v>21.6</v>
      </c>
      <c r="D19" s="60">
        <v>43.2</v>
      </c>
      <c r="E19" s="60">
        <v>72</v>
      </c>
      <c r="F19" s="60">
        <v>86.4</v>
      </c>
      <c r="G19" s="60">
        <v>86.4</v>
      </c>
      <c r="H19" s="60">
        <v>72</v>
      </c>
      <c r="I19" s="60">
        <v>57.6</v>
      </c>
      <c r="J19" s="60">
        <v>86.4</v>
      </c>
      <c r="K19" s="60">
        <v>0</v>
      </c>
      <c r="L19" s="60">
        <v>72</v>
      </c>
      <c r="M19" s="60">
        <v>54</v>
      </c>
      <c r="N19" s="60">
        <v>25.2</v>
      </c>
      <c r="O19" s="58">
        <v>676.80000000000007</v>
      </c>
    </row>
    <row r="20" spans="1:15" x14ac:dyDescent="0.35">
      <c r="A20" s="229"/>
      <c r="B20" s="181" t="s">
        <v>57</v>
      </c>
      <c r="C20" s="60">
        <v>16</v>
      </c>
      <c r="D20" s="60">
        <v>16</v>
      </c>
      <c r="E20" s="60">
        <v>16</v>
      </c>
      <c r="F20" s="60">
        <v>16</v>
      </c>
      <c r="G20" s="60">
        <v>16</v>
      </c>
      <c r="H20" s="60">
        <v>16</v>
      </c>
      <c r="I20" s="60">
        <v>16</v>
      </c>
      <c r="J20" s="60">
        <v>16</v>
      </c>
      <c r="K20" s="60">
        <v>0</v>
      </c>
      <c r="L20" s="60">
        <v>16</v>
      </c>
      <c r="M20" s="60">
        <v>16</v>
      </c>
      <c r="N20" s="60">
        <v>16</v>
      </c>
      <c r="O20" s="22">
        <v>176</v>
      </c>
    </row>
    <row r="21" spans="1:15" ht="15" thickBot="1" x14ac:dyDescent="0.4">
      <c r="A21" s="227"/>
      <c r="B21" s="182" t="s">
        <v>56</v>
      </c>
      <c r="C21" s="13">
        <v>2</v>
      </c>
      <c r="D21" s="13">
        <v>2</v>
      </c>
      <c r="E21" s="13">
        <v>2</v>
      </c>
      <c r="F21" s="13">
        <v>2</v>
      </c>
      <c r="G21" s="13">
        <v>2</v>
      </c>
      <c r="H21" s="13">
        <v>2</v>
      </c>
      <c r="I21" s="13">
        <v>2</v>
      </c>
      <c r="J21" s="13">
        <v>2</v>
      </c>
      <c r="K21" s="13">
        <v>0</v>
      </c>
      <c r="L21" s="13">
        <v>2</v>
      </c>
      <c r="M21" s="13">
        <v>2</v>
      </c>
      <c r="N21" s="13">
        <v>2</v>
      </c>
      <c r="O21" s="23">
        <v>22</v>
      </c>
    </row>
    <row r="22" spans="1:15" x14ac:dyDescent="0.35">
      <c r="A22" s="230" t="s">
        <v>11</v>
      </c>
      <c r="B22" s="179" t="s">
        <v>33</v>
      </c>
      <c r="C22" s="14">
        <v>0</v>
      </c>
      <c r="D22" s="14">
        <v>0.5</v>
      </c>
      <c r="E22" s="14">
        <v>1</v>
      </c>
      <c r="F22" s="14">
        <v>1.5</v>
      </c>
      <c r="G22" s="14">
        <v>1.5</v>
      </c>
      <c r="H22" s="14">
        <v>1.5</v>
      </c>
      <c r="I22" s="14">
        <v>1.5</v>
      </c>
      <c r="J22" s="14">
        <v>1.5</v>
      </c>
      <c r="K22" s="14">
        <v>1</v>
      </c>
      <c r="L22" s="14">
        <v>1</v>
      </c>
      <c r="M22" s="14">
        <v>0.5</v>
      </c>
      <c r="N22" s="14">
        <v>0</v>
      </c>
      <c r="O22" s="24">
        <v>11.5</v>
      </c>
    </row>
    <row r="23" spans="1:15" x14ac:dyDescent="0.35">
      <c r="A23" s="228"/>
      <c r="B23" s="22" t="s">
        <v>44</v>
      </c>
      <c r="C23" s="55">
        <v>0</v>
      </c>
      <c r="D23" s="55">
        <v>81.454545454545453</v>
      </c>
      <c r="E23" s="55">
        <v>162.90909090909091</v>
      </c>
      <c r="F23" s="55">
        <v>244.36363636363637</v>
      </c>
      <c r="G23" s="55">
        <v>244.36363636363637</v>
      </c>
      <c r="H23" s="55">
        <v>244.36363636363637</v>
      </c>
      <c r="I23" s="55">
        <v>244.36363636363637</v>
      </c>
      <c r="J23" s="55">
        <v>244.36363636363637</v>
      </c>
      <c r="K23" s="55">
        <v>162.90909090909091</v>
      </c>
      <c r="L23" s="55">
        <v>162.90909090909091</v>
      </c>
      <c r="M23" s="55">
        <v>81.454545454545453</v>
      </c>
      <c r="N23" s="56">
        <v>0</v>
      </c>
      <c r="O23" s="58">
        <v>1873.454545454546</v>
      </c>
    </row>
    <row r="24" spans="1:15" ht="14.5" hidden="1" customHeight="1" x14ac:dyDescent="0.35">
      <c r="A24" s="228"/>
      <c r="B24" s="180" t="s">
        <v>45</v>
      </c>
      <c r="C24" s="33">
        <v>0</v>
      </c>
      <c r="D24" s="33">
        <v>2</v>
      </c>
      <c r="E24" s="33">
        <v>5</v>
      </c>
      <c r="F24" s="33">
        <v>9</v>
      </c>
      <c r="G24" s="33">
        <v>9</v>
      </c>
      <c r="H24" s="33">
        <v>7.5</v>
      </c>
      <c r="I24" s="33">
        <v>6</v>
      </c>
      <c r="J24" s="33">
        <v>9</v>
      </c>
      <c r="K24" s="33">
        <v>5</v>
      </c>
      <c r="L24" s="33">
        <v>5</v>
      </c>
      <c r="M24" s="33">
        <v>2.5</v>
      </c>
      <c r="N24" s="33">
        <v>0</v>
      </c>
      <c r="O24" s="22">
        <v>60</v>
      </c>
    </row>
    <row r="25" spans="1:15" x14ac:dyDescent="0.35">
      <c r="A25" s="229"/>
      <c r="B25" s="181" t="s">
        <v>58</v>
      </c>
      <c r="C25" s="60">
        <v>0</v>
      </c>
      <c r="D25" s="60">
        <v>10.222222222222221</v>
      </c>
      <c r="E25" s="60">
        <v>25.555555555555554</v>
      </c>
      <c r="F25" s="60">
        <v>46</v>
      </c>
      <c r="G25" s="60">
        <v>46</v>
      </c>
      <c r="H25" s="60">
        <v>38.333333333333329</v>
      </c>
      <c r="I25" s="60">
        <v>30.666666666666664</v>
      </c>
      <c r="J25" s="60">
        <v>46</v>
      </c>
      <c r="K25" s="60">
        <v>25.555555555555554</v>
      </c>
      <c r="L25" s="60">
        <v>25.555555555555554</v>
      </c>
      <c r="M25" s="60">
        <v>12.777777777777777</v>
      </c>
      <c r="N25" s="60">
        <v>0</v>
      </c>
      <c r="O25" s="58">
        <v>306.66666666666663</v>
      </c>
    </row>
    <row r="26" spans="1:15" x14ac:dyDescent="0.35">
      <c r="A26" s="229"/>
      <c r="B26" s="181" t="s">
        <v>57</v>
      </c>
      <c r="C26" s="60">
        <v>0</v>
      </c>
      <c r="D26" s="60">
        <v>8</v>
      </c>
      <c r="E26" s="60">
        <v>8</v>
      </c>
      <c r="F26" s="60">
        <v>8</v>
      </c>
      <c r="G26" s="60">
        <v>8</v>
      </c>
      <c r="H26" s="60">
        <v>8</v>
      </c>
      <c r="I26" s="60">
        <v>8</v>
      </c>
      <c r="J26" s="60">
        <v>8</v>
      </c>
      <c r="K26" s="60">
        <v>8</v>
      </c>
      <c r="L26" s="60">
        <v>24</v>
      </c>
      <c r="M26" s="60">
        <v>8</v>
      </c>
      <c r="N26" s="60">
        <v>0</v>
      </c>
      <c r="O26" s="22">
        <v>96</v>
      </c>
    </row>
    <row r="27" spans="1:15" ht="15" thickBot="1" x14ac:dyDescent="0.4">
      <c r="A27" s="227"/>
      <c r="B27" s="182" t="s">
        <v>56</v>
      </c>
      <c r="C27" s="13">
        <v>0</v>
      </c>
      <c r="D27" s="13">
        <v>1</v>
      </c>
      <c r="E27" s="13">
        <v>1</v>
      </c>
      <c r="F27" s="13">
        <v>1</v>
      </c>
      <c r="G27" s="13">
        <v>1</v>
      </c>
      <c r="H27" s="13">
        <v>1</v>
      </c>
      <c r="I27" s="13">
        <v>1</v>
      </c>
      <c r="J27" s="13">
        <v>1</v>
      </c>
      <c r="K27" s="13">
        <v>1</v>
      </c>
      <c r="L27" s="13">
        <v>3</v>
      </c>
      <c r="M27" s="13">
        <v>1</v>
      </c>
      <c r="N27" s="13">
        <v>0</v>
      </c>
      <c r="O27" s="23">
        <v>12</v>
      </c>
    </row>
    <row r="28" spans="1:15" x14ac:dyDescent="0.35">
      <c r="A28" s="225" t="s">
        <v>34</v>
      </c>
      <c r="B28" s="179" t="s">
        <v>55</v>
      </c>
      <c r="C28" s="31">
        <v>20</v>
      </c>
      <c r="D28" s="10">
        <v>20</v>
      </c>
      <c r="E28" s="10">
        <v>20</v>
      </c>
      <c r="F28" s="10">
        <v>20</v>
      </c>
      <c r="G28" s="10">
        <v>20</v>
      </c>
      <c r="H28" s="10">
        <v>20</v>
      </c>
      <c r="I28" s="10">
        <v>20</v>
      </c>
      <c r="J28" s="10">
        <v>20</v>
      </c>
      <c r="K28" s="10">
        <v>20</v>
      </c>
      <c r="L28" s="10">
        <v>20</v>
      </c>
      <c r="M28" s="10">
        <v>20</v>
      </c>
      <c r="N28" s="11">
        <v>20</v>
      </c>
      <c r="O28" s="18">
        <v>240</v>
      </c>
    </row>
    <row r="29" spans="1:15" x14ac:dyDescent="0.35">
      <c r="A29" s="226"/>
      <c r="B29" s="22" t="s">
        <v>54</v>
      </c>
      <c r="C29" s="55">
        <v>160</v>
      </c>
      <c r="D29" s="55">
        <v>160</v>
      </c>
      <c r="E29" s="55">
        <v>160</v>
      </c>
      <c r="F29" s="55">
        <v>160</v>
      </c>
      <c r="G29" s="55">
        <v>160</v>
      </c>
      <c r="H29" s="55">
        <v>160</v>
      </c>
      <c r="I29" s="55">
        <v>160</v>
      </c>
      <c r="J29" s="55">
        <v>160</v>
      </c>
      <c r="K29" s="55">
        <v>160</v>
      </c>
      <c r="L29" s="55">
        <v>160</v>
      </c>
      <c r="M29" s="55">
        <v>160</v>
      </c>
      <c r="N29" s="55">
        <v>160</v>
      </c>
      <c r="O29" s="58">
        <v>1920</v>
      </c>
    </row>
    <row r="30" spans="1:15" x14ac:dyDescent="0.35">
      <c r="A30" s="226"/>
      <c r="B30" s="181" t="s">
        <v>58</v>
      </c>
      <c r="C30" s="63">
        <v>96</v>
      </c>
      <c r="D30" s="63">
        <v>64</v>
      </c>
      <c r="E30" s="63">
        <v>80</v>
      </c>
      <c r="F30" s="63">
        <v>96</v>
      </c>
      <c r="G30" s="63">
        <v>96</v>
      </c>
      <c r="H30" s="63">
        <v>80</v>
      </c>
      <c r="I30" s="63">
        <v>64</v>
      </c>
      <c r="J30" s="63">
        <v>96</v>
      </c>
      <c r="K30" s="63">
        <v>80</v>
      </c>
      <c r="L30" s="63">
        <v>80</v>
      </c>
      <c r="M30" s="63">
        <v>80</v>
      </c>
      <c r="N30" s="63">
        <v>112</v>
      </c>
      <c r="O30" s="58">
        <v>1024</v>
      </c>
    </row>
    <row r="31" spans="1:15" ht="15" thickBot="1" x14ac:dyDescent="0.4">
      <c r="A31" s="227"/>
      <c r="B31" s="183" t="s">
        <v>45</v>
      </c>
      <c r="C31" s="32">
        <v>6</v>
      </c>
      <c r="D31" s="7">
        <v>4</v>
      </c>
      <c r="E31" s="7">
        <v>5</v>
      </c>
      <c r="F31" s="7">
        <v>6</v>
      </c>
      <c r="G31" s="7">
        <v>6</v>
      </c>
      <c r="H31" s="7">
        <v>5</v>
      </c>
      <c r="I31" s="7">
        <v>4</v>
      </c>
      <c r="J31" s="7">
        <v>6</v>
      </c>
      <c r="K31" s="7">
        <v>5</v>
      </c>
      <c r="L31" s="7">
        <v>5</v>
      </c>
      <c r="M31" s="7">
        <v>5</v>
      </c>
      <c r="N31" s="8">
        <v>7</v>
      </c>
      <c r="O31" s="19">
        <v>64</v>
      </c>
    </row>
  </sheetData>
  <sheetProtection sheet="1" objects="1" scenarios="1"/>
  <mergeCells count="5">
    <mergeCell ref="A28:A31"/>
    <mergeCell ref="A4:A9"/>
    <mergeCell ref="A10:A15"/>
    <mergeCell ref="A16:A21"/>
    <mergeCell ref="A22:A27"/>
  </mergeCells>
  <pageMargins left="0.7" right="0.7" top="0.75" bottom="0.75" header="0.3" footer="0.3"/>
  <pageSetup paperSize="9" scale="68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37"/>
  <sheetViews>
    <sheetView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D31" sqref="D31"/>
    </sheetView>
  </sheetViews>
  <sheetFormatPr defaultRowHeight="14.5" x14ac:dyDescent="0.35"/>
  <cols>
    <col min="1" max="1" width="25.81640625" style="5" customWidth="1"/>
    <col min="2" max="2" width="26.81640625" bestFit="1" customWidth="1"/>
    <col min="3" max="15" width="10.81640625" customWidth="1"/>
  </cols>
  <sheetData>
    <row r="1" spans="1:15" x14ac:dyDescent="0.35">
      <c r="A1" s="5" t="s">
        <v>89</v>
      </c>
    </row>
    <row r="2" spans="1:15" ht="15" thickBot="1" x14ac:dyDescent="0.4"/>
    <row r="3" spans="1:15" ht="15" thickBot="1" x14ac:dyDescent="0.4">
      <c r="A3" s="28" t="s">
        <v>35</v>
      </c>
      <c r="B3" s="27" t="s">
        <v>36</v>
      </c>
      <c r="C3" s="176" t="s">
        <v>25</v>
      </c>
      <c r="D3" s="9" t="s">
        <v>26</v>
      </c>
      <c r="E3" s="9" t="s">
        <v>27</v>
      </c>
      <c r="F3" s="9" t="s">
        <v>20</v>
      </c>
      <c r="G3" s="9" t="s">
        <v>21</v>
      </c>
      <c r="H3" s="9" t="s">
        <v>22</v>
      </c>
      <c r="I3" s="9" t="s">
        <v>23</v>
      </c>
      <c r="J3" s="9" t="s">
        <v>24</v>
      </c>
      <c r="K3" s="9" t="s">
        <v>28</v>
      </c>
      <c r="L3" s="9" t="s">
        <v>29</v>
      </c>
      <c r="M3" s="9" t="s">
        <v>30</v>
      </c>
      <c r="N3" s="29" t="s">
        <v>31</v>
      </c>
      <c r="O3" s="30" t="s">
        <v>32</v>
      </c>
    </row>
    <row r="4" spans="1:15" x14ac:dyDescent="0.35">
      <c r="A4" s="225" t="s">
        <v>12</v>
      </c>
      <c r="B4" s="179" t="s">
        <v>33</v>
      </c>
      <c r="C4" s="31">
        <v>4</v>
      </c>
      <c r="D4" s="12">
        <v>4.5</v>
      </c>
      <c r="E4" s="12">
        <v>5</v>
      </c>
      <c r="F4" s="12">
        <v>5</v>
      </c>
      <c r="G4" s="12">
        <v>5</v>
      </c>
      <c r="H4" s="12">
        <v>5</v>
      </c>
      <c r="I4" s="12">
        <v>5</v>
      </c>
      <c r="J4" s="12">
        <v>5</v>
      </c>
      <c r="K4" s="12">
        <v>4.5</v>
      </c>
      <c r="L4" s="12">
        <v>4.25</v>
      </c>
      <c r="M4" s="12">
        <v>4</v>
      </c>
      <c r="N4" s="12">
        <v>4</v>
      </c>
      <c r="O4" s="21">
        <v>55.25</v>
      </c>
    </row>
    <row r="5" spans="1:15" x14ac:dyDescent="0.35">
      <c r="A5" s="228"/>
      <c r="B5" s="22" t="s">
        <v>44</v>
      </c>
      <c r="C5" s="177">
        <v>651.63636363636363</v>
      </c>
      <c r="D5" s="55">
        <v>733.09090909090912</v>
      </c>
      <c r="E5" s="55">
        <v>814.5454545454545</v>
      </c>
      <c r="F5" s="55">
        <v>814.5454545454545</v>
      </c>
      <c r="G5" s="55">
        <v>814.5454545454545</v>
      </c>
      <c r="H5" s="55">
        <v>814.5454545454545</v>
      </c>
      <c r="I5" s="55">
        <v>814.5454545454545</v>
      </c>
      <c r="J5" s="55">
        <v>814.5454545454545</v>
      </c>
      <c r="K5" s="55">
        <v>733.09090909090912</v>
      </c>
      <c r="L5" s="55">
        <v>692.36363636363637</v>
      </c>
      <c r="M5" s="55">
        <v>651.63636363636363</v>
      </c>
      <c r="N5" s="56">
        <v>651.63636363636363</v>
      </c>
      <c r="O5" s="58">
        <v>9000.7272727272702</v>
      </c>
    </row>
    <row r="6" spans="1:15" ht="14.5" hidden="1" customHeight="1" x14ac:dyDescent="0.35">
      <c r="A6" s="228"/>
      <c r="B6" s="180" t="s">
        <v>45</v>
      </c>
      <c r="C6" s="37">
        <v>24</v>
      </c>
      <c r="D6" s="33">
        <v>18</v>
      </c>
      <c r="E6" s="33">
        <v>25</v>
      </c>
      <c r="F6" s="33">
        <v>30</v>
      </c>
      <c r="G6" s="33">
        <v>30</v>
      </c>
      <c r="H6" s="33">
        <v>25</v>
      </c>
      <c r="I6" s="33">
        <v>20</v>
      </c>
      <c r="J6" s="33">
        <v>30</v>
      </c>
      <c r="K6" s="33">
        <v>22.5</v>
      </c>
      <c r="L6" s="33">
        <v>21.25</v>
      </c>
      <c r="M6" s="33">
        <v>20</v>
      </c>
      <c r="N6" s="33">
        <v>28</v>
      </c>
      <c r="O6" s="22">
        <v>293.75</v>
      </c>
    </row>
    <row r="7" spans="1:15" x14ac:dyDescent="0.35">
      <c r="A7" s="229"/>
      <c r="B7" s="181" t="s">
        <v>58</v>
      </c>
      <c r="C7" s="178">
        <v>156</v>
      </c>
      <c r="D7" s="60">
        <v>117</v>
      </c>
      <c r="E7" s="60">
        <v>162.5</v>
      </c>
      <c r="F7" s="60">
        <v>195</v>
      </c>
      <c r="G7" s="60">
        <v>195</v>
      </c>
      <c r="H7" s="60">
        <v>162.5</v>
      </c>
      <c r="I7" s="60">
        <v>130</v>
      </c>
      <c r="J7" s="60">
        <v>195</v>
      </c>
      <c r="K7" s="60">
        <v>146.25</v>
      </c>
      <c r="L7" s="60">
        <v>138.125</v>
      </c>
      <c r="M7" s="60">
        <v>130</v>
      </c>
      <c r="N7" s="60">
        <v>182</v>
      </c>
      <c r="O7" s="58">
        <v>1909.375</v>
      </c>
    </row>
    <row r="8" spans="1:15" x14ac:dyDescent="0.35">
      <c r="A8" s="229"/>
      <c r="B8" s="181" t="s">
        <v>57</v>
      </c>
      <c r="C8" s="178">
        <v>24</v>
      </c>
      <c r="D8" s="60">
        <v>24</v>
      </c>
      <c r="E8" s="60">
        <v>24</v>
      </c>
      <c r="F8" s="60">
        <v>24</v>
      </c>
      <c r="G8" s="60">
        <v>24</v>
      </c>
      <c r="H8" s="60">
        <v>24</v>
      </c>
      <c r="I8" s="60">
        <v>24</v>
      </c>
      <c r="J8" s="60">
        <v>24</v>
      </c>
      <c r="K8" s="60">
        <v>24</v>
      </c>
      <c r="L8" s="60">
        <v>40</v>
      </c>
      <c r="M8" s="60">
        <v>24</v>
      </c>
      <c r="N8" s="60">
        <v>24</v>
      </c>
      <c r="O8" s="22">
        <v>304</v>
      </c>
    </row>
    <row r="9" spans="1:15" ht="15" thickBot="1" x14ac:dyDescent="0.4">
      <c r="A9" s="227"/>
      <c r="B9" s="182" t="s">
        <v>56</v>
      </c>
      <c r="C9" s="32">
        <v>3</v>
      </c>
      <c r="D9" s="13">
        <v>3</v>
      </c>
      <c r="E9" s="13">
        <v>3</v>
      </c>
      <c r="F9" s="13">
        <v>3</v>
      </c>
      <c r="G9" s="13">
        <v>3</v>
      </c>
      <c r="H9" s="13">
        <v>3</v>
      </c>
      <c r="I9" s="13">
        <v>3</v>
      </c>
      <c r="J9" s="13">
        <v>3</v>
      </c>
      <c r="K9" s="13">
        <v>3</v>
      </c>
      <c r="L9" s="13">
        <v>5</v>
      </c>
      <c r="M9" s="13">
        <v>3</v>
      </c>
      <c r="N9" s="13">
        <v>3</v>
      </c>
      <c r="O9" s="23">
        <v>38</v>
      </c>
    </row>
    <row r="10" spans="1:15" x14ac:dyDescent="0.35">
      <c r="A10" s="230" t="s">
        <v>13</v>
      </c>
      <c r="B10" s="179" t="s">
        <v>33</v>
      </c>
      <c r="C10" s="38">
        <v>0</v>
      </c>
      <c r="D10" s="14">
        <v>1.5</v>
      </c>
      <c r="E10" s="14">
        <v>2.5</v>
      </c>
      <c r="F10" s="14">
        <v>4.5</v>
      </c>
      <c r="G10" s="14">
        <v>5</v>
      </c>
      <c r="H10" s="14">
        <v>5</v>
      </c>
      <c r="I10" s="14">
        <v>4.75</v>
      </c>
      <c r="J10" s="14">
        <v>3.5</v>
      </c>
      <c r="K10" s="14">
        <v>3.5</v>
      </c>
      <c r="L10" s="14">
        <v>3.5</v>
      </c>
      <c r="M10" s="14">
        <v>2.5</v>
      </c>
      <c r="N10" s="14">
        <v>1</v>
      </c>
      <c r="O10" s="24">
        <v>37.25</v>
      </c>
    </row>
    <row r="11" spans="1:15" x14ac:dyDescent="0.35">
      <c r="A11" s="228"/>
      <c r="B11" s="22" t="s">
        <v>44</v>
      </c>
      <c r="C11" s="177">
        <v>0</v>
      </c>
      <c r="D11" s="55">
        <v>244.36363636363637</v>
      </c>
      <c r="E11" s="55">
        <v>407.27272727272725</v>
      </c>
      <c r="F11" s="55">
        <v>733.09090909090912</v>
      </c>
      <c r="G11" s="55">
        <v>814.5454545454545</v>
      </c>
      <c r="H11" s="55">
        <v>814.5454545454545</v>
      </c>
      <c r="I11" s="55">
        <v>773.81818181818176</v>
      </c>
      <c r="J11" s="55">
        <v>570.18181818181813</v>
      </c>
      <c r="K11" s="55">
        <v>570.18181818181813</v>
      </c>
      <c r="L11" s="55">
        <v>570.18181818181813</v>
      </c>
      <c r="M11" s="55">
        <v>407.27272727272725</v>
      </c>
      <c r="N11" s="56">
        <v>162.90909090909091</v>
      </c>
      <c r="O11" s="58">
        <v>6068.3636363636351</v>
      </c>
    </row>
    <row r="12" spans="1:15" ht="14.5" hidden="1" customHeight="1" x14ac:dyDescent="0.35">
      <c r="A12" s="228"/>
      <c r="B12" s="180" t="s">
        <v>45</v>
      </c>
      <c r="C12" s="37">
        <v>0</v>
      </c>
      <c r="D12" s="33">
        <v>6</v>
      </c>
      <c r="E12" s="33">
        <v>12.5</v>
      </c>
      <c r="F12" s="33">
        <v>27</v>
      </c>
      <c r="G12" s="33">
        <v>30</v>
      </c>
      <c r="H12" s="33">
        <v>25</v>
      </c>
      <c r="I12" s="33">
        <v>19</v>
      </c>
      <c r="J12" s="33">
        <v>21</v>
      </c>
      <c r="K12" s="33">
        <v>17.5</v>
      </c>
      <c r="L12" s="33">
        <v>17.5</v>
      </c>
      <c r="M12" s="33">
        <v>12.5</v>
      </c>
      <c r="N12" s="33">
        <v>7</v>
      </c>
      <c r="O12" s="22">
        <v>195</v>
      </c>
    </row>
    <row r="13" spans="1:15" x14ac:dyDescent="0.35">
      <c r="A13" s="229"/>
      <c r="B13" s="181" t="s">
        <v>58</v>
      </c>
      <c r="C13" s="178">
        <v>0</v>
      </c>
      <c r="D13" s="60">
        <v>42.571428571428569</v>
      </c>
      <c r="E13" s="60">
        <v>88.69047619047619</v>
      </c>
      <c r="F13" s="60">
        <v>191.57142857142856</v>
      </c>
      <c r="G13" s="60">
        <v>212.85714285714283</v>
      </c>
      <c r="H13" s="60">
        <v>177.38095238095238</v>
      </c>
      <c r="I13" s="60">
        <v>134.8095238095238</v>
      </c>
      <c r="J13" s="60">
        <v>149</v>
      </c>
      <c r="K13" s="60">
        <v>124.16666666666666</v>
      </c>
      <c r="L13" s="60">
        <v>124.16666666666666</v>
      </c>
      <c r="M13" s="60">
        <v>88.69047619047619</v>
      </c>
      <c r="N13" s="60">
        <v>49.666666666666664</v>
      </c>
      <c r="O13" s="58">
        <v>1383.5714285714287</v>
      </c>
    </row>
    <row r="14" spans="1:15" x14ac:dyDescent="0.35">
      <c r="A14" s="229"/>
      <c r="B14" s="181" t="s">
        <v>57</v>
      </c>
      <c r="C14" s="178">
        <v>0</v>
      </c>
      <c r="D14" s="60">
        <v>20</v>
      </c>
      <c r="E14" s="60">
        <v>20</v>
      </c>
      <c r="F14" s="60">
        <v>20</v>
      </c>
      <c r="G14" s="60">
        <v>20</v>
      </c>
      <c r="H14" s="60">
        <v>20</v>
      </c>
      <c r="I14" s="60">
        <v>20</v>
      </c>
      <c r="J14" s="60">
        <v>20</v>
      </c>
      <c r="K14" s="60">
        <v>20</v>
      </c>
      <c r="L14" s="60">
        <v>36</v>
      </c>
      <c r="M14" s="60">
        <v>20</v>
      </c>
      <c r="N14" s="60">
        <v>20</v>
      </c>
      <c r="O14" s="22">
        <v>236</v>
      </c>
    </row>
    <row r="15" spans="1:15" ht="15" thickBot="1" x14ac:dyDescent="0.4">
      <c r="A15" s="229"/>
      <c r="B15" s="182" t="s">
        <v>56</v>
      </c>
      <c r="C15" s="32">
        <v>0</v>
      </c>
      <c r="D15" s="13">
        <v>2.5</v>
      </c>
      <c r="E15" s="13">
        <v>2.5</v>
      </c>
      <c r="F15" s="13">
        <v>2.5</v>
      </c>
      <c r="G15" s="13">
        <v>2.5</v>
      </c>
      <c r="H15" s="13">
        <v>2.5</v>
      </c>
      <c r="I15" s="13">
        <v>2.5</v>
      </c>
      <c r="J15" s="13">
        <v>2.5</v>
      </c>
      <c r="K15" s="13">
        <v>2.5</v>
      </c>
      <c r="L15" s="13">
        <v>4.5</v>
      </c>
      <c r="M15" s="13">
        <v>2.5</v>
      </c>
      <c r="N15" s="13">
        <v>2.5</v>
      </c>
      <c r="O15" s="25">
        <v>29.5</v>
      </c>
    </row>
    <row r="16" spans="1:15" x14ac:dyDescent="0.35">
      <c r="A16" s="225" t="s">
        <v>14</v>
      </c>
      <c r="B16" s="179" t="s">
        <v>33</v>
      </c>
      <c r="C16" s="31">
        <v>1</v>
      </c>
      <c r="D16" s="12">
        <v>1</v>
      </c>
      <c r="E16" s="12">
        <v>1.5</v>
      </c>
      <c r="F16" s="12">
        <v>1.5</v>
      </c>
      <c r="G16" s="12">
        <v>1.5</v>
      </c>
      <c r="H16" s="12">
        <v>1.5</v>
      </c>
      <c r="I16" s="12">
        <v>1.5</v>
      </c>
      <c r="J16" s="12">
        <v>1</v>
      </c>
      <c r="K16" s="12">
        <v>1.5</v>
      </c>
      <c r="L16" s="12">
        <v>1.5</v>
      </c>
      <c r="M16" s="12">
        <v>1.5</v>
      </c>
      <c r="N16" s="12">
        <v>1</v>
      </c>
      <c r="O16" s="21">
        <v>16</v>
      </c>
    </row>
    <row r="17" spans="1:15" x14ac:dyDescent="0.35">
      <c r="A17" s="228"/>
      <c r="B17" s="22" t="s">
        <v>44</v>
      </c>
      <c r="C17" s="177">
        <v>162.90909090909091</v>
      </c>
      <c r="D17" s="55">
        <v>162.90909090909091</v>
      </c>
      <c r="E17" s="55">
        <v>244.36363636363637</v>
      </c>
      <c r="F17" s="55">
        <v>244.36363636363637</v>
      </c>
      <c r="G17" s="55">
        <v>244.36363636363637</v>
      </c>
      <c r="H17" s="55">
        <v>244.36363636363637</v>
      </c>
      <c r="I17" s="55">
        <v>244.36363636363637</v>
      </c>
      <c r="J17" s="55">
        <v>162.90909090909091</v>
      </c>
      <c r="K17" s="55">
        <v>244.36363636363637</v>
      </c>
      <c r="L17" s="55">
        <v>244.36363636363637</v>
      </c>
      <c r="M17" s="55">
        <v>244.36363636363637</v>
      </c>
      <c r="N17" s="56">
        <v>162.90909090909091</v>
      </c>
      <c r="O17" s="58">
        <v>2606.5454545454554</v>
      </c>
    </row>
    <row r="18" spans="1:15" ht="14.5" hidden="1" customHeight="1" x14ac:dyDescent="0.35">
      <c r="A18" s="228"/>
      <c r="B18" s="180" t="s">
        <v>45</v>
      </c>
      <c r="C18" s="37">
        <v>6</v>
      </c>
      <c r="D18" s="33">
        <v>4</v>
      </c>
      <c r="E18" s="33">
        <v>7.5</v>
      </c>
      <c r="F18" s="33">
        <v>9</v>
      </c>
      <c r="G18" s="33">
        <v>9</v>
      </c>
      <c r="H18" s="33">
        <v>7.5</v>
      </c>
      <c r="I18" s="33">
        <v>6</v>
      </c>
      <c r="J18" s="33">
        <v>6</v>
      </c>
      <c r="K18" s="33">
        <v>7.5</v>
      </c>
      <c r="L18" s="33">
        <v>7.5</v>
      </c>
      <c r="M18" s="33">
        <v>7.5</v>
      </c>
      <c r="N18" s="33">
        <v>7</v>
      </c>
      <c r="O18" s="22">
        <v>84.5</v>
      </c>
    </row>
    <row r="19" spans="1:15" x14ac:dyDescent="0.35">
      <c r="A19" s="229"/>
      <c r="B19" s="181" t="s">
        <v>58</v>
      </c>
      <c r="C19" s="178">
        <v>24</v>
      </c>
      <c r="D19" s="60">
        <v>16</v>
      </c>
      <c r="E19" s="60">
        <v>30</v>
      </c>
      <c r="F19" s="60">
        <v>36</v>
      </c>
      <c r="G19" s="60">
        <v>36</v>
      </c>
      <c r="H19" s="60">
        <v>30</v>
      </c>
      <c r="I19" s="60">
        <v>24</v>
      </c>
      <c r="J19" s="60">
        <v>24</v>
      </c>
      <c r="K19" s="60">
        <v>30</v>
      </c>
      <c r="L19" s="60">
        <v>30</v>
      </c>
      <c r="M19" s="60">
        <v>30</v>
      </c>
      <c r="N19" s="60">
        <v>28</v>
      </c>
      <c r="O19" s="58">
        <v>338</v>
      </c>
    </row>
    <row r="20" spans="1:15" x14ac:dyDescent="0.35">
      <c r="A20" s="229"/>
      <c r="B20" s="181" t="s">
        <v>57</v>
      </c>
      <c r="C20" s="178">
        <v>20</v>
      </c>
      <c r="D20" s="60">
        <v>20</v>
      </c>
      <c r="E20" s="60">
        <v>20</v>
      </c>
      <c r="F20" s="60">
        <v>20</v>
      </c>
      <c r="G20" s="60">
        <v>20</v>
      </c>
      <c r="H20" s="60">
        <v>20</v>
      </c>
      <c r="I20" s="60">
        <v>20</v>
      </c>
      <c r="J20" s="60">
        <v>20</v>
      </c>
      <c r="K20" s="60">
        <v>20</v>
      </c>
      <c r="L20" s="60">
        <v>20</v>
      </c>
      <c r="M20" s="60">
        <v>20</v>
      </c>
      <c r="N20" s="60">
        <v>20</v>
      </c>
      <c r="O20" s="22">
        <v>240</v>
      </c>
    </row>
    <row r="21" spans="1:15" ht="15" thickBot="1" x14ac:dyDescent="0.4">
      <c r="A21" s="227"/>
      <c r="B21" s="182" t="s">
        <v>56</v>
      </c>
      <c r="C21" s="32">
        <v>2.5</v>
      </c>
      <c r="D21" s="13">
        <v>2.5</v>
      </c>
      <c r="E21" s="13">
        <v>2.5</v>
      </c>
      <c r="F21" s="13">
        <v>2.5</v>
      </c>
      <c r="G21" s="13">
        <v>2.5</v>
      </c>
      <c r="H21" s="13">
        <v>2.5</v>
      </c>
      <c r="I21" s="13">
        <v>2.5</v>
      </c>
      <c r="J21" s="13">
        <v>2.5</v>
      </c>
      <c r="K21" s="13">
        <v>2.5</v>
      </c>
      <c r="L21" s="13">
        <v>2.5</v>
      </c>
      <c r="M21" s="13">
        <v>2.5</v>
      </c>
      <c r="N21" s="13">
        <v>2.5</v>
      </c>
      <c r="O21" s="23">
        <v>30</v>
      </c>
    </row>
    <row r="22" spans="1:15" x14ac:dyDescent="0.35">
      <c r="A22" s="230" t="s">
        <v>15</v>
      </c>
      <c r="B22" s="179" t="s">
        <v>33</v>
      </c>
      <c r="C22" s="38">
        <v>2</v>
      </c>
      <c r="D22" s="14">
        <v>2</v>
      </c>
      <c r="E22" s="14">
        <v>2</v>
      </c>
      <c r="F22" s="14">
        <v>2</v>
      </c>
      <c r="G22" s="14">
        <v>2</v>
      </c>
      <c r="H22" s="14">
        <v>2</v>
      </c>
      <c r="I22" s="14">
        <v>2</v>
      </c>
      <c r="J22" s="14">
        <v>2</v>
      </c>
      <c r="K22" s="14">
        <v>2</v>
      </c>
      <c r="L22" s="14">
        <v>2</v>
      </c>
      <c r="M22" s="14">
        <v>2</v>
      </c>
      <c r="N22" s="14">
        <v>2</v>
      </c>
      <c r="O22" s="24">
        <v>24</v>
      </c>
    </row>
    <row r="23" spans="1:15" x14ac:dyDescent="0.35">
      <c r="A23" s="228"/>
      <c r="B23" s="22" t="s">
        <v>44</v>
      </c>
      <c r="C23" s="177">
        <v>325.81818181818181</v>
      </c>
      <c r="D23" s="55">
        <v>325.81818181818181</v>
      </c>
      <c r="E23" s="55">
        <v>325.81818181818181</v>
      </c>
      <c r="F23" s="55">
        <v>325.81818181818181</v>
      </c>
      <c r="G23" s="55">
        <v>325.81818181818181</v>
      </c>
      <c r="H23" s="55">
        <v>325.81818181818181</v>
      </c>
      <c r="I23" s="55">
        <v>325.81818181818181</v>
      </c>
      <c r="J23" s="55">
        <v>325.81818181818181</v>
      </c>
      <c r="K23" s="55">
        <v>325.81818181818181</v>
      </c>
      <c r="L23" s="55">
        <v>325.81818181818181</v>
      </c>
      <c r="M23" s="55">
        <v>325.81818181818181</v>
      </c>
      <c r="N23" s="56">
        <v>325.81818181818181</v>
      </c>
      <c r="O23" s="58">
        <v>3909.8181818181824</v>
      </c>
    </row>
    <row r="24" spans="1:15" ht="14.5" hidden="1" customHeight="1" x14ac:dyDescent="0.35">
      <c r="A24" s="228"/>
      <c r="B24" s="180" t="s">
        <v>45</v>
      </c>
      <c r="C24" s="37">
        <v>12</v>
      </c>
      <c r="D24" s="33">
        <v>8</v>
      </c>
      <c r="E24" s="33">
        <v>10</v>
      </c>
      <c r="F24" s="33">
        <v>12</v>
      </c>
      <c r="G24" s="33">
        <v>12</v>
      </c>
      <c r="H24" s="33">
        <v>10</v>
      </c>
      <c r="I24" s="33">
        <v>8</v>
      </c>
      <c r="J24" s="33">
        <v>12</v>
      </c>
      <c r="K24" s="33">
        <v>10</v>
      </c>
      <c r="L24" s="33">
        <v>10</v>
      </c>
      <c r="M24" s="33">
        <v>10</v>
      </c>
      <c r="N24" s="33">
        <v>14</v>
      </c>
      <c r="O24" s="22">
        <v>128</v>
      </c>
    </row>
    <row r="25" spans="1:15" x14ac:dyDescent="0.35">
      <c r="A25" s="229"/>
      <c r="B25" s="181" t="s">
        <v>58</v>
      </c>
      <c r="C25" s="178">
        <v>64</v>
      </c>
      <c r="D25" s="60">
        <v>42.666666666666664</v>
      </c>
      <c r="E25" s="60">
        <v>53.333333333333329</v>
      </c>
      <c r="F25" s="60">
        <v>64</v>
      </c>
      <c r="G25" s="60">
        <v>64</v>
      </c>
      <c r="H25" s="60">
        <v>53.333333333333329</v>
      </c>
      <c r="I25" s="60">
        <v>42.666666666666664</v>
      </c>
      <c r="J25" s="60">
        <v>64</v>
      </c>
      <c r="K25" s="60">
        <v>53.333333333333329</v>
      </c>
      <c r="L25" s="60">
        <v>53.333333333333329</v>
      </c>
      <c r="M25" s="60">
        <v>53.333333333333329</v>
      </c>
      <c r="N25" s="60">
        <v>74.666666666666657</v>
      </c>
      <c r="O25" s="58">
        <v>682.66666666666663</v>
      </c>
    </row>
    <row r="26" spans="1:15" x14ac:dyDescent="0.35">
      <c r="A26" s="229"/>
      <c r="B26" s="181" t="s">
        <v>57</v>
      </c>
      <c r="C26" s="178">
        <v>8</v>
      </c>
      <c r="D26" s="60">
        <v>8</v>
      </c>
      <c r="E26" s="60">
        <v>8</v>
      </c>
      <c r="F26" s="60">
        <v>8</v>
      </c>
      <c r="G26" s="60">
        <v>8</v>
      </c>
      <c r="H26" s="60">
        <v>8</v>
      </c>
      <c r="I26" s="60">
        <v>8</v>
      </c>
      <c r="J26" s="60">
        <v>8</v>
      </c>
      <c r="K26" s="60">
        <v>8</v>
      </c>
      <c r="L26" s="60">
        <v>16</v>
      </c>
      <c r="M26" s="60">
        <v>8</v>
      </c>
      <c r="N26" s="60">
        <v>8</v>
      </c>
      <c r="O26" s="22">
        <v>104</v>
      </c>
    </row>
    <row r="27" spans="1:15" ht="15" thickBot="1" x14ac:dyDescent="0.4">
      <c r="A27" s="229"/>
      <c r="B27" s="182" t="s">
        <v>56</v>
      </c>
      <c r="C27" s="32">
        <v>1</v>
      </c>
      <c r="D27" s="13">
        <v>1</v>
      </c>
      <c r="E27" s="13">
        <v>1</v>
      </c>
      <c r="F27" s="13">
        <v>1</v>
      </c>
      <c r="G27" s="13">
        <v>1</v>
      </c>
      <c r="H27" s="13">
        <v>1</v>
      </c>
      <c r="I27" s="13">
        <v>1</v>
      </c>
      <c r="J27" s="13">
        <v>1</v>
      </c>
      <c r="K27" s="13">
        <v>1</v>
      </c>
      <c r="L27" s="13">
        <v>2</v>
      </c>
      <c r="M27" s="13">
        <v>1</v>
      </c>
      <c r="N27" s="13">
        <v>1</v>
      </c>
      <c r="O27" s="25">
        <v>13</v>
      </c>
    </row>
    <row r="28" spans="1:15" x14ac:dyDescent="0.35">
      <c r="A28" s="225" t="s">
        <v>16</v>
      </c>
      <c r="B28" s="179" t="s">
        <v>33</v>
      </c>
      <c r="C28" s="31">
        <v>2.75</v>
      </c>
      <c r="D28" s="12">
        <v>2.75</v>
      </c>
      <c r="E28" s="12">
        <v>2.75</v>
      </c>
      <c r="F28" s="12">
        <v>2.75</v>
      </c>
      <c r="G28" s="12">
        <v>2.75</v>
      </c>
      <c r="H28" s="12">
        <v>2.75</v>
      </c>
      <c r="I28" s="12">
        <v>2.75</v>
      </c>
      <c r="J28" s="12">
        <v>2.75</v>
      </c>
      <c r="K28" s="12">
        <v>2.75</v>
      </c>
      <c r="L28" s="12">
        <v>2.75</v>
      </c>
      <c r="M28" s="12">
        <v>2.5</v>
      </c>
      <c r="N28" s="12">
        <v>2.5</v>
      </c>
      <c r="O28" s="21">
        <v>32.5</v>
      </c>
    </row>
    <row r="29" spans="1:15" x14ac:dyDescent="0.35">
      <c r="A29" s="228"/>
      <c r="B29" s="22" t="s">
        <v>44</v>
      </c>
      <c r="C29" s="177">
        <v>448</v>
      </c>
      <c r="D29" s="55">
        <v>448</v>
      </c>
      <c r="E29" s="55">
        <v>448</v>
      </c>
      <c r="F29" s="55">
        <v>448</v>
      </c>
      <c r="G29" s="55">
        <v>448</v>
      </c>
      <c r="H29" s="55">
        <v>448</v>
      </c>
      <c r="I29" s="55">
        <v>448</v>
      </c>
      <c r="J29" s="55">
        <v>448</v>
      </c>
      <c r="K29" s="55">
        <v>448</v>
      </c>
      <c r="L29" s="55">
        <v>448</v>
      </c>
      <c r="M29" s="55">
        <v>407.27272727272725</v>
      </c>
      <c r="N29" s="56">
        <v>407.27272727272725</v>
      </c>
      <c r="O29" s="58">
        <v>5294.545454545454</v>
      </c>
    </row>
    <row r="30" spans="1:15" ht="14.5" hidden="1" customHeight="1" x14ac:dyDescent="0.35">
      <c r="A30" s="228"/>
      <c r="B30" s="180" t="s">
        <v>45</v>
      </c>
      <c r="C30" s="37">
        <v>16.5</v>
      </c>
      <c r="D30" s="33">
        <v>11</v>
      </c>
      <c r="E30" s="33">
        <v>13.75</v>
      </c>
      <c r="F30" s="33">
        <v>16.5</v>
      </c>
      <c r="G30" s="33">
        <v>16.5</v>
      </c>
      <c r="H30" s="33">
        <v>13.75</v>
      </c>
      <c r="I30" s="33">
        <v>11</v>
      </c>
      <c r="J30" s="33">
        <v>16.5</v>
      </c>
      <c r="K30" s="33">
        <v>13.75</v>
      </c>
      <c r="L30" s="33">
        <v>13.75</v>
      </c>
      <c r="M30" s="33">
        <v>12.5</v>
      </c>
      <c r="N30" s="33">
        <v>17.5</v>
      </c>
      <c r="O30" s="22">
        <v>173</v>
      </c>
    </row>
    <row r="31" spans="1:15" x14ac:dyDescent="0.35">
      <c r="A31" s="229"/>
      <c r="B31" s="181" t="s">
        <v>58</v>
      </c>
      <c r="C31" s="178">
        <v>119.16666666666667</v>
      </c>
      <c r="D31" s="60">
        <v>79.444444444444443</v>
      </c>
      <c r="E31" s="60">
        <v>99.305555555555557</v>
      </c>
      <c r="F31" s="60">
        <v>119.16666666666667</v>
      </c>
      <c r="G31" s="60">
        <v>119.16666666666667</v>
      </c>
      <c r="H31" s="60">
        <v>99.305555555555557</v>
      </c>
      <c r="I31" s="60">
        <v>79.444444444444443</v>
      </c>
      <c r="J31" s="60">
        <v>119.16666666666667</v>
      </c>
      <c r="K31" s="60">
        <v>99.305555555555557</v>
      </c>
      <c r="L31" s="60">
        <v>99.305555555555557</v>
      </c>
      <c r="M31" s="60">
        <v>90.277777777777786</v>
      </c>
      <c r="N31" s="60">
        <v>126.38888888888889</v>
      </c>
      <c r="O31" s="58">
        <v>1249.4444444444446</v>
      </c>
    </row>
    <row r="32" spans="1:15" x14ac:dyDescent="0.35">
      <c r="A32" s="229"/>
      <c r="B32" s="181" t="s">
        <v>57</v>
      </c>
      <c r="C32" s="178">
        <v>24</v>
      </c>
      <c r="D32" s="60">
        <v>24</v>
      </c>
      <c r="E32" s="60">
        <v>24</v>
      </c>
      <c r="F32" s="60">
        <v>24</v>
      </c>
      <c r="G32" s="60">
        <v>24</v>
      </c>
      <c r="H32" s="60">
        <v>24</v>
      </c>
      <c r="I32" s="60">
        <v>24</v>
      </c>
      <c r="J32" s="60">
        <v>24</v>
      </c>
      <c r="K32" s="60">
        <v>24</v>
      </c>
      <c r="L32" s="60">
        <v>40</v>
      </c>
      <c r="M32" s="60">
        <v>24</v>
      </c>
      <c r="N32" s="60">
        <v>24</v>
      </c>
      <c r="O32" s="22">
        <v>304</v>
      </c>
    </row>
    <row r="33" spans="1:15" ht="15" thickBot="1" x14ac:dyDescent="0.4">
      <c r="A33" s="227"/>
      <c r="B33" s="182" t="s">
        <v>56</v>
      </c>
      <c r="C33" s="32">
        <v>3</v>
      </c>
      <c r="D33" s="13">
        <v>3</v>
      </c>
      <c r="E33" s="13">
        <v>3</v>
      </c>
      <c r="F33" s="13">
        <v>3</v>
      </c>
      <c r="G33" s="13">
        <v>3</v>
      </c>
      <c r="H33" s="13">
        <v>3</v>
      </c>
      <c r="I33" s="13">
        <v>3</v>
      </c>
      <c r="J33" s="13">
        <v>3</v>
      </c>
      <c r="K33" s="13">
        <v>3</v>
      </c>
      <c r="L33" s="13">
        <v>5</v>
      </c>
      <c r="M33" s="13">
        <v>3</v>
      </c>
      <c r="N33" s="13">
        <v>3</v>
      </c>
      <c r="O33" s="23">
        <v>38</v>
      </c>
    </row>
    <row r="34" spans="1:15" x14ac:dyDescent="0.35">
      <c r="A34" s="230" t="s">
        <v>34</v>
      </c>
      <c r="B34" s="179" t="s">
        <v>55</v>
      </c>
      <c r="C34" s="31">
        <v>25</v>
      </c>
      <c r="D34" s="10">
        <v>25</v>
      </c>
      <c r="E34" s="10">
        <v>25</v>
      </c>
      <c r="F34" s="10">
        <v>25</v>
      </c>
      <c r="G34" s="10">
        <v>25</v>
      </c>
      <c r="H34" s="10">
        <v>25</v>
      </c>
      <c r="I34" s="10">
        <v>25</v>
      </c>
      <c r="J34" s="10">
        <v>25</v>
      </c>
      <c r="K34" s="10">
        <v>25</v>
      </c>
      <c r="L34" s="10">
        <v>25</v>
      </c>
      <c r="M34" s="10">
        <v>25</v>
      </c>
      <c r="N34" s="11">
        <v>25</v>
      </c>
      <c r="O34" s="20">
        <v>300</v>
      </c>
    </row>
    <row r="35" spans="1:15" x14ac:dyDescent="0.35">
      <c r="A35" s="226"/>
      <c r="B35" s="22" t="s">
        <v>54</v>
      </c>
      <c r="C35" s="55">
        <v>200</v>
      </c>
      <c r="D35" s="55">
        <v>200</v>
      </c>
      <c r="E35" s="55">
        <v>200</v>
      </c>
      <c r="F35" s="55">
        <v>200</v>
      </c>
      <c r="G35" s="55">
        <v>200</v>
      </c>
      <c r="H35" s="55">
        <v>200</v>
      </c>
      <c r="I35" s="55">
        <v>200</v>
      </c>
      <c r="J35" s="55">
        <v>200</v>
      </c>
      <c r="K35" s="55">
        <v>200</v>
      </c>
      <c r="L35" s="55">
        <v>200</v>
      </c>
      <c r="M35" s="55">
        <v>200</v>
      </c>
      <c r="N35" s="55">
        <v>200</v>
      </c>
      <c r="O35" s="58">
        <v>2400</v>
      </c>
    </row>
    <row r="36" spans="1:15" x14ac:dyDescent="0.35">
      <c r="A36" s="226"/>
      <c r="B36" s="181" t="s">
        <v>58</v>
      </c>
      <c r="C36" s="63">
        <v>120</v>
      </c>
      <c r="D36" s="63">
        <v>80</v>
      </c>
      <c r="E36" s="63">
        <v>100</v>
      </c>
      <c r="F36" s="63">
        <v>120</v>
      </c>
      <c r="G36" s="63">
        <v>120</v>
      </c>
      <c r="H36" s="63">
        <v>100</v>
      </c>
      <c r="I36" s="63">
        <v>80</v>
      </c>
      <c r="J36" s="63">
        <v>120</v>
      </c>
      <c r="K36" s="63">
        <v>100</v>
      </c>
      <c r="L36" s="63">
        <v>100</v>
      </c>
      <c r="M36" s="63">
        <v>100</v>
      </c>
      <c r="N36" s="63">
        <v>140</v>
      </c>
      <c r="O36" s="58">
        <v>1280</v>
      </c>
    </row>
    <row r="37" spans="1:15" ht="15" thickBot="1" x14ac:dyDescent="0.4">
      <c r="A37" s="227"/>
      <c r="B37" s="183" t="s">
        <v>45</v>
      </c>
      <c r="C37" s="32">
        <v>6</v>
      </c>
      <c r="D37" s="7">
        <v>4</v>
      </c>
      <c r="E37" s="7">
        <v>5</v>
      </c>
      <c r="F37" s="7">
        <v>6</v>
      </c>
      <c r="G37" s="7">
        <v>6</v>
      </c>
      <c r="H37" s="7">
        <v>5</v>
      </c>
      <c r="I37" s="7">
        <v>4</v>
      </c>
      <c r="J37" s="7">
        <v>6</v>
      </c>
      <c r="K37" s="7">
        <v>5</v>
      </c>
      <c r="L37" s="7">
        <v>5</v>
      </c>
      <c r="M37" s="7">
        <v>5</v>
      </c>
      <c r="N37" s="8">
        <v>7</v>
      </c>
      <c r="O37" s="19">
        <v>64</v>
      </c>
    </row>
  </sheetData>
  <sheetProtection sheet="1" objects="1" scenarios="1"/>
  <mergeCells count="6">
    <mergeCell ref="A34:A37"/>
    <mergeCell ref="A4:A9"/>
    <mergeCell ref="A10:A15"/>
    <mergeCell ref="A16:A21"/>
    <mergeCell ref="A22:A27"/>
    <mergeCell ref="A28:A33"/>
  </mergeCells>
  <pageMargins left="0.7" right="0.7" top="0.75" bottom="0.75" header="0.3" footer="0.3"/>
  <pageSetup paperSize="9" scale="68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26"/>
  <sheetViews>
    <sheetView zoomScaleNormal="100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E29" sqref="E29"/>
    </sheetView>
  </sheetViews>
  <sheetFormatPr defaultRowHeight="14.5" x14ac:dyDescent="0.35"/>
  <cols>
    <col min="1" max="1" width="25.81640625" style="5" customWidth="1"/>
    <col min="2" max="2" width="26.81640625" bestFit="1" customWidth="1"/>
    <col min="3" max="15" width="10.81640625" customWidth="1"/>
  </cols>
  <sheetData>
    <row r="1" spans="1:15" x14ac:dyDescent="0.35">
      <c r="A1" s="5" t="s">
        <v>88</v>
      </c>
    </row>
    <row r="2" spans="1:15" ht="15" thickBot="1" x14ac:dyDescent="0.4"/>
    <row r="3" spans="1:15" s="3" customFormat="1" ht="15" thickBot="1" x14ac:dyDescent="0.4">
      <c r="A3" s="28" t="s">
        <v>35</v>
      </c>
      <c r="B3" s="27" t="s">
        <v>36</v>
      </c>
      <c r="C3" s="26" t="s">
        <v>25</v>
      </c>
      <c r="D3" s="9" t="s">
        <v>26</v>
      </c>
      <c r="E3" s="9" t="s">
        <v>27</v>
      </c>
      <c r="F3" s="9" t="s">
        <v>20</v>
      </c>
      <c r="G3" s="9" t="s">
        <v>21</v>
      </c>
      <c r="H3" s="9" t="s">
        <v>22</v>
      </c>
      <c r="I3" s="9" t="s">
        <v>23</v>
      </c>
      <c r="J3" s="9" t="s">
        <v>24</v>
      </c>
      <c r="K3" s="9" t="s">
        <v>28</v>
      </c>
      <c r="L3" s="9" t="s">
        <v>29</v>
      </c>
      <c r="M3" s="9" t="s">
        <v>30</v>
      </c>
      <c r="N3" s="29" t="s">
        <v>31</v>
      </c>
      <c r="O3" s="30" t="s">
        <v>32</v>
      </c>
    </row>
    <row r="4" spans="1:15" x14ac:dyDescent="0.35">
      <c r="A4" s="225" t="s">
        <v>17</v>
      </c>
      <c r="B4" s="179" t="s">
        <v>33</v>
      </c>
      <c r="C4" s="12">
        <v>1.5</v>
      </c>
      <c r="D4" s="12">
        <v>1.5</v>
      </c>
      <c r="E4" s="12">
        <v>2</v>
      </c>
      <c r="F4" s="12">
        <v>3</v>
      </c>
      <c r="G4" s="12">
        <v>3.5</v>
      </c>
      <c r="H4" s="12">
        <v>3.5</v>
      </c>
      <c r="I4" s="12">
        <v>5</v>
      </c>
      <c r="J4" s="12">
        <v>3.75</v>
      </c>
      <c r="K4" s="12">
        <v>3.75</v>
      </c>
      <c r="L4" s="12">
        <v>2</v>
      </c>
      <c r="M4" s="12">
        <v>1.5</v>
      </c>
      <c r="N4" s="12">
        <v>1.5</v>
      </c>
      <c r="O4" s="21">
        <v>32.5</v>
      </c>
    </row>
    <row r="5" spans="1:15" x14ac:dyDescent="0.35">
      <c r="A5" s="228"/>
      <c r="B5" s="22" t="s">
        <v>44</v>
      </c>
      <c r="C5" s="55">
        <v>244.36363636363637</v>
      </c>
      <c r="D5" s="55">
        <v>244.36363636363637</v>
      </c>
      <c r="E5" s="55">
        <v>325.81818181818181</v>
      </c>
      <c r="F5" s="55">
        <v>488.72727272727275</v>
      </c>
      <c r="G5" s="55">
        <v>570.18181818181813</v>
      </c>
      <c r="H5" s="55">
        <v>570.18181818181813</v>
      </c>
      <c r="I5" s="55">
        <v>814.5454545454545</v>
      </c>
      <c r="J5" s="55">
        <v>610.90909090909088</v>
      </c>
      <c r="K5" s="55">
        <v>610.90909090909088</v>
      </c>
      <c r="L5" s="55">
        <v>325.81818181818181</v>
      </c>
      <c r="M5" s="55">
        <v>244.36363636363637</v>
      </c>
      <c r="N5" s="56">
        <v>244.36363636363637</v>
      </c>
      <c r="O5" s="58">
        <v>5294.545454545454</v>
      </c>
    </row>
    <row r="6" spans="1:15" ht="14.5" hidden="1" customHeight="1" x14ac:dyDescent="0.35">
      <c r="A6" s="228"/>
      <c r="B6" s="180" t="s">
        <v>45</v>
      </c>
      <c r="C6" s="33">
        <v>9</v>
      </c>
      <c r="D6" s="33">
        <v>6</v>
      </c>
      <c r="E6" s="33">
        <v>10</v>
      </c>
      <c r="F6" s="33">
        <v>18</v>
      </c>
      <c r="G6" s="33">
        <v>21</v>
      </c>
      <c r="H6" s="33">
        <v>17.5</v>
      </c>
      <c r="I6" s="33">
        <v>20</v>
      </c>
      <c r="J6" s="33">
        <v>22.5</v>
      </c>
      <c r="K6" s="33">
        <v>18.75</v>
      </c>
      <c r="L6" s="33">
        <v>10</v>
      </c>
      <c r="M6" s="33">
        <v>7.5</v>
      </c>
      <c r="N6" s="33">
        <v>10.5</v>
      </c>
      <c r="O6" s="22">
        <v>170.75</v>
      </c>
    </row>
    <row r="7" spans="1:15" x14ac:dyDescent="0.35">
      <c r="A7" s="229"/>
      <c r="B7" s="181" t="s">
        <v>58</v>
      </c>
      <c r="C7" s="60">
        <v>65</v>
      </c>
      <c r="D7" s="60">
        <v>43.333333333333336</v>
      </c>
      <c r="E7" s="60">
        <v>72.222222222222229</v>
      </c>
      <c r="F7" s="60">
        <v>130</v>
      </c>
      <c r="G7" s="60">
        <v>151.66666666666666</v>
      </c>
      <c r="H7" s="60">
        <v>126.38888888888889</v>
      </c>
      <c r="I7" s="60">
        <v>144.44444444444446</v>
      </c>
      <c r="J7" s="60">
        <v>162.5</v>
      </c>
      <c r="K7" s="60">
        <v>135.41666666666666</v>
      </c>
      <c r="L7" s="60">
        <v>72.222222222222229</v>
      </c>
      <c r="M7" s="60">
        <v>54.166666666666664</v>
      </c>
      <c r="N7" s="60">
        <v>75.833333333333329</v>
      </c>
      <c r="O7" s="58">
        <v>1233.1944444444443</v>
      </c>
    </row>
    <row r="8" spans="1:15" x14ac:dyDescent="0.35">
      <c r="A8" s="229"/>
      <c r="B8" s="181" t="s">
        <v>57</v>
      </c>
      <c r="C8" s="60">
        <v>16</v>
      </c>
      <c r="D8" s="60">
        <v>16</v>
      </c>
      <c r="E8" s="60">
        <v>16</v>
      </c>
      <c r="F8" s="60">
        <v>16</v>
      </c>
      <c r="G8" s="60">
        <v>16</v>
      </c>
      <c r="H8" s="60">
        <v>16</v>
      </c>
      <c r="I8" s="60">
        <v>16</v>
      </c>
      <c r="J8" s="60">
        <v>16</v>
      </c>
      <c r="K8" s="60">
        <v>16</v>
      </c>
      <c r="L8" s="60">
        <v>32</v>
      </c>
      <c r="M8" s="60">
        <v>16</v>
      </c>
      <c r="N8" s="60">
        <v>16</v>
      </c>
      <c r="O8" s="22">
        <v>208</v>
      </c>
    </row>
    <row r="9" spans="1:15" ht="15" thickBot="1" x14ac:dyDescent="0.4">
      <c r="A9" s="227"/>
      <c r="B9" s="182" t="s">
        <v>56</v>
      </c>
      <c r="C9" s="13">
        <v>2</v>
      </c>
      <c r="D9" s="13">
        <v>2</v>
      </c>
      <c r="E9" s="13">
        <v>2</v>
      </c>
      <c r="F9" s="13">
        <v>2</v>
      </c>
      <c r="G9" s="13">
        <v>2</v>
      </c>
      <c r="H9" s="13">
        <v>2</v>
      </c>
      <c r="I9" s="13">
        <v>2</v>
      </c>
      <c r="J9" s="13">
        <v>2</v>
      </c>
      <c r="K9" s="13">
        <v>2</v>
      </c>
      <c r="L9" s="13">
        <v>4</v>
      </c>
      <c r="M9" s="13">
        <v>2</v>
      </c>
      <c r="N9" s="13">
        <v>2</v>
      </c>
      <c r="O9" s="23">
        <v>26</v>
      </c>
    </row>
    <row r="10" spans="1:15" x14ac:dyDescent="0.35">
      <c r="A10" s="230" t="s">
        <v>18</v>
      </c>
      <c r="B10" s="179" t="s">
        <v>33</v>
      </c>
      <c r="C10" s="14">
        <v>3</v>
      </c>
      <c r="D10" s="14">
        <v>3</v>
      </c>
      <c r="E10" s="14">
        <v>3</v>
      </c>
      <c r="F10" s="14">
        <v>3</v>
      </c>
      <c r="G10" s="14">
        <v>3</v>
      </c>
      <c r="H10" s="14">
        <v>3</v>
      </c>
      <c r="I10" s="14">
        <v>3</v>
      </c>
      <c r="J10" s="14">
        <v>3</v>
      </c>
      <c r="K10" s="14">
        <v>3</v>
      </c>
      <c r="L10" s="14">
        <v>3</v>
      </c>
      <c r="M10" s="14">
        <v>3</v>
      </c>
      <c r="N10" s="14">
        <v>3</v>
      </c>
      <c r="O10" s="24">
        <v>36</v>
      </c>
    </row>
    <row r="11" spans="1:15" x14ac:dyDescent="0.35">
      <c r="A11" s="228"/>
      <c r="B11" s="22" t="s">
        <v>44</v>
      </c>
      <c r="C11" s="55">
        <v>488.72727272727275</v>
      </c>
      <c r="D11" s="55">
        <v>488.72727272727275</v>
      </c>
      <c r="E11" s="55">
        <v>488.72727272727275</v>
      </c>
      <c r="F11" s="55">
        <v>488.72727272727275</v>
      </c>
      <c r="G11" s="55">
        <v>488.72727272727275</v>
      </c>
      <c r="H11" s="55">
        <v>488.72727272727275</v>
      </c>
      <c r="I11" s="55">
        <v>488.72727272727275</v>
      </c>
      <c r="J11" s="55">
        <v>488.72727272727275</v>
      </c>
      <c r="K11" s="55">
        <v>488.72727272727275</v>
      </c>
      <c r="L11" s="55">
        <v>488.72727272727275</v>
      </c>
      <c r="M11" s="55">
        <v>488.72727272727275</v>
      </c>
      <c r="N11" s="56">
        <v>488.72727272727275</v>
      </c>
      <c r="O11" s="58">
        <v>5864.7272727272748</v>
      </c>
    </row>
    <row r="12" spans="1:15" ht="14.5" hidden="1" customHeight="1" x14ac:dyDescent="0.35">
      <c r="A12" s="228"/>
      <c r="B12" s="180" t="s">
        <v>45</v>
      </c>
      <c r="C12" s="33">
        <v>18</v>
      </c>
      <c r="D12" s="33">
        <v>12</v>
      </c>
      <c r="E12" s="33">
        <v>15</v>
      </c>
      <c r="F12" s="33">
        <v>18</v>
      </c>
      <c r="G12" s="33">
        <v>18</v>
      </c>
      <c r="H12" s="33">
        <v>15</v>
      </c>
      <c r="I12" s="33">
        <v>12</v>
      </c>
      <c r="J12" s="33">
        <v>18</v>
      </c>
      <c r="K12" s="33">
        <v>15</v>
      </c>
      <c r="L12" s="33">
        <v>15</v>
      </c>
      <c r="M12" s="33">
        <v>15</v>
      </c>
      <c r="N12" s="33">
        <v>21</v>
      </c>
      <c r="O12" s="22">
        <v>192</v>
      </c>
    </row>
    <row r="13" spans="1:15" x14ac:dyDescent="0.35">
      <c r="A13" s="229"/>
      <c r="B13" s="181" t="s">
        <v>58</v>
      </c>
      <c r="C13" s="60">
        <v>144</v>
      </c>
      <c r="D13" s="60">
        <v>96</v>
      </c>
      <c r="E13" s="60">
        <v>120</v>
      </c>
      <c r="F13" s="60">
        <v>144</v>
      </c>
      <c r="G13" s="60">
        <v>144</v>
      </c>
      <c r="H13" s="60">
        <v>120</v>
      </c>
      <c r="I13" s="60">
        <v>96</v>
      </c>
      <c r="J13" s="60">
        <v>144</v>
      </c>
      <c r="K13" s="60">
        <v>120</v>
      </c>
      <c r="L13" s="60">
        <v>120</v>
      </c>
      <c r="M13" s="60">
        <v>120</v>
      </c>
      <c r="N13" s="60">
        <v>168</v>
      </c>
      <c r="O13" s="58">
        <v>1536</v>
      </c>
    </row>
    <row r="14" spans="1:15" x14ac:dyDescent="0.35">
      <c r="A14" s="229"/>
      <c r="B14" s="181" t="s">
        <v>57</v>
      </c>
      <c r="C14" s="60">
        <v>16</v>
      </c>
      <c r="D14" s="60">
        <v>16</v>
      </c>
      <c r="E14" s="60">
        <v>16</v>
      </c>
      <c r="F14" s="60">
        <v>16</v>
      </c>
      <c r="G14" s="60">
        <v>16</v>
      </c>
      <c r="H14" s="60">
        <v>16</v>
      </c>
      <c r="I14" s="60">
        <v>16</v>
      </c>
      <c r="J14" s="60">
        <v>16</v>
      </c>
      <c r="K14" s="60">
        <v>16</v>
      </c>
      <c r="L14" s="60">
        <v>24</v>
      </c>
      <c r="M14" s="60">
        <v>16</v>
      </c>
      <c r="N14" s="60">
        <v>16</v>
      </c>
      <c r="O14" s="22">
        <v>200</v>
      </c>
    </row>
    <row r="15" spans="1:15" ht="15" thickBot="1" x14ac:dyDescent="0.4">
      <c r="A15" s="229"/>
      <c r="B15" s="182" t="s">
        <v>56</v>
      </c>
      <c r="C15" s="13">
        <v>2</v>
      </c>
      <c r="D15" s="13">
        <v>2</v>
      </c>
      <c r="E15" s="13">
        <v>2</v>
      </c>
      <c r="F15" s="13">
        <v>2</v>
      </c>
      <c r="G15" s="13">
        <v>2</v>
      </c>
      <c r="H15" s="13">
        <v>2</v>
      </c>
      <c r="I15" s="13">
        <v>2</v>
      </c>
      <c r="J15" s="13">
        <v>2</v>
      </c>
      <c r="K15" s="13">
        <v>2</v>
      </c>
      <c r="L15" s="13">
        <v>3</v>
      </c>
      <c r="M15" s="13">
        <v>2</v>
      </c>
      <c r="N15" s="13">
        <v>2</v>
      </c>
      <c r="O15" s="25">
        <v>25</v>
      </c>
    </row>
    <row r="16" spans="1:15" x14ac:dyDescent="0.35">
      <c r="A16" s="225" t="s">
        <v>19</v>
      </c>
      <c r="B16" s="179" t="s">
        <v>33</v>
      </c>
      <c r="C16" s="12">
        <v>0.5</v>
      </c>
      <c r="D16" s="12">
        <v>1</v>
      </c>
      <c r="E16" s="12">
        <v>1.5</v>
      </c>
      <c r="F16" s="12">
        <v>1.75</v>
      </c>
      <c r="G16" s="12">
        <v>1.75</v>
      </c>
      <c r="H16" s="12">
        <v>1.75</v>
      </c>
      <c r="I16" s="12">
        <v>1.75</v>
      </c>
      <c r="J16" s="12">
        <v>1.75</v>
      </c>
      <c r="K16" s="12">
        <v>1</v>
      </c>
      <c r="L16" s="12">
        <v>1</v>
      </c>
      <c r="M16" s="12">
        <v>0</v>
      </c>
      <c r="N16" s="15">
        <v>0.5</v>
      </c>
      <c r="O16" s="21">
        <v>14.25</v>
      </c>
    </row>
    <row r="17" spans="1:15" x14ac:dyDescent="0.35">
      <c r="A17" s="228"/>
      <c r="B17" s="22" t="s">
        <v>44</v>
      </c>
      <c r="C17" s="55">
        <v>81.454545454545453</v>
      </c>
      <c r="D17" s="55">
        <v>162.90909090909091</v>
      </c>
      <c r="E17" s="55">
        <v>244.36363636363637</v>
      </c>
      <c r="F17" s="55">
        <v>285.09090909090907</v>
      </c>
      <c r="G17" s="55">
        <v>285.09090909090907</v>
      </c>
      <c r="H17" s="55">
        <v>285.09090909090907</v>
      </c>
      <c r="I17" s="55">
        <v>285.09090909090907</v>
      </c>
      <c r="J17" s="55">
        <v>285.09090909090907</v>
      </c>
      <c r="K17" s="55">
        <v>162.90909090909091</v>
      </c>
      <c r="L17" s="55">
        <v>162.90909090909091</v>
      </c>
      <c r="M17" s="55">
        <v>0</v>
      </c>
      <c r="N17" s="56">
        <v>81.454545454545453</v>
      </c>
      <c r="O17" s="58">
        <v>2321.454545454545</v>
      </c>
    </row>
    <row r="18" spans="1:15" ht="14.5" hidden="1" customHeight="1" x14ac:dyDescent="0.35">
      <c r="A18" s="228"/>
      <c r="B18" s="180" t="s">
        <v>45</v>
      </c>
      <c r="C18" s="33">
        <v>3</v>
      </c>
      <c r="D18" s="33">
        <v>4</v>
      </c>
      <c r="E18" s="33">
        <v>7.5</v>
      </c>
      <c r="F18" s="33">
        <v>10.5</v>
      </c>
      <c r="G18" s="33">
        <v>10.5</v>
      </c>
      <c r="H18" s="33">
        <v>8.75</v>
      </c>
      <c r="I18" s="33">
        <v>7</v>
      </c>
      <c r="J18" s="33">
        <v>10.5</v>
      </c>
      <c r="K18" s="33">
        <v>5</v>
      </c>
      <c r="L18" s="33">
        <v>5</v>
      </c>
      <c r="M18" s="33">
        <v>0</v>
      </c>
      <c r="N18" s="57">
        <v>3.5</v>
      </c>
      <c r="O18" s="22">
        <v>75.25</v>
      </c>
    </row>
    <row r="19" spans="1:15" x14ac:dyDescent="0.35">
      <c r="A19" s="229"/>
      <c r="B19" s="181" t="s">
        <v>58</v>
      </c>
      <c r="C19" s="60">
        <v>13.153846153846155</v>
      </c>
      <c r="D19" s="60">
        <v>17.53846153846154</v>
      </c>
      <c r="E19" s="60">
        <v>32.884615384615387</v>
      </c>
      <c r="F19" s="60">
        <v>46.03846153846154</v>
      </c>
      <c r="G19" s="60">
        <v>46.03846153846154</v>
      </c>
      <c r="H19" s="60">
        <v>38.36538461538462</v>
      </c>
      <c r="I19" s="60">
        <v>30.692307692307693</v>
      </c>
      <c r="J19" s="60">
        <v>46.03846153846154</v>
      </c>
      <c r="K19" s="60">
        <v>21.923076923076927</v>
      </c>
      <c r="L19" s="60">
        <v>21.923076923076927</v>
      </c>
      <c r="M19" s="60">
        <v>0</v>
      </c>
      <c r="N19" s="61">
        <v>15.346153846153847</v>
      </c>
      <c r="O19" s="62">
        <v>329.94230769230774</v>
      </c>
    </row>
    <row r="20" spans="1:15" x14ac:dyDescent="0.35">
      <c r="A20" s="229"/>
      <c r="B20" s="181" t="s">
        <v>57</v>
      </c>
      <c r="C20" s="60">
        <v>8</v>
      </c>
      <c r="D20" s="60">
        <v>8</v>
      </c>
      <c r="E20" s="60">
        <v>8</v>
      </c>
      <c r="F20" s="60">
        <v>8</v>
      </c>
      <c r="G20" s="60">
        <v>8</v>
      </c>
      <c r="H20" s="60">
        <v>8</v>
      </c>
      <c r="I20" s="60">
        <v>8</v>
      </c>
      <c r="J20" s="60">
        <v>8</v>
      </c>
      <c r="K20" s="60">
        <v>8</v>
      </c>
      <c r="L20" s="60">
        <v>8</v>
      </c>
      <c r="M20" s="60">
        <v>0</v>
      </c>
      <c r="N20" s="61">
        <v>8</v>
      </c>
      <c r="O20" s="22">
        <v>88</v>
      </c>
    </row>
    <row r="21" spans="1:15" ht="15" thickBot="1" x14ac:dyDescent="0.4">
      <c r="A21" s="227"/>
      <c r="B21" s="182" t="s">
        <v>56</v>
      </c>
      <c r="C21" s="13">
        <v>1</v>
      </c>
      <c r="D21" s="13">
        <v>1</v>
      </c>
      <c r="E21" s="13">
        <v>1</v>
      </c>
      <c r="F21" s="13">
        <v>1</v>
      </c>
      <c r="G21" s="13">
        <v>1</v>
      </c>
      <c r="H21" s="13">
        <v>1</v>
      </c>
      <c r="I21" s="13">
        <v>1</v>
      </c>
      <c r="J21" s="13">
        <v>1</v>
      </c>
      <c r="K21" s="13">
        <v>1</v>
      </c>
      <c r="L21" s="13">
        <v>1</v>
      </c>
      <c r="M21" s="13">
        <v>0</v>
      </c>
      <c r="N21" s="16">
        <v>1</v>
      </c>
      <c r="O21" s="23">
        <v>11</v>
      </c>
    </row>
    <row r="22" spans="1:15" x14ac:dyDescent="0.35">
      <c r="A22" s="230" t="s">
        <v>34</v>
      </c>
      <c r="B22" s="179" t="s">
        <v>55</v>
      </c>
      <c r="C22" s="31">
        <v>15</v>
      </c>
      <c r="D22" s="10">
        <v>15</v>
      </c>
      <c r="E22" s="10">
        <v>15</v>
      </c>
      <c r="F22" s="10">
        <v>15</v>
      </c>
      <c r="G22" s="10">
        <v>15</v>
      </c>
      <c r="H22" s="10">
        <v>15</v>
      </c>
      <c r="I22" s="10">
        <v>15</v>
      </c>
      <c r="J22" s="10">
        <v>15</v>
      </c>
      <c r="K22" s="10">
        <v>15</v>
      </c>
      <c r="L22" s="10">
        <v>15</v>
      </c>
      <c r="M22" s="10">
        <v>15</v>
      </c>
      <c r="N22" s="11">
        <v>15</v>
      </c>
      <c r="O22" s="20">
        <v>180</v>
      </c>
    </row>
    <row r="23" spans="1:15" x14ac:dyDescent="0.35">
      <c r="A23" s="226"/>
      <c r="B23" s="22" t="s">
        <v>54</v>
      </c>
      <c r="C23" s="55">
        <v>120</v>
      </c>
      <c r="D23" s="55">
        <v>120</v>
      </c>
      <c r="E23" s="55">
        <v>120</v>
      </c>
      <c r="F23" s="55">
        <v>120</v>
      </c>
      <c r="G23" s="55">
        <v>120</v>
      </c>
      <c r="H23" s="55">
        <v>120</v>
      </c>
      <c r="I23" s="55">
        <v>120</v>
      </c>
      <c r="J23" s="55">
        <v>120</v>
      </c>
      <c r="K23" s="55">
        <v>120</v>
      </c>
      <c r="L23" s="55">
        <v>120</v>
      </c>
      <c r="M23" s="55">
        <v>120</v>
      </c>
      <c r="N23" s="55">
        <v>120</v>
      </c>
      <c r="O23" s="58">
        <v>1440</v>
      </c>
    </row>
    <row r="24" spans="1:15" x14ac:dyDescent="0.35">
      <c r="A24" s="226"/>
      <c r="B24" s="181" t="s">
        <v>58</v>
      </c>
      <c r="C24" s="63">
        <v>72</v>
      </c>
      <c r="D24" s="63">
        <v>48</v>
      </c>
      <c r="E24" s="63">
        <v>60</v>
      </c>
      <c r="F24" s="63">
        <v>72</v>
      </c>
      <c r="G24" s="63">
        <v>72</v>
      </c>
      <c r="H24" s="63">
        <v>60</v>
      </c>
      <c r="I24" s="63">
        <v>48</v>
      </c>
      <c r="J24" s="63">
        <v>72</v>
      </c>
      <c r="K24" s="63">
        <v>60</v>
      </c>
      <c r="L24" s="63">
        <v>60</v>
      </c>
      <c r="M24" s="63">
        <v>60</v>
      </c>
      <c r="N24" s="63">
        <v>84</v>
      </c>
      <c r="O24" s="58">
        <v>768</v>
      </c>
    </row>
    <row r="25" spans="1:15" ht="15" thickBot="1" x14ac:dyDescent="0.4">
      <c r="A25" s="227"/>
      <c r="B25" s="183" t="s">
        <v>45</v>
      </c>
      <c r="C25" s="32">
        <v>6</v>
      </c>
      <c r="D25" s="7">
        <v>4</v>
      </c>
      <c r="E25" s="7">
        <v>5</v>
      </c>
      <c r="F25" s="7">
        <v>6</v>
      </c>
      <c r="G25" s="7">
        <v>6</v>
      </c>
      <c r="H25" s="7">
        <v>5</v>
      </c>
      <c r="I25" s="7">
        <v>4</v>
      </c>
      <c r="J25" s="7">
        <v>6</v>
      </c>
      <c r="K25" s="7">
        <v>5</v>
      </c>
      <c r="L25" s="7">
        <v>5</v>
      </c>
      <c r="M25" s="7">
        <v>5</v>
      </c>
      <c r="N25" s="8">
        <v>7</v>
      </c>
      <c r="O25" s="19">
        <v>64</v>
      </c>
    </row>
    <row r="26" spans="1:15" x14ac:dyDescent="0.35">
      <c r="A26" s="4"/>
      <c r="B26" s="2"/>
    </row>
  </sheetData>
  <sheetProtection sheet="1" objects="1" scenarios="1"/>
  <mergeCells count="4">
    <mergeCell ref="A22:A25"/>
    <mergeCell ref="A4:A9"/>
    <mergeCell ref="A10:A15"/>
    <mergeCell ref="A16:A21"/>
  </mergeCells>
  <pageMargins left="0.7" right="0.7" top="0.75" bottom="0.75" header="0.3" footer="0.3"/>
  <pageSetup paperSize="9" scale="68" fitToHeight="0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F16" sqref="F16"/>
    </sheetView>
  </sheetViews>
  <sheetFormatPr defaultRowHeight="14.5" x14ac:dyDescent="0.35"/>
  <cols>
    <col min="1" max="1" width="15.81640625" style="1" bestFit="1" customWidth="1"/>
    <col min="2" max="2" width="15.81640625" customWidth="1"/>
    <col min="3" max="3" width="15.81640625" style="39" customWidth="1"/>
    <col min="4" max="5" width="15.81640625" style="1" customWidth="1"/>
    <col min="6" max="6" width="15.81640625" customWidth="1"/>
    <col min="7" max="8" width="14.1796875" style="1" bestFit="1" customWidth="1"/>
    <col min="9" max="10" width="13.90625" style="1" bestFit="1" customWidth="1"/>
    <col min="11" max="11" width="11.1796875" style="1" bestFit="1" customWidth="1"/>
    <col min="12" max="12" width="9.1796875" style="1"/>
    <col min="13" max="13" width="12.1796875" style="1" bestFit="1" customWidth="1"/>
    <col min="14" max="14" width="9.1796875" style="1"/>
  </cols>
  <sheetData>
    <row r="1" spans="1:10" x14ac:dyDescent="0.35">
      <c r="A1" s="46" t="s">
        <v>41</v>
      </c>
      <c r="B1" s="10"/>
      <c r="C1" s="47">
        <v>2026</v>
      </c>
      <c r="D1" s="47">
        <v>2027</v>
      </c>
      <c r="E1" s="48">
        <v>2028</v>
      </c>
      <c r="F1" s="235" t="s">
        <v>105</v>
      </c>
      <c r="G1" s="117">
        <v>2029</v>
      </c>
      <c r="H1" s="48">
        <v>2030</v>
      </c>
      <c r="I1" s="237" t="s">
        <v>104</v>
      </c>
      <c r="J1" s="231" t="s">
        <v>103</v>
      </c>
    </row>
    <row r="2" spans="1:10" ht="15" thickBot="1" x14ac:dyDescent="0.4">
      <c r="A2" s="51" t="s">
        <v>42</v>
      </c>
      <c r="B2" s="54" t="s">
        <v>106</v>
      </c>
      <c r="C2" s="52">
        <v>3.2500000000000001E-2</v>
      </c>
      <c r="D2" s="52">
        <v>0.03</v>
      </c>
      <c r="E2" s="53">
        <v>0.03</v>
      </c>
      <c r="F2" s="236"/>
      <c r="G2" s="118">
        <v>0</v>
      </c>
      <c r="H2" s="53">
        <v>0</v>
      </c>
      <c r="I2" s="238"/>
      <c r="J2" s="232"/>
    </row>
    <row r="3" spans="1:10" x14ac:dyDescent="0.35">
      <c r="A3" s="35">
        <v>1</v>
      </c>
      <c r="B3" s="50" t="s">
        <v>37</v>
      </c>
      <c r="C3" s="119">
        <f>'PROPOSTA ECONÒMICA'!M18</f>
        <v>196306.65749999997</v>
      </c>
      <c r="D3" s="119">
        <f>'PROPOSTA ECONÒMICA'!V18</f>
        <v>1010479.6599999999</v>
      </c>
      <c r="E3" s="120">
        <f>'PROPOSTA ECONÒMICA'!AE18</f>
        <v>1037859.75</v>
      </c>
      <c r="F3" s="121">
        <f>SUM(C3:E3)</f>
        <v>2244646.0674999999</v>
      </c>
      <c r="G3" s="122">
        <f>'PROPOSTA ECONÒMICA'!AN18</f>
        <v>1051952.1099999999</v>
      </c>
      <c r="H3" s="120">
        <f>'PROPOSTA ECONÒMICA'!AW18</f>
        <v>1066044.4999999998</v>
      </c>
      <c r="I3" s="142">
        <f>SUM(G3:H3)</f>
        <v>2117996.6099999994</v>
      </c>
      <c r="J3" s="123">
        <f>F3+I3</f>
        <v>4362642.6774999993</v>
      </c>
    </row>
    <row r="4" spans="1:10" x14ac:dyDescent="0.35">
      <c r="A4" s="34">
        <v>2</v>
      </c>
      <c r="B4" s="45" t="s">
        <v>38</v>
      </c>
      <c r="C4" s="124">
        <f>'PROPOSTA ECONÒMICA'!M28</f>
        <v>70223.625</v>
      </c>
      <c r="D4" s="119">
        <f>'PROPOSTA ECONÒMICA'!V28</f>
        <v>411332.6100000001</v>
      </c>
      <c r="E4" s="120">
        <f>'PROPOSTA ECONÒMICA'!AE28</f>
        <v>422194.33000000007</v>
      </c>
      <c r="F4" s="145">
        <f t="shared" ref="F4:F6" si="0">SUM(C4:E4)</f>
        <v>903750.56500000018</v>
      </c>
      <c r="G4" s="122">
        <f>'PROPOSTA ECONÒMICA'!AN28</f>
        <v>427784.07999999996</v>
      </c>
      <c r="H4" s="120">
        <f>'PROPOSTA ECONÒMICA'!AW28</f>
        <v>433373.87</v>
      </c>
      <c r="I4" s="142">
        <f t="shared" ref="I4:I6" si="1">SUM(G4:H4)</f>
        <v>861157.95</v>
      </c>
      <c r="J4" s="123">
        <f t="shared" ref="J4:J6" si="2">F4+I4</f>
        <v>1764908.5150000001</v>
      </c>
    </row>
    <row r="5" spans="1:10" x14ac:dyDescent="0.35">
      <c r="A5" s="34">
        <v>3</v>
      </c>
      <c r="B5" s="45" t="s">
        <v>39</v>
      </c>
      <c r="C5" s="124">
        <f>'PROPOSTA ECONÒMICA'!M39</f>
        <v>156380.88749999998</v>
      </c>
      <c r="D5" s="119">
        <f>'PROPOSTA ECONÒMICA'!V39</f>
        <v>698922.48999999987</v>
      </c>
      <c r="E5" s="120">
        <f>'PROPOSTA ECONÒMICA'!AE39</f>
        <v>718064.83</v>
      </c>
      <c r="F5" s="145">
        <f t="shared" si="0"/>
        <v>1573368.2074999998</v>
      </c>
      <c r="G5" s="122">
        <f>'PROPOSTA ECONÒMICA'!AN39</f>
        <v>727916.71</v>
      </c>
      <c r="H5" s="120">
        <f>'PROPOSTA ECONÒMICA'!AW39</f>
        <v>737768.55999999994</v>
      </c>
      <c r="I5" s="142">
        <f t="shared" si="1"/>
        <v>1465685.27</v>
      </c>
      <c r="J5" s="123">
        <f t="shared" si="2"/>
        <v>3039053.4775</v>
      </c>
    </row>
    <row r="6" spans="1:10" ht="15" thickBot="1" x14ac:dyDescent="0.4">
      <c r="A6" s="36">
        <v>4</v>
      </c>
      <c r="B6" s="49" t="s">
        <v>40</v>
      </c>
      <c r="C6" s="125">
        <f>'PROPOSTA ECONÒMICA'!M48</f>
        <v>69200.189999999988</v>
      </c>
      <c r="D6" s="126">
        <f>'PROPOSTA ECONÒMICA'!V48</f>
        <v>357568.38</v>
      </c>
      <c r="E6" s="127">
        <f>'PROPOSTA ECONÒMICA'!AE48</f>
        <v>367193.44999999995</v>
      </c>
      <c r="F6" s="146">
        <f t="shared" si="0"/>
        <v>793962.02</v>
      </c>
      <c r="G6" s="128">
        <f>'PROPOSTA ECONÒMICA'!AN48</f>
        <v>372145.75999999995</v>
      </c>
      <c r="H6" s="127">
        <f>'PROPOSTA ECONÒMICA'!AW48</f>
        <v>377098.06999999995</v>
      </c>
      <c r="I6" s="143">
        <f t="shared" si="1"/>
        <v>749243.82999999984</v>
      </c>
      <c r="J6" s="129">
        <f t="shared" si="2"/>
        <v>1543205.8499999999</v>
      </c>
    </row>
    <row r="7" spans="1:10" ht="15" thickBot="1" x14ac:dyDescent="0.4">
      <c r="A7" s="233" t="s">
        <v>43</v>
      </c>
      <c r="B7" s="234"/>
      <c r="C7" s="130">
        <f>SUM(C3:C6)+0.01</f>
        <v>492111.36999999994</v>
      </c>
      <c r="D7" s="130">
        <f t="shared" ref="D7:E7" si="3">SUM(D3:D6)</f>
        <v>2478303.1399999997</v>
      </c>
      <c r="E7" s="131">
        <f t="shared" si="3"/>
        <v>2545312.3600000003</v>
      </c>
      <c r="F7" s="144">
        <f>ROUND(SUM(C7:E7),2)</f>
        <v>5515726.8700000001</v>
      </c>
      <c r="G7" s="133">
        <f>SUM(G3:G6)</f>
        <v>2579798.6599999997</v>
      </c>
      <c r="H7" s="131">
        <f>SUM(H3:H6)</f>
        <v>2614284.9999999995</v>
      </c>
      <c r="I7" s="165">
        <f>SUM(I3:I6)</f>
        <v>5194083.66</v>
      </c>
      <c r="J7" s="132">
        <f>F7+I7</f>
        <v>10709810.530000001</v>
      </c>
    </row>
    <row r="8" spans="1:10" ht="15" thickBot="1" x14ac:dyDescent="0.4"/>
    <row r="9" spans="1:10" ht="42.5" customHeight="1" thickBot="1" x14ac:dyDescent="0.4">
      <c r="A9" s="159" t="s">
        <v>76</v>
      </c>
      <c r="B9" s="160" t="s">
        <v>102</v>
      </c>
      <c r="C9" s="161" t="s">
        <v>46</v>
      </c>
      <c r="D9" s="162" t="s">
        <v>49</v>
      </c>
      <c r="E9" s="163" t="s">
        <v>47</v>
      </c>
      <c r="F9" s="164" t="s">
        <v>50</v>
      </c>
      <c r="G9" s="161" t="s">
        <v>48</v>
      </c>
      <c r="H9" s="162" t="s">
        <v>51</v>
      </c>
      <c r="I9" s="163" t="s">
        <v>53</v>
      </c>
      <c r="J9" s="162" t="s">
        <v>52</v>
      </c>
    </row>
    <row r="10" spans="1:10" x14ac:dyDescent="0.35">
      <c r="A10" s="108">
        <v>2026</v>
      </c>
      <c r="B10" s="139">
        <f>'PROPOSTA ECONÒMICA'!M18</f>
        <v>196306.65749999997</v>
      </c>
      <c r="C10" s="134">
        <f>'PROPOSTA ECONÒMICA'!J18</f>
        <v>146600.63000000003</v>
      </c>
      <c r="D10" s="41">
        <f>C10/$B10</f>
        <v>0.74679397972022454</v>
      </c>
      <c r="E10" s="137">
        <f>'PROPOSTA ECONÒMICA'!K18</f>
        <v>14938.460000000003</v>
      </c>
      <c r="F10" s="110">
        <f>E10/$B10</f>
        <v>7.60975719837724E-2</v>
      </c>
      <c r="G10" s="134">
        <f>'PROPOSTA ECONÒMICA'!L18</f>
        <v>9382.74</v>
      </c>
      <c r="H10" s="41">
        <f>G10/$B10</f>
        <v>4.7796341293213661E-2</v>
      </c>
      <c r="I10" s="137">
        <f>'PROPOSTA ECONÒMICA'!M17</f>
        <v>25384.827499999999</v>
      </c>
      <c r="J10" s="41">
        <f>I10/$B10</f>
        <v>0.12931210700278978</v>
      </c>
    </row>
    <row r="11" spans="1:10" x14ac:dyDescent="0.35">
      <c r="A11" s="109">
        <v>2027</v>
      </c>
      <c r="B11" s="140">
        <f>'PROPOSTA ECONÒMICA'!V18</f>
        <v>1010479.6599999999</v>
      </c>
      <c r="C11" s="135">
        <f>'PROPOSTA ECONÒMICA'!S18</f>
        <v>797871.7</v>
      </c>
      <c r="D11" s="42">
        <f t="shared" ref="D11:D14" si="4">C11/$B11</f>
        <v>0.78959699198695399</v>
      </c>
      <c r="E11" s="135">
        <f>'PROPOSTA ECONÒMICA'!T18</f>
        <v>77108.329999999987</v>
      </c>
      <c r="F11" s="40">
        <f>E11/$B11</f>
        <v>7.6308641383241685E-2</v>
      </c>
      <c r="G11" s="135">
        <f>'PROPOSTA ECONÒMICA'!U18</f>
        <v>33960.32</v>
      </c>
      <c r="H11" s="42">
        <f t="shared" ref="H11:H14" si="5">G11/$B11</f>
        <v>3.3608118346489038E-2</v>
      </c>
      <c r="I11" s="135">
        <f>'PROPOSTA ECONÒMICA'!V17</f>
        <v>101539.31</v>
      </c>
      <c r="J11" s="42">
        <f t="shared" ref="J11:J14" si="6">I11/$B11</f>
        <v>0.10048624828331527</v>
      </c>
    </row>
    <row r="12" spans="1:10" ht="15" thickBot="1" x14ac:dyDescent="0.4">
      <c r="A12" s="111">
        <v>2028</v>
      </c>
      <c r="B12" s="141">
        <f>'PROPOSTA ECONÒMICA'!AE18</f>
        <v>1037859.75</v>
      </c>
      <c r="C12" s="136">
        <f>'PROPOSTA ECONÒMICA'!AB18</f>
        <v>821885.33</v>
      </c>
      <c r="D12" s="44">
        <f t="shared" si="4"/>
        <v>0.79190404098434297</v>
      </c>
      <c r="E12" s="136">
        <f>'PROPOSTA ECONÒMICA'!AC18</f>
        <v>79452.069999999992</v>
      </c>
      <c r="F12" s="43">
        <f t="shared" ref="F12:F14" si="7">E12/$B12</f>
        <v>7.6553763646774034E-2</v>
      </c>
      <c r="G12" s="136">
        <f>'PROPOSTA ECONÒMICA'!AD18</f>
        <v>34983.040000000001</v>
      </c>
      <c r="H12" s="44">
        <f t="shared" si="5"/>
        <v>3.3706905003301264E-2</v>
      </c>
      <c r="I12" s="138">
        <f>'PROPOSTA ECONÒMICA'!AE17</f>
        <v>101539.31</v>
      </c>
      <c r="J12" s="44">
        <f t="shared" si="6"/>
        <v>9.7835290365581667E-2</v>
      </c>
    </row>
    <row r="13" spans="1:10" x14ac:dyDescent="0.35">
      <c r="A13" s="147">
        <v>2029</v>
      </c>
      <c r="B13" s="148">
        <f>'PROPOSTA ECONÒMICA'!AN18</f>
        <v>1051952.1099999999</v>
      </c>
      <c r="C13" s="149">
        <f>'PROPOSTA ECONÒMICA'!AK18</f>
        <v>834279.44</v>
      </c>
      <c r="D13" s="150">
        <f t="shared" si="4"/>
        <v>0.79307739589019888</v>
      </c>
      <c r="E13" s="149">
        <f>'PROPOSTA ECONÒMICA'!AL18</f>
        <v>80623.92</v>
      </c>
      <c r="F13" s="151">
        <f t="shared" si="7"/>
        <v>7.6642196192752546E-2</v>
      </c>
      <c r="G13" s="149">
        <f>'PROPOSTA ECONÒMICA'!AM18</f>
        <v>35509.440000000002</v>
      </c>
      <c r="H13" s="150">
        <f t="shared" si="5"/>
        <v>3.3755757189364834E-2</v>
      </c>
      <c r="I13" s="152">
        <f>'PROPOSTA ECONÒMICA'!AN17</f>
        <v>101539.31</v>
      </c>
      <c r="J13" s="150">
        <f t="shared" si="6"/>
        <v>9.6524650727683806E-2</v>
      </c>
    </row>
    <row r="14" spans="1:10" ht="15" thickBot="1" x14ac:dyDescent="0.4">
      <c r="A14" s="153">
        <v>2030</v>
      </c>
      <c r="B14" s="154">
        <f>'PROPOSTA ECONÒMICA'!AW18</f>
        <v>1066044.4999999998</v>
      </c>
      <c r="C14" s="155">
        <f>'PROPOSTA ECONÒMICA'!AT18</f>
        <v>846673.58</v>
      </c>
      <c r="D14" s="156">
        <f t="shared" si="4"/>
        <v>0.79421973472964791</v>
      </c>
      <c r="E14" s="157">
        <f>'PROPOSTA ECONÒMICA'!AU18</f>
        <v>81795.76999999999</v>
      </c>
      <c r="F14" s="158">
        <f t="shared" si="7"/>
        <v>7.6728288547054088E-2</v>
      </c>
      <c r="G14" s="155">
        <f>'PROPOSTA ECONÒMICA'!AV18</f>
        <v>36035.839999999997</v>
      </c>
      <c r="H14" s="156">
        <f t="shared" si="5"/>
        <v>3.3803316840901113E-2</v>
      </c>
      <c r="I14" s="157">
        <f>'PROPOSTA ECONÒMICA'!AW17</f>
        <v>101539.31</v>
      </c>
      <c r="J14" s="156">
        <f t="shared" si="6"/>
        <v>9.5248659882397044E-2</v>
      </c>
    </row>
    <row r="15" spans="1:10" ht="15" thickBot="1" x14ac:dyDescent="0.4">
      <c r="G15" s="59"/>
    </row>
    <row r="16" spans="1:10" ht="44" thickBot="1" x14ac:dyDescent="0.4">
      <c r="A16" s="161" t="s">
        <v>90</v>
      </c>
      <c r="B16" s="160" t="s">
        <v>102</v>
      </c>
      <c r="C16" s="161" t="s">
        <v>46</v>
      </c>
      <c r="D16" s="162" t="s">
        <v>49</v>
      </c>
      <c r="E16" s="163" t="s">
        <v>47</v>
      </c>
      <c r="F16" s="164" t="s">
        <v>50</v>
      </c>
      <c r="G16" s="161" t="s">
        <v>48</v>
      </c>
      <c r="H16" s="162" t="s">
        <v>51</v>
      </c>
      <c r="I16" s="163" t="s">
        <v>53</v>
      </c>
      <c r="J16" s="162" t="s">
        <v>52</v>
      </c>
    </row>
    <row r="17" spans="1:15" x14ac:dyDescent="0.35">
      <c r="A17" s="108">
        <v>2026</v>
      </c>
      <c r="B17" s="139">
        <f>'PROPOSTA ECONÒMICA'!M28</f>
        <v>70223.625</v>
      </c>
      <c r="C17" s="134">
        <f>'PROPOSTA ECONÒMICA'!J28</f>
        <v>49681.32</v>
      </c>
      <c r="D17" s="41">
        <f>C17/$B17</f>
        <v>0.70747301922963957</v>
      </c>
      <c r="E17" s="137">
        <f>'PROPOSTA ECONÒMICA'!K28</f>
        <v>5043.84</v>
      </c>
      <c r="F17" s="110">
        <f>E17/$B17</f>
        <v>7.1825400639741965E-2</v>
      </c>
      <c r="G17" s="134">
        <f>'PROPOSTA ECONÒMICA'!L28</f>
        <v>2806.05</v>
      </c>
      <c r="H17" s="41">
        <f>G17/$B17</f>
        <v>3.9958774557707612E-2</v>
      </c>
      <c r="I17" s="137">
        <f>'PROPOSTA ECONÒMICA'!M27</f>
        <v>12692.415000000001</v>
      </c>
      <c r="J17" s="41">
        <f>I17/$B17</f>
        <v>0.18074280557291084</v>
      </c>
    </row>
    <row r="18" spans="1:15" x14ac:dyDescent="0.35">
      <c r="A18" s="109">
        <v>2027</v>
      </c>
      <c r="B18" s="140">
        <f>'PROPOSTA ECONÒMICA'!V28</f>
        <v>411332.6100000001</v>
      </c>
      <c r="C18" s="135">
        <f>'PROPOSTA ECONÒMICA'!S28</f>
        <v>317974.09999999998</v>
      </c>
      <c r="D18" s="42">
        <f t="shared" ref="D18:D21" si="8">C18/$B18</f>
        <v>0.77303401740990074</v>
      </c>
      <c r="E18" s="135">
        <f>'PROPOSTA ECONÒMICA'!T28</f>
        <v>32292.370000000003</v>
      </c>
      <c r="F18" s="40">
        <f>E18/$B18</f>
        <v>7.8506710177926306E-2</v>
      </c>
      <c r="G18" s="135">
        <f>'PROPOSTA ECONÒMICA'!U28</f>
        <v>10296.48</v>
      </c>
      <c r="H18" s="42">
        <f t="shared" ref="H18:H21" si="9">G18/$B18</f>
        <v>2.5032005121111107E-2</v>
      </c>
      <c r="I18" s="135">
        <f>'PROPOSTA ECONÒMICA'!V27</f>
        <v>50769.66</v>
      </c>
      <c r="J18" s="42">
        <f t="shared" ref="J18:J21" si="10">I18/$B18</f>
        <v>0.12342726729106158</v>
      </c>
      <c r="K18" s="112"/>
      <c r="L18" s="112"/>
      <c r="M18" s="112"/>
      <c r="N18" s="112"/>
      <c r="O18" s="3"/>
    </row>
    <row r="19" spans="1:15" ht="15" thickBot="1" x14ac:dyDescent="0.4">
      <c r="A19" s="111">
        <v>2028</v>
      </c>
      <c r="B19" s="141">
        <f>'PROPOSTA ECONÒMICA'!AE28</f>
        <v>422194.33000000007</v>
      </c>
      <c r="C19" s="136">
        <f>'PROPOSTA ECONÒMICA'!AB28</f>
        <v>327544.21000000002</v>
      </c>
      <c r="D19" s="44">
        <f t="shared" si="8"/>
        <v>0.77581385330305119</v>
      </c>
      <c r="E19" s="136">
        <f>'PROPOSTA ECONÒMICA'!AC28</f>
        <v>33273.9</v>
      </c>
      <c r="F19" s="43">
        <f t="shared" ref="F19:F21" si="11">E19/$B19</f>
        <v>7.8811811612912938E-2</v>
      </c>
      <c r="G19" s="136">
        <f>'PROPOSTA ECONÒMICA'!AD28</f>
        <v>10606.560000000001</v>
      </c>
      <c r="H19" s="44">
        <f t="shared" si="9"/>
        <v>2.5122459602903713E-2</v>
      </c>
      <c r="I19" s="138">
        <f>'PROPOSTA ECONÒMICA'!AE27</f>
        <v>50769.66</v>
      </c>
      <c r="J19" s="44">
        <f t="shared" si="10"/>
        <v>0.1202518754811321</v>
      </c>
      <c r="K19" s="114"/>
      <c r="L19" s="114"/>
      <c r="M19" s="114"/>
      <c r="N19" s="114"/>
      <c r="O19" s="3"/>
    </row>
    <row r="20" spans="1:15" x14ac:dyDescent="0.35">
      <c r="A20" s="147">
        <v>2029</v>
      </c>
      <c r="B20" s="148">
        <f>'PROPOSTA ECONÒMICA'!AN28</f>
        <v>427784.07999999996</v>
      </c>
      <c r="C20" s="149">
        <f>'PROPOSTA ECONÒMICA'!AK28</f>
        <v>332483.60000000003</v>
      </c>
      <c r="D20" s="150">
        <f t="shared" si="8"/>
        <v>0.77722293919867258</v>
      </c>
      <c r="E20" s="149">
        <f>'PROPOSTA ECONÒMICA'!AL28</f>
        <v>33764.660000000003</v>
      </c>
      <c r="F20" s="151">
        <f t="shared" si="11"/>
        <v>7.892921120393262E-2</v>
      </c>
      <c r="G20" s="149">
        <f>'PROPOSTA ECONÒMICA'!AM28</f>
        <v>10766.159999999998</v>
      </c>
      <c r="H20" s="150">
        <f t="shared" si="9"/>
        <v>2.5167275977170538E-2</v>
      </c>
      <c r="I20" s="152">
        <f>'PROPOSTA ECONÒMICA'!AN27</f>
        <v>50769.66</v>
      </c>
      <c r="J20" s="150">
        <f t="shared" si="10"/>
        <v>0.11868057362022451</v>
      </c>
      <c r="K20" s="113"/>
      <c r="L20" s="116"/>
      <c r="M20" s="113"/>
      <c r="N20" s="116"/>
      <c r="O20" s="3"/>
    </row>
    <row r="21" spans="1:15" ht="15" thickBot="1" x14ac:dyDescent="0.4">
      <c r="A21" s="153">
        <v>2030</v>
      </c>
      <c r="B21" s="154">
        <f>'PROPOSTA ECONÒMICA'!AW28</f>
        <v>433373.87</v>
      </c>
      <c r="C21" s="155">
        <f>'PROPOSTA ECONÒMICA'!AT28</f>
        <v>337423.02</v>
      </c>
      <c r="D21" s="156">
        <f t="shared" si="8"/>
        <v>0.77859567306169153</v>
      </c>
      <c r="E21" s="157">
        <f>'PROPOSTA ECONÒMICA'!AU28</f>
        <v>34255.43</v>
      </c>
      <c r="F21" s="158">
        <f t="shared" si="11"/>
        <v>7.9043598083105474E-2</v>
      </c>
      <c r="G21" s="155">
        <f>'PROPOSTA ECONÒMICA'!AV28</f>
        <v>10925.759999999998</v>
      </c>
      <c r="H21" s="156">
        <f t="shared" si="9"/>
        <v>2.5210933921789053E-2</v>
      </c>
      <c r="I21" s="157">
        <f>'PROPOSTA ECONÒMICA'!AW27</f>
        <v>50769.66</v>
      </c>
      <c r="J21" s="156">
        <f t="shared" si="10"/>
        <v>0.11714979493341397</v>
      </c>
      <c r="K21" s="113"/>
      <c r="L21" s="116"/>
      <c r="M21" s="113"/>
      <c r="N21" s="116"/>
      <c r="O21" s="3"/>
    </row>
    <row r="22" spans="1:15" ht="15" thickBot="1" x14ac:dyDescent="0.4">
      <c r="A22" s="112"/>
      <c r="B22" s="3"/>
      <c r="C22" s="113"/>
      <c r="D22" s="113"/>
      <c r="E22" s="113"/>
      <c r="F22" s="115"/>
      <c r="G22" s="113"/>
      <c r="H22" s="116"/>
      <c r="I22" s="113"/>
      <c r="J22" s="116"/>
      <c r="K22" s="113"/>
      <c r="L22" s="116"/>
      <c r="M22" s="113"/>
      <c r="N22" s="116"/>
      <c r="O22" s="3"/>
    </row>
    <row r="23" spans="1:15" ht="44" thickBot="1" x14ac:dyDescent="0.4">
      <c r="A23" s="161" t="s">
        <v>89</v>
      </c>
      <c r="B23" s="160" t="s">
        <v>102</v>
      </c>
      <c r="C23" s="161" t="s">
        <v>46</v>
      </c>
      <c r="D23" s="162" t="s">
        <v>49</v>
      </c>
      <c r="E23" s="163" t="s">
        <v>47</v>
      </c>
      <c r="F23" s="164" t="s">
        <v>50</v>
      </c>
      <c r="G23" s="161" t="s">
        <v>48</v>
      </c>
      <c r="H23" s="162" t="s">
        <v>51</v>
      </c>
      <c r="I23" s="163" t="s">
        <v>53</v>
      </c>
      <c r="J23" s="162" t="s">
        <v>52</v>
      </c>
      <c r="K23" s="113"/>
      <c r="L23" s="116"/>
      <c r="M23" s="113"/>
      <c r="N23" s="116"/>
      <c r="O23" s="3"/>
    </row>
    <row r="24" spans="1:15" x14ac:dyDescent="0.35">
      <c r="A24" s="108">
        <v>2026</v>
      </c>
      <c r="B24" s="139">
        <f>'PROPOSTA ECONÒMICA'!M39</f>
        <v>156380.88749999998</v>
      </c>
      <c r="C24" s="134">
        <f>'PROPOSTA ECONÒMICA'!J39</f>
        <v>120538.28000000001</v>
      </c>
      <c r="D24" s="41">
        <f>C24/$B24</f>
        <v>0.77079930883497527</v>
      </c>
      <c r="E24" s="137">
        <f>'PROPOSTA ECONÒMICA'!K39</f>
        <v>12435.82</v>
      </c>
      <c r="F24" s="110">
        <f>E24/$B24</f>
        <v>7.9522633480386157E-2</v>
      </c>
      <c r="G24" s="134">
        <f>'PROPOSTA ECONÒMICA'!L39</f>
        <v>7541.27</v>
      </c>
      <c r="H24" s="41">
        <f>G24/$B24</f>
        <v>4.8223731944224968E-2</v>
      </c>
      <c r="I24" s="137">
        <f>'PROPOSTA ECONÒMICA'!M38</f>
        <v>15865.5175</v>
      </c>
      <c r="J24" s="41">
        <f>I24/$B24</f>
        <v>0.10145432574041378</v>
      </c>
      <c r="K24" s="113"/>
      <c r="L24" s="116"/>
      <c r="M24" s="113"/>
      <c r="N24" s="116"/>
      <c r="O24" s="3"/>
    </row>
    <row r="25" spans="1:15" x14ac:dyDescent="0.35">
      <c r="A25" s="109">
        <v>2027</v>
      </c>
      <c r="B25" s="140">
        <f>'PROPOSTA ECONÒMICA'!V39</f>
        <v>698922.48999999987</v>
      </c>
      <c r="C25" s="135">
        <f>'PROPOSTA ECONÒMICA'!S39</f>
        <v>553728</v>
      </c>
      <c r="D25" s="42">
        <f t="shared" ref="D25:D28" si="12">C25/$B25</f>
        <v>0.79225952508696651</v>
      </c>
      <c r="E25" s="135">
        <f>'PROPOSTA ECONÒMICA'!T39</f>
        <v>54907.37999999999</v>
      </c>
      <c r="F25" s="40">
        <f>E25/$B25</f>
        <v>7.856004175799236E-2</v>
      </c>
      <c r="G25" s="135">
        <f>'PROPOSTA ECONÒMICA'!U39</f>
        <v>26825.040000000001</v>
      </c>
      <c r="H25" s="42">
        <f t="shared" ref="H25:H28" si="13">G25/$B25</f>
        <v>3.8380564917863791E-2</v>
      </c>
      <c r="I25" s="135">
        <f>'PROPOSTA ECONÒMICA'!V38</f>
        <v>63462.07</v>
      </c>
      <c r="J25" s="42">
        <f t="shared" ref="J25:J28" si="14">I25/$B25</f>
        <v>9.0799868237177506E-2</v>
      </c>
    </row>
    <row r="26" spans="1:15" ht="15" thickBot="1" x14ac:dyDescent="0.4">
      <c r="A26" s="111">
        <v>2028</v>
      </c>
      <c r="B26" s="141">
        <f>'PROPOSTA ECONÒMICA'!AE39</f>
        <v>718064.83</v>
      </c>
      <c r="C26" s="136">
        <f>'PROPOSTA ECONÒMICA'!AB39</f>
        <v>570393.59</v>
      </c>
      <c r="D26" s="44">
        <f t="shared" si="12"/>
        <v>0.79434831810381246</v>
      </c>
      <c r="E26" s="136">
        <f>'PROPOSTA ECONÒMICA'!AC39</f>
        <v>56576.29</v>
      </c>
      <c r="F26" s="43">
        <f t="shared" ref="F26:F28" si="15">E26/$B26</f>
        <v>7.8789947141680791E-2</v>
      </c>
      <c r="G26" s="136">
        <f>'PROPOSTA ECONÒMICA'!AD39</f>
        <v>27632.880000000001</v>
      </c>
      <c r="H26" s="44">
        <f t="shared" si="13"/>
        <v>3.8482430618416448E-2</v>
      </c>
      <c r="I26" s="138">
        <f>'PROPOSTA ECONÒMICA'!AE38</f>
        <v>63462.07</v>
      </c>
      <c r="J26" s="44">
        <f t="shared" si="14"/>
        <v>8.8379304136090339E-2</v>
      </c>
    </row>
    <row r="27" spans="1:15" x14ac:dyDescent="0.35">
      <c r="A27" s="147">
        <v>2029</v>
      </c>
      <c r="B27" s="148">
        <f>'PROPOSTA ECONÒMICA'!AN39</f>
        <v>727916.71</v>
      </c>
      <c r="C27" s="149">
        <f>'PROPOSTA ECONÒMICA'!AK39</f>
        <v>578995.19999999995</v>
      </c>
      <c r="D27" s="150">
        <f t="shared" si="12"/>
        <v>0.79541407972348921</v>
      </c>
      <c r="E27" s="149">
        <f>'PROPOSTA ECONÒMICA'!AL39</f>
        <v>57410.759999999995</v>
      </c>
      <c r="F27" s="151">
        <f t="shared" si="15"/>
        <v>7.8869957525772416E-2</v>
      </c>
      <c r="G27" s="149">
        <f>'PROPOSTA ECONÒMICA'!AM39</f>
        <v>28048.679999999997</v>
      </c>
      <c r="H27" s="150">
        <f t="shared" si="13"/>
        <v>3.8532815107376772E-2</v>
      </c>
      <c r="I27" s="152">
        <f>'PROPOSTA ECONÒMICA'!AN38</f>
        <v>63462.07</v>
      </c>
      <c r="J27" s="150">
        <f t="shared" si="14"/>
        <v>8.7183147643361561E-2</v>
      </c>
    </row>
    <row r="28" spans="1:15" ht="15" thickBot="1" x14ac:dyDescent="0.4">
      <c r="A28" s="153">
        <v>2030</v>
      </c>
      <c r="B28" s="154">
        <f>'PROPOSTA ECONÒMICA'!AW39</f>
        <v>737768.55999999994</v>
      </c>
      <c r="C28" s="155">
        <f>'PROPOSTA ECONÒMICA'!AT39</f>
        <v>587596.79999999993</v>
      </c>
      <c r="D28" s="156">
        <f t="shared" si="12"/>
        <v>0.79645139662769038</v>
      </c>
      <c r="E28" s="157">
        <f>'PROPOSTA ECONÒMICA'!AU39</f>
        <v>58245.21</v>
      </c>
      <c r="F28" s="158">
        <f t="shared" si="15"/>
        <v>7.8947807155132776E-2</v>
      </c>
      <c r="G28" s="155">
        <f>'PROPOSTA ECONÒMICA'!AV39</f>
        <v>28464.480000000003</v>
      </c>
      <c r="H28" s="156">
        <f t="shared" si="13"/>
        <v>3.8581855534749278E-2</v>
      </c>
      <c r="I28" s="157">
        <f>'PROPOSTA ECONÒMICA'!AW38</f>
        <v>63462.07</v>
      </c>
      <c r="J28" s="156">
        <f t="shared" si="14"/>
        <v>8.6018940682427575E-2</v>
      </c>
    </row>
    <row r="29" spans="1:15" ht="15" thickBot="1" x14ac:dyDescent="0.4"/>
    <row r="30" spans="1:15" ht="44" thickBot="1" x14ac:dyDescent="0.4">
      <c r="A30" s="159" t="s">
        <v>88</v>
      </c>
      <c r="B30" s="160" t="s">
        <v>102</v>
      </c>
      <c r="C30" s="161" t="s">
        <v>46</v>
      </c>
      <c r="D30" s="162" t="s">
        <v>49</v>
      </c>
      <c r="E30" s="163" t="s">
        <v>47</v>
      </c>
      <c r="F30" s="164" t="s">
        <v>50</v>
      </c>
      <c r="G30" s="161" t="s">
        <v>48</v>
      </c>
      <c r="H30" s="162" t="s">
        <v>51</v>
      </c>
      <c r="I30" s="163" t="s">
        <v>53</v>
      </c>
      <c r="J30" s="162" t="s">
        <v>52</v>
      </c>
    </row>
    <row r="31" spans="1:15" x14ac:dyDescent="0.35">
      <c r="A31" s="108">
        <v>2026</v>
      </c>
      <c r="B31" s="139">
        <f>'PROPOSTA ECONÒMICA'!M48</f>
        <v>69200.189999999988</v>
      </c>
      <c r="C31" s="134">
        <f>'PROPOSTA ECONÒMICA'!J48</f>
        <v>50495.770000000004</v>
      </c>
      <c r="D31" s="41">
        <f>C31/$B31</f>
        <v>0.72970565543244914</v>
      </c>
      <c r="E31" s="137">
        <f>'PROPOSTA ECONÒMICA'!K48</f>
        <v>6203.67</v>
      </c>
      <c r="F31" s="110">
        <f>E31/$B31</f>
        <v>8.9648164260820687E-2</v>
      </c>
      <c r="G31" s="134">
        <f>'PROPOSTA ECONÒMICA'!L48</f>
        <v>2981.4400000000005</v>
      </c>
      <c r="H31" s="41">
        <f>G31/$B31</f>
        <v>4.3084274768609751E-2</v>
      </c>
      <c r="I31" s="137">
        <f>'PROPOSTA ECONÒMICA'!M47</f>
        <v>9519.31</v>
      </c>
      <c r="J31" s="41">
        <f>I31/$B31</f>
        <v>0.13756190553812064</v>
      </c>
    </row>
    <row r="32" spans="1:15" x14ac:dyDescent="0.35">
      <c r="A32" s="109">
        <v>2027</v>
      </c>
      <c r="B32" s="140">
        <f>'PROPOSTA ECONÒMICA'!V48</f>
        <v>357568.38</v>
      </c>
      <c r="C32" s="135">
        <f>'PROPOSTA ECONÒMICA'!S48</f>
        <v>277702.98000000004</v>
      </c>
      <c r="D32" s="42">
        <f t="shared" ref="D32:D35" si="16">C32/$B32</f>
        <v>0.7766430018224767</v>
      </c>
      <c r="E32" s="135">
        <f>'PROPOSTA ECONÒMICA'!T48</f>
        <v>30588.479999999996</v>
      </c>
      <c r="F32" s="40">
        <f>E32/$B32</f>
        <v>8.5545819236029746E-2</v>
      </c>
      <c r="G32" s="135">
        <f>'PROPOSTA ECONÒMICA'!U48</f>
        <v>11199.68</v>
      </c>
      <c r="H32" s="42">
        <f t="shared" ref="H32:H35" si="17">G32/$B32</f>
        <v>3.1321785220494051E-2</v>
      </c>
      <c r="I32" s="135">
        <f>'PROPOSTA ECONÒMICA'!V47</f>
        <v>38077.24</v>
      </c>
      <c r="J32" s="42">
        <f t="shared" ref="J32:J35" si="18">I32/$B32</f>
        <v>0.10648939372099959</v>
      </c>
    </row>
    <row r="33" spans="1:10" ht="15" thickBot="1" x14ac:dyDescent="0.4">
      <c r="A33" s="111">
        <v>2028</v>
      </c>
      <c r="B33" s="141">
        <f>'PROPOSTA ECONÒMICA'!AE48</f>
        <v>367193.44999999995</v>
      </c>
      <c r="C33" s="136">
        <f>'PROPOSTA ECONÒMICA'!AB48</f>
        <v>286061.03000000003</v>
      </c>
      <c r="D33" s="44">
        <f t="shared" si="16"/>
        <v>0.77904720250320392</v>
      </c>
      <c r="E33" s="136">
        <f>'PROPOSTA ECONÒMICA'!AC48</f>
        <v>31518.22</v>
      </c>
      <c r="F33" s="43">
        <f t="shared" ref="F33:F35" si="19">E33/$B33</f>
        <v>8.5835463568318018E-2</v>
      </c>
      <c r="G33" s="136">
        <f>'PROPOSTA ECONÒMICA'!AD48</f>
        <v>11536.96</v>
      </c>
      <c r="H33" s="44">
        <f t="shared" si="17"/>
        <v>3.1419296831139011E-2</v>
      </c>
      <c r="I33" s="138">
        <f>'PROPOSTA ECONÒMICA'!AE47</f>
        <v>38077.24</v>
      </c>
      <c r="J33" s="44">
        <f t="shared" si="18"/>
        <v>0.1036980370973393</v>
      </c>
    </row>
    <row r="34" spans="1:10" x14ac:dyDescent="0.35">
      <c r="A34" s="147">
        <v>2029</v>
      </c>
      <c r="B34" s="148">
        <f>'PROPOSTA ECONÒMICA'!AN48</f>
        <v>372145.75999999995</v>
      </c>
      <c r="C34" s="149">
        <f>'PROPOSTA ECONÒMICA'!AK48</f>
        <v>290374.87</v>
      </c>
      <c r="D34" s="150">
        <f t="shared" si="16"/>
        <v>0.78027187519212915</v>
      </c>
      <c r="E34" s="149">
        <f>'PROPOSTA ECONÒMICA'!AL48</f>
        <v>31983.09</v>
      </c>
      <c r="F34" s="151">
        <f t="shared" si="19"/>
        <v>8.5942373762366672E-2</v>
      </c>
      <c r="G34" s="149">
        <f>'PROPOSTA ECONÒMICA'!AM48</f>
        <v>11710.560000000001</v>
      </c>
      <c r="H34" s="150">
        <f t="shared" si="17"/>
        <v>3.1467670087118559E-2</v>
      </c>
      <c r="I34" s="152">
        <f>'PROPOSTA ECONÒMICA'!AN47</f>
        <v>38077.24</v>
      </c>
      <c r="J34" s="150">
        <f t="shared" si="18"/>
        <v>0.10231808095838578</v>
      </c>
    </row>
    <row r="35" spans="1:10" ht="15" thickBot="1" x14ac:dyDescent="0.4">
      <c r="A35" s="153">
        <v>2030</v>
      </c>
      <c r="B35" s="154">
        <f>'PROPOSTA ECONÒMICA'!AW48</f>
        <v>377098.06999999995</v>
      </c>
      <c r="C35" s="155">
        <f>'PROPOSTA ECONÒMICA'!AT48</f>
        <v>294688.7</v>
      </c>
      <c r="D35" s="156">
        <f t="shared" si="16"/>
        <v>0.78146435488253774</v>
      </c>
      <c r="E35" s="157">
        <f>'PROPOSTA ECONÒMICA'!AU48</f>
        <v>32447.97</v>
      </c>
      <c r="F35" s="158">
        <f t="shared" si="19"/>
        <v>8.6046502439007452E-2</v>
      </c>
      <c r="G35" s="155">
        <f>'PROPOSTA ECONÒMICA'!AV48</f>
        <v>11884.16</v>
      </c>
      <c r="H35" s="156">
        <f t="shared" si="17"/>
        <v>3.1514772801674647E-2</v>
      </c>
      <c r="I35" s="157">
        <f>'PROPOSTA ECONÒMICA'!AW47</f>
        <v>38077.24</v>
      </c>
      <c r="J35" s="156">
        <f t="shared" si="18"/>
        <v>0.10097436987678034</v>
      </c>
    </row>
  </sheetData>
  <sheetProtection sheet="1" objects="1" scenarios="1"/>
  <mergeCells count="4">
    <mergeCell ref="J1:J2"/>
    <mergeCell ref="A7:B7"/>
    <mergeCell ref="F1:F2"/>
    <mergeCell ref="I1:I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6</vt:i4>
      </vt:variant>
      <vt:variant>
        <vt:lpstr>Intervals amb nom</vt:lpstr>
      </vt:variant>
      <vt:variant>
        <vt:i4>5</vt:i4>
      </vt:variant>
    </vt:vector>
  </HeadingPairs>
  <TitlesOfParts>
    <vt:vector size="11" baseType="lpstr">
      <vt:lpstr>PROPOSTA ECONÒMICA</vt:lpstr>
      <vt:lpstr>LOT 1 Girona</vt:lpstr>
      <vt:lpstr>LOT 2 Tarragona</vt:lpstr>
      <vt:lpstr>LOT 3 Barcelona</vt:lpstr>
      <vt:lpstr>LOT 4 Lleida</vt:lpstr>
      <vt:lpstr>RESUM CONCURS</vt:lpstr>
      <vt:lpstr>'LOT 1 Girona'!Àrea_d'impressió</vt:lpstr>
      <vt:lpstr>'LOT 2 Tarragona'!Àrea_d'impressió</vt:lpstr>
      <vt:lpstr>'LOT 3 Barcelona'!Àrea_d'impressió</vt:lpstr>
      <vt:lpstr>'LOT 4 Lleida'!Àrea_d'impressió</vt:lpstr>
      <vt:lpstr>'RESUM CONCURS'!Àrea_d'impressió</vt:lpstr>
    </vt:vector>
  </TitlesOfParts>
  <Company>CTTI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Barrera Nogueras, David</dc:creator>
  <cp:lastModifiedBy>Barrera Nogueras, David</cp:lastModifiedBy>
  <cp:lastPrinted>2026-04-08T10:41:00Z</cp:lastPrinted>
  <dcterms:created xsi:type="dcterms:W3CDTF">2025-05-12T06:39:49Z</dcterms:created>
  <dcterms:modified xsi:type="dcterms:W3CDTF">2026-06-03T08:16:45Z</dcterms:modified>
</cp:coreProperties>
</file>