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__sad\Downloads\"/>
    </mc:Choice>
  </mc:AlternateContent>
  <xr:revisionPtr revIDLastSave="0" documentId="8_{01349BE2-63EF-43D1-8FFE-5A4C99C68752}" xr6:coauthVersionLast="47" xr6:coauthVersionMax="47" xr10:uidLastSave="{00000000-0000-0000-0000-000000000000}"/>
  <bookViews>
    <workbookView xWindow="-120" yWindow="-120" windowWidth="29040" windowHeight="15720" xr2:uid="{3E48B853-33DE-4939-92A1-44ACE7EF7F70}"/>
  </bookViews>
  <sheets>
    <sheet name="3 anys" sheetId="1" r:id="rId1"/>
    <sheet name="1a prorroga" sheetId="2" r:id="rId2"/>
    <sheet name="2a prorroga" sheetId="3" r:id="rId3"/>
    <sheet name="IMPORTS LICITACIÓ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1" l="1"/>
  <c r="T19" i="1"/>
  <c r="T18" i="1"/>
  <c r="T17" i="1"/>
  <c r="T16" i="1"/>
  <c r="T11" i="1"/>
  <c r="T10" i="1"/>
  <c r="T9" i="1"/>
  <c r="S18" i="1"/>
  <c r="S17" i="1"/>
  <c r="S16" i="1"/>
  <c r="J17" i="1"/>
  <c r="E25" i="3"/>
  <c r="E25" i="2"/>
  <c r="Q27" i="1"/>
  <c r="K27" i="1"/>
  <c r="E27" i="1"/>
  <c r="A11" i="4"/>
  <c r="A12" i="4"/>
  <c r="A10" i="4"/>
  <c r="T21" i="1" l="1"/>
  <c r="T12" i="1"/>
  <c r="T22" i="1"/>
  <c r="D27" i="1"/>
  <c r="J27" i="1" s="1"/>
  <c r="P27" i="1" s="1"/>
  <c r="D25" i="2" s="1"/>
  <c r="D25" i="3" s="1"/>
  <c r="M46" i="1"/>
  <c r="A44" i="2" s="1"/>
  <c r="G46" i="1"/>
  <c r="D11" i="3"/>
  <c r="J13" i="1"/>
  <c r="J14" i="1" l="1"/>
  <c r="P14" i="1" l="1"/>
  <c r="D12" i="2" s="1"/>
  <c r="J15" i="1"/>
  <c r="D13" i="1"/>
  <c r="D11" i="2"/>
  <c r="J25" i="1"/>
  <c r="P25" i="1" s="1"/>
  <c r="D23" i="2" s="1"/>
  <c r="D23" i="3" s="1"/>
  <c r="J26" i="1"/>
  <c r="P26" i="1" s="1"/>
  <c r="D24" i="2" s="1"/>
  <c r="D24" i="3" s="1"/>
  <c r="J30" i="1"/>
  <c r="P30" i="1" s="1"/>
  <c r="D28" i="2" s="1"/>
  <c r="D28" i="3" s="1"/>
  <c r="J33" i="1"/>
  <c r="P33" i="1" s="1"/>
  <c r="D31" i="2" s="1"/>
  <c r="D31" i="3" s="1"/>
  <c r="J34" i="1"/>
  <c r="P34" i="1" s="1"/>
  <c r="D32" i="2" s="1"/>
  <c r="D32" i="3" s="1"/>
  <c r="J37" i="1"/>
  <c r="P37" i="1" s="1"/>
  <c r="D35" i="2" s="1"/>
  <c r="D35" i="3" s="1"/>
  <c r="J40" i="1"/>
  <c r="P40" i="1" s="1"/>
  <c r="D38" i="2" s="1"/>
  <c r="D38" i="3" s="1"/>
  <c r="J41" i="1"/>
  <c r="P41" i="1" s="1"/>
  <c r="D39" i="2" s="1"/>
  <c r="D39" i="3" s="1"/>
  <c r="J42" i="1"/>
  <c r="P42" i="1" s="1"/>
  <c r="D40" i="2" s="1"/>
  <c r="D40" i="3" s="1"/>
  <c r="J22" i="1"/>
  <c r="P22" i="1" s="1"/>
  <c r="D20" i="2" s="1"/>
  <c r="D20" i="3" s="1"/>
  <c r="J21" i="1"/>
  <c r="P21" i="1" s="1"/>
  <c r="D19" i="2" s="1"/>
  <c r="D19" i="3" s="1"/>
  <c r="J18" i="1"/>
  <c r="P18" i="1" s="1"/>
  <c r="D16" i="2" s="1"/>
  <c r="D16" i="3" s="1"/>
  <c r="P17" i="1"/>
  <c r="D15" i="2" s="1"/>
  <c r="D15" i="3" s="1"/>
  <c r="P13" i="1"/>
  <c r="P15" i="1" l="1"/>
  <c r="D13" i="2"/>
  <c r="D12" i="3"/>
  <c r="D13" i="3" s="1"/>
  <c r="D15" i="1"/>
  <c r="D44" i="1" l="1"/>
  <c r="J44" i="1" l="1"/>
  <c r="P44" i="1" s="1"/>
  <c r="D46" i="1"/>
  <c r="D48" i="1" s="1"/>
  <c r="E50" i="1" s="1"/>
  <c r="B10" i="4" s="1"/>
  <c r="J46" i="1" l="1"/>
  <c r="J48" i="1" s="1"/>
  <c r="K50" i="1" s="1"/>
  <c r="B11" i="4" s="1"/>
  <c r="B3" i="4"/>
  <c r="D42" i="2"/>
  <c r="P46" i="1" l="1"/>
  <c r="B4" i="4"/>
  <c r="D42" i="3"/>
  <c r="D44" i="2" l="1"/>
  <c r="P48" i="1"/>
  <c r="Q50" i="1" l="1"/>
  <c r="B12" i="4" s="1"/>
  <c r="B15" i="4" s="1"/>
  <c r="B5" i="4"/>
  <c r="B6" i="4" s="1"/>
  <c r="D44" i="3"/>
  <c r="D46" i="3" s="1"/>
  <c r="E48" i="3" s="1"/>
  <c r="B14" i="4" s="1"/>
  <c r="D46" i="2"/>
  <c r="E48" i="2" s="1"/>
  <c r="B13" i="4" s="1"/>
  <c r="B16" i="4" l="1"/>
  <c r="D16" i="4" s="1"/>
</calcChain>
</file>

<file path=xl/sharedStrings.xml><?xml version="1.0" encoding="utf-8"?>
<sst xmlns="http://schemas.openxmlformats.org/spreadsheetml/2006/main" count="204" uniqueCount="61">
  <si>
    <t xml:space="preserve">Equip </t>
  </si>
  <si>
    <t>director/a</t>
  </si>
  <si>
    <t>neteja</t>
  </si>
  <si>
    <t>educador/a 1</t>
  </si>
  <si>
    <t>educador/a 2</t>
  </si>
  <si>
    <t>educador/a 3</t>
  </si>
  <si>
    <t>educador/a 4</t>
  </si>
  <si>
    <t>educador/a 5</t>
  </si>
  <si>
    <t>substitucions</t>
  </si>
  <si>
    <t>TOTAL</t>
  </si>
  <si>
    <t>total curs</t>
  </si>
  <si>
    <t>formació pedagògica</t>
  </si>
  <si>
    <t>vestuari</t>
  </si>
  <si>
    <t>Despeses material</t>
  </si>
  <si>
    <t>material pedagògic + fungible</t>
  </si>
  <si>
    <t>aplicacions informàtiques + material</t>
  </si>
  <si>
    <t>Servei menjador</t>
  </si>
  <si>
    <t>APPCC</t>
  </si>
  <si>
    <t>Material Cuina</t>
  </si>
  <si>
    <t xml:space="preserve">Berenars </t>
  </si>
  <si>
    <t>Neteja i bugaderia</t>
  </si>
  <si>
    <t>Material neteja</t>
  </si>
  <si>
    <t>Manteniments</t>
  </si>
  <si>
    <t xml:space="preserve">Manteniment preventiu </t>
  </si>
  <si>
    <t>Manteniment jardí</t>
  </si>
  <si>
    <t>Consums</t>
  </si>
  <si>
    <t>Telèfon</t>
  </si>
  <si>
    <t>Altres</t>
  </si>
  <si>
    <t>Assegurances</t>
  </si>
  <si>
    <t>Revisions obligatòries i prevenció de riscos</t>
  </si>
  <si>
    <t>Despeses financeres</t>
  </si>
  <si>
    <t>Benefici industrial</t>
  </si>
  <si>
    <t>TOTAL CURS 2026-2027</t>
  </si>
  <si>
    <t>2026-2027</t>
  </si>
  <si>
    <t>2027-2028</t>
  </si>
  <si>
    <t>2028-2029</t>
  </si>
  <si>
    <t>total</t>
  </si>
  <si>
    <t>Total</t>
  </si>
  <si>
    <t>TOTAL CURS 2027-2028</t>
  </si>
  <si>
    <t>TOTAL CURS 2028-2029</t>
  </si>
  <si>
    <t>2029-2030</t>
  </si>
  <si>
    <t>TOTAL CURS 2029-2030</t>
  </si>
  <si>
    <t>2030-2031</t>
  </si>
  <si>
    <t>Despeses generals</t>
  </si>
  <si>
    <t>Despeses Generals</t>
  </si>
  <si>
    <t>Càlcul VEC</t>
  </si>
  <si>
    <t>Càlcul PBL</t>
  </si>
  <si>
    <t>1a pro</t>
  </si>
  <si>
    <t>2a pro</t>
  </si>
  <si>
    <t>IVA</t>
  </si>
  <si>
    <t xml:space="preserve">IVA </t>
  </si>
  <si>
    <t>TOTAL CURS 2026-2027 (s/IVA berenar)</t>
  </si>
  <si>
    <t>modif. 10%</t>
  </si>
  <si>
    <t>APPCC (pla autocontrol, registres...)</t>
  </si>
  <si>
    <t>Material cuina</t>
  </si>
  <si>
    <t>PRESSUPOST LLAR D'INFANTS ELS PETITS ARCS</t>
  </si>
  <si>
    <t xml:space="preserve">total </t>
  </si>
  <si>
    <t>1a prórroga</t>
  </si>
  <si>
    <t>2a prórroga</t>
  </si>
  <si>
    <t>VALOR ESTIMAT CONTRACTE</t>
  </si>
  <si>
    <t xml:space="preserve"> PRESSUPOST BASE LICITACIÓ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</si>
</sst>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Abadi"/>
      <family val="2"/>
    </font>
    <font>
      <b/>
      <sz val="14"/>
      <color theme="1"/>
      <name val="Abadi"/>
      <family val="2"/>
    </font>
    <font>
      <sz val="11"/>
      <color theme="1"/>
      <name val="Abadi"/>
      <family val="2"/>
    </font>
    <font>
      <b/>
      <sz val="11"/>
      <color theme="1"/>
      <name val="Abadi"/>
      <family val="2"/>
    </font>
    <font>
      <sz val="12"/>
      <name val="Abadi"/>
      <family val="2"/>
    </font>
    <font>
      <sz val="14"/>
      <color theme="1"/>
      <name val="Abadi"/>
      <family val="2"/>
    </font>
    <font>
      <b/>
      <sz val="16"/>
      <color theme="1"/>
      <name val="Abad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2" applyNumberFormat="0" applyFill="0" applyAlignment="0" applyProtection="0"/>
  </cellStyleXfs>
  <cellXfs count="67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/>
    <xf numFmtId="4" fontId="0" fillId="0" borderId="0" xfId="0" applyNumberFormat="1"/>
    <xf numFmtId="0" fontId="0" fillId="5" borderId="0" xfId="0" applyFill="1"/>
    <xf numFmtId="0" fontId="1" fillId="5" borderId="0" xfId="0" applyFont="1" applyFill="1"/>
    <xf numFmtId="164" fontId="1" fillId="4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164" fontId="0" fillId="5" borderId="0" xfId="0" applyNumberFormat="1" applyFill="1"/>
    <xf numFmtId="164" fontId="1" fillId="0" borderId="0" xfId="0" applyNumberFormat="1" applyFont="1"/>
    <xf numFmtId="0" fontId="2" fillId="3" borderId="0" xfId="0" applyFont="1" applyFill="1" applyAlignment="1">
      <alignment horizontal="center"/>
    </xf>
    <xf numFmtId="164" fontId="2" fillId="4" borderId="0" xfId="0" applyNumberFormat="1" applyFont="1" applyFill="1"/>
    <xf numFmtId="0" fontId="4" fillId="0" borderId="0" xfId="0" applyFont="1" applyAlignment="1">
      <alignment vertical="center"/>
    </xf>
    <xf numFmtId="0" fontId="0" fillId="0" borderId="1" xfId="0" applyBorder="1"/>
    <xf numFmtId="165" fontId="0" fillId="0" borderId="1" xfId="0" applyNumberFormat="1" applyBorder="1"/>
    <xf numFmtId="0" fontId="0" fillId="6" borderId="1" xfId="0" applyFill="1" applyBorder="1"/>
    <xf numFmtId="165" fontId="0" fillId="6" borderId="1" xfId="0" applyNumberFormat="1" applyFill="1" applyBorder="1"/>
    <xf numFmtId="0" fontId="1" fillId="6" borderId="0" xfId="0" applyFont="1" applyFill="1"/>
    <xf numFmtId="165" fontId="1" fillId="6" borderId="0" xfId="0" applyNumberFormat="1" applyFont="1" applyFill="1"/>
    <xf numFmtId="164" fontId="0" fillId="0" borderId="0" xfId="0" applyNumberFormat="1" applyAlignment="1">
      <alignment horizontal="center" vertical="center"/>
    </xf>
    <xf numFmtId="0" fontId="2" fillId="7" borderId="0" xfId="0" applyFont="1" applyFill="1" applyAlignment="1">
      <alignment horizontal="center"/>
    </xf>
    <xf numFmtId="164" fontId="0" fillId="4" borderId="0" xfId="0" applyNumberFormat="1" applyFill="1"/>
    <xf numFmtId="164" fontId="0" fillId="8" borderId="0" xfId="0" applyNumberFormat="1" applyFill="1"/>
    <xf numFmtId="165" fontId="0" fillId="0" borderId="0" xfId="0" applyNumberFormat="1"/>
    <xf numFmtId="164" fontId="0" fillId="9" borderId="0" xfId="0" applyNumberFormat="1" applyFill="1"/>
    <xf numFmtId="0" fontId="7" fillId="10" borderId="0" xfId="0" applyFont="1" applyFill="1" applyAlignment="1">
      <alignment horizontal="center" vertical="center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horizontal="center" vertical="center"/>
    </xf>
    <xf numFmtId="164" fontId="8" fillId="9" borderId="0" xfId="0" applyNumberFormat="1" applyFont="1" applyFill="1"/>
    <xf numFmtId="4" fontId="8" fillId="0" borderId="0" xfId="0" applyNumberFormat="1" applyFont="1"/>
    <xf numFmtId="44" fontId="8" fillId="9" borderId="0" xfId="0" applyNumberFormat="1" applyFont="1" applyFill="1"/>
    <xf numFmtId="44" fontId="8" fillId="0" borderId="0" xfId="0" applyNumberFormat="1" applyFont="1"/>
    <xf numFmtId="10" fontId="8" fillId="0" borderId="0" xfId="1" applyNumberFormat="1" applyFont="1"/>
    <xf numFmtId="164" fontId="9" fillId="0" borderId="0" xfId="0" applyNumberFormat="1" applyFont="1"/>
    <xf numFmtId="164" fontId="8" fillId="8" borderId="0" xfId="0" applyNumberFormat="1" applyFont="1" applyFill="1"/>
    <xf numFmtId="10" fontId="8" fillId="0" borderId="0" xfId="0" applyNumberFormat="1" applyFont="1"/>
    <xf numFmtId="0" fontId="11" fillId="0" borderId="0" xfId="0" applyFont="1"/>
    <xf numFmtId="0" fontId="7" fillId="6" borderId="0" xfId="0" applyFont="1" applyFill="1" applyAlignment="1">
      <alignment horizontal="center"/>
    </xf>
    <xf numFmtId="0" fontId="9" fillId="11" borderId="0" xfId="0" applyFont="1" applyFill="1"/>
    <xf numFmtId="164" fontId="9" fillId="11" borderId="0" xfId="0" applyNumberFormat="1" applyFont="1" applyFill="1"/>
    <xf numFmtId="164" fontId="8" fillId="0" borderId="0" xfId="0" applyNumberFormat="1" applyFont="1" applyAlignment="1">
      <alignment horizontal="center"/>
    </xf>
    <xf numFmtId="164" fontId="8" fillId="9" borderId="0" xfId="0" applyNumberFormat="1" applyFont="1" applyFill="1" applyAlignment="1">
      <alignment horizontal="center"/>
    </xf>
    <xf numFmtId="0" fontId="8" fillId="9" borderId="0" xfId="0" applyFont="1" applyFill="1"/>
    <xf numFmtId="10" fontId="10" fillId="9" borderId="0" xfId="0" applyNumberFormat="1" applyFont="1" applyFill="1"/>
    <xf numFmtId="164" fontId="8" fillId="11" borderId="0" xfId="0" applyNumberFormat="1" applyFont="1" applyFill="1"/>
    <xf numFmtId="164" fontId="7" fillId="10" borderId="0" xfId="0" applyNumberFormat="1" applyFont="1" applyFill="1"/>
    <xf numFmtId="165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164" fontId="0" fillId="0" borderId="1" xfId="0" applyNumberFormat="1" applyBorder="1"/>
    <xf numFmtId="165" fontId="12" fillId="6" borderId="1" xfId="0" applyNumberFormat="1" applyFont="1" applyFill="1" applyBorder="1"/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10" borderId="0" xfId="0" applyFont="1" applyFill="1" applyAlignment="1">
      <alignment horizontal="center"/>
    </xf>
    <xf numFmtId="0" fontId="6" fillId="10" borderId="2" xfId="2" applyFont="1" applyFill="1" applyAlignment="1">
      <alignment horizontal="center" vertical="center"/>
    </xf>
    <xf numFmtId="0" fontId="7" fillId="10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0" xfId="0" applyFill="1" applyAlignment="1">
      <alignment horizontal="center"/>
    </xf>
  </cellXfs>
  <cellStyles count="3">
    <cellStyle name="Encabezado 1" xfId="2" builtinId="1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4B70-DC46-4874-91E2-8184C0BE18D3}">
  <sheetPr>
    <pageSetUpPr fitToPage="1"/>
  </sheetPr>
  <dimension ref="A1:V52"/>
  <sheetViews>
    <sheetView tabSelected="1" zoomScale="80" zoomScaleNormal="80" workbookViewId="0">
      <selection activeCell="T29" sqref="T29"/>
    </sheetView>
  </sheetViews>
  <sheetFormatPr baseColWidth="10" defaultColWidth="11.42578125" defaultRowHeight="15" x14ac:dyDescent="0.25"/>
  <cols>
    <col min="1" max="1" width="14.5703125" style="27" customWidth="1"/>
    <col min="2" max="2" width="14" style="27" customWidth="1"/>
    <col min="3" max="3" width="14.85546875" style="27" customWidth="1"/>
    <col min="4" max="4" width="23.7109375" style="28" customWidth="1"/>
    <col min="5" max="5" width="16.140625" style="28" customWidth="1"/>
    <col min="6" max="6" width="4.42578125" style="27" customWidth="1"/>
    <col min="7" max="7" width="14.140625" style="27" customWidth="1"/>
    <col min="8" max="8" width="13.5703125" style="27" customWidth="1"/>
    <col min="9" max="9" width="12.85546875" style="27" customWidth="1"/>
    <col min="10" max="10" width="24.7109375" style="27" customWidth="1"/>
    <col min="11" max="11" width="17.42578125" style="27" customWidth="1"/>
    <col min="12" max="12" width="5.42578125" style="27" customWidth="1"/>
    <col min="13" max="13" width="14.140625" style="27" customWidth="1"/>
    <col min="14" max="14" width="13.5703125" style="27" customWidth="1"/>
    <col min="15" max="15" width="13.42578125" style="27" customWidth="1"/>
    <col min="16" max="16" width="21.85546875" style="27" customWidth="1"/>
    <col min="17" max="17" width="16.85546875" style="27" customWidth="1"/>
    <col min="18" max="18" width="11.42578125" style="27"/>
    <col min="19" max="19" width="18.140625" style="27" customWidth="1"/>
    <col min="20" max="20" width="33" style="27" customWidth="1"/>
    <col min="21" max="16384" width="11.42578125" style="27"/>
  </cols>
  <sheetData>
    <row r="1" spans="1:22" ht="39.75" customHeight="1" thickBot="1" x14ac:dyDescent="0.3">
      <c r="A1" s="59" t="s">
        <v>55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26"/>
    </row>
    <row r="2" spans="1:22" ht="15.75" thickTop="1" x14ac:dyDescent="0.25"/>
    <row r="3" spans="1:22" ht="20.25" x14ac:dyDescent="0.35">
      <c r="A3" s="56" t="s">
        <v>33</v>
      </c>
      <c r="B3" s="56"/>
      <c r="C3" s="56"/>
      <c r="D3" s="56"/>
      <c r="E3" s="40"/>
      <c r="G3" s="56" t="s">
        <v>34</v>
      </c>
      <c r="H3" s="56"/>
      <c r="I3" s="56"/>
      <c r="J3" s="56"/>
      <c r="K3" s="40"/>
      <c r="M3" s="56" t="s">
        <v>35</v>
      </c>
      <c r="N3" s="56"/>
      <c r="O3" s="56"/>
      <c r="P3" s="56"/>
      <c r="Q3" s="40"/>
    </row>
    <row r="4" spans="1:22" x14ac:dyDescent="0.25">
      <c r="A4" s="41" t="s">
        <v>0</v>
      </c>
      <c r="B4" s="41"/>
      <c r="C4" s="41"/>
      <c r="D4" s="42"/>
      <c r="E4" s="42"/>
      <c r="G4" s="41" t="s">
        <v>0</v>
      </c>
      <c r="H4" s="41"/>
      <c r="I4" s="41"/>
      <c r="J4" s="42"/>
      <c r="K4" s="42"/>
      <c r="M4" s="41" t="s">
        <v>0</v>
      </c>
      <c r="N4" s="41"/>
      <c r="O4" s="41"/>
      <c r="P4" s="42"/>
      <c r="Q4" s="42"/>
    </row>
    <row r="5" spans="1:22" x14ac:dyDescent="0.25">
      <c r="B5" s="29"/>
      <c r="C5" s="29"/>
      <c r="D5" s="43" t="s">
        <v>36</v>
      </c>
      <c r="E5" s="30" t="s">
        <v>49</v>
      </c>
      <c r="H5" s="29"/>
      <c r="I5" s="29"/>
      <c r="J5" s="44" t="s">
        <v>56</v>
      </c>
      <c r="K5" s="30" t="s">
        <v>49</v>
      </c>
      <c r="N5" s="29"/>
      <c r="O5" s="29"/>
      <c r="P5" s="43" t="s">
        <v>36</v>
      </c>
      <c r="Q5" s="30" t="s">
        <v>49</v>
      </c>
    </row>
    <row r="6" spans="1:22" x14ac:dyDescent="0.25">
      <c r="A6" s="27" t="s">
        <v>1</v>
      </c>
      <c r="B6" s="32"/>
      <c r="D6" s="32">
        <v>39577.46</v>
      </c>
      <c r="E6" s="32"/>
      <c r="G6" s="27" t="s">
        <v>1</v>
      </c>
      <c r="H6" s="32"/>
      <c r="I6" s="32"/>
      <c r="J6" s="33">
        <v>41053.15883</v>
      </c>
      <c r="K6" s="34"/>
      <c r="M6" s="27" t="s">
        <v>1</v>
      </c>
      <c r="N6" s="32"/>
      <c r="O6" s="32"/>
      <c r="P6" s="28">
        <v>42764.79</v>
      </c>
      <c r="Q6" s="28"/>
    </row>
    <row r="7" spans="1:22" x14ac:dyDescent="0.25">
      <c r="A7" s="27" t="s">
        <v>2</v>
      </c>
      <c r="B7" s="32"/>
      <c r="C7" s="32"/>
      <c r="D7" s="32">
        <v>13531.05</v>
      </c>
      <c r="E7" s="32"/>
      <c r="G7" s="27" t="s">
        <v>2</v>
      </c>
      <c r="H7" s="32"/>
      <c r="I7" s="32"/>
      <c r="J7" s="33">
        <v>13911.630781880343</v>
      </c>
      <c r="K7" s="34"/>
      <c r="M7" s="27" t="s">
        <v>2</v>
      </c>
      <c r="N7" s="32"/>
      <c r="O7" s="32"/>
      <c r="P7" s="28">
        <v>14591.81</v>
      </c>
      <c r="Q7" s="28"/>
      <c r="S7"/>
      <c r="T7"/>
      <c r="U7"/>
      <c r="V7"/>
    </row>
    <row r="8" spans="1:22" ht="21.75" x14ac:dyDescent="0.35">
      <c r="A8" s="27" t="s">
        <v>3</v>
      </c>
      <c r="B8" s="32"/>
      <c r="D8" s="32">
        <v>30578.46</v>
      </c>
      <c r="E8" s="32"/>
      <c r="G8" s="27" t="s">
        <v>3</v>
      </c>
      <c r="H8" s="32"/>
      <c r="I8" s="32"/>
      <c r="J8" s="33">
        <v>31723.186978600002</v>
      </c>
      <c r="K8" s="34"/>
      <c r="M8" s="27" t="s">
        <v>3</v>
      </c>
      <c r="N8" s="32"/>
      <c r="O8" s="32"/>
      <c r="P8" s="28">
        <v>33112.99</v>
      </c>
      <c r="Q8" s="28"/>
      <c r="S8" s="54" t="s">
        <v>60</v>
      </c>
      <c r="T8" s="54"/>
      <c r="U8"/>
      <c r="V8"/>
    </row>
    <row r="9" spans="1:22" x14ac:dyDescent="0.25">
      <c r="A9" s="27" t="s">
        <v>4</v>
      </c>
      <c r="B9" s="32"/>
      <c r="D9" s="32">
        <v>28925.279999999999</v>
      </c>
      <c r="E9" s="32"/>
      <c r="G9" s="27" t="s">
        <v>4</v>
      </c>
      <c r="H9" s="32"/>
      <c r="I9" s="32"/>
      <c r="J9" s="33">
        <v>30068.926986600003</v>
      </c>
      <c r="K9" s="34"/>
      <c r="M9" s="27" t="s">
        <v>4</v>
      </c>
      <c r="N9" s="32"/>
      <c r="O9" s="32"/>
      <c r="P9" s="28">
        <v>31423.59</v>
      </c>
      <c r="Q9" s="28"/>
      <c r="S9" s="50" t="s">
        <v>33</v>
      </c>
      <c r="T9" s="49">
        <f>D48</f>
        <v>265696.28940125002</v>
      </c>
      <c r="U9"/>
      <c r="V9"/>
    </row>
    <row r="10" spans="1:22" x14ac:dyDescent="0.25">
      <c r="A10" s="27" t="s">
        <v>5</v>
      </c>
      <c r="B10" s="32"/>
      <c r="D10" s="32">
        <v>28615.31</v>
      </c>
      <c r="E10" s="32"/>
      <c r="G10" s="27" t="s">
        <v>5</v>
      </c>
      <c r="H10" s="32"/>
      <c r="I10" s="32"/>
      <c r="J10" s="33">
        <v>30068.926986600003</v>
      </c>
      <c r="K10" s="34"/>
      <c r="M10" s="27" t="s">
        <v>5</v>
      </c>
      <c r="N10" s="32"/>
      <c r="O10" s="32"/>
      <c r="P10" s="28">
        <v>31251.200000000001</v>
      </c>
      <c r="Q10" s="28"/>
      <c r="S10" s="50" t="s">
        <v>34</v>
      </c>
      <c r="T10" s="49">
        <f>J48</f>
        <v>275200.10090419289</v>
      </c>
      <c r="U10"/>
      <c r="V10"/>
    </row>
    <row r="11" spans="1:22" x14ac:dyDescent="0.25">
      <c r="A11" s="27" t="s">
        <v>6</v>
      </c>
      <c r="B11" s="32"/>
      <c r="D11" s="32">
        <v>28615.31</v>
      </c>
      <c r="E11" s="32"/>
      <c r="G11" s="27" t="s">
        <v>6</v>
      </c>
      <c r="H11" s="32"/>
      <c r="I11" s="32"/>
      <c r="J11" s="33">
        <v>30068.926986600003</v>
      </c>
      <c r="K11" s="34"/>
      <c r="M11" s="27" t="s">
        <v>6</v>
      </c>
      <c r="N11" s="32"/>
      <c r="O11" s="32"/>
      <c r="P11" s="28">
        <v>31251.200000000001</v>
      </c>
      <c r="Q11" s="28"/>
      <c r="S11" s="50" t="s">
        <v>35</v>
      </c>
      <c r="T11" s="49">
        <f>P48</f>
        <v>286523.0331898781</v>
      </c>
      <c r="U11"/>
      <c r="V11"/>
    </row>
    <row r="12" spans="1:22" ht="21.75" x14ac:dyDescent="0.35">
      <c r="A12" s="27" t="s">
        <v>7</v>
      </c>
      <c r="B12" s="32"/>
      <c r="D12" s="32">
        <v>29614.1</v>
      </c>
      <c r="E12" s="32"/>
      <c r="G12" s="27" t="s">
        <v>7</v>
      </c>
      <c r="H12" s="32"/>
      <c r="I12" s="32"/>
      <c r="J12" s="33">
        <v>30896.056982599999</v>
      </c>
      <c r="K12" s="34"/>
      <c r="M12" s="27" t="s">
        <v>7</v>
      </c>
      <c r="N12" s="32"/>
      <c r="O12" s="32"/>
      <c r="P12" s="28">
        <v>32078.66</v>
      </c>
      <c r="Q12" s="28"/>
      <c r="S12" s="53" t="s">
        <v>9</v>
      </c>
      <c r="T12" s="52">
        <f>+SUM(T9:T11)</f>
        <v>827419.42349532107</v>
      </c>
      <c r="U12"/>
      <c r="V12"/>
    </row>
    <row r="13" spans="1:22" x14ac:dyDescent="0.25">
      <c r="A13" s="27" t="s">
        <v>10</v>
      </c>
      <c r="B13" s="32"/>
      <c r="D13" s="28">
        <f>D6+D7+D8+D9+D10+D11+D12</f>
        <v>199456.97</v>
      </c>
      <c r="G13" s="27" t="s">
        <v>10</v>
      </c>
      <c r="H13" s="32"/>
      <c r="J13" s="31">
        <f>+SUM(J6:J12)</f>
        <v>207790.81453288038</v>
      </c>
      <c r="K13" s="28"/>
      <c r="M13" s="27" t="s">
        <v>10</v>
      </c>
      <c r="N13" s="32"/>
      <c r="P13" s="28">
        <f>P6+P7+P8+P9+P10+P11+P12</f>
        <v>216474.24000000002</v>
      </c>
      <c r="Q13" s="28"/>
      <c r="U13"/>
      <c r="V13"/>
    </row>
    <row r="14" spans="1:22" x14ac:dyDescent="0.25">
      <c r="A14" s="27" t="s">
        <v>8</v>
      </c>
      <c r="D14" s="28">
        <v>7733.2</v>
      </c>
      <c r="F14" s="35"/>
      <c r="G14" s="27" t="s">
        <v>8</v>
      </c>
      <c r="J14" s="28">
        <f>(D14*5/100)+D14</f>
        <v>8119.86</v>
      </c>
      <c r="K14" s="28"/>
      <c r="L14" s="34"/>
      <c r="M14" s="27" t="s">
        <v>8</v>
      </c>
      <c r="P14" s="28">
        <f>(J14*5/100)+J14</f>
        <v>8525.8529999999992</v>
      </c>
      <c r="Q14" s="28"/>
      <c r="U14"/>
      <c r="V14"/>
    </row>
    <row r="15" spans="1:22" ht="21.75" x14ac:dyDescent="0.35">
      <c r="A15" s="57" t="s">
        <v>9</v>
      </c>
      <c r="B15" s="57"/>
      <c r="C15" s="57"/>
      <c r="D15" s="36">
        <f>D13+D14</f>
        <v>207190.17</v>
      </c>
      <c r="E15" s="36"/>
      <c r="F15" s="35"/>
      <c r="G15" s="57" t="s">
        <v>9</v>
      </c>
      <c r="H15" s="57"/>
      <c r="I15" s="57"/>
      <c r="J15" s="36">
        <f>J13+J14</f>
        <v>215910.67453288037</v>
      </c>
      <c r="K15" s="36"/>
      <c r="M15" s="57" t="s">
        <v>9</v>
      </c>
      <c r="N15" s="57"/>
      <c r="O15" s="57"/>
      <c r="P15" s="36">
        <f>P13+P14</f>
        <v>225000.09300000002</v>
      </c>
      <c r="Q15" s="36"/>
      <c r="S15" s="55" t="s">
        <v>59</v>
      </c>
      <c r="T15" s="55"/>
      <c r="U15"/>
      <c r="V15"/>
    </row>
    <row r="16" spans="1:22" x14ac:dyDescent="0.25">
      <c r="J16" s="28"/>
      <c r="K16" s="28"/>
      <c r="P16" s="28"/>
      <c r="Q16" s="28"/>
      <c r="S16" s="50" t="str">
        <f>+S9</f>
        <v>2026-2027</v>
      </c>
      <c r="T16" s="49">
        <f>E50</f>
        <v>265431.90940125007</v>
      </c>
      <c r="U16"/>
      <c r="V16"/>
    </row>
    <row r="17" spans="1:22" x14ac:dyDescent="0.25">
      <c r="A17" s="27" t="s">
        <v>11</v>
      </c>
      <c r="D17" s="28">
        <v>2550</v>
      </c>
      <c r="G17" s="27" t="s">
        <v>11</v>
      </c>
      <c r="J17" s="28">
        <f>(D17*5/100)+D17</f>
        <v>2677.5</v>
      </c>
      <c r="K17" s="28"/>
      <c r="M17" s="27" t="s">
        <v>11</v>
      </c>
      <c r="P17" s="28">
        <f>(J17*5/100)+J17</f>
        <v>2811.375</v>
      </c>
      <c r="Q17" s="28"/>
      <c r="S17" s="50" t="str">
        <f t="shared" ref="S17:S18" si="0">+S10</f>
        <v>2027-2028</v>
      </c>
      <c r="T17" s="49">
        <f>K50</f>
        <v>274922.50090419292</v>
      </c>
      <c r="U17"/>
      <c r="V17"/>
    </row>
    <row r="18" spans="1:22" x14ac:dyDescent="0.25">
      <c r="A18" s="27" t="s">
        <v>12</v>
      </c>
      <c r="D18" s="28">
        <v>510</v>
      </c>
      <c r="G18" s="27" t="s">
        <v>12</v>
      </c>
      <c r="J18" s="28">
        <f>(D18*5/100)+D18</f>
        <v>535.5</v>
      </c>
      <c r="K18" s="28"/>
      <c r="M18" s="27" t="s">
        <v>12</v>
      </c>
      <c r="P18" s="28">
        <f t="shared" ref="P18:P42" si="1">(J18*5/100)+J18</f>
        <v>562.27499999999998</v>
      </c>
      <c r="Q18" s="28"/>
      <c r="S18" s="50" t="str">
        <f t="shared" si="0"/>
        <v>2028-2029</v>
      </c>
      <c r="T18" s="49">
        <f>Q50</f>
        <v>286231.55318987812</v>
      </c>
      <c r="U18"/>
      <c r="V18"/>
    </row>
    <row r="19" spans="1:22" x14ac:dyDescent="0.25">
      <c r="J19" s="28"/>
      <c r="K19" s="28"/>
      <c r="P19" s="28"/>
      <c r="Q19" s="28"/>
      <c r="S19" s="50" t="s">
        <v>57</v>
      </c>
      <c r="T19" s="51">
        <f>'1a prorroga'!E48</f>
        <v>298138.78422437207</v>
      </c>
      <c r="U19"/>
      <c r="V19"/>
    </row>
    <row r="20" spans="1:22" x14ac:dyDescent="0.25">
      <c r="A20" s="41" t="s">
        <v>13</v>
      </c>
      <c r="B20" s="41"/>
      <c r="C20" s="41"/>
      <c r="D20" s="42"/>
      <c r="E20" s="42"/>
      <c r="G20" s="41" t="s">
        <v>13</v>
      </c>
      <c r="H20" s="41"/>
      <c r="I20" s="41"/>
      <c r="J20" s="42"/>
      <c r="K20" s="42"/>
      <c r="M20" s="41" t="s">
        <v>13</v>
      </c>
      <c r="N20" s="41"/>
      <c r="O20" s="41"/>
      <c r="P20" s="47"/>
      <c r="Q20" s="47"/>
      <c r="S20" s="50" t="s">
        <v>58</v>
      </c>
      <c r="T20" s="49">
        <f>'2a prorroga'!E48</f>
        <v>309215.54843559058</v>
      </c>
      <c r="U20"/>
      <c r="V20"/>
    </row>
    <row r="21" spans="1:22" x14ac:dyDescent="0.25">
      <c r="A21" s="27" t="s">
        <v>14</v>
      </c>
      <c r="D21" s="28">
        <v>5100</v>
      </c>
      <c r="G21" s="27" t="s">
        <v>14</v>
      </c>
      <c r="J21" s="28">
        <f>(D21*5/100)+D21</f>
        <v>5355</v>
      </c>
      <c r="K21" s="28"/>
      <c r="M21" s="27" t="s">
        <v>14</v>
      </c>
      <c r="P21" s="28">
        <f t="shared" si="1"/>
        <v>5622.75</v>
      </c>
      <c r="Q21" s="28"/>
      <c r="S21" s="50" t="s">
        <v>52</v>
      </c>
      <c r="T21" s="49">
        <f>+SUM(T16:T18)*10%</f>
        <v>82658.596349532119</v>
      </c>
      <c r="U21"/>
      <c r="V21"/>
    </row>
    <row r="22" spans="1:22" ht="21.75" x14ac:dyDescent="0.35">
      <c r="A22" s="27" t="s">
        <v>15</v>
      </c>
      <c r="D22" s="28">
        <v>874.85</v>
      </c>
      <c r="G22" s="27" t="s">
        <v>15</v>
      </c>
      <c r="J22" s="28">
        <f>(D22*5/100)+D22</f>
        <v>918.59249999999997</v>
      </c>
      <c r="K22" s="28"/>
      <c r="M22" s="27" t="s">
        <v>15</v>
      </c>
      <c r="P22" s="28">
        <f t="shared" si="1"/>
        <v>964.52212499999996</v>
      </c>
      <c r="Q22" s="28"/>
      <c r="S22" s="53" t="s">
        <v>9</v>
      </c>
      <c r="T22" s="52">
        <f>+SUM(T16:T21)</f>
        <v>1516598.8925048157</v>
      </c>
      <c r="U22"/>
      <c r="V22" s="24"/>
    </row>
    <row r="23" spans="1:22" x14ac:dyDescent="0.25">
      <c r="J23" s="28"/>
      <c r="K23" s="28"/>
      <c r="P23" s="28"/>
      <c r="Q23" s="28"/>
    </row>
    <row r="24" spans="1:22" x14ac:dyDescent="0.25">
      <c r="A24" s="41" t="s">
        <v>16</v>
      </c>
      <c r="B24" s="41"/>
      <c r="C24" s="41"/>
      <c r="D24" s="42"/>
      <c r="E24" s="42"/>
      <c r="G24" s="41" t="s">
        <v>16</v>
      </c>
      <c r="H24" s="41"/>
      <c r="I24" s="41"/>
      <c r="J24" s="47"/>
      <c r="K24" s="47"/>
      <c r="M24" s="41" t="s">
        <v>16</v>
      </c>
      <c r="N24" s="41"/>
      <c r="O24" s="41"/>
      <c r="P24" s="47"/>
      <c r="Q24" s="47"/>
    </row>
    <row r="25" spans="1:22" x14ac:dyDescent="0.25">
      <c r="A25" s="27" t="s">
        <v>53</v>
      </c>
      <c r="D25" s="28">
        <v>765</v>
      </c>
      <c r="G25" s="27" t="s">
        <v>17</v>
      </c>
      <c r="J25" s="28">
        <f t="shared" ref="J25:J42" si="2">(D25*5/100)+D25</f>
        <v>803.25</v>
      </c>
      <c r="K25" s="28"/>
      <c r="M25" s="27" t="s">
        <v>17</v>
      </c>
      <c r="P25" s="28">
        <f t="shared" si="1"/>
        <v>843.41250000000002</v>
      </c>
      <c r="Q25" s="28"/>
    </row>
    <row r="26" spans="1:22" x14ac:dyDescent="0.25">
      <c r="A26" s="27" t="s">
        <v>54</v>
      </c>
      <c r="D26" s="28">
        <v>1020</v>
      </c>
      <c r="G26" s="27" t="s">
        <v>18</v>
      </c>
      <c r="J26" s="28">
        <f t="shared" si="2"/>
        <v>1071</v>
      </c>
      <c r="K26" s="28"/>
      <c r="M26" s="27" t="s">
        <v>18</v>
      </c>
      <c r="P26" s="28">
        <f t="shared" si="1"/>
        <v>1124.55</v>
      </c>
      <c r="Q26" s="28"/>
    </row>
    <row r="27" spans="1:22" x14ac:dyDescent="0.25">
      <c r="A27" s="27" t="s">
        <v>19</v>
      </c>
      <c r="D27" s="28">
        <f>0.72*18*204</f>
        <v>2643.8399999999997</v>
      </c>
      <c r="E27" s="37">
        <f>D27+264.38</f>
        <v>2908.22</v>
      </c>
      <c r="G27" s="27" t="s">
        <v>19</v>
      </c>
      <c r="J27" s="28">
        <f>+D27*5%+D27</f>
        <v>2776.0319999999997</v>
      </c>
      <c r="K27" s="37">
        <f>J27+277.6</f>
        <v>3053.6319999999996</v>
      </c>
      <c r="M27" s="27" t="s">
        <v>19</v>
      </c>
      <c r="P27" s="28">
        <f>+J27*5%+J27</f>
        <v>2914.8335999999995</v>
      </c>
      <c r="Q27" s="37">
        <f>P27+291.48</f>
        <v>3206.3135999999995</v>
      </c>
    </row>
    <row r="28" spans="1:22" x14ac:dyDescent="0.25">
      <c r="J28" s="28"/>
      <c r="K28" s="28"/>
      <c r="P28" s="28"/>
      <c r="Q28" s="28"/>
    </row>
    <row r="29" spans="1:22" x14ac:dyDescent="0.25">
      <c r="A29" s="41" t="s">
        <v>20</v>
      </c>
      <c r="B29" s="41"/>
      <c r="C29" s="41"/>
      <c r="D29" s="47"/>
      <c r="E29" s="47"/>
      <c r="G29" s="41" t="s">
        <v>20</v>
      </c>
      <c r="H29" s="41"/>
      <c r="I29" s="41"/>
      <c r="J29" s="47"/>
      <c r="K29" s="47"/>
      <c r="M29" s="41" t="s">
        <v>20</v>
      </c>
      <c r="N29" s="41"/>
      <c r="O29" s="41"/>
      <c r="P29" s="47"/>
      <c r="Q29" s="47"/>
    </row>
    <row r="30" spans="1:22" x14ac:dyDescent="0.25">
      <c r="A30" s="27" t="s">
        <v>21</v>
      </c>
      <c r="D30" s="28">
        <v>1785</v>
      </c>
      <c r="G30" s="27" t="s">
        <v>21</v>
      </c>
      <c r="J30" s="28">
        <f t="shared" si="2"/>
        <v>1874.25</v>
      </c>
      <c r="K30" s="28"/>
      <c r="M30" s="27" t="s">
        <v>21</v>
      </c>
      <c r="P30" s="28">
        <f t="shared" si="1"/>
        <v>1967.9625000000001</v>
      </c>
      <c r="Q30" s="28"/>
    </row>
    <row r="31" spans="1:22" x14ac:dyDescent="0.25">
      <c r="J31" s="28"/>
      <c r="K31" s="28"/>
      <c r="P31" s="28"/>
      <c r="Q31" s="28"/>
    </row>
    <row r="32" spans="1:22" x14ac:dyDescent="0.25">
      <c r="A32" s="41" t="s">
        <v>22</v>
      </c>
      <c r="B32" s="41"/>
      <c r="C32" s="41"/>
      <c r="D32" s="47"/>
      <c r="E32" s="47"/>
      <c r="G32" s="41" t="s">
        <v>22</v>
      </c>
      <c r="H32" s="41"/>
      <c r="I32" s="41"/>
      <c r="J32" s="47"/>
      <c r="K32" s="47"/>
      <c r="M32" s="41" t="s">
        <v>22</v>
      </c>
      <c r="N32" s="41"/>
      <c r="O32" s="41"/>
      <c r="P32" s="42"/>
      <c r="Q32" s="42"/>
    </row>
    <row r="33" spans="1:17" x14ac:dyDescent="0.25">
      <c r="A33" s="27" t="s">
        <v>23</v>
      </c>
      <c r="D33" s="28">
        <v>10710</v>
      </c>
      <c r="G33" s="27" t="s">
        <v>23</v>
      </c>
      <c r="J33" s="28">
        <f t="shared" si="2"/>
        <v>11245.5</v>
      </c>
      <c r="K33" s="28"/>
      <c r="M33" s="27" t="s">
        <v>23</v>
      </c>
      <c r="P33" s="28">
        <f>(J33*5/100)+J33</f>
        <v>11807.775</v>
      </c>
      <c r="Q33" s="28"/>
    </row>
    <row r="34" spans="1:17" x14ac:dyDescent="0.25">
      <c r="A34" s="27" t="s">
        <v>24</v>
      </c>
      <c r="D34" s="28">
        <v>1836</v>
      </c>
      <c r="G34" s="27" t="s">
        <v>24</v>
      </c>
      <c r="J34" s="28">
        <f t="shared" si="2"/>
        <v>1927.8</v>
      </c>
      <c r="K34" s="28"/>
      <c r="M34" s="27" t="s">
        <v>24</v>
      </c>
      <c r="P34" s="28">
        <f t="shared" si="1"/>
        <v>2024.19</v>
      </c>
      <c r="Q34" s="28"/>
    </row>
    <row r="35" spans="1:17" x14ac:dyDescent="0.25">
      <c r="J35" s="28"/>
      <c r="K35" s="28"/>
      <c r="P35" s="28"/>
      <c r="Q35" s="28"/>
    </row>
    <row r="36" spans="1:17" x14ac:dyDescent="0.25">
      <c r="A36" s="41" t="s">
        <v>25</v>
      </c>
      <c r="B36" s="41"/>
      <c r="C36" s="41"/>
      <c r="D36" s="47"/>
      <c r="E36" s="47"/>
      <c r="G36" s="41" t="s">
        <v>25</v>
      </c>
      <c r="H36" s="41"/>
      <c r="I36" s="41"/>
      <c r="J36" s="47"/>
      <c r="K36" s="47"/>
      <c r="M36" s="41" t="s">
        <v>25</v>
      </c>
      <c r="N36" s="41"/>
      <c r="O36" s="41"/>
      <c r="P36" s="47"/>
      <c r="Q36" s="47"/>
    </row>
    <row r="37" spans="1:17" x14ac:dyDescent="0.25">
      <c r="A37" s="27" t="s">
        <v>26</v>
      </c>
      <c r="D37" s="28">
        <v>367.2</v>
      </c>
      <c r="G37" s="27" t="s">
        <v>26</v>
      </c>
      <c r="J37" s="28">
        <f t="shared" si="2"/>
        <v>385.56</v>
      </c>
      <c r="K37" s="28"/>
      <c r="M37" s="27" t="s">
        <v>26</v>
      </c>
      <c r="P37" s="28">
        <f t="shared" si="1"/>
        <v>404.83800000000002</v>
      </c>
      <c r="Q37" s="28"/>
    </row>
    <row r="38" spans="1:17" x14ac:dyDescent="0.25">
      <c r="J38" s="28"/>
      <c r="K38" s="28"/>
      <c r="P38" s="28"/>
      <c r="Q38" s="28"/>
    </row>
    <row r="39" spans="1:17" x14ac:dyDescent="0.25">
      <c r="A39" s="41" t="s">
        <v>27</v>
      </c>
      <c r="B39" s="41"/>
      <c r="C39" s="41"/>
      <c r="D39" s="47"/>
      <c r="E39" s="47"/>
      <c r="G39" s="41" t="s">
        <v>27</v>
      </c>
      <c r="H39" s="41"/>
      <c r="I39" s="41"/>
      <c r="J39" s="47"/>
      <c r="K39" s="47"/>
      <c r="M39" s="41" t="s">
        <v>27</v>
      </c>
      <c r="N39" s="41"/>
      <c r="O39" s="41"/>
      <c r="P39" s="47"/>
      <c r="Q39" s="47"/>
    </row>
    <row r="40" spans="1:17" x14ac:dyDescent="0.25">
      <c r="A40" s="27" t="s">
        <v>28</v>
      </c>
      <c r="D40" s="28">
        <v>684.81</v>
      </c>
      <c r="G40" s="27" t="s">
        <v>28</v>
      </c>
      <c r="J40" s="28">
        <f t="shared" si="2"/>
        <v>719.05049999999994</v>
      </c>
      <c r="K40" s="28"/>
      <c r="M40" s="27" t="s">
        <v>28</v>
      </c>
      <c r="P40" s="28">
        <f t="shared" si="1"/>
        <v>755.00302499999998</v>
      </c>
      <c r="Q40" s="28"/>
    </row>
    <row r="41" spans="1:17" x14ac:dyDescent="0.25">
      <c r="A41" s="27" t="s">
        <v>29</v>
      </c>
      <c r="D41" s="28">
        <v>663</v>
      </c>
      <c r="G41" s="27" t="s">
        <v>29</v>
      </c>
      <c r="J41" s="28">
        <f t="shared" si="2"/>
        <v>696.15</v>
      </c>
      <c r="K41" s="28"/>
      <c r="M41" s="27" t="s">
        <v>29</v>
      </c>
      <c r="P41" s="28">
        <f t="shared" si="1"/>
        <v>730.95749999999998</v>
      </c>
      <c r="Q41" s="28"/>
    </row>
    <row r="42" spans="1:17" x14ac:dyDescent="0.25">
      <c r="A42" s="27" t="s">
        <v>30</v>
      </c>
      <c r="D42" s="28">
        <v>510</v>
      </c>
      <c r="G42" s="27" t="s">
        <v>30</v>
      </c>
      <c r="J42" s="28">
        <f t="shared" si="2"/>
        <v>535.5</v>
      </c>
      <c r="K42" s="28"/>
      <c r="M42" s="27" t="s">
        <v>30</v>
      </c>
      <c r="P42" s="28">
        <f t="shared" si="1"/>
        <v>562.27499999999998</v>
      </c>
      <c r="Q42" s="28"/>
    </row>
    <row r="43" spans="1:17" x14ac:dyDescent="0.25">
      <c r="J43" s="28"/>
      <c r="K43" s="28"/>
      <c r="P43" s="28"/>
      <c r="Q43" s="28"/>
    </row>
    <row r="44" spans="1:17" x14ac:dyDescent="0.25">
      <c r="A44" s="27" t="s">
        <v>31</v>
      </c>
      <c r="C44" s="38">
        <v>5.7500000000000002E-2</v>
      </c>
      <c r="D44" s="31">
        <f>+SUM(D15:D42)*C44</f>
        <v>13639.567525000002</v>
      </c>
      <c r="G44" s="27" t="s">
        <v>31</v>
      </c>
      <c r="J44" s="28">
        <f>(D44*5/100)+D44</f>
        <v>14321.545901250003</v>
      </c>
      <c r="K44" s="28"/>
      <c r="M44" s="27" t="s">
        <v>31</v>
      </c>
      <c r="P44" s="28">
        <f>(J44*5/100)+J44</f>
        <v>15037.623196312503</v>
      </c>
      <c r="Q44" s="28"/>
    </row>
    <row r="45" spans="1:17" x14ac:dyDescent="0.25">
      <c r="J45" s="28"/>
      <c r="K45" s="28"/>
      <c r="P45" s="28"/>
      <c r="Q45" s="28"/>
    </row>
    <row r="46" spans="1:17" ht="15.75" x14ac:dyDescent="0.25">
      <c r="A46" s="45" t="s">
        <v>43</v>
      </c>
      <c r="B46" s="45"/>
      <c r="C46" s="46">
        <v>0.05</v>
      </c>
      <c r="D46" s="31">
        <f>+SUM(D15:D45)*C46</f>
        <v>12542.471876250002</v>
      </c>
      <c r="E46" s="31"/>
      <c r="F46" s="45"/>
      <c r="G46" s="45" t="str">
        <f>+A46</f>
        <v>Despeses generals</v>
      </c>
      <c r="H46" s="45"/>
      <c r="I46" s="45"/>
      <c r="J46" s="31">
        <f>(D46*5/100)+D46</f>
        <v>13169.595470062501</v>
      </c>
      <c r="K46" s="31"/>
      <c r="L46" s="45"/>
      <c r="M46" s="45" t="str">
        <f>+A46</f>
        <v>Despeses generals</v>
      </c>
      <c r="N46" s="45"/>
      <c r="O46" s="45"/>
      <c r="P46" s="31">
        <f>(J46*5/100)+J46</f>
        <v>13828.075243565625</v>
      </c>
      <c r="Q46" s="31"/>
    </row>
    <row r="47" spans="1:17" x14ac:dyDescent="0.25">
      <c r="J47" s="28"/>
      <c r="K47" s="28"/>
      <c r="P47" s="28"/>
      <c r="Q47" s="28"/>
    </row>
    <row r="48" spans="1:17" ht="20.25" x14ac:dyDescent="0.35">
      <c r="A48" s="58" t="s">
        <v>32</v>
      </c>
      <c r="B48" s="58"/>
      <c r="C48" s="58"/>
      <c r="D48" s="48">
        <f>D15+D17+D18+D21+D22+D25+D26+E27+D26+D26+D30+D33+D34+D37+D40+D41+D42+D44+D46</f>
        <v>265696.28940125002</v>
      </c>
      <c r="E48" s="48"/>
      <c r="F48" s="39"/>
      <c r="G48" s="58" t="s">
        <v>38</v>
      </c>
      <c r="H48" s="58"/>
      <c r="I48" s="58"/>
      <c r="J48" s="48">
        <f>J15+J17+J18+J21+J22+J25+J26+K27+J30+J33+J34+J37+J40+J41+J42+J44+J46</f>
        <v>275200.10090419289</v>
      </c>
      <c r="K48" s="48"/>
      <c r="L48" s="39"/>
      <c r="M48" s="58" t="s">
        <v>39</v>
      </c>
      <c r="N48" s="58"/>
      <c r="O48" s="58"/>
      <c r="P48" s="48">
        <f>P15+P17+P18+P21+P22+P25+P26+Q27+P30+P33+P34+P37+P40++P42+P44+P46</f>
        <v>286523.0331898781</v>
      </c>
      <c r="Q48" s="48"/>
    </row>
    <row r="50" spans="1:17" ht="20.25" customHeight="1" x14ac:dyDescent="0.35">
      <c r="A50" s="60" t="s">
        <v>51</v>
      </c>
      <c r="B50" s="60"/>
      <c r="C50" s="60"/>
      <c r="D50" s="60"/>
      <c r="E50" s="28">
        <f>D48-E27+D27</f>
        <v>265431.90940125007</v>
      </c>
      <c r="K50" s="28">
        <f>J48-K27+J27</f>
        <v>274922.50090419292</v>
      </c>
      <c r="Q50" s="28">
        <f>P48-Q27+P27</f>
        <v>286231.55318987812</v>
      </c>
    </row>
    <row r="51" spans="1:17" x14ac:dyDescent="0.25">
      <c r="D51" s="35"/>
    </row>
    <row r="52" spans="1:17" x14ac:dyDescent="0.25">
      <c r="D52" s="35"/>
    </row>
  </sheetData>
  <sheetProtection algorithmName="SHA-512" hashValue="mc19duKDVhBa/T6fLrW90FBhRMqrSCWmI/3mZbhPsmV6t8jxpzTMja0sUcsEk7YG48ZVTO5zONmmbw6saQw/Ew==" saltValue="7YXPtxuDpezxqsfHyzVSiA==" spinCount="100000" sheet="1" objects="1" scenarios="1"/>
  <mergeCells count="13">
    <mergeCell ref="A50:D50"/>
    <mergeCell ref="A1:P1"/>
    <mergeCell ref="A15:C15"/>
    <mergeCell ref="A48:C48"/>
    <mergeCell ref="A3:D3"/>
    <mergeCell ref="G3:J3"/>
    <mergeCell ref="G15:I15"/>
    <mergeCell ref="G48:I48"/>
    <mergeCell ref="S8:T8"/>
    <mergeCell ref="S15:T15"/>
    <mergeCell ref="M3:P3"/>
    <mergeCell ref="M15:O15"/>
    <mergeCell ref="M48:O48"/>
  </mergeCells>
  <pageMargins left="0.7" right="0.7" top="0.75" bottom="0.75" header="0.3" footer="0.3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3C998-327C-410A-9CED-D8AF520461CA}">
  <dimension ref="A1:K48"/>
  <sheetViews>
    <sheetView workbookViewId="0">
      <selection sqref="A1:E48"/>
    </sheetView>
  </sheetViews>
  <sheetFormatPr baseColWidth="10" defaultColWidth="11.42578125" defaultRowHeight="15" x14ac:dyDescent="0.25"/>
  <cols>
    <col min="4" max="5" width="20.5703125" customWidth="1"/>
  </cols>
  <sheetData>
    <row r="1" spans="1:11" ht="18.75" x14ac:dyDescent="0.3">
      <c r="A1" s="61" t="s">
        <v>40</v>
      </c>
      <c r="B1" s="61"/>
      <c r="C1" s="61"/>
      <c r="D1" s="61"/>
      <c r="E1" s="11"/>
    </row>
    <row r="2" spans="1:11" x14ac:dyDescent="0.25">
      <c r="A2" s="2" t="s">
        <v>0</v>
      </c>
      <c r="B2" s="2"/>
      <c r="C2" s="2"/>
      <c r="D2" s="8"/>
      <c r="E2" s="8"/>
    </row>
    <row r="3" spans="1:11" x14ac:dyDescent="0.25">
      <c r="B3" s="1"/>
      <c r="C3" s="1"/>
      <c r="D3" s="7" t="s">
        <v>37</v>
      </c>
      <c r="E3" s="7" t="s">
        <v>49</v>
      </c>
      <c r="K3" s="13"/>
    </row>
    <row r="4" spans="1:11" x14ac:dyDescent="0.25">
      <c r="A4" t="s">
        <v>1</v>
      </c>
      <c r="B4" s="3"/>
      <c r="C4" s="3"/>
      <c r="D4" s="25">
        <v>44353.79</v>
      </c>
      <c r="E4" s="7"/>
      <c r="K4" s="13"/>
    </row>
    <row r="5" spans="1:11" x14ac:dyDescent="0.25">
      <c r="A5" t="s">
        <v>2</v>
      </c>
      <c r="B5" s="3"/>
      <c r="C5" s="3"/>
      <c r="D5" s="25">
        <v>15015.1</v>
      </c>
      <c r="E5" s="7"/>
      <c r="K5" s="13"/>
    </row>
    <row r="6" spans="1:11" x14ac:dyDescent="0.25">
      <c r="A6" t="s">
        <v>3</v>
      </c>
      <c r="B6" s="3"/>
      <c r="C6" s="3"/>
      <c r="D6" s="25">
        <v>34262.75</v>
      </c>
      <c r="E6" s="7"/>
      <c r="K6" s="13"/>
    </row>
    <row r="7" spans="1:11" x14ac:dyDescent="0.25">
      <c r="A7" t="s">
        <v>4</v>
      </c>
      <c r="B7" s="3"/>
      <c r="C7" s="3"/>
      <c r="D7" s="25">
        <v>32606.36</v>
      </c>
      <c r="E7" s="7"/>
      <c r="K7" s="13"/>
    </row>
    <row r="8" spans="1:11" x14ac:dyDescent="0.25">
      <c r="A8" t="s">
        <v>5</v>
      </c>
      <c r="B8" s="3"/>
      <c r="C8" s="3"/>
      <c r="D8" s="25">
        <v>32295.79</v>
      </c>
      <c r="E8" s="7"/>
      <c r="K8" s="13"/>
    </row>
    <row r="9" spans="1:11" x14ac:dyDescent="0.25">
      <c r="A9" t="s">
        <v>6</v>
      </c>
      <c r="B9" s="3"/>
      <c r="C9" s="3"/>
      <c r="D9" s="25">
        <v>32295.79</v>
      </c>
      <c r="E9" s="7"/>
      <c r="K9" s="13"/>
    </row>
    <row r="10" spans="1:11" x14ac:dyDescent="0.25">
      <c r="A10" t="s">
        <v>7</v>
      </c>
      <c r="B10" s="3"/>
      <c r="C10" s="3"/>
      <c r="D10" s="25">
        <v>33296.519999999997</v>
      </c>
      <c r="E10" s="7"/>
    </row>
    <row r="11" spans="1:11" x14ac:dyDescent="0.25">
      <c r="A11" t="s">
        <v>10</v>
      </c>
      <c r="B11" s="3"/>
      <c r="D11" s="7">
        <f>D4+D5+D6+D7+D8+D9+D10</f>
        <v>224126.1</v>
      </c>
      <c r="E11" s="7"/>
    </row>
    <row r="12" spans="1:11" x14ac:dyDescent="0.25">
      <c r="A12" t="s">
        <v>8</v>
      </c>
      <c r="D12" s="7">
        <f>('3 anys'!P14*5/100)+'3 anys'!P14</f>
        <v>8952.1456499999986</v>
      </c>
      <c r="E12" s="7"/>
    </row>
    <row r="13" spans="1:11" x14ac:dyDescent="0.25">
      <c r="A13" s="62" t="s">
        <v>9</v>
      </c>
      <c r="B13" s="62"/>
      <c r="C13" s="62"/>
      <c r="D13" s="10">
        <f>+SUM(D11:D12)</f>
        <v>233078.24565</v>
      </c>
      <c r="E13" s="10"/>
    </row>
    <row r="14" spans="1:11" x14ac:dyDescent="0.25">
      <c r="D14" s="7"/>
      <c r="E14" s="7"/>
    </row>
    <row r="15" spans="1:11" x14ac:dyDescent="0.25">
      <c r="A15" t="s">
        <v>11</v>
      </c>
      <c r="D15" s="7">
        <f>('3 anys'!P17*5/100)+'3 anys'!P17</f>
        <v>2951.9437499999999</v>
      </c>
      <c r="E15" s="7"/>
    </row>
    <row r="16" spans="1:11" x14ac:dyDescent="0.25">
      <c r="A16" t="s">
        <v>12</v>
      </c>
      <c r="D16" s="7">
        <f>('3 anys'!P18*5/100)+'3 anys'!P18</f>
        <v>590.38874999999996</v>
      </c>
      <c r="E16" s="7"/>
    </row>
    <row r="17" spans="1:5" x14ac:dyDescent="0.25">
      <c r="D17" s="7"/>
      <c r="E17" s="7"/>
    </row>
    <row r="18" spans="1:5" x14ac:dyDescent="0.25">
      <c r="A18" s="5" t="s">
        <v>13</v>
      </c>
      <c r="B18" s="5"/>
      <c r="C18" s="5"/>
      <c r="D18" s="9"/>
      <c r="E18" s="9"/>
    </row>
    <row r="19" spans="1:5" x14ac:dyDescent="0.25">
      <c r="A19" t="s">
        <v>14</v>
      </c>
      <c r="D19" s="7">
        <f>('3 anys'!P21*5/100)+'3 anys'!P21</f>
        <v>5903.8874999999998</v>
      </c>
      <c r="E19" s="7"/>
    </row>
    <row r="20" spans="1:5" x14ac:dyDescent="0.25">
      <c r="A20" t="s">
        <v>15</v>
      </c>
      <c r="D20" s="7">
        <f>('3 anys'!P22*5/100)+'3 anys'!P22</f>
        <v>1012.74823125</v>
      </c>
      <c r="E20" s="7"/>
    </row>
    <row r="21" spans="1:5" x14ac:dyDescent="0.25">
      <c r="D21" s="7"/>
      <c r="E21" s="7"/>
    </row>
    <row r="22" spans="1:5" x14ac:dyDescent="0.25">
      <c r="A22" s="5" t="s">
        <v>16</v>
      </c>
      <c r="B22" s="5"/>
      <c r="C22" s="5"/>
      <c r="D22" s="9"/>
      <c r="E22" s="9"/>
    </row>
    <row r="23" spans="1:5" x14ac:dyDescent="0.25">
      <c r="A23" t="s">
        <v>17</v>
      </c>
      <c r="D23" s="7">
        <f>('3 anys'!P25*5/100)+'3 anys'!P25</f>
        <v>885.583125</v>
      </c>
      <c r="E23" s="7"/>
    </row>
    <row r="24" spans="1:5" x14ac:dyDescent="0.25">
      <c r="A24" t="s">
        <v>18</v>
      </c>
      <c r="D24" s="7">
        <f>('3 anys'!P26*5/100)+'3 anys'!P26</f>
        <v>1180.7774999999999</v>
      </c>
      <c r="E24" s="7"/>
    </row>
    <row r="25" spans="1:5" x14ac:dyDescent="0.25">
      <c r="A25" t="s">
        <v>19</v>
      </c>
      <c r="D25" s="7">
        <f>('3 anys'!P27*5/100)+'3 anys'!P27</f>
        <v>3060.5752799999996</v>
      </c>
      <c r="E25" s="23">
        <f>D25+306.05</f>
        <v>3366.6252799999997</v>
      </c>
    </row>
    <row r="26" spans="1:5" x14ac:dyDescent="0.25">
      <c r="D26" s="7"/>
      <c r="E26" s="7"/>
    </row>
    <row r="27" spans="1:5" x14ac:dyDescent="0.25">
      <c r="A27" s="5" t="s">
        <v>20</v>
      </c>
      <c r="B27" s="5"/>
      <c r="C27" s="5"/>
      <c r="D27" s="9"/>
      <c r="E27" s="9"/>
    </row>
    <row r="28" spans="1:5" x14ac:dyDescent="0.25">
      <c r="A28" t="s">
        <v>21</v>
      </c>
      <c r="D28" s="7">
        <f>('3 anys'!P30*5/100)+'3 anys'!P30</f>
        <v>2066.3606250000003</v>
      </c>
      <c r="E28" s="7"/>
    </row>
    <row r="29" spans="1:5" x14ac:dyDescent="0.25">
      <c r="D29" s="7"/>
      <c r="E29" s="7"/>
    </row>
    <row r="30" spans="1:5" x14ac:dyDescent="0.25">
      <c r="A30" s="4" t="s">
        <v>22</v>
      </c>
      <c r="B30" s="4"/>
      <c r="C30" s="4"/>
      <c r="D30" s="9"/>
      <c r="E30" s="9"/>
    </row>
    <row r="31" spans="1:5" x14ac:dyDescent="0.25">
      <c r="A31" t="s">
        <v>23</v>
      </c>
      <c r="D31" s="7">
        <f>('3 anys'!P33*5/100)+'3 anys'!P33</f>
        <v>12398.16375</v>
      </c>
      <c r="E31" s="7"/>
    </row>
    <row r="32" spans="1:5" x14ac:dyDescent="0.25">
      <c r="A32" t="s">
        <v>24</v>
      </c>
      <c r="D32" s="7">
        <f>('3 anys'!P34*5/100)+'3 anys'!P34</f>
        <v>2125.3995</v>
      </c>
      <c r="E32" s="7"/>
    </row>
    <row r="33" spans="1:5" x14ac:dyDescent="0.25">
      <c r="D33" s="7"/>
      <c r="E33" s="7"/>
    </row>
    <row r="34" spans="1:5" x14ac:dyDescent="0.25">
      <c r="A34" s="4" t="s">
        <v>25</v>
      </c>
      <c r="B34" s="4"/>
      <c r="C34" s="4"/>
      <c r="D34" s="9"/>
      <c r="E34" s="9"/>
    </row>
    <row r="35" spans="1:5" x14ac:dyDescent="0.25">
      <c r="A35" t="s">
        <v>26</v>
      </c>
      <c r="D35" s="7">
        <f>('3 anys'!P37*5/100)+'3 anys'!P37</f>
        <v>425.07990000000001</v>
      </c>
      <c r="E35" s="7"/>
    </row>
    <row r="36" spans="1:5" x14ac:dyDescent="0.25">
      <c r="D36" s="7"/>
      <c r="E36" s="7"/>
    </row>
    <row r="37" spans="1:5" x14ac:dyDescent="0.25">
      <c r="A37" s="4" t="s">
        <v>27</v>
      </c>
      <c r="B37" s="4"/>
      <c r="C37" s="4"/>
      <c r="D37" s="9"/>
      <c r="E37" s="9"/>
    </row>
    <row r="38" spans="1:5" x14ac:dyDescent="0.25">
      <c r="A38" t="s">
        <v>28</v>
      </c>
      <c r="D38" s="7">
        <f>('3 anys'!P40*5/100)+'3 anys'!P40</f>
        <v>792.75317625000002</v>
      </c>
      <c r="E38" s="7"/>
    </row>
    <row r="39" spans="1:5" x14ac:dyDescent="0.25">
      <c r="A39" t="s">
        <v>29</v>
      </c>
      <c r="D39" s="7">
        <f>('3 anys'!P41*5/100)+'3 anys'!P41</f>
        <v>767.50537499999996</v>
      </c>
      <c r="E39" s="7"/>
    </row>
    <row r="40" spans="1:5" x14ac:dyDescent="0.25">
      <c r="A40" t="s">
        <v>30</v>
      </c>
      <c r="D40" s="7">
        <f>('3 anys'!P42*5/100)+'3 anys'!P42</f>
        <v>590.38874999999996</v>
      </c>
      <c r="E40" s="7"/>
    </row>
    <row r="41" spans="1:5" x14ac:dyDescent="0.25">
      <c r="D41" s="7"/>
      <c r="E41" s="7"/>
    </row>
    <row r="42" spans="1:5" x14ac:dyDescent="0.25">
      <c r="A42" t="s">
        <v>31</v>
      </c>
      <c r="D42" s="7">
        <f>('3 anys'!P44*5/100)+'3 anys'!P44</f>
        <v>15789.504356128127</v>
      </c>
      <c r="E42" s="7"/>
    </row>
    <row r="43" spans="1:5" x14ac:dyDescent="0.25">
      <c r="D43" s="7"/>
      <c r="E43" s="7"/>
    </row>
    <row r="44" spans="1:5" x14ac:dyDescent="0.25">
      <c r="A44" t="str">
        <f>+'3 anys'!M46</f>
        <v>Despeses generals</v>
      </c>
      <c r="D44" s="7">
        <f>('3 anys'!P46*5/100)+'3 anys'!P46</f>
        <v>14519.479005743906</v>
      </c>
      <c r="E44" s="7"/>
    </row>
    <row r="45" spans="1:5" x14ac:dyDescent="0.25">
      <c r="D45" s="7"/>
      <c r="E45" s="7"/>
    </row>
    <row r="46" spans="1:5" ht="18.75" x14ac:dyDescent="0.3">
      <c r="A46" s="63" t="s">
        <v>41</v>
      </c>
      <c r="B46" s="63"/>
      <c r="C46" s="63"/>
      <c r="D46" s="12">
        <f>D13+D15+D16+D19+D20+D23+D24+E25+D28+D31+D32+D35+D38+D39+D40+D42+D44</f>
        <v>298444.83422437205</v>
      </c>
      <c r="E46" s="12"/>
    </row>
    <row r="48" spans="1:5" x14ac:dyDescent="0.25">
      <c r="E48" s="7">
        <f>D46-E25+D25</f>
        <v>298138.78422437207</v>
      </c>
    </row>
  </sheetData>
  <mergeCells count="3">
    <mergeCell ref="A1:D1"/>
    <mergeCell ref="A13:C13"/>
    <mergeCell ref="A46:C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3D8B9-0CF3-4C88-8B6D-8CFDFCC65584}">
  <dimension ref="A1:E48"/>
  <sheetViews>
    <sheetView workbookViewId="0">
      <selection activeCell="J12" sqref="J12"/>
    </sheetView>
  </sheetViews>
  <sheetFormatPr baseColWidth="10" defaultColWidth="11.42578125" defaultRowHeight="15" x14ac:dyDescent="0.25"/>
  <cols>
    <col min="1" max="1" width="17.140625" customWidth="1"/>
    <col min="2" max="2" width="14.42578125" customWidth="1"/>
    <col min="4" max="4" width="16.28515625" customWidth="1"/>
    <col min="5" max="5" width="13.140625" customWidth="1"/>
  </cols>
  <sheetData>
    <row r="1" spans="1:5" ht="18.75" x14ac:dyDescent="0.3">
      <c r="A1" s="64" t="s">
        <v>42</v>
      </c>
      <c r="B1" s="64"/>
      <c r="C1" s="64"/>
      <c r="D1" s="64"/>
      <c r="E1" s="21"/>
    </row>
    <row r="2" spans="1:5" x14ac:dyDescent="0.25">
      <c r="A2" s="2" t="s">
        <v>0</v>
      </c>
      <c r="B2" s="2"/>
      <c r="C2" s="2"/>
      <c r="D2" s="8"/>
      <c r="E2" s="8"/>
    </row>
    <row r="3" spans="1:5" x14ac:dyDescent="0.25">
      <c r="B3" s="1"/>
      <c r="C3" s="1"/>
      <c r="D3" s="7" t="s">
        <v>37</v>
      </c>
      <c r="E3" s="20" t="s">
        <v>50</v>
      </c>
    </row>
    <row r="4" spans="1:5" x14ac:dyDescent="0.25">
      <c r="A4" t="s">
        <v>1</v>
      </c>
      <c r="B4" s="3"/>
      <c r="C4" s="3"/>
      <c r="D4" s="25">
        <v>45597.63</v>
      </c>
      <c r="E4" s="7"/>
    </row>
    <row r="5" spans="1:5" x14ac:dyDescent="0.25">
      <c r="A5" t="s">
        <v>2</v>
      </c>
      <c r="B5" s="3"/>
      <c r="C5" s="3"/>
      <c r="D5" s="25">
        <v>15567.94</v>
      </c>
      <c r="E5" s="7"/>
    </row>
    <row r="6" spans="1:5" x14ac:dyDescent="0.25">
      <c r="A6" t="s">
        <v>3</v>
      </c>
      <c r="B6" s="3"/>
      <c r="C6" s="3"/>
      <c r="D6" s="25">
        <v>35227.589999999997</v>
      </c>
      <c r="E6" s="7"/>
    </row>
    <row r="7" spans="1:5" x14ac:dyDescent="0.25">
      <c r="A7" t="s">
        <v>4</v>
      </c>
      <c r="B7" s="3"/>
      <c r="C7" s="3"/>
      <c r="D7" s="25">
        <v>33570.080000000002</v>
      </c>
      <c r="E7" s="7"/>
    </row>
    <row r="8" spans="1:5" x14ac:dyDescent="0.25">
      <c r="A8" t="s">
        <v>5</v>
      </c>
      <c r="B8" s="3"/>
      <c r="C8" s="3"/>
      <c r="D8" s="25">
        <v>33570.080000000002</v>
      </c>
      <c r="E8" s="7"/>
    </row>
    <row r="9" spans="1:5" x14ac:dyDescent="0.25">
      <c r="A9" t="s">
        <v>6</v>
      </c>
      <c r="B9" s="3"/>
      <c r="C9" s="3"/>
      <c r="D9" s="25">
        <v>33570.080000000002</v>
      </c>
      <c r="E9" s="7"/>
    </row>
    <row r="10" spans="1:5" x14ac:dyDescent="0.25">
      <c r="A10" t="s">
        <v>7</v>
      </c>
      <c r="B10" s="3"/>
      <c r="C10" s="3"/>
      <c r="D10" s="25">
        <v>34398.83</v>
      </c>
      <c r="E10" s="7"/>
    </row>
    <row r="11" spans="1:5" x14ac:dyDescent="0.25">
      <c r="A11" t="s">
        <v>10</v>
      </c>
      <c r="B11" s="3"/>
      <c r="D11" s="25">
        <f>+SUM(D4:D10)</f>
        <v>231502.23000000004</v>
      </c>
      <c r="E11" s="7"/>
    </row>
    <row r="12" spans="1:5" x14ac:dyDescent="0.25">
      <c r="A12" t="s">
        <v>8</v>
      </c>
      <c r="D12" s="25">
        <f>+'1a prorroga'!D12*5%+'1a prorroga'!D12</f>
        <v>9399.7529324999978</v>
      </c>
      <c r="E12" s="7"/>
    </row>
    <row r="13" spans="1:5" x14ac:dyDescent="0.25">
      <c r="A13" s="62" t="s">
        <v>9</v>
      </c>
      <c r="B13" s="62"/>
      <c r="C13" s="62"/>
      <c r="D13" s="10">
        <f>+SUM(D11:D12)</f>
        <v>240901.98293250005</v>
      </c>
      <c r="E13" s="10"/>
    </row>
    <row r="14" spans="1:5" x14ac:dyDescent="0.25">
      <c r="D14" s="7"/>
      <c r="E14" s="7"/>
    </row>
    <row r="15" spans="1:5" x14ac:dyDescent="0.25">
      <c r="A15" t="s">
        <v>11</v>
      </c>
      <c r="D15" s="7">
        <f>+'1a prorroga'!D15*5%+'1a prorroga'!D15</f>
        <v>3099.5409374999999</v>
      </c>
      <c r="E15" s="7"/>
    </row>
    <row r="16" spans="1:5" x14ac:dyDescent="0.25">
      <c r="A16" t="s">
        <v>12</v>
      </c>
      <c r="D16" s="7">
        <f>+'1a prorroga'!D16*5%+'1a prorroga'!D16</f>
        <v>619.90818749999994</v>
      </c>
      <c r="E16" s="7"/>
    </row>
    <row r="17" spans="1:5" x14ac:dyDescent="0.25">
      <c r="D17" s="7"/>
      <c r="E17" s="7"/>
    </row>
    <row r="18" spans="1:5" x14ac:dyDescent="0.25">
      <c r="A18" s="5" t="s">
        <v>13</v>
      </c>
      <c r="B18" s="5"/>
      <c r="C18" s="5"/>
      <c r="D18" s="9"/>
      <c r="E18" s="9"/>
    </row>
    <row r="19" spans="1:5" x14ac:dyDescent="0.25">
      <c r="A19" t="s">
        <v>14</v>
      </c>
      <c r="D19" s="7">
        <f>+'1a prorroga'!D19*5%+'1a prorroga'!D19</f>
        <v>6199.0818749999999</v>
      </c>
      <c r="E19" s="7"/>
    </row>
    <row r="20" spans="1:5" x14ac:dyDescent="0.25">
      <c r="A20" t="s">
        <v>15</v>
      </c>
      <c r="D20" s="7">
        <f>+'1a prorroga'!D20*5%+'1a prorroga'!D20</f>
        <v>1063.3856428125</v>
      </c>
      <c r="E20" s="7"/>
    </row>
    <row r="21" spans="1:5" x14ac:dyDescent="0.25">
      <c r="D21" s="7"/>
      <c r="E21" s="7"/>
    </row>
    <row r="22" spans="1:5" x14ac:dyDescent="0.25">
      <c r="A22" s="5" t="s">
        <v>16</v>
      </c>
      <c r="B22" s="5"/>
      <c r="C22" s="5"/>
      <c r="D22" s="9"/>
      <c r="E22" s="9"/>
    </row>
    <row r="23" spans="1:5" x14ac:dyDescent="0.25">
      <c r="A23" t="s">
        <v>17</v>
      </c>
      <c r="D23" s="7">
        <f>+'1a prorroga'!D23*5%+'1a prorroga'!D23</f>
        <v>929.86228125000002</v>
      </c>
      <c r="E23" s="7"/>
    </row>
    <row r="24" spans="1:5" x14ac:dyDescent="0.25">
      <c r="A24" t="s">
        <v>18</v>
      </c>
      <c r="D24" s="7">
        <f>+'1a prorroga'!D24*5%+'1a prorroga'!D24</f>
        <v>1239.8163749999999</v>
      </c>
      <c r="E24" s="7"/>
    </row>
    <row r="25" spans="1:5" x14ac:dyDescent="0.25">
      <c r="A25" t="s">
        <v>19</v>
      </c>
      <c r="D25" s="7">
        <f>+'1a prorroga'!D25*5%+'1a prorroga'!D25</f>
        <v>3213.6040439999997</v>
      </c>
      <c r="E25" s="23">
        <f>D25+321.36</f>
        <v>3534.9640439999998</v>
      </c>
    </row>
    <row r="26" spans="1:5" x14ac:dyDescent="0.25">
      <c r="D26" s="7"/>
      <c r="E26" s="7"/>
    </row>
    <row r="27" spans="1:5" x14ac:dyDescent="0.25">
      <c r="A27" s="5" t="s">
        <v>20</v>
      </c>
      <c r="B27" s="5"/>
      <c r="C27" s="5"/>
      <c r="D27" s="9"/>
      <c r="E27" s="9"/>
    </row>
    <row r="28" spans="1:5" x14ac:dyDescent="0.25">
      <c r="A28" t="s">
        <v>21</v>
      </c>
      <c r="D28" s="7">
        <f>+'1a prorroga'!D28*5%+'1a prorroga'!D28</f>
        <v>2169.6786562500001</v>
      </c>
      <c r="E28" s="7"/>
    </row>
    <row r="29" spans="1:5" x14ac:dyDescent="0.25">
      <c r="D29" s="7"/>
      <c r="E29" s="7"/>
    </row>
    <row r="30" spans="1:5" x14ac:dyDescent="0.25">
      <c r="A30" s="4" t="s">
        <v>22</v>
      </c>
      <c r="B30" s="4"/>
      <c r="C30" s="4"/>
      <c r="D30" s="9"/>
      <c r="E30" s="9"/>
    </row>
    <row r="31" spans="1:5" x14ac:dyDescent="0.25">
      <c r="A31" t="s">
        <v>23</v>
      </c>
      <c r="D31" s="7">
        <f>+'1a prorroga'!D31*5%+'1a prorroga'!D31</f>
        <v>13018.071937499999</v>
      </c>
      <c r="E31" s="7"/>
    </row>
    <row r="32" spans="1:5" x14ac:dyDescent="0.25">
      <c r="A32" t="s">
        <v>24</v>
      </c>
      <c r="D32" s="7">
        <f>+'1a prorroga'!D32*5%+'1a prorroga'!D32</f>
        <v>2231.6694750000001</v>
      </c>
      <c r="E32" s="7"/>
    </row>
    <row r="33" spans="1:5" x14ac:dyDescent="0.25">
      <c r="D33" s="7"/>
      <c r="E33" s="7"/>
    </row>
    <row r="34" spans="1:5" x14ac:dyDescent="0.25">
      <c r="A34" s="4" t="s">
        <v>25</v>
      </c>
      <c r="B34" s="4"/>
      <c r="C34" s="4"/>
      <c r="D34" s="9"/>
      <c r="E34" s="9"/>
    </row>
    <row r="35" spans="1:5" x14ac:dyDescent="0.25">
      <c r="A35" t="s">
        <v>26</v>
      </c>
      <c r="D35" s="7">
        <f>+'1a prorroga'!D35*5%+'1a prorroga'!D35</f>
        <v>446.33389499999998</v>
      </c>
      <c r="E35" s="7"/>
    </row>
    <row r="36" spans="1:5" x14ac:dyDescent="0.25">
      <c r="D36" s="7"/>
      <c r="E36" s="7"/>
    </row>
    <row r="37" spans="1:5" x14ac:dyDescent="0.25">
      <c r="A37" s="4" t="s">
        <v>27</v>
      </c>
      <c r="B37" s="4"/>
      <c r="C37" s="4"/>
      <c r="D37" s="9"/>
      <c r="E37" s="9"/>
    </row>
    <row r="38" spans="1:5" x14ac:dyDescent="0.25">
      <c r="A38" t="s">
        <v>28</v>
      </c>
      <c r="D38" s="7">
        <f>+'1a prorroga'!D38*5%+'1a prorroga'!D38</f>
        <v>832.39083506250006</v>
      </c>
      <c r="E38" s="7"/>
    </row>
    <row r="39" spans="1:5" x14ac:dyDescent="0.25">
      <c r="A39" t="s">
        <v>29</v>
      </c>
      <c r="D39" s="7">
        <f>+'1a prorroga'!D39*5%+'1a prorroga'!D39</f>
        <v>805.88064374999999</v>
      </c>
      <c r="E39" s="7"/>
    </row>
    <row r="40" spans="1:5" x14ac:dyDescent="0.25">
      <c r="A40" t="s">
        <v>30</v>
      </c>
      <c r="D40" s="7">
        <f>+'1a prorroga'!D40*5%+'1a prorroga'!D40</f>
        <v>619.90818749999994</v>
      </c>
      <c r="E40" s="7"/>
    </row>
    <row r="41" spans="1:5" x14ac:dyDescent="0.25">
      <c r="D41" s="7"/>
      <c r="E41" s="7"/>
    </row>
    <row r="42" spans="1:5" x14ac:dyDescent="0.25">
      <c r="A42" t="s">
        <v>31</v>
      </c>
      <c r="D42" s="7">
        <f>+'1a prorroga'!D42*5%+'1a prorroga'!D42</f>
        <v>16578.979573934535</v>
      </c>
      <c r="E42" s="7"/>
    </row>
    <row r="43" spans="1:5" x14ac:dyDescent="0.25">
      <c r="D43" s="7"/>
      <c r="E43" s="7"/>
    </row>
    <row r="44" spans="1:5" x14ac:dyDescent="0.25">
      <c r="A44" t="s">
        <v>44</v>
      </c>
      <c r="D44" s="7">
        <f>+'1a prorroga'!D44*5%+'1a prorroga'!D44</f>
        <v>15245.452956031102</v>
      </c>
      <c r="E44" s="7"/>
    </row>
    <row r="45" spans="1:5" x14ac:dyDescent="0.25">
      <c r="D45" s="7"/>
      <c r="E45" s="7"/>
    </row>
    <row r="46" spans="1:5" ht="21" customHeight="1" x14ac:dyDescent="0.3">
      <c r="A46" s="63" t="s">
        <v>39</v>
      </c>
      <c r="B46" s="63"/>
      <c r="C46" s="63"/>
      <c r="D46" s="22">
        <f>D13+D15+D16+D19+D20+D23+D24+E25+D28+D31+D32+D35+D38+D39+D40+D42+D44</f>
        <v>309536.90843559062</v>
      </c>
      <c r="E46" s="6"/>
    </row>
    <row r="48" spans="1:5" x14ac:dyDescent="0.25">
      <c r="E48" s="7">
        <f>D46-E25+D25</f>
        <v>309215.54843559058</v>
      </c>
    </row>
  </sheetData>
  <mergeCells count="3">
    <mergeCell ref="A1:D1"/>
    <mergeCell ref="A13:C13"/>
    <mergeCell ref="A46:C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E45B-1D31-464F-93A4-B44BD14EF971}">
  <dimension ref="A2:D16"/>
  <sheetViews>
    <sheetView workbookViewId="0">
      <selection activeCell="D16" sqref="D16"/>
    </sheetView>
  </sheetViews>
  <sheetFormatPr baseColWidth="10" defaultColWidth="11.42578125" defaultRowHeight="15" x14ac:dyDescent="0.25"/>
  <cols>
    <col min="1" max="1" width="13.85546875" customWidth="1"/>
    <col min="2" max="2" width="15.140625" customWidth="1"/>
    <col min="4" max="4" width="14.7109375" bestFit="1" customWidth="1"/>
  </cols>
  <sheetData>
    <row r="2" spans="1:4" x14ac:dyDescent="0.25">
      <c r="A2" s="65" t="s">
        <v>46</v>
      </c>
      <c r="B2" s="65"/>
    </row>
    <row r="3" spans="1:4" x14ac:dyDescent="0.25">
      <c r="A3" s="14" t="s">
        <v>33</v>
      </c>
      <c r="B3" s="15">
        <f>+'3 anys'!D48</f>
        <v>265696.28940125002</v>
      </c>
    </row>
    <row r="4" spans="1:4" x14ac:dyDescent="0.25">
      <c r="A4" s="14" t="s">
        <v>34</v>
      </c>
      <c r="B4" s="15">
        <f>+'3 anys'!J48</f>
        <v>275200.10090419289</v>
      </c>
    </row>
    <row r="5" spans="1:4" x14ac:dyDescent="0.25">
      <c r="A5" s="14" t="s">
        <v>35</v>
      </c>
      <c r="B5" s="15">
        <f>+'3 anys'!P48</f>
        <v>286523.0331898781</v>
      </c>
    </row>
    <row r="6" spans="1:4" x14ac:dyDescent="0.25">
      <c r="A6" s="16" t="s">
        <v>9</v>
      </c>
      <c r="B6" s="17">
        <f>+SUM(B3:B5)</f>
        <v>827419.42349532107</v>
      </c>
    </row>
    <row r="9" spans="1:4" x14ac:dyDescent="0.25">
      <c r="A9" s="66" t="s">
        <v>45</v>
      </c>
      <c r="B9" s="66"/>
    </row>
    <row r="10" spans="1:4" x14ac:dyDescent="0.25">
      <c r="A10" s="14" t="str">
        <f>+A3</f>
        <v>2026-2027</v>
      </c>
      <c r="B10" s="15">
        <f>'3 anys'!E50</f>
        <v>265431.90940125007</v>
      </c>
    </row>
    <row r="11" spans="1:4" x14ac:dyDescent="0.25">
      <c r="A11" s="14" t="str">
        <f t="shared" ref="A11" si="0">+A4</f>
        <v>2027-2028</v>
      </c>
      <c r="B11" s="15">
        <f>'3 anys'!K50</f>
        <v>274922.50090419292</v>
      </c>
    </row>
    <row r="12" spans="1:4" x14ac:dyDescent="0.25">
      <c r="A12" s="14" t="str">
        <f t="shared" ref="A12" si="1">+A5</f>
        <v>2028-2029</v>
      </c>
      <c r="B12" s="15">
        <f>'3 anys'!Q50</f>
        <v>286231.55318987812</v>
      </c>
    </row>
    <row r="13" spans="1:4" x14ac:dyDescent="0.25">
      <c r="A13" s="14" t="s">
        <v>47</v>
      </c>
      <c r="B13" s="15">
        <f>'1a prorroga'!E48</f>
        <v>298138.78422437207</v>
      </c>
    </row>
    <row r="14" spans="1:4" x14ac:dyDescent="0.25">
      <c r="A14" s="14" t="s">
        <v>48</v>
      </c>
      <c r="B14" s="15">
        <f>'2a prorroga'!E48</f>
        <v>309215.54843559058</v>
      </c>
    </row>
    <row r="15" spans="1:4" x14ac:dyDescent="0.25">
      <c r="A15" s="14" t="s">
        <v>52</v>
      </c>
      <c r="B15" s="15">
        <f>+SUM(B10:B12)*10%</f>
        <v>82658.596349532119</v>
      </c>
    </row>
    <row r="16" spans="1:4" x14ac:dyDescent="0.25">
      <c r="A16" s="18" t="s">
        <v>9</v>
      </c>
      <c r="B16" s="19">
        <f>+SUM(B10:B15)</f>
        <v>1516598.8925048157</v>
      </c>
      <c r="D16" s="24">
        <f>B16*1.5</f>
        <v>2274898.3387572234</v>
      </c>
    </row>
  </sheetData>
  <mergeCells count="2">
    <mergeCell ref="A2:B2"/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3 anys</vt:lpstr>
      <vt:lpstr>1a prorroga</vt:lpstr>
      <vt:lpstr>2a prorroga</vt:lpstr>
      <vt:lpstr>IMPORTS LICITACIÓ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Maiso Guri</dc:creator>
  <cp:lastModifiedBy>Eva Sadurní</cp:lastModifiedBy>
  <cp:lastPrinted>2026-06-11T09:45:03Z</cp:lastPrinted>
  <dcterms:created xsi:type="dcterms:W3CDTF">2026-04-12T11:09:38Z</dcterms:created>
  <dcterms:modified xsi:type="dcterms:W3CDTF">2026-06-18T09:34:51Z</dcterms:modified>
</cp:coreProperties>
</file>