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fgccat-my.sharepoint.com/personal/jnietog_fgc_cat/Documents/Gas COIF/"/>
    </mc:Choice>
  </mc:AlternateContent>
  <xr:revisionPtr revIDLastSave="495" documentId="8_{FD659EED-EF63-4AE6-9189-091FC4A2CBBA}" xr6:coauthVersionLast="47" xr6:coauthVersionMax="47" xr10:uidLastSave="{064A8794-47AE-4948-9B18-B6D52CC38C09}"/>
  <bookViews>
    <workbookView xWindow="-98" yWindow="-98" windowWidth="21795" windowHeight="13875" xr2:uid="{00000000-000D-0000-FFFF-FFFF00000000}"/>
  </bookViews>
  <sheets>
    <sheet name="MODEL Oferta Formula Indexada" sheetId="30" r:id="rId1"/>
    <sheet name="Càlcul MODEL Oferta MIBGAS=50" sheetId="31" r:id="rId2"/>
    <sheet name="Càlcul MODEL Oferta MIBGAS=40" sheetId="3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31" l="1"/>
  <c r="G21" i="31"/>
  <c r="P43" i="33"/>
  <c r="N43" i="33"/>
  <c r="L43" i="33"/>
  <c r="J43" i="33"/>
  <c r="H43" i="33"/>
  <c r="F43" i="33"/>
  <c r="P43" i="31"/>
  <c r="N43" i="31"/>
  <c r="L43" i="31"/>
  <c r="J43" i="31"/>
  <c r="H43" i="31"/>
  <c r="F43" i="31"/>
  <c r="Q48" i="33"/>
  <c r="P48" i="33"/>
  <c r="P49" i="33"/>
  <c r="O48" i="33"/>
  <c r="N48" i="33"/>
  <c r="N49" i="33"/>
  <c r="M48" i="33"/>
  <c r="L48" i="33"/>
  <c r="L49" i="33"/>
  <c r="K48" i="33"/>
  <c r="J48" i="33"/>
  <c r="J49" i="33"/>
  <c r="I48" i="33"/>
  <c r="H48" i="33"/>
  <c r="H49" i="33"/>
  <c r="G48" i="33"/>
  <c r="F48" i="33"/>
  <c r="F49" i="33"/>
  <c r="N41" i="33"/>
  <c r="F41" i="33"/>
  <c r="Q40" i="33"/>
  <c r="Q41" i="33"/>
  <c r="P40" i="33"/>
  <c r="P41" i="33"/>
  <c r="O40" i="33"/>
  <c r="O41" i="33"/>
  <c r="N40" i="33"/>
  <c r="M40" i="33"/>
  <c r="M41" i="33"/>
  <c r="L40" i="33"/>
  <c r="L41" i="33"/>
  <c r="K40" i="33"/>
  <c r="K41" i="33"/>
  <c r="J40" i="33"/>
  <c r="J41" i="33"/>
  <c r="I40" i="33"/>
  <c r="I41" i="33"/>
  <c r="H40" i="33"/>
  <c r="H41" i="33"/>
  <c r="G40" i="33"/>
  <c r="G41" i="33"/>
  <c r="F40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F32" i="33"/>
  <c r="G30" i="33"/>
  <c r="G32" i="33"/>
  <c r="G26" i="33"/>
  <c r="F26" i="33"/>
  <c r="H24" i="33"/>
  <c r="I24" i="33"/>
  <c r="G24" i="33"/>
  <c r="F20" i="33"/>
  <c r="G18" i="33"/>
  <c r="R12" i="33"/>
  <c r="R10" i="33"/>
  <c r="F17" i="33"/>
  <c r="D8" i="33"/>
  <c r="D7" i="33"/>
  <c r="D8" i="31"/>
  <c r="D7" i="31"/>
  <c r="Q40" i="31"/>
  <c r="Q41" i="31"/>
  <c r="P40" i="31"/>
  <c r="P41" i="31"/>
  <c r="O40" i="31"/>
  <c r="O41" i="31"/>
  <c r="N40" i="31"/>
  <c r="N41" i="31"/>
  <c r="M40" i="31"/>
  <c r="L40" i="31"/>
  <c r="L41" i="31"/>
  <c r="K40" i="31"/>
  <c r="K41" i="31"/>
  <c r="J40" i="31"/>
  <c r="J41" i="31"/>
  <c r="I40" i="31"/>
  <c r="I41" i="31"/>
  <c r="H40" i="31"/>
  <c r="H41" i="31"/>
  <c r="G40" i="31"/>
  <c r="G41" i="31"/>
  <c r="M41" i="31"/>
  <c r="F40" i="31"/>
  <c r="F41" i="31"/>
  <c r="F29" i="33"/>
  <c r="G29" i="33"/>
  <c r="H29" i="33"/>
  <c r="H31" i="33"/>
  <c r="R37" i="33"/>
  <c r="R48" i="33"/>
  <c r="J24" i="33"/>
  <c r="I26" i="33"/>
  <c r="G20" i="33"/>
  <c r="H18" i="33"/>
  <c r="H26" i="33"/>
  <c r="R41" i="33"/>
  <c r="F14" i="33"/>
  <c r="G17" i="33"/>
  <c r="F19" i="33"/>
  <c r="F21" i="33"/>
  <c r="R40" i="33"/>
  <c r="F23" i="33"/>
  <c r="H30" i="33"/>
  <c r="G31" i="33"/>
  <c r="G33" i="33"/>
  <c r="I29" i="33"/>
  <c r="I31" i="33"/>
  <c r="F31" i="33"/>
  <c r="H17" i="33"/>
  <c r="G19" i="33"/>
  <c r="G21" i="33"/>
  <c r="F33" i="33"/>
  <c r="G14" i="33"/>
  <c r="F15" i="33"/>
  <c r="H32" i="33"/>
  <c r="H33" i="33"/>
  <c r="I30" i="33"/>
  <c r="G23" i="33"/>
  <c r="F25" i="33"/>
  <c r="I18" i="33"/>
  <c r="H20" i="33"/>
  <c r="K24" i="33"/>
  <c r="J26" i="33"/>
  <c r="J29" i="33"/>
  <c r="I20" i="33"/>
  <c r="J18" i="33"/>
  <c r="F27" i="33"/>
  <c r="K26" i="33"/>
  <c r="L24" i="33"/>
  <c r="H14" i="33"/>
  <c r="G15" i="33"/>
  <c r="G36" i="33"/>
  <c r="J31" i="33"/>
  <c r="K29" i="33"/>
  <c r="G25" i="33"/>
  <c r="G27" i="33"/>
  <c r="G35" i="33"/>
  <c r="H23" i="33"/>
  <c r="H19" i="33"/>
  <c r="H21" i="33"/>
  <c r="I17" i="33"/>
  <c r="J30" i="33"/>
  <c r="I32" i="33"/>
  <c r="I33" i="33"/>
  <c r="G38" i="33"/>
  <c r="G45" i="33"/>
  <c r="G43" i="33"/>
  <c r="L26" i="33"/>
  <c r="M24" i="33"/>
  <c r="K30" i="33"/>
  <c r="J32" i="33"/>
  <c r="H25" i="33"/>
  <c r="I23" i="33"/>
  <c r="F35" i="33"/>
  <c r="F36" i="33"/>
  <c r="I19" i="33"/>
  <c r="J17" i="33"/>
  <c r="I14" i="33"/>
  <c r="H15" i="33"/>
  <c r="J20" i="33"/>
  <c r="K18" i="33"/>
  <c r="L29" i="33"/>
  <c r="K31" i="33"/>
  <c r="M26" i="33"/>
  <c r="N24" i="33"/>
  <c r="J23" i="33"/>
  <c r="I25" i="33"/>
  <c r="I27" i="33"/>
  <c r="I15" i="33"/>
  <c r="J14" i="33"/>
  <c r="I21" i="33"/>
  <c r="L31" i="33"/>
  <c r="M29" i="33"/>
  <c r="K20" i="33"/>
  <c r="L18" i="33"/>
  <c r="H27" i="33"/>
  <c r="G50" i="33"/>
  <c r="G49" i="33"/>
  <c r="K17" i="33"/>
  <c r="J19" i="33"/>
  <c r="J21" i="33"/>
  <c r="L30" i="33"/>
  <c r="K32" i="33"/>
  <c r="K33" i="33"/>
  <c r="F38" i="33"/>
  <c r="J33" i="33"/>
  <c r="G38" i="30"/>
  <c r="G39" i="30"/>
  <c r="H36" i="33"/>
  <c r="H35" i="33"/>
  <c r="L20" i="33"/>
  <c r="M18" i="33"/>
  <c r="F45" i="33"/>
  <c r="L17" i="33"/>
  <c r="K19" i="33"/>
  <c r="K21" i="33"/>
  <c r="N26" i="33"/>
  <c r="O24" i="33"/>
  <c r="I36" i="33"/>
  <c r="I35" i="33"/>
  <c r="I38" i="33"/>
  <c r="I45" i="33"/>
  <c r="I43" i="33"/>
  <c r="M31" i="33"/>
  <c r="N29" i="33"/>
  <c r="J25" i="33"/>
  <c r="J27" i="33"/>
  <c r="K23" i="33"/>
  <c r="L32" i="33"/>
  <c r="L33" i="33"/>
  <c r="M30" i="33"/>
  <c r="J15" i="33"/>
  <c r="K14" i="33"/>
  <c r="F14" i="31"/>
  <c r="M17" i="33"/>
  <c r="L19" i="33"/>
  <c r="L21" i="33"/>
  <c r="K15" i="33"/>
  <c r="L14" i="33"/>
  <c r="I50" i="33"/>
  <c r="I49" i="33"/>
  <c r="F50" i="33"/>
  <c r="F39" i="30"/>
  <c r="O29" i="33"/>
  <c r="N31" i="33"/>
  <c r="N18" i="33"/>
  <c r="M20" i="33"/>
  <c r="M32" i="33"/>
  <c r="M33" i="33"/>
  <c r="N30" i="33"/>
  <c r="J36" i="33"/>
  <c r="J35" i="33"/>
  <c r="P24" i="33"/>
  <c r="O26" i="33"/>
  <c r="H38" i="33"/>
  <c r="K25" i="33"/>
  <c r="K27" i="33"/>
  <c r="L23" i="33"/>
  <c r="K35" i="33"/>
  <c r="K36" i="33"/>
  <c r="I38" i="30"/>
  <c r="I39" i="30"/>
  <c r="J38" i="33"/>
  <c r="J45" i="33"/>
  <c r="J50" i="33"/>
  <c r="F38" i="30"/>
  <c r="M23" i="33"/>
  <c r="L25" i="33"/>
  <c r="N32" i="33"/>
  <c r="N33" i="33"/>
  <c r="O30" i="33"/>
  <c r="H45" i="33"/>
  <c r="K38" i="33"/>
  <c r="K45" i="33"/>
  <c r="K43" i="33"/>
  <c r="P29" i="33"/>
  <c r="O31" i="33"/>
  <c r="M19" i="33"/>
  <c r="M21" i="33"/>
  <c r="N17" i="33"/>
  <c r="O18" i="33"/>
  <c r="N20" i="33"/>
  <c r="Q24" i="33"/>
  <c r="Q26" i="33"/>
  <c r="P26" i="33"/>
  <c r="M14" i="33"/>
  <c r="L15" i="33"/>
  <c r="J38" i="30"/>
  <c r="J39" i="30"/>
  <c r="K50" i="33"/>
  <c r="K49" i="33"/>
  <c r="L27" i="33"/>
  <c r="R26" i="33"/>
  <c r="N23" i="33"/>
  <c r="M25" i="33"/>
  <c r="M27" i="33"/>
  <c r="M35" i="33"/>
  <c r="H50" i="33"/>
  <c r="H39" i="30"/>
  <c r="O20" i="33"/>
  <c r="P18" i="33"/>
  <c r="N19" i="33"/>
  <c r="N21" i="33"/>
  <c r="O17" i="33"/>
  <c r="O32" i="33"/>
  <c r="O33" i="33"/>
  <c r="P30" i="33"/>
  <c r="M15" i="33"/>
  <c r="N14" i="33"/>
  <c r="P31" i="33"/>
  <c r="Q29" i="33"/>
  <c r="Q31" i="33"/>
  <c r="M36" i="33"/>
  <c r="M38" i="33"/>
  <c r="M45" i="33"/>
  <c r="M43" i="33"/>
  <c r="K38" i="30"/>
  <c r="K39" i="30"/>
  <c r="O14" i="33"/>
  <c r="N15" i="33"/>
  <c r="P17" i="33"/>
  <c r="O19" i="33"/>
  <c r="O21" i="33"/>
  <c r="N25" i="33"/>
  <c r="N27" i="33"/>
  <c r="N35" i="33"/>
  <c r="O23" i="33"/>
  <c r="P32" i="33"/>
  <c r="P33" i="33"/>
  <c r="Q30" i="33"/>
  <c r="Q32" i="33"/>
  <c r="P20" i="33"/>
  <c r="Q18" i="33"/>
  <c r="Q20" i="33"/>
  <c r="L36" i="33"/>
  <c r="L35" i="33"/>
  <c r="H38" i="30"/>
  <c r="R31" i="33"/>
  <c r="R20" i="33"/>
  <c r="R32" i="33"/>
  <c r="L38" i="33"/>
  <c r="O25" i="33"/>
  <c r="O27" i="33"/>
  <c r="O36" i="33"/>
  <c r="P23" i="33"/>
  <c r="Q33" i="33"/>
  <c r="R33" i="33"/>
  <c r="P19" i="33"/>
  <c r="P21" i="33"/>
  <c r="Q17" i="33"/>
  <c r="Q19" i="33"/>
  <c r="N36" i="33"/>
  <c r="N38" i="33"/>
  <c r="N45" i="33"/>
  <c r="P14" i="33"/>
  <c r="O15" i="33"/>
  <c r="M50" i="33"/>
  <c r="M49" i="33"/>
  <c r="M38" i="30"/>
  <c r="M39" i="30"/>
  <c r="N50" i="33"/>
  <c r="Q23" i="33"/>
  <c r="Q25" i="33"/>
  <c r="P25" i="33"/>
  <c r="P27" i="33"/>
  <c r="P36" i="33"/>
  <c r="O35" i="33"/>
  <c r="L45" i="33"/>
  <c r="Q14" i="33"/>
  <c r="Q15" i="33"/>
  <c r="P15" i="33"/>
  <c r="Q21" i="33"/>
  <c r="R19" i="33"/>
  <c r="N38" i="30"/>
  <c r="N39" i="30"/>
  <c r="R21" i="33"/>
  <c r="L50" i="33"/>
  <c r="L39" i="30"/>
  <c r="R15" i="33"/>
  <c r="P35" i="33"/>
  <c r="P38" i="33"/>
  <c r="P45" i="33"/>
  <c r="O38" i="33"/>
  <c r="Q27" i="33"/>
  <c r="R27" i="33"/>
  <c r="R25" i="33"/>
  <c r="P50" i="33"/>
  <c r="L38" i="30"/>
  <c r="O45" i="33"/>
  <c r="O43" i="33"/>
  <c r="Q35" i="33"/>
  <c r="Q36" i="33"/>
  <c r="R36" i="33"/>
  <c r="P38" i="30"/>
  <c r="P39" i="30"/>
  <c r="Q38" i="33"/>
  <c r="R35" i="33"/>
  <c r="O50" i="33"/>
  <c r="O39" i="30"/>
  <c r="O49" i="33"/>
  <c r="O38" i="30"/>
  <c r="Q45" i="33"/>
  <c r="Q43" i="33"/>
  <c r="R38" i="33"/>
  <c r="Q50" i="33"/>
  <c r="R45" i="33"/>
  <c r="R43" i="33"/>
  <c r="Q39" i="30"/>
  <c r="Q49" i="33"/>
  <c r="Q38" i="30"/>
  <c r="R50" i="33"/>
  <c r="R39" i="30"/>
  <c r="S39" i="30"/>
  <c r="S38" i="30"/>
  <c r="R40" i="30"/>
  <c r="R51" i="33"/>
  <c r="R52" i="33"/>
  <c r="R49" i="33"/>
  <c r="R38" i="30"/>
  <c r="Q37" i="31"/>
  <c r="P37" i="31"/>
  <c r="O37" i="31"/>
  <c r="N37" i="31"/>
  <c r="M37" i="31"/>
  <c r="L37" i="31"/>
  <c r="K37" i="31"/>
  <c r="J37" i="31"/>
  <c r="I37" i="31"/>
  <c r="H37" i="31"/>
  <c r="G37" i="31"/>
  <c r="F37" i="31"/>
  <c r="F20" i="31"/>
  <c r="Q48" i="31"/>
  <c r="P48" i="31"/>
  <c r="P49" i="31"/>
  <c r="O48" i="31"/>
  <c r="N48" i="31"/>
  <c r="N49" i="31"/>
  <c r="M48" i="31"/>
  <c r="L48" i="31"/>
  <c r="L49" i="31"/>
  <c r="K48" i="31"/>
  <c r="J48" i="31"/>
  <c r="J49" i="31"/>
  <c r="I48" i="31"/>
  <c r="H48" i="31"/>
  <c r="H49" i="31"/>
  <c r="G48" i="31"/>
  <c r="F48" i="31"/>
  <c r="F49" i="31"/>
  <c r="G14" i="31"/>
  <c r="I46" i="30"/>
  <c r="R40" i="31"/>
  <c r="F32" i="31"/>
  <c r="G30" i="31"/>
  <c r="H30" i="31"/>
  <c r="H32" i="31"/>
  <c r="F26" i="31"/>
  <c r="G24" i="31"/>
  <c r="H24" i="31"/>
  <c r="H26" i="31"/>
  <c r="G18" i="31"/>
  <c r="H18" i="31"/>
  <c r="L46" i="30"/>
  <c r="L47" i="30"/>
  <c r="K46" i="30"/>
  <c r="J46" i="30"/>
  <c r="J47" i="30"/>
  <c r="R10" i="31"/>
  <c r="F29" i="31"/>
  <c r="G29" i="31"/>
  <c r="F23" i="31"/>
  <c r="F25" i="31"/>
  <c r="F27" i="31"/>
  <c r="F17" i="31"/>
  <c r="F19" i="31"/>
  <c r="G17" i="31"/>
  <c r="G26" i="31"/>
  <c r="G32" i="31"/>
  <c r="R41" i="31"/>
  <c r="F15" i="31"/>
  <c r="H20" i="31"/>
  <c r="I18" i="31"/>
  <c r="F31" i="31"/>
  <c r="I24" i="31"/>
  <c r="P46" i="30"/>
  <c r="P47" i="30"/>
  <c r="M46" i="30"/>
  <c r="G23" i="31"/>
  <c r="N46" i="30"/>
  <c r="N47" i="30"/>
  <c r="I30" i="31"/>
  <c r="H14" i="31"/>
  <c r="G15" i="31"/>
  <c r="Q46" i="30"/>
  <c r="G20" i="31"/>
  <c r="O46" i="30"/>
  <c r="G46" i="30"/>
  <c r="H46" i="30"/>
  <c r="H47" i="30"/>
  <c r="R37" i="31"/>
  <c r="I32" i="31"/>
  <c r="J30" i="31"/>
  <c r="G25" i="31"/>
  <c r="H23" i="31"/>
  <c r="I26" i="31"/>
  <c r="J24" i="31"/>
  <c r="I14" i="31"/>
  <c r="H15" i="31"/>
  <c r="G31" i="31"/>
  <c r="G33" i="31"/>
  <c r="H29" i="31"/>
  <c r="R48" i="31"/>
  <c r="R46" i="30"/>
  <c r="S46" i="30"/>
  <c r="F46" i="30"/>
  <c r="F47" i="30"/>
  <c r="I20" i="31"/>
  <c r="J18" i="31"/>
  <c r="G19" i="31"/>
  <c r="H17" i="31"/>
  <c r="F21" i="31"/>
  <c r="F35" i="31"/>
  <c r="F33" i="31"/>
  <c r="J26" i="31"/>
  <c r="K24" i="31"/>
  <c r="F36" i="31"/>
  <c r="H19" i="31"/>
  <c r="I17" i="31"/>
  <c r="H25" i="31"/>
  <c r="H27" i="31"/>
  <c r="I23" i="31"/>
  <c r="H31" i="31"/>
  <c r="H33" i="31"/>
  <c r="I29" i="31"/>
  <c r="G27" i="31"/>
  <c r="G35" i="31"/>
  <c r="K18" i="31"/>
  <c r="J20" i="31"/>
  <c r="K30" i="31"/>
  <c r="J32" i="31"/>
  <c r="I15" i="31"/>
  <c r="J14" i="31"/>
  <c r="I19" i="31"/>
  <c r="I21" i="31"/>
  <c r="J17" i="31"/>
  <c r="H21" i="31"/>
  <c r="H35" i="31"/>
  <c r="J15" i="31"/>
  <c r="K14" i="31"/>
  <c r="J29" i="31"/>
  <c r="I31" i="31"/>
  <c r="L30" i="31"/>
  <c r="K32" i="31"/>
  <c r="F38" i="31"/>
  <c r="L18" i="31"/>
  <c r="K20" i="31"/>
  <c r="G36" i="31"/>
  <c r="I25" i="31"/>
  <c r="J23" i="31"/>
  <c r="K26" i="31"/>
  <c r="L24" i="31"/>
  <c r="G38" i="31"/>
  <c r="G45" i="31"/>
  <c r="G43" i="31"/>
  <c r="M18" i="31"/>
  <c r="L20" i="31"/>
  <c r="I33" i="31"/>
  <c r="K29" i="31"/>
  <c r="J31" i="31"/>
  <c r="J33" i="31"/>
  <c r="K15" i="31"/>
  <c r="L14" i="31"/>
  <c r="M24" i="31"/>
  <c r="L26" i="31"/>
  <c r="F45" i="31"/>
  <c r="F50" i="31"/>
  <c r="J25" i="31"/>
  <c r="J27" i="31"/>
  <c r="K23" i="31"/>
  <c r="H36" i="31"/>
  <c r="I27" i="31"/>
  <c r="I35" i="31"/>
  <c r="K17" i="31"/>
  <c r="J19" i="31"/>
  <c r="M30" i="31"/>
  <c r="L32" i="31"/>
  <c r="G50" i="31"/>
  <c r="L23" i="31"/>
  <c r="K25" i="31"/>
  <c r="K27" i="31"/>
  <c r="I36" i="31"/>
  <c r="I38" i="31"/>
  <c r="I45" i="31"/>
  <c r="I43" i="31"/>
  <c r="J21" i="31"/>
  <c r="J35" i="31"/>
  <c r="L15" i="31"/>
  <c r="M14" i="31"/>
  <c r="L17" i="31"/>
  <c r="K19" i="31"/>
  <c r="K21" i="31"/>
  <c r="L29" i="31"/>
  <c r="K31" i="31"/>
  <c r="K33" i="31"/>
  <c r="N30" i="31"/>
  <c r="M32" i="31"/>
  <c r="F26" i="30"/>
  <c r="M26" i="31"/>
  <c r="N24" i="31"/>
  <c r="N18" i="31"/>
  <c r="M20" i="31"/>
  <c r="H38" i="31"/>
  <c r="G49" i="31"/>
  <c r="G25" i="30"/>
  <c r="F48" i="30"/>
  <c r="K35" i="31"/>
  <c r="G26" i="30"/>
  <c r="G48" i="30"/>
  <c r="G47" i="30"/>
  <c r="I50" i="31"/>
  <c r="I49" i="31"/>
  <c r="O30" i="31"/>
  <c r="N32" i="31"/>
  <c r="J36" i="31"/>
  <c r="N26" i="31"/>
  <c r="O24" i="31"/>
  <c r="L31" i="31"/>
  <c r="L33" i="31"/>
  <c r="M29" i="31"/>
  <c r="O18" i="31"/>
  <c r="N20" i="31"/>
  <c r="K36" i="31"/>
  <c r="H45" i="31"/>
  <c r="H50" i="31"/>
  <c r="F25" i="30"/>
  <c r="M17" i="31"/>
  <c r="L19" i="31"/>
  <c r="L21" i="31"/>
  <c r="M23" i="31"/>
  <c r="L25" i="31"/>
  <c r="M15" i="31"/>
  <c r="N14" i="31"/>
  <c r="I25" i="30"/>
  <c r="I26" i="30"/>
  <c r="M31" i="31"/>
  <c r="M33" i="31"/>
  <c r="N29" i="31"/>
  <c r="N23" i="31"/>
  <c r="M25" i="31"/>
  <c r="M27" i="31"/>
  <c r="H26" i="30"/>
  <c r="N17" i="31"/>
  <c r="M19" i="31"/>
  <c r="P30" i="31"/>
  <c r="O32" i="31"/>
  <c r="J38" i="31"/>
  <c r="L27" i="31"/>
  <c r="L36" i="31"/>
  <c r="K38" i="31"/>
  <c r="K45" i="31"/>
  <c r="K43" i="31"/>
  <c r="O26" i="31"/>
  <c r="P24" i="31"/>
  <c r="P18" i="31"/>
  <c r="O20" i="31"/>
  <c r="O14" i="31"/>
  <c r="N15" i="31"/>
  <c r="H48" i="30"/>
  <c r="L35" i="31"/>
  <c r="L38" i="31"/>
  <c r="L45" i="31"/>
  <c r="K50" i="31"/>
  <c r="K49" i="31"/>
  <c r="Q18" i="31"/>
  <c r="P20" i="31"/>
  <c r="Q24" i="31"/>
  <c r="Q26" i="31"/>
  <c r="P26" i="31"/>
  <c r="P32" i="31"/>
  <c r="Q30" i="31"/>
  <c r="N25" i="31"/>
  <c r="N27" i="31"/>
  <c r="O23" i="31"/>
  <c r="N31" i="31"/>
  <c r="N33" i="31"/>
  <c r="O29" i="31"/>
  <c r="M21" i="31"/>
  <c r="M35" i="31"/>
  <c r="O17" i="31"/>
  <c r="N19" i="31"/>
  <c r="N21" i="31"/>
  <c r="O15" i="31"/>
  <c r="P14" i="31"/>
  <c r="J45" i="31"/>
  <c r="J50" i="31"/>
  <c r="H25" i="30"/>
  <c r="I48" i="30"/>
  <c r="I47" i="30"/>
  <c r="N35" i="31"/>
  <c r="L50" i="31"/>
  <c r="L25" i="30"/>
  <c r="Q14" i="31"/>
  <c r="Q15" i="31"/>
  <c r="P15" i="31"/>
  <c r="R26" i="31"/>
  <c r="N36" i="31"/>
  <c r="P17" i="31"/>
  <c r="O19" i="31"/>
  <c r="O21" i="31"/>
  <c r="O25" i="31"/>
  <c r="O27" i="31"/>
  <c r="P23" i="31"/>
  <c r="Q20" i="31"/>
  <c r="R20" i="31"/>
  <c r="Q32" i="31"/>
  <c r="R32" i="31"/>
  <c r="M36" i="31"/>
  <c r="J26" i="30"/>
  <c r="P29" i="31"/>
  <c r="O31" i="31"/>
  <c r="O33" i="31"/>
  <c r="L26" i="30"/>
  <c r="J48" i="30"/>
  <c r="O35" i="31"/>
  <c r="O36" i="31"/>
  <c r="P19" i="31"/>
  <c r="P21" i="31"/>
  <c r="Q17" i="31"/>
  <c r="J25" i="30"/>
  <c r="K26" i="30"/>
  <c r="K48" i="30"/>
  <c r="K47" i="30"/>
  <c r="N38" i="31"/>
  <c r="N45" i="31"/>
  <c r="M38" i="31"/>
  <c r="Q23" i="31"/>
  <c r="Q25" i="31"/>
  <c r="P25" i="31"/>
  <c r="P27" i="31"/>
  <c r="Q29" i="31"/>
  <c r="P31" i="31"/>
  <c r="P33" i="31"/>
  <c r="R15" i="31"/>
  <c r="L48" i="30"/>
  <c r="P35" i="31"/>
  <c r="N50" i="31"/>
  <c r="Q19" i="31"/>
  <c r="P36" i="31"/>
  <c r="Q31" i="31"/>
  <c r="O38" i="31"/>
  <c r="O45" i="31"/>
  <c r="O43" i="31"/>
  <c r="K25" i="30"/>
  <c r="Q27" i="31"/>
  <c r="R27" i="31"/>
  <c r="R25" i="31"/>
  <c r="M45" i="31"/>
  <c r="M43" i="31"/>
  <c r="M50" i="31"/>
  <c r="O50" i="31"/>
  <c r="O49" i="31"/>
  <c r="N25" i="30"/>
  <c r="N26" i="30"/>
  <c r="N48" i="30"/>
  <c r="Q21" i="31"/>
  <c r="Q35" i="31"/>
  <c r="R19" i="31"/>
  <c r="Q33" i="31"/>
  <c r="R33" i="31"/>
  <c r="R31" i="31"/>
  <c r="P38" i="31"/>
  <c r="P45" i="31"/>
  <c r="M26" i="30"/>
  <c r="M48" i="30"/>
  <c r="M47" i="30"/>
  <c r="M49" i="31"/>
  <c r="M25" i="30"/>
  <c r="P50" i="31"/>
  <c r="O26" i="30"/>
  <c r="O48" i="30"/>
  <c r="O47" i="30"/>
  <c r="Q36" i="31"/>
  <c r="R36" i="31"/>
  <c r="R21" i="31"/>
  <c r="P25" i="30"/>
  <c r="P26" i="30"/>
  <c r="P48" i="30"/>
  <c r="Q38" i="31"/>
  <c r="R35" i="31"/>
  <c r="O25" i="30"/>
  <c r="R38" i="31"/>
  <c r="Q45" i="31"/>
  <c r="Q50" i="31"/>
  <c r="Q49" i="31"/>
  <c r="Q43" i="31"/>
  <c r="R45" i="31"/>
  <c r="R43" i="31"/>
  <c r="Q26" i="30"/>
  <c r="Q48" i="30"/>
  <c r="Q47" i="30"/>
  <c r="Q25" i="30"/>
  <c r="R50" i="31"/>
  <c r="S40" i="30"/>
  <c r="S41" i="30"/>
  <c r="R49" i="31"/>
  <c r="R25" i="30"/>
  <c r="R26" i="30"/>
  <c r="S26" i="30"/>
  <c r="R51" i="31"/>
  <c r="R52" i="31"/>
  <c r="S27" i="30"/>
  <c r="S28" i="30"/>
  <c r="S29" i="30"/>
  <c r="S25" i="30"/>
  <c r="R41" i="30"/>
  <c r="R27" i="30"/>
  <c r="R48" i="30"/>
  <c r="S48" i="30"/>
  <c r="S47" i="30"/>
  <c r="R47" i="30"/>
  <c r="R49" i="30"/>
  <c r="R28" i="30"/>
  <c r="S49" i="30"/>
  <c r="S50" i="30"/>
  <c r="R50" i="30"/>
  <c r="R29" i="30"/>
</calcChain>
</file>

<file path=xl/sharedStrings.xml><?xml version="1.0" encoding="utf-8"?>
<sst xmlns="http://schemas.openxmlformats.org/spreadsheetml/2006/main" count="291" uniqueCount="94">
  <si>
    <t>kWh</t>
  </si>
  <si>
    <t>Concepte</t>
  </si>
  <si>
    <t>Unitats</t>
  </si>
  <si>
    <t>Euro/kWh</t>
  </si>
  <si>
    <t>Euros</t>
  </si>
  <si>
    <t>Euros/kWh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</si>
  <si>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</si>
  <si>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</si>
  <si>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</si>
  <si>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</si>
  <si>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</si>
  <si>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</si>
  <si>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</si>
  <si>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</si>
  <si>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Octubre</t>
  </si>
  <si>
    <t>Novembre</t>
  </si>
  <si>
    <t>Desembre</t>
  </si>
  <si>
    <t>Euro</t>
  </si>
  <si>
    <t>Total</t>
  </si>
  <si>
    <t>Preu Final</t>
  </si>
  <si>
    <t>Lloguer Comptador</t>
  </si>
  <si>
    <t>Lloguer</t>
  </si>
  <si>
    <t>Suma Consums</t>
  </si>
  <si>
    <t>Total IVA Exclòs</t>
  </si>
  <si>
    <t xml:space="preserve">IVA 21 % </t>
  </si>
  <si>
    <t>Dies Mes</t>
  </si>
  <si>
    <t>Euro Client/dia</t>
  </si>
  <si>
    <t>Quota GTS</t>
  </si>
  <si>
    <t>Peatge Xarxa Local</t>
  </si>
  <si>
    <t>Peatge Transport</t>
  </si>
  <si>
    <t>Total Peatge Xarxa Local</t>
  </si>
  <si>
    <t>Total Peatge Transport</t>
  </si>
  <si>
    <t>Euro /kWh/dia</t>
  </si>
  <si>
    <t>Càrrecs</t>
  </si>
  <si>
    <t>Total Càrrecs</t>
  </si>
  <si>
    <t>Total A/ IVA</t>
  </si>
  <si>
    <t>Impost</t>
  </si>
  <si>
    <t>Taxa CNMC Sobre Peatges i Càrrec 0,14 %</t>
  </si>
  <si>
    <t>Taxa CNMC</t>
  </si>
  <si>
    <t>Total Quota Taxa e Impost</t>
  </si>
  <si>
    <t>Preu final sense IVA PROMIG</t>
  </si>
  <si>
    <t>Matèria Prima amb marge comercial + Peatges d'accés comercials + FNEE</t>
  </si>
  <si>
    <t>IMPORT CONSIDERAT PER A L'AVALUACIÓ</t>
  </si>
  <si>
    <t>Preu Matèria Prima amb marge comercial + Peatges d'accés comercials + FNEE</t>
  </si>
  <si>
    <t>FORMULA INDEXACIÓ REFERÈNCIA MIBGAS (Preu de la Matèria Prima amb marge comercial + Peatges d'accés comercials + FNEE)</t>
  </si>
  <si>
    <r>
      <rPr>
        <b/>
        <sz val="14"/>
        <rFont val="Arial"/>
        <family val="2"/>
      </rPr>
      <t>GDAES_D+1</t>
    </r>
    <r>
      <rPr>
        <sz val="14"/>
        <rFont val="Arial"/>
        <family val="2"/>
      </rPr>
      <t xml:space="preserve"> Promig Mes [Euros/MWh]</t>
    </r>
  </si>
  <si>
    <t>SUMA</t>
  </si>
  <si>
    <t>1er Any</t>
  </si>
  <si>
    <t>1er. Any</t>
  </si>
  <si>
    <t>AVALUACIÓ</t>
  </si>
  <si>
    <t>Preu de Licitació</t>
  </si>
  <si>
    <t>Import de Licitació S/IVA</t>
  </si>
  <si>
    <t>Import de Licitació amb IVA</t>
  </si>
  <si>
    <t>DIFERÈNCIA A LICITACIÓ amb IVA</t>
  </si>
  <si>
    <t>Total amb IVA</t>
  </si>
  <si>
    <t>Mesos de 2026</t>
  </si>
  <si>
    <t>Mesos de 2027</t>
  </si>
  <si>
    <t>Primer Any</t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</si>
  <si>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RL.3</t>
    </r>
    <r>
      <rPr>
        <sz val="14"/>
        <rFont val="Arial"/>
        <family val="2"/>
      </rPr>
      <t xml:space="preserve">  [Euros/MWh]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</si>
  <si>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RL.3</t>
    </r>
    <r>
      <rPr>
        <sz val="14"/>
        <rFont val="Arial"/>
        <family val="2"/>
      </rPr>
      <t xml:space="preserve"> [adimensional]</t>
    </r>
  </si>
  <si>
    <t>GAS RUBÍ IF CUPS: ES0230010293680906QV - Tarifa RL.3</t>
  </si>
  <si>
    <t>IMPORT RUBÍ IF Total IVA Exclòs segons MIBGAS FIXAT A 0,044 Euros/kWh</t>
  </si>
  <si>
    <t>IMPORT RUBÍ IF Total IVA Exclòs segons MIBGAS FIXAT A 0,030 Euros/kWh</t>
  </si>
  <si>
    <t>Consum Rubí Instal·lacions Fixes</t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</si>
  <si>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 xml:space="preserve">RL.3 </t>
    </r>
    <r>
      <rPr>
        <sz val="14"/>
        <rFont val="Arial"/>
        <family val="2"/>
      </rPr>
      <t xml:space="preserve"> [Euros/MWh]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</si>
  <si>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RL.3</t>
    </r>
  </si>
  <si>
    <t>Peatge Sortada Fixa RL.3 (Resolución de 27 de mayo de 2025, de la CNMC)</t>
  </si>
  <si>
    <t>Peatge Sortida Fixa RL.3  (Resolución de 27 de mayo de 2025, de la CNMC)</t>
  </si>
  <si>
    <t>Peatge Quota Fixa RL.3</t>
  </si>
  <si>
    <t>Peatge Variable RL.3</t>
  </si>
  <si>
    <t>Peatge Quota Fixa RL.3 (Resolución de 27 de mayo de 2025, de la CNMC)</t>
  </si>
  <si>
    <t>Peatge Variable RL.3 (Resolución de 27 de mayo de 2025, de la CNMC)</t>
  </si>
  <si>
    <t>Total sense IVA</t>
  </si>
  <si>
    <t>Total Rubí Instal·lacions Fixes</t>
  </si>
  <si>
    <t>GAS RUBÍ IF CUPS: ES0230010293680906QV - Tarifa RL.3 - C/Antoni Sedó, S/N Porta de ferro, 08191 Rubí</t>
  </si>
  <si>
    <t>Càrrecs Quota Fixa RL.3 (Orden TED/1062/2025, de 25 de septiembre)</t>
  </si>
  <si>
    <t>Càrrecs Variable RL.3 (Orden TED/1062/2025, de 25 de septiembre)</t>
  </si>
  <si>
    <t>Càrrecs Quota Fixa RL.3</t>
  </si>
  <si>
    <t>Càrrecs Variable RL.3</t>
  </si>
  <si>
    <t>Impost d'Hidrocarburs 0,002340Euros/kWh usos diferents de carburants</t>
  </si>
  <si>
    <t>Quota Gestió Tècnica Sistema sobre Peatges 1,354 %</t>
  </si>
  <si>
    <t>Import total lloguer Comptador</t>
  </si>
  <si>
    <t>IMPORT RUBÍ IF Total IVA Exclòs segons MIBGAS FIXAT A PROMIG</t>
  </si>
  <si>
    <t>Setembre</t>
  </si>
  <si>
    <t>Matèria Prima amb marge comercial + Peatges d'accés comercials + FNEE (Ordre TED/133/2026, de 25 de febrer)</t>
  </si>
  <si>
    <t>CONTRACTE 2 Anys i 2 Mesos</t>
  </si>
  <si>
    <t>SUBMINISTRAMENT GAS RUBÍ INSTAL·LACIONS FIXES (Període novembre de 2026 a desembre de 2028)</t>
  </si>
  <si>
    <r>
      <t xml:space="preserve">OFERTA </t>
    </r>
    <r>
      <rPr>
        <b/>
        <sz val="16"/>
        <color rgb="FFFF0000"/>
        <rFont val="Arial"/>
        <family val="2"/>
      </rPr>
      <t>SEGONS MIBGAS FIXAT A 0,050 Euros/KWh equivalent a 50 Euros/MWh</t>
    </r>
  </si>
  <si>
    <r>
      <t xml:space="preserve">OFERTA </t>
    </r>
    <r>
      <rPr>
        <b/>
        <sz val="16"/>
        <color rgb="FFFF0000"/>
        <rFont val="Arial"/>
        <family val="2"/>
      </rPr>
      <t>SEGONS MIBGAS FIXAT A 0,040 Euros/KWh equivalent a 40 Euros/MWh</t>
    </r>
  </si>
  <si>
    <t xml:space="preserve"> IMPORT PER A L'AVALUACIÓ - PROMIG ARITMETIC MIBGAS (FIXAT A 0,050 + FIXAT A 0,040)/2</t>
  </si>
  <si>
    <r>
      <t xml:space="preserve">Instrucció Pestanya "MODEL Oferta Formula Indexada": 
A la filera 14, columna D, marcada en blau clar, cal indicar el </t>
    </r>
    <r>
      <rPr>
        <b/>
        <sz val="16"/>
        <rFont val="Arial"/>
        <family val="2"/>
      </rPr>
      <t>factor sumador</t>
    </r>
    <r>
      <rPr>
        <sz val="16"/>
        <rFont val="Arial"/>
        <family val="2"/>
      </rPr>
      <t>, que es sumarà per a completar el preu de la matèria prima, per a la</t>
    </r>
    <r>
      <rPr>
        <b/>
        <sz val="16"/>
        <rFont val="Arial"/>
        <family val="2"/>
      </rPr>
      <t xml:space="preserve"> tarifa RL.3, corresponent a Rubí Instal·lacions Fixes</t>
    </r>
    <r>
      <rPr>
        <sz val="16"/>
        <rFont val="Arial"/>
        <family val="2"/>
      </rPr>
      <t xml:space="preserve">
A la filera 15, columna D,  marcada en blau clar, cal indicar el </t>
    </r>
    <r>
      <rPr>
        <b/>
        <sz val="16"/>
        <rFont val="Arial"/>
        <family val="2"/>
      </rPr>
      <t>factor multiplicador</t>
    </r>
    <r>
      <rPr>
        <sz val="16"/>
        <rFont val="Arial"/>
        <family val="2"/>
      </rPr>
      <t xml:space="preserve">, que multiplicarà el preu de la cotització MIBGAS, per a la </t>
    </r>
    <r>
      <rPr>
        <b/>
        <sz val="16"/>
        <rFont val="Arial"/>
        <family val="2"/>
      </rPr>
      <t>tarifa RL.3, corresponent a Rubí Instal·lacions Fixes</t>
    </r>
    <r>
      <rPr>
        <sz val="16"/>
        <rFont val="Arial"/>
        <family val="2"/>
      </rPr>
      <t xml:space="preserve">
Les pestanyes "Càlcul MODEL Oferta MIBGAS=50" i "Càlcul MODEL Oferta MIBGAS=40", realitzaran els càlculs que es presentaran a la pestanya "MODEL Oferta Formula Indexada" al quadre corrseponent.
El import que es considerarà per a l'avaluació d'ofertes serà el promig aritmètic del càlcul segons MIBGAS fixat a 0,050 Euros/kWh i el fixat a 0,040 Euros/kWh.
</t>
    </r>
    <r>
      <rPr>
        <b/>
        <sz val="16"/>
        <rFont val="Arial"/>
        <family val="2"/>
      </rPr>
      <t xml:space="preserve">Si falta algun dels factors sumador o multiplicador </t>
    </r>
    <r>
      <rPr>
        <sz val="16"/>
        <rFont val="Arial"/>
        <family val="2"/>
      </rPr>
      <t xml:space="preserve">no presentarà el càlcul, únicament </t>
    </r>
    <r>
      <rPr>
        <b/>
        <sz val="16"/>
        <rFont val="Arial"/>
        <family val="2"/>
      </rPr>
      <t>indicarà "sense preu"</t>
    </r>
    <r>
      <rPr>
        <sz val="16"/>
        <rFont val="Arial"/>
        <family val="2"/>
      </rPr>
      <t>.</t>
    </r>
  </si>
  <si>
    <t>CALCUL IMPORT OFERTA INDEXADA SEGONS  FIXATA 0,050 Euros/KWh</t>
  </si>
  <si>
    <t>CALCUL IMPORT OFERTA INDEXADA SEGONS  FIXATA 0,040 Euros/KWh</t>
  </si>
  <si>
    <t>ESCENARI A 40€/MWH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</si>
</sst>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#,##0.000000"/>
    <numFmt numFmtId="166" formatCode="#,##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6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6" fillId="0" borderId="0" xfId="0" applyFont="1"/>
    <xf numFmtId="4" fontId="7" fillId="0" borderId="0" xfId="0" applyNumberFormat="1" applyFont="1"/>
    <xf numFmtId="4" fontId="5" fillId="0" borderId="0" xfId="0" applyNumberFormat="1" applyFont="1"/>
    <xf numFmtId="0" fontId="7" fillId="0" borderId="0" xfId="0" applyFont="1"/>
    <xf numFmtId="3" fontId="6" fillId="0" borderId="0" xfId="0" applyNumberFormat="1" applyFont="1"/>
    <xf numFmtId="0" fontId="8" fillId="0" borderId="4" xfId="0" applyFont="1" applyBorder="1" applyAlignment="1">
      <alignment horizontal="center"/>
    </xf>
    <xf numFmtId="3" fontId="6" fillId="0" borderId="29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3" fontId="6" fillId="0" borderId="32" xfId="0" applyNumberFormat="1" applyFont="1" applyBorder="1"/>
    <xf numFmtId="0" fontId="4" fillId="0" borderId="29" xfId="0" applyFont="1" applyBorder="1"/>
    <xf numFmtId="0" fontId="3" fillId="0" borderId="23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18" xfId="0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3" fillId="0" borderId="7" xfId="0" applyFont="1" applyBorder="1"/>
    <xf numFmtId="164" fontId="3" fillId="0" borderId="17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13" xfId="0" applyNumberFormat="1" applyFont="1" applyBorder="1"/>
    <xf numFmtId="3" fontId="4" fillId="0" borderId="30" xfId="0" applyNumberFormat="1" applyFont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0" xfId="0" applyNumberFormat="1" applyFont="1"/>
    <xf numFmtId="3" fontId="4" fillId="0" borderId="29" xfId="0" applyNumberFormat="1" applyFont="1" applyBorder="1"/>
    <xf numFmtId="0" fontId="4" fillId="0" borderId="10" xfId="0" applyFont="1" applyBorder="1"/>
    <xf numFmtId="0" fontId="10" fillId="0" borderId="0" xfId="0" applyFont="1"/>
    <xf numFmtId="0" fontId="4" fillId="0" borderId="28" xfId="0" applyFont="1" applyBorder="1"/>
    <xf numFmtId="0" fontId="6" fillId="0" borderId="28" xfId="0" applyFont="1" applyBorder="1"/>
    <xf numFmtId="0" fontId="6" fillId="0" borderId="29" xfId="0" applyFont="1" applyBorder="1"/>
    <xf numFmtId="164" fontId="3" fillId="0" borderId="7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4" fontId="3" fillId="0" borderId="17" xfId="0" applyNumberFormat="1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7" xfId="0" applyFont="1" applyBorder="1"/>
    <xf numFmtId="4" fontId="3" fillId="0" borderId="12" xfId="0" applyNumberFormat="1" applyFont="1" applyBorder="1"/>
    <xf numFmtId="0" fontId="3" fillId="0" borderId="11" xfId="0" applyFont="1" applyBorder="1"/>
    <xf numFmtId="0" fontId="8" fillId="0" borderId="0" xfId="0" applyFont="1"/>
    <xf numFmtId="4" fontId="3" fillId="0" borderId="16" xfId="0" applyNumberFormat="1" applyFon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3" fontId="6" fillId="0" borderId="44" xfId="0" applyNumberFormat="1" applyFont="1" applyBorder="1"/>
    <xf numFmtId="3" fontId="6" fillId="0" borderId="45" xfId="0" applyNumberFormat="1" applyFont="1" applyBorder="1"/>
    <xf numFmtId="3" fontId="6" fillId="0" borderId="43" xfId="0" applyNumberFormat="1" applyFont="1" applyBorder="1"/>
    <xf numFmtId="0" fontId="3" fillId="0" borderId="17" xfId="0" applyFont="1" applyBorder="1"/>
    <xf numFmtId="0" fontId="3" fillId="0" borderId="13" xfId="0" applyFont="1" applyBorder="1"/>
    <xf numFmtId="0" fontId="4" fillId="0" borderId="15" xfId="0" applyFont="1" applyBorder="1"/>
    <xf numFmtId="0" fontId="8" fillId="0" borderId="8" xfId="0" applyFont="1" applyBorder="1"/>
    <xf numFmtId="3" fontId="4" fillId="0" borderId="46" xfId="0" applyNumberFormat="1" applyFont="1" applyBorder="1"/>
    <xf numFmtId="3" fontId="4" fillId="0" borderId="47" xfId="0" applyNumberFormat="1" applyFont="1" applyBorder="1"/>
    <xf numFmtId="3" fontId="4" fillId="0" borderId="18" xfId="0" applyNumberFormat="1" applyFont="1" applyBorder="1"/>
    <xf numFmtId="164" fontId="4" fillId="0" borderId="35" xfId="0" applyNumberFormat="1" applyFont="1" applyBorder="1"/>
    <xf numFmtId="164" fontId="4" fillId="0" borderId="14" xfId="0" applyNumberFormat="1" applyFont="1" applyBorder="1"/>
    <xf numFmtId="164" fontId="4" fillId="0" borderId="36" xfId="0" applyNumberFormat="1" applyFont="1" applyBorder="1"/>
    <xf numFmtId="166" fontId="4" fillId="0" borderId="48" xfId="0" applyNumberFormat="1" applyFont="1" applyBorder="1"/>
    <xf numFmtId="164" fontId="4" fillId="0" borderId="22" xfId="0" applyNumberFormat="1" applyFont="1" applyBorder="1"/>
    <xf numFmtId="0" fontId="6" fillId="0" borderId="6" xfId="0" applyFont="1" applyBorder="1"/>
    <xf numFmtId="0" fontId="6" fillId="0" borderId="4" xfId="0" applyFont="1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4" fontId="4" fillId="0" borderId="26" xfId="0" applyNumberFormat="1" applyFont="1" applyBorder="1"/>
    <xf numFmtId="4" fontId="4" fillId="0" borderId="1" xfId="0" applyNumberFormat="1" applyFont="1" applyBorder="1"/>
    <xf numFmtId="4" fontId="4" fillId="0" borderId="27" xfId="0" applyNumberFormat="1" applyFont="1" applyBorder="1"/>
    <xf numFmtId="4" fontId="4" fillId="0" borderId="2" xfId="0" applyNumberFormat="1" applyFont="1" applyBorder="1"/>
    <xf numFmtId="4" fontId="4" fillId="0" borderId="19" xfId="0" applyNumberFormat="1" applyFont="1" applyBorder="1"/>
    <xf numFmtId="4" fontId="4" fillId="0" borderId="20" xfId="0" applyNumberFormat="1" applyFont="1" applyBorder="1"/>
    <xf numFmtId="4" fontId="4" fillId="0" borderId="21" xfId="0" applyNumberFormat="1" applyFont="1" applyBorder="1"/>
    <xf numFmtId="4" fontId="4" fillId="0" borderId="3" xfId="0" applyNumberFormat="1" applyFont="1" applyBorder="1"/>
    <xf numFmtId="165" fontId="4" fillId="0" borderId="1" xfId="0" applyNumberFormat="1" applyFont="1" applyBorder="1"/>
    <xf numFmtId="165" fontId="4" fillId="0" borderId="27" xfId="0" applyNumberFormat="1" applyFont="1" applyBorder="1"/>
    <xf numFmtId="3" fontId="3" fillId="0" borderId="11" xfId="0" applyNumberFormat="1" applyFont="1" applyBorder="1"/>
    <xf numFmtId="3" fontId="3" fillId="0" borderId="13" xfId="0" applyNumberFormat="1" applyFont="1" applyBorder="1"/>
    <xf numFmtId="166" fontId="3" fillId="0" borderId="17" xfId="0" applyNumberFormat="1" applyFont="1" applyBorder="1"/>
    <xf numFmtId="4" fontId="3" fillId="0" borderId="49" xfId="0" applyNumberFormat="1" applyFont="1" applyBorder="1"/>
    <xf numFmtId="0" fontId="3" fillId="0" borderId="0" xfId="0" applyFont="1"/>
    <xf numFmtId="0" fontId="3" fillId="0" borderId="50" xfId="0" applyFont="1" applyBorder="1" applyAlignment="1">
      <alignment horizontal="center" vertical="center" wrapText="1"/>
    </xf>
    <xf numFmtId="3" fontId="3" fillId="0" borderId="51" xfId="0" applyNumberFormat="1" applyFont="1" applyBorder="1"/>
    <xf numFmtId="3" fontId="3" fillId="0" borderId="52" xfId="0" applyNumberFormat="1" applyFont="1" applyBorder="1"/>
    <xf numFmtId="166" fontId="3" fillId="0" borderId="29" xfId="0" applyNumberFormat="1" applyFont="1" applyBorder="1"/>
    <xf numFmtId="4" fontId="4" fillId="0" borderId="4" xfId="0" applyNumberFormat="1" applyFont="1" applyBorder="1"/>
    <xf numFmtId="165" fontId="4" fillId="0" borderId="10" xfId="0" applyNumberFormat="1" applyFont="1" applyBorder="1"/>
    <xf numFmtId="165" fontId="4" fillId="0" borderId="34" xfId="0" applyNumberFormat="1" applyFont="1" applyBorder="1"/>
    <xf numFmtId="0" fontId="3" fillId="0" borderId="7" xfId="0" applyFont="1" applyBorder="1" applyAlignment="1">
      <alignment vertical="center" wrapText="1"/>
    </xf>
    <xf numFmtId="0" fontId="4" fillId="0" borderId="5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3" xfId="0" applyFont="1" applyBorder="1"/>
    <xf numFmtId="0" fontId="1" fillId="0" borderId="6" xfId="0" applyFont="1" applyBorder="1"/>
    <xf numFmtId="4" fontId="4" fillId="0" borderId="40" xfId="0" applyNumberFormat="1" applyFont="1" applyBorder="1"/>
    <xf numFmtId="4" fontId="2" fillId="0" borderId="9" xfId="0" applyNumberFormat="1" applyFont="1" applyBorder="1"/>
    <xf numFmtId="4" fontId="3" fillId="0" borderId="37" xfId="0" applyNumberFormat="1" applyFont="1" applyBorder="1"/>
    <xf numFmtId="4" fontId="3" fillId="0" borderId="38" xfId="0" applyNumberFormat="1" applyFont="1" applyBorder="1"/>
    <xf numFmtId="4" fontId="3" fillId="0" borderId="39" xfId="0" applyNumberFormat="1" applyFont="1" applyBorder="1"/>
    <xf numFmtId="3" fontId="3" fillId="0" borderId="46" xfId="0" applyNumberFormat="1" applyFont="1" applyBorder="1"/>
    <xf numFmtId="3" fontId="3" fillId="0" borderId="47" xfId="0" applyNumberFormat="1" applyFont="1" applyBorder="1"/>
    <xf numFmtId="3" fontId="3" fillId="0" borderId="18" xfId="0" applyNumberFormat="1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53" xfId="0" applyFont="1" applyBorder="1" applyAlignment="1">
      <alignment horizontal="center"/>
    </xf>
    <xf numFmtId="0" fontId="16" fillId="0" borderId="16" xfId="0" applyFont="1" applyBorder="1" applyAlignment="1" applyProtection="1">
      <alignment horizontal="right"/>
      <protection locked="0"/>
    </xf>
    <xf numFmtId="0" fontId="16" fillId="0" borderId="33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6" fillId="0" borderId="25" xfId="0" applyFont="1" applyBorder="1"/>
    <xf numFmtId="165" fontId="6" fillId="3" borderId="19" xfId="0" applyNumberFormat="1" applyFont="1" applyFill="1" applyBorder="1"/>
    <xf numFmtId="165" fontId="4" fillId="0" borderId="5" xfId="0" applyNumberFormat="1" applyFont="1" applyBorder="1"/>
    <xf numFmtId="0" fontId="17" fillId="3" borderId="9" xfId="0" applyFont="1" applyFill="1" applyBorder="1"/>
    <xf numFmtId="165" fontId="3" fillId="0" borderId="37" xfId="0" applyNumberFormat="1" applyFont="1" applyBorder="1"/>
    <xf numFmtId="165" fontId="3" fillId="0" borderId="38" xfId="0" applyNumberFormat="1" applyFont="1" applyBorder="1"/>
    <xf numFmtId="165" fontId="3" fillId="0" borderId="39" xfId="0" applyNumberFormat="1" applyFont="1" applyBorder="1"/>
    <xf numFmtId="165" fontId="3" fillId="0" borderId="49" xfId="0" applyNumberFormat="1" applyFont="1" applyBorder="1"/>
    <xf numFmtId="165" fontId="3" fillId="0" borderId="11" xfId="0" applyNumberFormat="1" applyFont="1" applyBorder="1"/>
    <xf numFmtId="165" fontId="3" fillId="0" borderId="13" xfId="0" applyNumberFormat="1" applyFont="1" applyBorder="1"/>
    <xf numFmtId="165" fontId="3" fillId="0" borderId="9" xfId="0" applyNumberFormat="1" applyFont="1" applyBorder="1"/>
    <xf numFmtId="3" fontId="3" fillId="0" borderId="37" xfId="0" applyNumberFormat="1" applyFont="1" applyBorder="1"/>
    <xf numFmtId="3" fontId="3" fillId="0" borderId="38" xfId="0" applyNumberFormat="1" applyFont="1" applyBorder="1"/>
    <xf numFmtId="3" fontId="3" fillId="0" borderId="39" xfId="0" applyNumberFormat="1" applyFont="1" applyBorder="1"/>
    <xf numFmtId="3" fontId="3" fillId="0" borderId="9" xfId="0" applyNumberFormat="1" applyFont="1" applyBorder="1"/>
    <xf numFmtId="165" fontId="3" fillId="0" borderId="7" xfId="0" applyNumberFormat="1" applyFont="1" applyBorder="1"/>
    <xf numFmtId="0" fontId="11" fillId="0" borderId="16" xfId="0" applyFont="1" applyBorder="1"/>
    <xf numFmtId="0" fontId="11" fillId="0" borderId="1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0" fontId="15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16" fillId="4" borderId="34" xfId="0" applyFont="1" applyFill="1" applyBorder="1"/>
    <xf numFmtId="14" fontId="0" fillId="0" borderId="0" xfId="0" applyNumberFormat="1"/>
    <xf numFmtId="0" fontId="16" fillId="4" borderId="21" xfId="0" applyFont="1" applyFill="1" applyBorder="1"/>
    <xf numFmtId="165" fontId="4" fillId="5" borderId="26" xfId="0" applyNumberFormat="1" applyFont="1" applyFill="1" applyBorder="1"/>
    <xf numFmtId="165" fontId="4" fillId="5" borderId="33" xfId="0" applyNumberFormat="1" applyFont="1" applyFill="1" applyBorder="1"/>
    <xf numFmtId="0" fontId="16" fillId="0" borderId="0" xfId="0" applyFont="1" applyAlignment="1">
      <alignment horizontal="right"/>
    </xf>
    <xf numFmtId="3" fontId="3" fillId="6" borderId="42" xfId="0" applyNumberFormat="1" applyFont="1" applyFill="1" applyBorder="1"/>
    <xf numFmtId="3" fontId="3" fillId="6" borderId="41" xfId="0" applyNumberFormat="1" applyFont="1" applyFill="1" applyBorder="1"/>
    <xf numFmtId="3" fontId="3" fillId="6" borderId="11" xfId="0" applyNumberFormat="1" applyFont="1" applyFill="1" applyBorder="1"/>
    <xf numFmtId="3" fontId="3" fillId="6" borderId="13" xfId="0" applyNumberFormat="1" applyFont="1" applyFill="1" applyBorder="1"/>
    <xf numFmtId="0" fontId="4" fillId="0" borderId="55" xfId="0" applyFont="1" applyBorder="1"/>
    <xf numFmtId="0" fontId="8" fillId="0" borderId="29" xfId="0" applyFont="1" applyBorder="1" applyAlignment="1">
      <alignment horizontal="center"/>
    </xf>
    <xf numFmtId="0" fontId="4" fillId="0" borderId="34" xfId="0" applyFont="1" applyBorder="1"/>
    <xf numFmtId="0" fontId="4" fillId="0" borderId="56" xfId="0" applyFont="1" applyBorder="1"/>
    <xf numFmtId="0" fontId="4" fillId="0" borderId="57" xfId="0" applyFont="1" applyBorder="1"/>
    <xf numFmtId="3" fontId="3" fillId="6" borderId="58" xfId="0" applyNumberFormat="1" applyFont="1" applyFill="1" applyBorder="1"/>
    <xf numFmtId="3" fontId="3" fillId="0" borderId="59" xfId="0" applyNumberFormat="1" applyFont="1" applyBorder="1"/>
    <xf numFmtId="165" fontId="4" fillId="0" borderId="60" xfId="0" applyNumberFormat="1" applyFont="1" applyBorder="1"/>
    <xf numFmtId="4" fontId="3" fillId="0" borderId="61" xfId="0" applyNumberFormat="1" applyFont="1" applyBorder="1"/>
    <xf numFmtId="4" fontId="4" fillId="0" borderId="5" xfId="0" applyNumberFormat="1" applyFont="1" applyBorder="1"/>
    <xf numFmtId="165" fontId="4" fillId="0" borderId="54" xfId="0" applyNumberFormat="1" applyFont="1" applyBorder="1"/>
    <xf numFmtId="4" fontId="4" fillId="0" borderId="60" xfId="0" applyNumberFormat="1" applyFont="1" applyBorder="1"/>
    <xf numFmtId="164" fontId="3" fillId="0" borderId="49" xfId="0" applyNumberFormat="1" applyFont="1" applyBorder="1"/>
    <xf numFmtId="3" fontId="3" fillId="6" borderId="62" xfId="0" applyNumberFormat="1" applyFont="1" applyFill="1" applyBorder="1"/>
    <xf numFmtId="3" fontId="4" fillId="0" borderId="59" xfId="0" applyNumberFormat="1" applyFont="1" applyBorder="1"/>
    <xf numFmtId="164" fontId="4" fillId="0" borderId="15" xfId="0" applyNumberFormat="1" applyFont="1" applyBorder="1"/>
    <xf numFmtId="165" fontId="3" fillId="0" borderId="61" xfId="0" applyNumberFormat="1" applyFont="1" applyBorder="1"/>
    <xf numFmtId="3" fontId="3" fillId="0" borderId="61" xfId="0" applyNumberFormat="1" applyFont="1" applyBorder="1"/>
    <xf numFmtId="0" fontId="16" fillId="2" borderId="34" xfId="0" applyFont="1" applyFill="1" applyBorder="1" applyProtection="1">
      <protection locked="0"/>
    </xf>
    <xf numFmtId="0" fontId="16" fillId="2" borderId="21" xfId="0" applyFont="1" applyFill="1" applyBorder="1" applyProtection="1">
      <protection locked="0"/>
    </xf>
    <xf numFmtId="0" fontId="4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2" fillId="4" borderId="16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45" xfId="0" applyFont="1" applyFill="1" applyBorder="1" applyAlignment="1">
      <alignment horizontal="center"/>
    </xf>
    <xf numFmtId="0" fontId="13" fillId="4" borderId="43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99FF33"/>
      <color rgb="FFA8D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1427513</xdr:colOff>
      <xdr:row>6</xdr:row>
      <xdr:rowOff>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10C030-40CB-4A7B-B48A-CDFE3789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1244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675409</xdr:colOff>
      <xdr:row>4</xdr:row>
      <xdr:rowOff>314606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1B0CCB-90CE-47AC-A08C-CA244CAA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136" cy="121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734786</xdr:colOff>
      <xdr:row>5</xdr:row>
      <xdr:rowOff>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24709C-291C-4A75-A88B-60E7D5884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1244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675409</xdr:colOff>
      <xdr:row>4</xdr:row>
      <xdr:rowOff>314606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EA463F-C178-4A8A-937F-4BC5F712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2747" cy="1219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655F-F871-4267-B17C-2A84C67C6152}">
  <sheetPr>
    <tabColor theme="9" tint="0.79998168889431442"/>
    <pageSetUpPr fitToPage="1"/>
  </sheetPr>
  <dimension ref="B3:V52"/>
  <sheetViews>
    <sheetView showGridLines="0" tabSelected="1" zoomScale="80" zoomScaleNormal="80" workbookViewId="0">
      <selection activeCell="G13" sqref="G13"/>
    </sheetView>
  </sheetViews>
  <sheetFormatPr baseColWidth="10" defaultRowHeight="12.75" x14ac:dyDescent="0.35"/>
  <cols>
    <col min="1" max="1" width="4.1328125" customWidth="1"/>
    <col min="2" max="2" width="7.33203125" customWidth="1"/>
    <col min="3" max="3" width="105.53125" bestFit="1" customWidth="1"/>
    <col min="4" max="4" width="19.6640625" bestFit="1" customWidth="1"/>
    <col min="5" max="5" width="1" customWidth="1"/>
    <col min="6" max="17" width="16" customWidth="1"/>
    <col min="18" max="18" width="26.53125" customWidth="1"/>
    <col min="19" max="19" width="32.46484375" bestFit="1" customWidth="1"/>
    <col min="20" max="20" width="22.6640625" customWidth="1"/>
    <col min="21" max="21" width="1.6640625" customWidth="1"/>
    <col min="22" max="22" width="14.6640625" bestFit="1" customWidth="1"/>
    <col min="25" max="25" width="17.53125" bestFit="1" customWidth="1"/>
    <col min="26" max="26" width="32.1328125" bestFit="1" customWidth="1"/>
    <col min="27" max="27" width="17.86328125" bestFit="1" customWidth="1"/>
    <col min="29" max="40" width="15.46484375" bestFit="1" customWidth="1"/>
    <col min="41" max="41" width="12.53125" bestFit="1" customWidth="1"/>
  </cols>
  <sheetData>
    <row r="3" spans="2:22" ht="23.25" customHeight="1" x14ac:dyDescent="0.35"/>
    <row r="4" spans="2:22" ht="22.5" x14ac:dyDescent="0.6">
      <c r="E4" s="34" t="s">
        <v>86</v>
      </c>
    </row>
    <row r="5" spans="2:22" ht="13.15" x14ac:dyDescent="0.4">
      <c r="E5" s="1"/>
    </row>
    <row r="8" spans="2:22" x14ac:dyDescent="0.35">
      <c r="B8" s="4"/>
    </row>
    <row r="11" spans="2:22" ht="6" customHeight="1" x14ac:dyDescent="0.35"/>
    <row r="12" spans="2:22" ht="13.15" thickBot="1" x14ac:dyDescent="0.4">
      <c r="V12" s="5"/>
    </row>
    <row r="13" spans="2:22" ht="18" thickBot="1" x14ac:dyDescent="0.55000000000000004">
      <c r="C13" s="131" t="s">
        <v>60</v>
      </c>
      <c r="D13" s="132"/>
      <c r="V13" s="5"/>
    </row>
    <row r="14" spans="2:22" ht="17.649999999999999" x14ac:dyDescent="0.45">
      <c r="B14" s="5"/>
      <c r="C14" s="113" t="s">
        <v>58</v>
      </c>
      <c r="D14" s="168"/>
      <c r="G14" s="145"/>
      <c r="R14" s="139" t="s">
        <v>47</v>
      </c>
      <c r="S14" s="139" t="s">
        <v>85</v>
      </c>
      <c r="V14" s="5"/>
    </row>
    <row r="15" spans="2:22" ht="18" thickBot="1" x14ac:dyDescent="0.5">
      <c r="B15" s="5"/>
      <c r="C15" s="114" t="s">
        <v>59</v>
      </c>
      <c r="D15" s="169"/>
      <c r="G15" s="145"/>
      <c r="O15" s="170" t="s">
        <v>50</v>
      </c>
      <c r="P15" s="170"/>
      <c r="Q15" s="2" t="s">
        <v>3</v>
      </c>
      <c r="R15" s="78">
        <v>0.10706188622831662</v>
      </c>
      <c r="S15" s="78">
        <v>0.10683741343101899</v>
      </c>
    </row>
    <row r="16" spans="2:22" ht="15" x14ac:dyDescent="0.4">
      <c r="O16" s="170" t="s">
        <v>51</v>
      </c>
      <c r="P16" s="170"/>
      <c r="Q16" s="2" t="s">
        <v>4</v>
      </c>
      <c r="R16" s="71">
        <v>4153.68</v>
      </c>
      <c r="S16" s="71">
        <v>9391.1154779999997</v>
      </c>
      <c r="V16" s="110"/>
    </row>
    <row r="17" spans="2:22" ht="15" x14ac:dyDescent="0.4">
      <c r="O17" s="171" t="s">
        <v>24</v>
      </c>
      <c r="P17" s="171"/>
      <c r="Q17" s="2" t="s">
        <v>4</v>
      </c>
      <c r="R17" s="71">
        <v>872.27</v>
      </c>
      <c r="S17" s="71">
        <v>1972.13</v>
      </c>
      <c r="V17" s="110"/>
    </row>
    <row r="18" spans="2:22" ht="15" x14ac:dyDescent="0.4">
      <c r="O18" s="170" t="s">
        <v>52</v>
      </c>
      <c r="P18" s="170"/>
      <c r="Q18" s="2" t="s">
        <v>4</v>
      </c>
      <c r="R18" s="71">
        <v>5025.9500000000007</v>
      </c>
      <c r="S18" s="71">
        <v>11363.245478000001</v>
      </c>
      <c r="V18" s="110"/>
    </row>
    <row r="19" spans="2:22" ht="13.15" thickBot="1" x14ac:dyDescent="0.4"/>
    <row r="20" spans="2:22" ht="18" thickBot="1" x14ac:dyDescent="0.55000000000000004">
      <c r="E20" s="4"/>
      <c r="F20" s="186" t="s">
        <v>44</v>
      </c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8"/>
      <c r="R20" s="180" t="s">
        <v>46</v>
      </c>
      <c r="S20" s="180" t="s">
        <v>46</v>
      </c>
      <c r="T20" s="133"/>
    </row>
    <row r="21" spans="2:22" ht="21" thickBot="1" x14ac:dyDescent="0.65">
      <c r="B21" s="4"/>
      <c r="C21" s="190" t="s">
        <v>87</v>
      </c>
      <c r="D21" s="191"/>
      <c r="E21" s="191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3"/>
      <c r="R21" s="181"/>
      <c r="S21" s="181"/>
      <c r="T21" s="133"/>
    </row>
    <row r="22" spans="2:22" ht="15.4" thickBot="1" x14ac:dyDescent="0.45">
      <c r="E22" s="4"/>
      <c r="F22" s="172" t="s">
        <v>55</v>
      </c>
      <c r="G22" s="174"/>
      <c r="H22" s="172" t="s">
        <v>56</v>
      </c>
      <c r="I22" s="173"/>
      <c r="J22" s="173"/>
      <c r="K22" s="173"/>
      <c r="L22" s="173"/>
      <c r="M22" s="173"/>
      <c r="N22" s="173"/>
      <c r="O22" s="173"/>
      <c r="P22" s="173"/>
      <c r="Q22" s="174"/>
      <c r="R22" s="189"/>
      <c r="S22" s="189"/>
      <c r="T22" s="133"/>
    </row>
    <row r="23" spans="2:22" ht="15" x14ac:dyDescent="0.4">
      <c r="C23" s="2" t="s">
        <v>1</v>
      </c>
      <c r="D23" s="2" t="s">
        <v>2</v>
      </c>
      <c r="E23" s="4"/>
      <c r="F23" s="18" t="s">
        <v>15</v>
      </c>
      <c r="G23" s="20" t="s">
        <v>16</v>
      </c>
      <c r="H23" s="154" t="s">
        <v>6</v>
      </c>
      <c r="I23" s="19" t="s">
        <v>7</v>
      </c>
      <c r="J23" s="19" t="s">
        <v>8</v>
      </c>
      <c r="K23" s="19" t="s">
        <v>9</v>
      </c>
      <c r="L23" s="19" t="s">
        <v>10</v>
      </c>
      <c r="M23" s="19" t="s">
        <v>11</v>
      </c>
      <c r="N23" s="19" t="s">
        <v>12</v>
      </c>
      <c r="O23" s="19" t="s">
        <v>13</v>
      </c>
      <c r="P23" s="19" t="s">
        <v>83</v>
      </c>
      <c r="Q23" s="20" t="s">
        <v>14</v>
      </c>
      <c r="R23" s="111" t="s">
        <v>47</v>
      </c>
      <c r="S23" s="111" t="s">
        <v>85</v>
      </c>
      <c r="T23" s="134"/>
    </row>
    <row r="24" spans="2:22" ht="6" customHeight="1" thickBot="1" x14ac:dyDescent="0.45">
      <c r="C24" s="6"/>
      <c r="D24" s="6"/>
      <c r="E24" s="4"/>
      <c r="F24" s="28"/>
      <c r="G24" s="30"/>
      <c r="H24" s="29"/>
      <c r="I24" s="29"/>
      <c r="J24" s="29"/>
      <c r="K24" s="29"/>
      <c r="L24" s="29"/>
      <c r="M24" s="31"/>
      <c r="N24" s="31"/>
      <c r="O24" s="31"/>
      <c r="P24" s="31"/>
      <c r="Q24" s="32"/>
      <c r="R24" s="16"/>
      <c r="S24" s="16"/>
      <c r="T24" s="22"/>
    </row>
    <row r="25" spans="2:22" ht="15.4" thickBot="1" x14ac:dyDescent="0.45">
      <c r="C25" s="43" t="s">
        <v>43</v>
      </c>
      <c r="D25" s="54" t="s">
        <v>3</v>
      </c>
      <c r="E25" s="47"/>
      <c r="F25" s="119" t="str">
        <f>IF(OR($D$14="",$D$15=""),"sense preu",'Càlcul MODEL Oferta MIBGAS=50'!F$49)</f>
        <v>sense preu</v>
      </c>
      <c r="G25" s="121" t="str">
        <f>IF(OR($D$14="",$D$15="",),"sense preu",'Càlcul MODEL Oferta MIBGAS=50'!G$49)</f>
        <v>sense preu</v>
      </c>
      <c r="H25" s="166" t="str">
        <f>IF(OR($D$14="",$D$15="",),"sense preu",'Càlcul MODEL Oferta MIBGAS=50'!H$49)</f>
        <v>sense preu</v>
      </c>
      <c r="I25" s="120" t="str">
        <f>IF(OR($D$14="",$D$15="",),"sense preu",'Càlcul MODEL Oferta MIBGAS=50'!I$49)</f>
        <v>sense preu</v>
      </c>
      <c r="J25" s="121" t="str">
        <f>IF(OR($D$14="",$D$15="",),"sense preu",'Càlcul MODEL Oferta MIBGAS=50'!J$49)</f>
        <v>sense preu</v>
      </c>
      <c r="K25" s="120" t="str">
        <f>IF(OR($D$14="",$D$15="",),"sense preu",'Càlcul MODEL Oferta MIBGAS=50'!K$49)</f>
        <v>sense preu</v>
      </c>
      <c r="L25" s="121" t="str">
        <f>IF(OR($D$14="",$D$15="",),"sense preu",'Càlcul MODEL Oferta MIBGAS=50'!L$49)</f>
        <v>sense preu</v>
      </c>
      <c r="M25" s="123" t="str">
        <f>IF(OR($D$14="",$D$15="",),"sense preu",'Càlcul MODEL Oferta MIBGAS=50'!M$49)</f>
        <v>sense preu</v>
      </c>
      <c r="N25" s="123" t="str">
        <f>IF(OR($D$14="",$D$15="",),"sense preu",'Càlcul MODEL Oferta MIBGAS=50'!N$49)</f>
        <v>sense preu</v>
      </c>
      <c r="O25" s="123" t="str">
        <f>IF(OR($D$14="",$D$15="",),"sense preu",'Càlcul MODEL Oferta MIBGAS=50'!O$49)</f>
        <v>sense preu</v>
      </c>
      <c r="P25" s="123" t="str">
        <f>IF(OR($D$14="",$D$15="",),"sense preu",'Càlcul MODEL Oferta MIBGAS=50'!P$49)</f>
        <v>sense preu</v>
      </c>
      <c r="Q25" s="124" t="str">
        <f>IF(OR($D$14="",$D$15="",),"sense preu",'Càlcul MODEL Oferta MIBGAS=50'!Q$49)</f>
        <v>sense preu</v>
      </c>
      <c r="R25" s="125" t="str">
        <f>IF(OR($D$14="",$D$15="",),"sense preu",'Càlcul MODEL Oferta MIBGAS=50'!R$49)</f>
        <v>sense preu</v>
      </c>
      <c r="S25" s="125" t="str">
        <f>IF(OR($D$14="",$D$15="",),"sense preu",S26/87901)</f>
        <v>sense preu</v>
      </c>
      <c r="T25" s="135"/>
      <c r="V25" s="5"/>
    </row>
    <row r="26" spans="2:22" ht="15.4" thickBot="1" x14ac:dyDescent="0.45">
      <c r="C26" s="44" t="s">
        <v>61</v>
      </c>
      <c r="D26" s="43" t="s">
        <v>4</v>
      </c>
      <c r="E26" s="5"/>
      <c r="F26" s="25" t="str">
        <f>IF(OR($D$14="",$D$15=""),"sense preu",'Càlcul MODEL Oferta MIBGAS=50'!F$50)</f>
        <v>sense preu</v>
      </c>
      <c r="G26" s="27" t="str">
        <f>IF(OR($D$14="",$D$15="",),"sense preu",'Càlcul MODEL Oferta MIBGAS=50'!G$50)</f>
        <v>sense preu</v>
      </c>
      <c r="H26" s="83" t="str">
        <f>IF(OR($D$14="",$D$15="",),"sense preu",'Càlcul MODEL Oferta MIBGAS=50'!H$50)</f>
        <v>sense preu</v>
      </c>
      <c r="I26" s="26" t="str">
        <f>IF(OR($D$14="",$D$15="",),"sense preu",'Càlcul MODEL Oferta MIBGAS=50'!I$50)</f>
        <v>sense preu</v>
      </c>
      <c r="J26" s="26" t="str">
        <f>IF(OR($D$14="",$D$15="",),"sense preu",'Càlcul MODEL Oferta MIBGAS=50'!J$50)</f>
        <v>sense preu</v>
      </c>
      <c r="K26" s="26" t="str">
        <f>IF(OR($D$14="",$D$15="",),"sense preu",'Càlcul MODEL Oferta MIBGAS=50'!K$50)</f>
        <v>sense preu</v>
      </c>
      <c r="L26" s="26" t="str">
        <f>IF(OR($D$14="",$D$15="",),"sense preu",'Càlcul MODEL Oferta MIBGAS=50'!L$50)</f>
        <v>sense preu</v>
      </c>
      <c r="M26" s="26" t="str">
        <f>IF(OR($D$14="",$D$15="",),"sense preu",'Càlcul MODEL Oferta MIBGAS=50'!M$50)</f>
        <v>sense preu</v>
      </c>
      <c r="N26" s="26" t="str">
        <f>IF(OR($D$14="",$D$15="",),"sense preu",'Càlcul MODEL Oferta MIBGAS=50'!N$50)</f>
        <v>sense preu</v>
      </c>
      <c r="O26" s="26" t="str">
        <f>IF(OR($D$14="",$D$15="",),"sense preu",'Càlcul MODEL Oferta MIBGAS=50'!O$50)</f>
        <v>sense preu</v>
      </c>
      <c r="P26" s="26" t="str">
        <f>IF(OR($D$14="",$D$15="",),"sense preu",'Càlcul MODEL Oferta MIBGAS=50'!P$50)</f>
        <v>sense preu</v>
      </c>
      <c r="Q26" s="27" t="str">
        <f>IF(OR($D$14="",$D$15="",),"sense preu",'Càlcul MODEL Oferta MIBGAS=50'!Q$50)</f>
        <v>sense preu</v>
      </c>
      <c r="R26" s="50" t="str">
        <f>IF(OR($D$14="",$D$15="",),"sense preu",'Càlcul MODEL Oferta MIBGAS=50'!R$50)</f>
        <v>sense preu</v>
      </c>
      <c r="S26" s="50" t="str">
        <f>IF(OR($D$14="",$D$15="",),"sense preu",R26*2+F26+G26)</f>
        <v>sense preu</v>
      </c>
      <c r="T26" s="136"/>
      <c r="V26" s="5"/>
    </row>
    <row r="27" spans="2:22" ht="15.4" thickBot="1" x14ac:dyDescent="0.45">
      <c r="B27" s="5"/>
      <c r="F27" s="5"/>
      <c r="G27" s="5"/>
      <c r="H27" s="5"/>
      <c r="I27" s="5"/>
      <c r="J27" s="5"/>
      <c r="K27" s="5"/>
      <c r="L27" s="5"/>
      <c r="M27" s="5"/>
      <c r="N27" s="197" t="s">
        <v>24</v>
      </c>
      <c r="O27" s="198"/>
      <c r="P27" s="199"/>
      <c r="Q27" s="50" t="s">
        <v>4</v>
      </c>
      <c r="R27" s="41" t="str">
        <f>IF(OR($D$14="",$D$15="",),"sense preu",ROUND(R26*0.21,2))</f>
        <v>sense preu</v>
      </c>
      <c r="S27" s="41" t="str">
        <f>IF(OR($D$14="",$D$15="",),"sense preu",ROUND(S26*0.21,2))</f>
        <v>sense preu</v>
      </c>
      <c r="T27" s="136"/>
      <c r="V27" s="5"/>
    </row>
    <row r="28" spans="2:22" ht="15.4" thickBot="1" x14ac:dyDescent="0.45">
      <c r="B28" s="5"/>
      <c r="N28" s="197" t="s">
        <v>54</v>
      </c>
      <c r="O28" s="198"/>
      <c r="P28" s="199"/>
      <c r="Q28" s="50" t="s">
        <v>4</v>
      </c>
      <c r="R28" s="41" t="str">
        <f>IF(OR($D$14="",$D$15="",),"sense preu",R27+R26)</f>
        <v>sense preu</v>
      </c>
      <c r="S28" s="41" t="str">
        <f>IF(OR($D$14="",$D$15="",),"sense preu",S27+S26)</f>
        <v>sense preu</v>
      </c>
      <c r="T28" s="136"/>
    </row>
    <row r="29" spans="2:22" ht="15.4" thickBot="1" x14ac:dyDescent="0.45">
      <c r="N29" s="194" t="s">
        <v>53</v>
      </c>
      <c r="O29" s="195"/>
      <c r="P29" s="196"/>
      <c r="Q29" s="50" t="s">
        <v>4</v>
      </c>
      <c r="R29" s="41" t="str">
        <f>IF(OR($D$14="",$D$15="",),"sense preu",IF(R28&lt;=R18,R28-R18,"SUPERA IMPORT"))</f>
        <v>sense preu</v>
      </c>
      <c r="S29" s="41" t="str">
        <f>IF(OR($D$14="",$D$15="",),"sense preu",IF(S28&lt;=S18,S28-S18,"SUPERA IMPORT"))</f>
        <v>sense preu</v>
      </c>
      <c r="V29" s="110"/>
    </row>
    <row r="30" spans="2:22" x14ac:dyDescent="0.35">
      <c r="V30" s="110"/>
    </row>
    <row r="31" spans="2:22" x14ac:dyDescent="0.35">
      <c r="V31" s="110"/>
    </row>
    <row r="32" spans="2:22" ht="13.15" thickBot="1" x14ac:dyDescent="0.4"/>
    <row r="33" spans="3:20" ht="18" thickBot="1" x14ac:dyDescent="0.55000000000000004">
      <c r="E33" s="4"/>
      <c r="F33" s="186" t="s">
        <v>44</v>
      </c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8"/>
      <c r="R33" s="180" t="s">
        <v>46</v>
      </c>
      <c r="S33" s="180" t="s">
        <v>46</v>
      </c>
      <c r="T33" s="133"/>
    </row>
    <row r="34" spans="3:20" ht="21" thickBot="1" x14ac:dyDescent="0.65">
      <c r="C34" s="190" t="s">
        <v>88</v>
      </c>
      <c r="D34" s="191"/>
      <c r="E34" s="191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3"/>
      <c r="R34" s="181"/>
      <c r="S34" s="181"/>
      <c r="T34" s="133"/>
    </row>
    <row r="35" spans="3:20" ht="15.4" thickBot="1" x14ac:dyDescent="0.45">
      <c r="E35" s="4"/>
      <c r="F35" s="172" t="s">
        <v>55</v>
      </c>
      <c r="G35" s="174"/>
      <c r="H35" s="173" t="s">
        <v>56</v>
      </c>
      <c r="I35" s="173"/>
      <c r="J35" s="173"/>
      <c r="K35" s="173"/>
      <c r="L35" s="173"/>
      <c r="M35" s="173"/>
      <c r="N35" s="173"/>
      <c r="O35" s="173"/>
      <c r="P35" s="173"/>
      <c r="Q35" s="174"/>
      <c r="R35" s="189"/>
      <c r="S35" s="189"/>
      <c r="T35" s="133"/>
    </row>
    <row r="36" spans="3:20" ht="15" x14ac:dyDescent="0.4">
      <c r="C36" s="2" t="s">
        <v>1</v>
      </c>
      <c r="D36" s="2" t="s">
        <v>2</v>
      </c>
      <c r="E36" s="4"/>
      <c r="F36" s="18" t="s">
        <v>15</v>
      </c>
      <c r="G36" s="20" t="s">
        <v>16</v>
      </c>
      <c r="H36" s="154" t="s">
        <v>6</v>
      </c>
      <c r="I36" s="19" t="s">
        <v>7</v>
      </c>
      <c r="J36" s="19" t="s">
        <v>8</v>
      </c>
      <c r="K36" s="19" t="s">
        <v>9</v>
      </c>
      <c r="L36" s="19" t="s">
        <v>10</v>
      </c>
      <c r="M36" s="19" t="s">
        <v>11</v>
      </c>
      <c r="N36" s="19" t="s">
        <v>12</v>
      </c>
      <c r="O36" s="19" t="s">
        <v>13</v>
      </c>
      <c r="P36" s="19" t="s">
        <v>83</v>
      </c>
      <c r="Q36" s="20" t="s">
        <v>14</v>
      </c>
      <c r="R36" s="111" t="s">
        <v>47</v>
      </c>
      <c r="S36" s="111" t="s">
        <v>93</v>
      </c>
      <c r="T36" s="134"/>
    </row>
    <row r="37" spans="3:20" ht="6" customHeight="1" thickBot="1" x14ac:dyDescent="0.45">
      <c r="C37" s="6"/>
      <c r="D37" s="6"/>
      <c r="E37" s="4"/>
      <c r="F37" s="28"/>
      <c r="G37" s="30"/>
      <c r="H37" s="29"/>
      <c r="I37" s="29"/>
      <c r="J37" s="29"/>
      <c r="K37" s="29"/>
      <c r="L37" s="29"/>
      <c r="M37" s="31"/>
      <c r="N37" s="31"/>
      <c r="O37" s="31"/>
      <c r="P37" s="31"/>
      <c r="Q37" s="32"/>
      <c r="R37" s="16"/>
      <c r="S37" s="16"/>
      <c r="T37" s="22"/>
    </row>
    <row r="38" spans="3:20" ht="15.4" thickBot="1" x14ac:dyDescent="0.45">
      <c r="C38" s="43" t="s">
        <v>43</v>
      </c>
      <c r="D38" s="54" t="s">
        <v>3</v>
      </c>
      <c r="E38" s="47"/>
      <c r="F38" s="119" t="str">
        <f>IF(OR($D$14="",$D$15=""),"sense preu",'Càlcul MODEL Oferta MIBGAS=40'!F$49)</f>
        <v>sense preu</v>
      </c>
      <c r="G38" s="121" t="str">
        <f>IF(OR($D$14="",$D$15="",),"sense preu",'Càlcul MODEL Oferta MIBGAS=40'!G$49)</f>
        <v>sense preu</v>
      </c>
      <c r="H38" s="166" t="str">
        <f>IF(OR($D$14="",$D$15="",),"sense preu",'Càlcul MODEL Oferta MIBGAS=40'!H$49)</f>
        <v>sense preu</v>
      </c>
      <c r="I38" s="120" t="str">
        <f>IF(OR($D$14="",$D$15="",),"sense preu",'Càlcul MODEL Oferta MIBGAS=40'!I$49)</f>
        <v>sense preu</v>
      </c>
      <c r="J38" s="121" t="str">
        <f>IF(OR($D$14="",$D$15="",),"sense preu",'Càlcul MODEL Oferta MIBGAS=40'!J$49)</f>
        <v>sense preu</v>
      </c>
      <c r="K38" s="120" t="str">
        <f>IF(OR($D$14="",$D$15="",),"sense preu",'Càlcul MODEL Oferta MIBGAS=40'!K$49)</f>
        <v>sense preu</v>
      </c>
      <c r="L38" s="121" t="str">
        <f>IF(OR($D$14="",$D$15="",),"sense preu",'Càlcul MODEL Oferta MIBGAS=40'!L$49)</f>
        <v>sense preu</v>
      </c>
      <c r="M38" s="123" t="str">
        <f>IF(OR($D$14="",$D$15="",),"sense preu",'Càlcul MODEL Oferta MIBGAS=40'!M$49)</f>
        <v>sense preu</v>
      </c>
      <c r="N38" s="123" t="str">
        <f>IF(OR($D$14="",$D$15="",),"sense preu",'Càlcul MODEL Oferta MIBGAS=40'!N$49)</f>
        <v>sense preu</v>
      </c>
      <c r="O38" s="123" t="str">
        <f>IF(OR($D$14="",$D$15="",),"sense preu",'Càlcul MODEL Oferta MIBGAS=40'!O$49)</f>
        <v>sense preu</v>
      </c>
      <c r="P38" s="123" t="str">
        <f>IF(OR($D$14="",$D$15="",),"sense preu",'Càlcul MODEL Oferta MIBGAS=40'!P$49)</f>
        <v>sense preu</v>
      </c>
      <c r="Q38" s="124" t="str">
        <f>IF(OR($D$14="",$D$15="",),"sense preu",'Càlcul MODEL Oferta MIBGAS=40'!Q$49)</f>
        <v>sense preu</v>
      </c>
      <c r="R38" s="125" t="str">
        <f>IF(OR($D$14="",$D$15="",),"sense preu",'Càlcul MODEL Oferta MIBGAS=40'!R$49)</f>
        <v>sense preu</v>
      </c>
      <c r="S38" s="125" t="str">
        <f>IF(OR($D$14="",$D$15="",),"sense preu",S39/87901)</f>
        <v>sense preu</v>
      </c>
      <c r="T38" s="135"/>
    </row>
    <row r="39" spans="3:20" ht="15.4" thickBot="1" x14ac:dyDescent="0.45">
      <c r="C39" s="44" t="s">
        <v>62</v>
      </c>
      <c r="D39" s="43" t="s">
        <v>4</v>
      </c>
      <c r="E39" s="5"/>
      <c r="F39" s="25" t="str">
        <f>IF(OR($D$14="",$D$15=""),"sense preu",'Càlcul MODEL Oferta MIBGAS=40'!F$50)</f>
        <v>sense preu</v>
      </c>
      <c r="G39" s="27" t="str">
        <f>IF(OR($D$14="",$D$15="",),"sense preu",'Càlcul MODEL Oferta MIBGAS=40'!G$50)</f>
        <v>sense preu</v>
      </c>
      <c r="H39" s="83" t="str">
        <f>IF(OR($D$14="",$D$15="",),"sense preu",'Càlcul MODEL Oferta MIBGAS=40'!H$50)</f>
        <v>sense preu</v>
      </c>
      <c r="I39" s="26" t="str">
        <f>IF(OR($D$14="",$D$15="",),"sense preu",'Càlcul MODEL Oferta MIBGAS=40'!I$50)</f>
        <v>sense preu</v>
      </c>
      <c r="J39" s="26" t="str">
        <f>IF(OR($D$14="",$D$15="",),"sense preu",'Càlcul MODEL Oferta MIBGAS=40'!J$50)</f>
        <v>sense preu</v>
      </c>
      <c r="K39" s="26" t="str">
        <f>IF(OR($D$14="",$D$15="",),"sense preu",'Càlcul MODEL Oferta MIBGAS=40'!K$50)</f>
        <v>sense preu</v>
      </c>
      <c r="L39" s="26" t="str">
        <f>IF(OR($D$14="",$D$15="",),"sense preu",'Càlcul MODEL Oferta MIBGAS=40'!L$50)</f>
        <v>sense preu</v>
      </c>
      <c r="M39" s="26" t="str">
        <f>IF(OR($D$14="",$D$15="",),"sense preu",'Càlcul MODEL Oferta MIBGAS=40'!M$50)</f>
        <v>sense preu</v>
      </c>
      <c r="N39" s="26" t="str">
        <f>IF(OR($D$14="",$D$15="",),"sense preu",'Càlcul MODEL Oferta MIBGAS=40'!N$50)</f>
        <v>sense preu</v>
      </c>
      <c r="O39" s="26" t="str">
        <f>IF(OR($D$14="",$D$15="",),"sense preu",'Càlcul MODEL Oferta MIBGAS=40'!O$50)</f>
        <v>sense preu</v>
      </c>
      <c r="P39" s="26" t="str">
        <f>IF(OR($D$14="",$D$15="",),"sense preu",'Càlcul MODEL Oferta MIBGAS=40'!P$50)</f>
        <v>sense preu</v>
      </c>
      <c r="Q39" s="27" t="str">
        <f>IF(OR($D$14="",$D$15="",),"sense preu",'Càlcul MODEL Oferta MIBGAS=40'!Q$50)</f>
        <v>sense preu</v>
      </c>
      <c r="R39" s="50" t="str">
        <f>IF(OR($D$14="",$D$15="",),"sense preu",'Càlcul MODEL Oferta MIBGAS=40'!R$50)</f>
        <v>sense preu</v>
      </c>
      <c r="S39" s="50" t="str">
        <f>IF(OR($D$14="",$D$15="",),"sense preu",R39*2+F39+G39)</f>
        <v>sense preu</v>
      </c>
      <c r="T39" s="136"/>
    </row>
    <row r="40" spans="3:20" ht="15.4" thickBot="1" x14ac:dyDescent="0.45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99" t="s">
        <v>24</v>
      </c>
      <c r="R40" s="41" t="str">
        <f>IF(OR($D$14="",$D$15="",),"sense preu",ROUND(R39*0.21,2))</f>
        <v>sense preu</v>
      </c>
      <c r="S40" s="41" t="str">
        <f>IF(OR($D$14="",$D$15="",),"sense preu",ROUND(S39*0.21,2))</f>
        <v>sense preu</v>
      </c>
      <c r="T40" s="136"/>
    </row>
    <row r="41" spans="3:20" ht="15.4" thickBot="1" x14ac:dyDescent="0.45">
      <c r="Q41" s="99" t="s">
        <v>35</v>
      </c>
      <c r="R41" s="41" t="str">
        <f>IF(OR($D$14="",$D$15="",),"sense preu",R40+R39)</f>
        <v>sense preu</v>
      </c>
      <c r="S41" s="41" t="str">
        <f>IF(OR($D$14="",$D$15="",),"sense preu",S40+S39)</f>
        <v>sense preu</v>
      </c>
      <c r="T41" s="136"/>
    </row>
    <row r="42" spans="3:20" ht="13.15" thickBot="1" x14ac:dyDescent="0.4"/>
    <row r="43" spans="3:20" ht="18" thickBot="1" x14ac:dyDescent="0.55000000000000004">
      <c r="E43" s="4"/>
      <c r="F43" s="177" t="s">
        <v>42</v>
      </c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9"/>
      <c r="R43" s="180" t="s">
        <v>46</v>
      </c>
      <c r="S43" s="180" t="s">
        <v>46</v>
      </c>
      <c r="T43" s="133"/>
    </row>
    <row r="44" spans="3:20" ht="21" thickBot="1" x14ac:dyDescent="0.65">
      <c r="C44" s="182" t="s">
        <v>89</v>
      </c>
      <c r="D44" s="183"/>
      <c r="E44" s="183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5"/>
      <c r="R44" s="181"/>
      <c r="S44" s="181"/>
      <c r="T44" s="133"/>
    </row>
    <row r="45" spans="3:20" ht="15.4" thickBot="1" x14ac:dyDescent="0.45">
      <c r="C45" s="2" t="s">
        <v>1</v>
      </c>
      <c r="D45" s="2" t="s">
        <v>2</v>
      </c>
      <c r="E45" s="4"/>
      <c r="F45" s="18" t="s">
        <v>15</v>
      </c>
      <c r="G45" s="20" t="s">
        <v>16</v>
      </c>
      <c r="H45" s="154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83</v>
      </c>
      <c r="Q45" s="20" t="s">
        <v>14</v>
      </c>
      <c r="R45" s="111" t="s">
        <v>48</v>
      </c>
      <c r="S45" s="111" t="s">
        <v>49</v>
      </c>
      <c r="T45" s="134"/>
    </row>
    <row r="46" spans="3:20" ht="15.4" thickBot="1" x14ac:dyDescent="0.45">
      <c r="C46" s="33" t="s">
        <v>22</v>
      </c>
      <c r="D46" s="33" t="s">
        <v>0</v>
      </c>
      <c r="E46" s="4"/>
      <c r="F46" s="126">
        <f>+'Càlcul MODEL Oferta MIBGAS=50'!F48</f>
        <v>0</v>
      </c>
      <c r="G46" s="128">
        <f>+'Càlcul MODEL Oferta MIBGAS=50'!G48</f>
        <v>10307</v>
      </c>
      <c r="H46" s="167">
        <f>+'Càlcul MODEL Oferta MIBGAS=50'!H48</f>
        <v>0</v>
      </c>
      <c r="I46" s="127">
        <f>+'Càlcul MODEL Oferta MIBGAS=50'!I48</f>
        <v>10439</v>
      </c>
      <c r="J46" s="128">
        <f>+'Càlcul MODEL Oferta MIBGAS=50'!J48</f>
        <v>0</v>
      </c>
      <c r="K46" s="127">
        <f>+'Càlcul MODEL Oferta MIBGAS=50'!K48</f>
        <v>2192</v>
      </c>
      <c r="L46" s="128">
        <f>+'Càlcul MODEL Oferta MIBGAS=50'!L48</f>
        <v>0</v>
      </c>
      <c r="M46" s="80">
        <f>+'Càlcul MODEL Oferta MIBGAS=50'!M48</f>
        <v>12990</v>
      </c>
      <c r="N46" s="80">
        <f>+'Càlcul MODEL Oferta MIBGAS=50'!N48</f>
        <v>0</v>
      </c>
      <c r="O46" s="80">
        <f>+'Càlcul MODEL Oferta MIBGAS=50'!O48</f>
        <v>775</v>
      </c>
      <c r="P46" s="80">
        <f>+'Càlcul MODEL Oferta MIBGAS=50'!P48</f>
        <v>0</v>
      </c>
      <c r="Q46" s="81">
        <f>+'Càlcul MODEL Oferta MIBGAS=50'!Q48</f>
        <v>2094</v>
      </c>
      <c r="R46" s="129">
        <f>+'Càlcul MODEL Oferta MIBGAS=50'!R48</f>
        <v>38797</v>
      </c>
      <c r="S46" s="129">
        <f>R46*2+F46+G46</f>
        <v>87901</v>
      </c>
      <c r="T46" s="137"/>
    </row>
    <row r="47" spans="3:20" ht="15.4" thickBot="1" x14ac:dyDescent="0.45">
      <c r="C47" s="43" t="s">
        <v>40</v>
      </c>
      <c r="D47" s="54" t="s">
        <v>3</v>
      </c>
      <c r="E47" s="47"/>
      <c r="F47" s="130">
        <f>IF(F46=0,0,IF(OR($D$14="",$D$15="",),"sense preu",F48/F46))</f>
        <v>0</v>
      </c>
      <c r="G47" s="124" t="str">
        <f t="shared" ref="G47:Q47" si="0">IF(G46=0,0,IF(OR($D$14="",$D$15="",),"sense preu",G48/G46))</f>
        <v>sense preu</v>
      </c>
      <c r="H47" s="122">
        <f t="shared" si="0"/>
        <v>0</v>
      </c>
      <c r="I47" s="123" t="str">
        <f t="shared" si="0"/>
        <v>sense preu</v>
      </c>
      <c r="J47" s="123">
        <f t="shared" si="0"/>
        <v>0</v>
      </c>
      <c r="K47" s="123" t="str">
        <f t="shared" si="0"/>
        <v>sense preu</v>
      </c>
      <c r="L47" s="123">
        <f t="shared" si="0"/>
        <v>0</v>
      </c>
      <c r="M47" s="123" t="str">
        <f t="shared" si="0"/>
        <v>sense preu</v>
      </c>
      <c r="N47" s="123">
        <f t="shared" si="0"/>
        <v>0</v>
      </c>
      <c r="O47" s="123" t="str">
        <f t="shared" si="0"/>
        <v>sense preu</v>
      </c>
      <c r="P47" s="123">
        <f t="shared" si="0"/>
        <v>0</v>
      </c>
      <c r="Q47" s="124" t="str">
        <f t="shared" si="0"/>
        <v>sense preu</v>
      </c>
      <c r="R47" s="125" t="str">
        <f>IF(OR($D$14="",$D$15="",),"sense preu",R48/R46)</f>
        <v>sense preu</v>
      </c>
      <c r="S47" s="125" t="str">
        <f>IF(OR($D$14="",$D$15="",),"sense preu",S48/87901)</f>
        <v>sense preu</v>
      </c>
      <c r="T47" s="136"/>
    </row>
    <row r="48" spans="3:20" ht="15.4" thickBot="1" x14ac:dyDescent="0.45">
      <c r="C48" s="44" t="s">
        <v>82</v>
      </c>
      <c r="D48" s="43" t="s">
        <v>4</v>
      </c>
      <c r="E48" s="5"/>
      <c r="F48" s="25" t="str">
        <f t="shared" ref="F48:R48" si="1">IF(OR($D$14="",$D$15="",),"sense preu",(F39+F26)/2)</f>
        <v>sense preu</v>
      </c>
      <c r="G48" s="27" t="str">
        <f t="shared" si="1"/>
        <v>sense preu</v>
      </c>
      <c r="H48" s="83" t="str">
        <f t="shared" si="1"/>
        <v>sense preu</v>
      </c>
      <c r="I48" s="26" t="str">
        <f t="shared" si="1"/>
        <v>sense preu</v>
      </c>
      <c r="J48" s="26" t="str">
        <f t="shared" si="1"/>
        <v>sense preu</v>
      </c>
      <c r="K48" s="26" t="str">
        <f t="shared" si="1"/>
        <v>sense preu</v>
      </c>
      <c r="L48" s="26" t="str">
        <f t="shared" si="1"/>
        <v>sense preu</v>
      </c>
      <c r="M48" s="26" t="str">
        <f t="shared" si="1"/>
        <v>sense preu</v>
      </c>
      <c r="N48" s="26" t="str">
        <f t="shared" si="1"/>
        <v>sense preu</v>
      </c>
      <c r="O48" s="26" t="str">
        <f t="shared" si="1"/>
        <v>sense preu</v>
      </c>
      <c r="P48" s="26" t="str">
        <f t="shared" si="1"/>
        <v>sense preu</v>
      </c>
      <c r="Q48" s="27" t="str">
        <f t="shared" si="1"/>
        <v>sense preu</v>
      </c>
      <c r="R48" s="50" t="str">
        <f t="shared" si="1"/>
        <v>sense preu</v>
      </c>
      <c r="S48" s="50" t="str">
        <f>IF(OR($D$14="",$D$15="",),"sense preu",R48*2+F48+G48)</f>
        <v>sense preu</v>
      </c>
      <c r="T48" s="136"/>
    </row>
    <row r="49" spans="3:20" ht="15.4" thickBot="1" x14ac:dyDescent="0.45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99" t="s">
        <v>24</v>
      </c>
      <c r="R49" s="41" t="str">
        <f>IF(OR($D$14="",$D$15="",),"sense preu",ROUND(R48*0.21,2))</f>
        <v>sense preu</v>
      </c>
      <c r="S49" s="41" t="str">
        <f>IF(OR($D$14="",$D$15="",),"sense preu",ROUND(S48*0.21,2))</f>
        <v>sense preu</v>
      </c>
      <c r="T49" s="136"/>
    </row>
    <row r="50" spans="3:20" ht="15.4" thickBot="1" x14ac:dyDescent="0.45">
      <c r="Q50" s="99" t="s">
        <v>35</v>
      </c>
      <c r="R50" s="41" t="str">
        <f>IF(OR($D$14="",$D$15="",),"sense preu",R49+R48)</f>
        <v>sense preu</v>
      </c>
      <c r="S50" s="41" t="str">
        <f>IF(OR($D$14="",$D$15="",),"sense preu",S49+S48)</f>
        <v>sense preu</v>
      </c>
      <c r="T50" s="136"/>
    </row>
    <row r="52" spans="3:20" ht="131.25" customHeight="1" x14ac:dyDescent="0.35">
      <c r="C52" s="175" t="s">
        <v>90</v>
      </c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38"/>
      <c r="T52" s="138"/>
    </row>
  </sheetData>
  <sheetProtection algorithmName="SHA-512" hashValue="LbfGxiFut5c+BUybE9IOPJTCic/HeaOezMS8SMyvJjBZM3liDvzHc2v8xzYxiDXwOyz57IuYRqtUGisDVCtg2A==" saltValue="DU6r+PaCBObgNZ1wsbr+WQ==" spinCount="100000" sheet="1" objects="1" scenarios="1"/>
  <mergeCells count="24">
    <mergeCell ref="S20:S22"/>
    <mergeCell ref="S33:S35"/>
    <mergeCell ref="S43:S44"/>
    <mergeCell ref="N29:P29"/>
    <mergeCell ref="N28:P28"/>
    <mergeCell ref="N27:P27"/>
    <mergeCell ref="F20:Q20"/>
    <mergeCell ref="R20:R22"/>
    <mergeCell ref="C21:Q21"/>
    <mergeCell ref="F22:G22"/>
    <mergeCell ref="C52:R52"/>
    <mergeCell ref="F43:Q43"/>
    <mergeCell ref="R43:R44"/>
    <mergeCell ref="C44:Q44"/>
    <mergeCell ref="F33:Q33"/>
    <mergeCell ref="R33:R35"/>
    <mergeCell ref="C34:Q34"/>
    <mergeCell ref="F35:G35"/>
    <mergeCell ref="H35:Q35"/>
    <mergeCell ref="O15:P15"/>
    <mergeCell ref="O16:P16"/>
    <mergeCell ref="O17:P17"/>
    <mergeCell ref="O18:P18"/>
    <mergeCell ref="H22:Q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B647-0BE7-49FE-90E0-36EF6AFBA0AE}">
  <sheetPr>
    <pageSetUpPr fitToPage="1"/>
  </sheetPr>
  <dimension ref="B3:W52"/>
  <sheetViews>
    <sheetView topLeftCell="A3" zoomScale="90" zoomScaleNormal="90" workbookViewId="0">
      <selection activeCell="R12" sqref="R12"/>
    </sheetView>
  </sheetViews>
  <sheetFormatPr baseColWidth="10" defaultRowHeight="12.75" x14ac:dyDescent="0.35"/>
  <cols>
    <col min="1" max="1" width="4.1328125" customWidth="1"/>
    <col min="2" max="2" width="17.6640625" customWidth="1"/>
    <col min="3" max="3" width="87.46484375" bestFit="1" customWidth="1"/>
    <col min="4" max="4" width="19.6640625" bestFit="1" customWidth="1"/>
    <col min="5" max="5" width="1" customWidth="1"/>
    <col min="6" max="6" width="18.33203125" bestFit="1" customWidth="1"/>
    <col min="7" max="8" width="17.33203125" bestFit="1" customWidth="1"/>
    <col min="9" max="10" width="16.1328125" bestFit="1" customWidth="1"/>
    <col min="11" max="11" width="16.33203125" bestFit="1" customWidth="1"/>
    <col min="12" max="12" width="15.86328125" bestFit="1" customWidth="1"/>
    <col min="13" max="13" width="16.33203125" bestFit="1" customWidth="1"/>
    <col min="14" max="14" width="16.1328125" bestFit="1" customWidth="1"/>
    <col min="15" max="15" width="15.86328125" bestFit="1" customWidth="1"/>
    <col min="16" max="16" width="17" bestFit="1" customWidth="1"/>
    <col min="17" max="17" width="16.86328125" bestFit="1" customWidth="1"/>
    <col min="18" max="18" width="22.6640625" bestFit="1" customWidth="1"/>
    <col min="19" max="19" width="1.6640625" customWidth="1"/>
    <col min="23" max="23" width="17.53125" bestFit="1" customWidth="1"/>
    <col min="24" max="24" width="32.1328125" bestFit="1" customWidth="1"/>
    <col min="25" max="25" width="17.86328125" bestFit="1" customWidth="1"/>
    <col min="27" max="38" width="15.46484375" bestFit="1" customWidth="1"/>
    <col min="39" max="39" width="12.53125" bestFit="1" customWidth="1"/>
  </cols>
  <sheetData>
    <row r="3" spans="2:23" ht="23.25" customHeight="1" x14ac:dyDescent="0.35"/>
    <row r="4" spans="2:23" ht="22.5" x14ac:dyDescent="0.6">
      <c r="E4" s="34" t="s">
        <v>86</v>
      </c>
    </row>
    <row r="5" spans="2:23" ht="25.5" thickBot="1" x14ac:dyDescent="0.75">
      <c r="E5" s="1"/>
      <c r="F5" s="200" t="s">
        <v>91</v>
      </c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</row>
    <row r="6" spans="2:23" ht="18" thickBot="1" x14ac:dyDescent="0.55000000000000004">
      <c r="C6" s="112" t="s">
        <v>45</v>
      </c>
      <c r="D6" s="118">
        <v>50</v>
      </c>
    </row>
    <row r="7" spans="2:23" ht="18" thickBot="1" x14ac:dyDescent="0.55000000000000004">
      <c r="C7" s="113" t="s">
        <v>64</v>
      </c>
      <c r="D7" s="140">
        <f>+'MODEL Oferta Formula Indexada'!D14</f>
        <v>0</v>
      </c>
      <c r="E7" s="4"/>
      <c r="F7" s="210" t="s">
        <v>74</v>
      </c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2"/>
      <c r="R7" s="3"/>
      <c r="V7" s="141"/>
      <c r="W7" s="141"/>
    </row>
    <row r="8" spans="2:23" ht="18" thickBot="1" x14ac:dyDescent="0.5">
      <c r="C8" s="114" t="s">
        <v>65</v>
      </c>
      <c r="D8" s="142">
        <f>+'MODEL Oferta Formula Indexada'!D15</f>
        <v>0</v>
      </c>
      <c r="E8" s="4"/>
      <c r="F8" s="172" t="s">
        <v>55</v>
      </c>
      <c r="G8" s="174"/>
      <c r="H8" s="172" t="s">
        <v>56</v>
      </c>
      <c r="I8" s="173"/>
      <c r="J8" s="173"/>
      <c r="K8" s="173"/>
      <c r="L8" s="173"/>
      <c r="M8" s="173"/>
      <c r="N8" s="173"/>
      <c r="O8" s="173"/>
      <c r="P8" s="173"/>
      <c r="Q8" s="174"/>
      <c r="R8" s="151"/>
    </row>
    <row r="9" spans="2:23" ht="15.4" thickBot="1" x14ac:dyDescent="0.45">
      <c r="B9" s="206" t="s">
        <v>1</v>
      </c>
      <c r="C9" s="207"/>
      <c r="D9" s="33" t="s">
        <v>2</v>
      </c>
      <c r="E9" s="4"/>
      <c r="F9" s="18" t="s">
        <v>15</v>
      </c>
      <c r="G9" s="20" t="s">
        <v>16</v>
      </c>
      <c r="H9" s="153" t="s">
        <v>6</v>
      </c>
      <c r="I9" s="150" t="s">
        <v>7</v>
      </c>
      <c r="J9" s="150" t="s">
        <v>8</v>
      </c>
      <c r="K9" s="150" t="s">
        <v>9</v>
      </c>
      <c r="L9" s="150" t="s">
        <v>10</v>
      </c>
      <c r="M9" s="150" t="s">
        <v>11</v>
      </c>
      <c r="N9" s="150" t="s">
        <v>12</v>
      </c>
      <c r="O9" s="150" t="s">
        <v>13</v>
      </c>
      <c r="P9" s="150" t="s">
        <v>83</v>
      </c>
      <c r="Q9" s="152" t="s">
        <v>14</v>
      </c>
      <c r="R9" s="17" t="s">
        <v>57</v>
      </c>
    </row>
    <row r="10" spans="2:23" ht="15" x14ac:dyDescent="0.4">
      <c r="B10" s="68"/>
      <c r="C10" s="68"/>
      <c r="D10" s="2" t="s">
        <v>25</v>
      </c>
      <c r="E10" s="4"/>
      <c r="F10" s="18">
        <v>30</v>
      </c>
      <c r="G10" s="20">
        <v>31</v>
      </c>
      <c r="H10" s="154">
        <v>31</v>
      </c>
      <c r="I10" s="115">
        <v>28</v>
      </c>
      <c r="J10" s="19">
        <v>31</v>
      </c>
      <c r="K10" s="19">
        <v>30</v>
      </c>
      <c r="L10" s="19">
        <v>31</v>
      </c>
      <c r="M10" s="19">
        <v>30</v>
      </c>
      <c r="N10" s="19">
        <v>31</v>
      </c>
      <c r="O10" s="19">
        <v>31</v>
      </c>
      <c r="P10" s="19">
        <v>30</v>
      </c>
      <c r="Q10" s="20">
        <v>31</v>
      </c>
      <c r="R10" s="69">
        <f>SUM(F10:Q10)</f>
        <v>365</v>
      </c>
    </row>
    <row r="11" spans="2:23" ht="6" customHeight="1" thickBot="1" x14ac:dyDescent="0.45">
      <c r="C11" s="6"/>
      <c r="D11" s="6"/>
      <c r="E11" s="4"/>
      <c r="F11" s="13"/>
      <c r="G11" s="15"/>
      <c r="H11" s="14"/>
      <c r="I11" s="14"/>
      <c r="J11" s="14"/>
      <c r="K11" s="14"/>
      <c r="L11" s="14"/>
      <c r="M11" s="10"/>
      <c r="N11" s="10"/>
      <c r="O11" s="10"/>
      <c r="P11" s="10"/>
      <c r="Q11" s="12"/>
      <c r="R11" s="16"/>
    </row>
    <row r="12" spans="2:23" ht="16.5" customHeight="1" thickBot="1" x14ac:dyDescent="0.45">
      <c r="C12" s="21" t="s">
        <v>63</v>
      </c>
      <c r="D12" s="54" t="s">
        <v>0</v>
      </c>
      <c r="E12" s="4"/>
      <c r="F12" s="163">
        <v>0</v>
      </c>
      <c r="G12" s="147">
        <v>10307</v>
      </c>
      <c r="H12" s="155">
        <v>0</v>
      </c>
      <c r="I12" s="146">
        <v>10439</v>
      </c>
      <c r="J12" s="146">
        <v>0</v>
      </c>
      <c r="K12" s="146">
        <v>2192</v>
      </c>
      <c r="L12" s="146">
        <v>0</v>
      </c>
      <c r="M12" s="148">
        <v>12990</v>
      </c>
      <c r="N12" s="148">
        <v>0</v>
      </c>
      <c r="O12" s="148">
        <v>775</v>
      </c>
      <c r="P12" s="148">
        <v>0</v>
      </c>
      <c r="Q12" s="149">
        <v>2094</v>
      </c>
      <c r="R12" s="82">
        <f>SUM(F12:Q12)</f>
        <v>38797</v>
      </c>
    </row>
    <row r="13" spans="2:23" ht="15" x14ac:dyDescent="0.4">
      <c r="C13" s="85"/>
      <c r="D13" s="84"/>
      <c r="E13" s="4"/>
      <c r="F13" s="103"/>
      <c r="G13" s="105"/>
      <c r="H13" s="156"/>
      <c r="I13" s="104"/>
      <c r="J13" s="104"/>
      <c r="K13" s="104"/>
      <c r="L13" s="104"/>
      <c r="M13" s="86"/>
      <c r="N13" s="86"/>
      <c r="O13" s="86"/>
      <c r="P13" s="86"/>
      <c r="Q13" s="87"/>
      <c r="R13" s="88"/>
    </row>
    <row r="14" spans="2:23" ht="15.4" thickBot="1" x14ac:dyDescent="0.45">
      <c r="B14" s="5"/>
      <c r="C14" s="42" t="s">
        <v>84</v>
      </c>
      <c r="D14" s="2" t="s">
        <v>3</v>
      </c>
      <c r="E14" s="4"/>
      <c r="F14" s="116">
        <f>ROUND((D6*D8)/1000+D7/1000,6)</f>
        <v>0</v>
      </c>
      <c r="G14" s="107">
        <f>+F14</f>
        <v>0</v>
      </c>
      <c r="H14" s="157">
        <f t="shared" ref="H14:Q14" si="0">+G14</f>
        <v>0</v>
      </c>
      <c r="I14" s="106">
        <f t="shared" si="0"/>
        <v>0</v>
      </c>
      <c r="J14" s="106">
        <f t="shared" si="0"/>
        <v>0</v>
      </c>
      <c r="K14" s="106">
        <f t="shared" si="0"/>
        <v>0</v>
      </c>
      <c r="L14" s="106">
        <f t="shared" si="0"/>
        <v>0</v>
      </c>
      <c r="M14" s="78">
        <f t="shared" si="0"/>
        <v>0</v>
      </c>
      <c r="N14" s="78">
        <f t="shared" si="0"/>
        <v>0</v>
      </c>
      <c r="O14" s="78">
        <f t="shared" si="0"/>
        <v>0</v>
      </c>
      <c r="P14" s="78">
        <f t="shared" si="0"/>
        <v>0</v>
      </c>
      <c r="Q14" s="79">
        <f t="shared" si="0"/>
        <v>0</v>
      </c>
      <c r="R14" s="67"/>
    </row>
    <row r="15" spans="2:23" ht="15.4" thickBot="1" x14ac:dyDescent="0.45">
      <c r="B15" s="44" t="s">
        <v>18</v>
      </c>
      <c r="C15" s="43" t="s">
        <v>41</v>
      </c>
      <c r="D15" s="54" t="s">
        <v>4</v>
      </c>
      <c r="E15" s="47"/>
      <c r="F15" s="100">
        <f>+F14*F12</f>
        <v>0</v>
      </c>
      <c r="G15" s="102">
        <f t="shared" ref="G15:Q15" si="1">+G14*G12</f>
        <v>0</v>
      </c>
      <c r="H15" s="158">
        <f t="shared" si="1"/>
        <v>0</v>
      </c>
      <c r="I15" s="102">
        <f t="shared" si="1"/>
        <v>0</v>
      </c>
      <c r="J15" s="102">
        <f t="shared" si="1"/>
        <v>0</v>
      </c>
      <c r="K15" s="102">
        <f t="shared" si="1"/>
        <v>0</v>
      </c>
      <c r="L15" s="102">
        <f t="shared" si="1"/>
        <v>0</v>
      </c>
      <c r="M15" s="26">
        <f t="shared" si="1"/>
        <v>0</v>
      </c>
      <c r="N15" s="26">
        <f t="shared" si="1"/>
        <v>0</v>
      </c>
      <c r="O15" s="26">
        <f t="shared" si="1"/>
        <v>0</v>
      </c>
      <c r="P15" s="26">
        <f t="shared" si="1"/>
        <v>0</v>
      </c>
      <c r="Q15" s="27">
        <f t="shared" si="1"/>
        <v>0</v>
      </c>
      <c r="R15" s="50">
        <f>SUM(F15:Q15)</f>
        <v>0</v>
      </c>
    </row>
    <row r="16" spans="2:23" ht="15" x14ac:dyDescent="0.4">
      <c r="B16" s="5"/>
      <c r="C16" s="22"/>
      <c r="D16" s="22"/>
      <c r="E16" s="4"/>
      <c r="F16" s="51"/>
      <c r="G16" s="53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66"/>
    </row>
    <row r="17" spans="2:18" ht="15" x14ac:dyDescent="0.4">
      <c r="B17" s="208" t="s">
        <v>29</v>
      </c>
      <c r="C17" s="42" t="s">
        <v>66</v>
      </c>
      <c r="D17" s="2" t="s">
        <v>26</v>
      </c>
      <c r="E17" s="4"/>
      <c r="F17" s="143">
        <f>13.012555/R$10</f>
        <v>3.5650835616438357E-2</v>
      </c>
      <c r="G17" s="79">
        <f>+F17</f>
        <v>3.5650835616438357E-2</v>
      </c>
      <c r="H17" s="117">
        <f t="shared" ref="H17:Q18" si="2">+G17</f>
        <v>3.5650835616438357E-2</v>
      </c>
      <c r="I17" s="78">
        <f t="shared" si="2"/>
        <v>3.5650835616438357E-2</v>
      </c>
      <c r="J17" s="78">
        <f t="shared" si="2"/>
        <v>3.5650835616438357E-2</v>
      </c>
      <c r="K17" s="78">
        <f t="shared" si="2"/>
        <v>3.5650835616438357E-2</v>
      </c>
      <c r="L17" s="78">
        <f t="shared" si="2"/>
        <v>3.5650835616438357E-2</v>
      </c>
      <c r="M17" s="78">
        <f t="shared" si="2"/>
        <v>3.5650835616438357E-2</v>
      </c>
      <c r="N17" s="78">
        <f t="shared" si="2"/>
        <v>3.5650835616438357E-2</v>
      </c>
      <c r="O17" s="78">
        <f t="shared" si="2"/>
        <v>3.5650835616438357E-2</v>
      </c>
      <c r="P17" s="78">
        <f t="shared" si="2"/>
        <v>3.5650835616438357E-2</v>
      </c>
      <c r="Q17" s="79">
        <f t="shared" si="2"/>
        <v>3.5650835616438357E-2</v>
      </c>
      <c r="R17" s="67"/>
    </row>
    <row r="18" spans="2:18" ht="15" x14ac:dyDescent="0.4">
      <c r="B18" s="208"/>
      <c r="C18" s="42" t="s">
        <v>67</v>
      </c>
      <c r="D18" s="2" t="s">
        <v>32</v>
      </c>
      <c r="E18" s="4"/>
      <c r="F18" s="143">
        <v>0</v>
      </c>
      <c r="G18" s="79">
        <f>+F18</f>
        <v>0</v>
      </c>
      <c r="H18" s="117">
        <f t="shared" si="2"/>
        <v>0</v>
      </c>
      <c r="I18" s="78">
        <f t="shared" si="2"/>
        <v>0</v>
      </c>
      <c r="J18" s="78">
        <f t="shared" si="2"/>
        <v>0</v>
      </c>
      <c r="K18" s="78">
        <f t="shared" si="2"/>
        <v>0</v>
      </c>
      <c r="L18" s="78">
        <f t="shared" si="2"/>
        <v>0</v>
      </c>
      <c r="M18" s="78">
        <f t="shared" si="2"/>
        <v>0</v>
      </c>
      <c r="N18" s="78">
        <f t="shared" si="2"/>
        <v>0</v>
      </c>
      <c r="O18" s="78">
        <f t="shared" si="2"/>
        <v>0</v>
      </c>
      <c r="P18" s="78">
        <f t="shared" si="2"/>
        <v>0</v>
      </c>
      <c r="Q18" s="79">
        <f t="shared" si="2"/>
        <v>0</v>
      </c>
      <c r="R18" s="67"/>
    </row>
    <row r="19" spans="2:18" ht="15" x14ac:dyDescent="0.4">
      <c r="B19" s="208"/>
      <c r="C19" s="42" t="s">
        <v>68</v>
      </c>
      <c r="D19" s="2" t="s">
        <v>4</v>
      </c>
      <c r="E19" s="4"/>
      <c r="F19" s="70">
        <f>ROUND(F17*F10,2)</f>
        <v>1.07</v>
      </c>
      <c r="G19" s="72">
        <f t="shared" ref="G19:Q19" si="3">ROUND(G17*G10,2)</f>
        <v>1.1100000000000001</v>
      </c>
      <c r="H19" s="159">
        <f t="shared" si="3"/>
        <v>1.1100000000000001</v>
      </c>
      <c r="I19" s="71">
        <f t="shared" si="3"/>
        <v>1</v>
      </c>
      <c r="J19" s="71">
        <f t="shared" si="3"/>
        <v>1.1100000000000001</v>
      </c>
      <c r="K19" s="71">
        <f t="shared" si="3"/>
        <v>1.07</v>
      </c>
      <c r="L19" s="71">
        <f t="shared" si="3"/>
        <v>1.1100000000000001</v>
      </c>
      <c r="M19" s="71">
        <f t="shared" si="3"/>
        <v>1.07</v>
      </c>
      <c r="N19" s="71">
        <f t="shared" si="3"/>
        <v>1.1100000000000001</v>
      </c>
      <c r="O19" s="71">
        <f t="shared" si="3"/>
        <v>1.1100000000000001</v>
      </c>
      <c r="P19" s="71">
        <f t="shared" si="3"/>
        <v>1.07</v>
      </c>
      <c r="Q19" s="72">
        <f t="shared" si="3"/>
        <v>1.1100000000000001</v>
      </c>
      <c r="R19" s="89">
        <f>SUM(F19:Q19)</f>
        <v>13.049999999999999</v>
      </c>
    </row>
    <row r="20" spans="2:18" ht="15.4" thickBot="1" x14ac:dyDescent="0.45">
      <c r="B20" s="208"/>
      <c r="C20" s="42" t="s">
        <v>69</v>
      </c>
      <c r="D20" s="42" t="s">
        <v>4</v>
      </c>
      <c r="E20" s="4"/>
      <c r="F20" s="70">
        <f>ROUND(F12*F18,2)</f>
        <v>0</v>
      </c>
      <c r="G20" s="72">
        <f t="shared" ref="G20:Q20" si="4">ROUND(G12*G18,2)</f>
        <v>0</v>
      </c>
      <c r="H20" s="159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72">
        <f t="shared" si="4"/>
        <v>0</v>
      </c>
      <c r="R20" s="89">
        <f>SUM(F20:Q20)</f>
        <v>0</v>
      </c>
    </row>
    <row r="21" spans="2:18" ht="15.4" thickBot="1" x14ac:dyDescent="0.45">
      <c r="B21" s="209"/>
      <c r="C21" s="92" t="s">
        <v>31</v>
      </c>
      <c r="D21" s="54" t="s">
        <v>4</v>
      </c>
      <c r="E21" s="47"/>
      <c r="F21" s="25">
        <f>+F20+F19</f>
        <v>1.07</v>
      </c>
      <c r="G21" s="27">
        <f>SUM(G19:G20)</f>
        <v>1.1100000000000001</v>
      </c>
      <c r="H21" s="83">
        <f t="shared" ref="H21:Q21" si="5">SUM(H19:H20)</f>
        <v>1.1100000000000001</v>
      </c>
      <c r="I21" s="26">
        <f t="shared" si="5"/>
        <v>1</v>
      </c>
      <c r="J21" s="26">
        <f t="shared" si="5"/>
        <v>1.1100000000000001</v>
      </c>
      <c r="K21" s="26">
        <f t="shared" si="5"/>
        <v>1.07</v>
      </c>
      <c r="L21" s="26">
        <f t="shared" si="5"/>
        <v>1.1100000000000001</v>
      </c>
      <c r="M21" s="26">
        <f t="shared" si="5"/>
        <v>1.07</v>
      </c>
      <c r="N21" s="26">
        <f t="shared" si="5"/>
        <v>1.1100000000000001</v>
      </c>
      <c r="O21" s="26">
        <f t="shared" si="5"/>
        <v>1.1100000000000001</v>
      </c>
      <c r="P21" s="26">
        <f t="shared" si="5"/>
        <v>1.07</v>
      </c>
      <c r="Q21" s="27">
        <f t="shared" si="5"/>
        <v>1.1100000000000001</v>
      </c>
      <c r="R21" s="50">
        <f>SUM(F21:Q21)</f>
        <v>13.049999999999999</v>
      </c>
    </row>
    <row r="22" spans="2:18" ht="15" x14ac:dyDescent="0.4">
      <c r="B22" s="5"/>
      <c r="C22" s="22"/>
      <c r="D22" s="22"/>
      <c r="E22" s="4"/>
      <c r="F22" s="51"/>
      <c r="G22" s="53"/>
      <c r="H22" s="52"/>
      <c r="I22" s="52"/>
      <c r="J22" s="52"/>
      <c r="K22" s="52"/>
      <c r="L22" s="52"/>
      <c r="M22" s="52"/>
      <c r="N22" s="52"/>
      <c r="O22" s="52"/>
      <c r="P22" s="52"/>
      <c r="Q22" s="53"/>
      <c r="R22" s="66"/>
    </row>
    <row r="23" spans="2:18" ht="15" x14ac:dyDescent="0.4">
      <c r="B23" s="208" t="s">
        <v>28</v>
      </c>
      <c r="C23" s="42" t="s">
        <v>70</v>
      </c>
      <c r="D23" s="2" t="s">
        <v>26</v>
      </c>
      <c r="E23" s="4"/>
      <c r="F23" s="143">
        <f>176.302005/$R10</f>
        <v>0.48301919178082192</v>
      </c>
      <c r="G23" s="79">
        <f>+F23</f>
        <v>0.48301919178082192</v>
      </c>
      <c r="H23" s="117">
        <f t="shared" ref="H23:Q24" si="6">+G23</f>
        <v>0.48301919178082192</v>
      </c>
      <c r="I23" s="78">
        <f t="shared" si="6"/>
        <v>0.48301919178082192</v>
      </c>
      <c r="J23" s="78">
        <f t="shared" si="6"/>
        <v>0.48301919178082192</v>
      </c>
      <c r="K23" s="78">
        <f t="shared" si="6"/>
        <v>0.48301919178082192</v>
      </c>
      <c r="L23" s="78">
        <f t="shared" si="6"/>
        <v>0.48301919178082192</v>
      </c>
      <c r="M23" s="78">
        <f t="shared" si="6"/>
        <v>0.48301919178082192</v>
      </c>
      <c r="N23" s="78">
        <f t="shared" si="6"/>
        <v>0.48301919178082192</v>
      </c>
      <c r="O23" s="78">
        <f t="shared" si="6"/>
        <v>0.48301919178082192</v>
      </c>
      <c r="P23" s="78">
        <f t="shared" si="6"/>
        <v>0.48301919178082192</v>
      </c>
      <c r="Q23" s="79">
        <f t="shared" si="6"/>
        <v>0.48301919178082192</v>
      </c>
      <c r="R23" s="67"/>
    </row>
    <row r="24" spans="2:18" ht="15" x14ac:dyDescent="0.4">
      <c r="B24" s="208"/>
      <c r="C24" s="2" t="s">
        <v>71</v>
      </c>
      <c r="D24" s="2" t="s">
        <v>3</v>
      </c>
      <c r="E24" s="4"/>
      <c r="F24" s="143">
        <v>9.7820000000000008E-3</v>
      </c>
      <c r="G24" s="79">
        <f>+F24</f>
        <v>9.7820000000000008E-3</v>
      </c>
      <c r="H24" s="117">
        <f t="shared" si="6"/>
        <v>9.7820000000000008E-3</v>
      </c>
      <c r="I24" s="78">
        <f t="shared" si="6"/>
        <v>9.7820000000000008E-3</v>
      </c>
      <c r="J24" s="78">
        <f t="shared" si="6"/>
        <v>9.7820000000000008E-3</v>
      </c>
      <c r="K24" s="78">
        <f t="shared" si="6"/>
        <v>9.7820000000000008E-3</v>
      </c>
      <c r="L24" s="78">
        <f t="shared" si="6"/>
        <v>9.7820000000000008E-3</v>
      </c>
      <c r="M24" s="78">
        <f t="shared" si="6"/>
        <v>9.7820000000000008E-3</v>
      </c>
      <c r="N24" s="78">
        <f t="shared" si="6"/>
        <v>9.7820000000000008E-3</v>
      </c>
      <c r="O24" s="78">
        <f t="shared" si="6"/>
        <v>9.7820000000000008E-3</v>
      </c>
      <c r="P24" s="78">
        <f t="shared" si="6"/>
        <v>9.7820000000000008E-3</v>
      </c>
      <c r="Q24" s="79">
        <f t="shared" si="6"/>
        <v>9.7820000000000008E-3</v>
      </c>
      <c r="R24" s="67"/>
    </row>
    <row r="25" spans="2:18" ht="15" x14ac:dyDescent="0.4">
      <c r="B25" s="208"/>
      <c r="C25" s="42" t="s">
        <v>68</v>
      </c>
      <c r="D25" s="2" t="s">
        <v>4</v>
      </c>
      <c r="E25" s="4"/>
      <c r="F25" s="70">
        <f>ROUND(F23*F10,2)</f>
        <v>14.49</v>
      </c>
      <c r="G25" s="72">
        <f t="shared" ref="G25:Q25" si="7">ROUND(G23*G10,2)</f>
        <v>14.97</v>
      </c>
      <c r="H25" s="159">
        <f t="shared" si="7"/>
        <v>14.97</v>
      </c>
      <c r="I25" s="71">
        <f t="shared" si="7"/>
        <v>13.52</v>
      </c>
      <c r="J25" s="71">
        <f t="shared" si="7"/>
        <v>14.97</v>
      </c>
      <c r="K25" s="71">
        <f t="shared" si="7"/>
        <v>14.49</v>
      </c>
      <c r="L25" s="71">
        <f t="shared" si="7"/>
        <v>14.97</v>
      </c>
      <c r="M25" s="71">
        <f t="shared" si="7"/>
        <v>14.49</v>
      </c>
      <c r="N25" s="71">
        <f t="shared" si="7"/>
        <v>14.97</v>
      </c>
      <c r="O25" s="71">
        <f t="shared" si="7"/>
        <v>14.97</v>
      </c>
      <c r="P25" s="71">
        <f t="shared" si="7"/>
        <v>14.49</v>
      </c>
      <c r="Q25" s="72">
        <f t="shared" si="7"/>
        <v>14.97</v>
      </c>
      <c r="R25" s="89">
        <f>SUM(F25:Q25)</f>
        <v>176.27</v>
      </c>
    </row>
    <row r="26" spans="2:18" ht="15.4" thickBot="1" x14ac:dyDescent="0.45">
      <c r="B26" s="208"/>
      <c r="C26" s="2" t="s">
        <v>69</v>
      </c>
      <c r="D26" s="2" t="s">
        <v>4</v>
      </c>
      <c r="E26" s="4"/>
      <c r="F26" s="70">
        <f t="shared" ref="F26:Q26" si="8">ROUND(F24*F12,2)</f>
        <v>0</v>
      </c>
      <c r="G26" s="72">
        <f t="shared" si="8"/>
        <v>100.82</v>
      </c>
      <c r="H26" s="159">
        <f t="shared" si="8"/>
        <v>0</v>
      </c>
      <c r="I26" s="71">
        <f t="shared" si="8"/>
        <v>102.11</v>
      </c>
      <c r="J26" s="71">
        <f t="shared" si="8"/>
        <v>0</v>
      </c>
      <c r="K26" s="71">
        <f t="shared" si="8"/>
        <v>21.44</v>
      </c>
      <c r="L26" s="71">
        <f t="shared" si="8"/>
        <v>0</v>
      </c>
      <c r="M26" s="71">
        <f t="shared" si="8"/>
        <v>127.07</v>
      </c>
      <c r="N26" s="71">
        <f t="shared" si="8"/>
        <v>0</v>
      </c>
      <c r="O26" s="71">
        <f t="shared" si="8"/>
        <v>7.58</v>
      </c>
      <c r="P26" s="71">
        <f t="shared" si="8"/>
        <v>0</v>
      </c>
      <c r="Q26" s="72">
        <f t="shared" si="8"/>
        <v>20.48</v>
      </c>
      <c r="R26" s="89">
        <f>SUM(F26:Q26)</f>
        <v>379.5</v>
      </c>
    </row>
    <row r="27" spans="2:18" ht="15.4" thickBot="1" x14ac:dyDescent="0.45">
      <c r="B27" s="208"/>
      <c r="C27" s="92" t="s">
        <v>30</v>
      </c>
      <c r="D27" s="54" t="s">
        <v>4</v>
      </c>
      <c r="E27" s="47"/>
      <c r="F27" s="25">
        <f>SUM(F25:F26)</f>
        <v>14.49</v>
      </c>
      <c r="G27" s="27">
        <f t="shared" ref="G27:Q27" si="9">SUM(G25:G26)</f>
        <v>115.78999999999999</v>
      </c>
      <c r="H27" s="83">
        <f t="shared" si="9"/>
        <v>14.97</v>
      </c>
      <c r="I27" s="26">
        <f t="shared" si="9"/>
        <v>115.63</v>
      </c>
      <c r="J27" s="26">
        <f t="shared" si="9"/>
        <v>14.97</v>
      </c>
      <c r="K27" s="26">
        <f t="shared" si="9"/>
        <v>35.93</v>
      </c>
      <c r="L27" s="26">
        <f t="shared" si="9"/>
        <v>14.97</v>
      </c>
      <c r="M27" s="26">
        <f t="shared" si="9"/>
        <v>141.56</v>
      </c>
      <c r="N27" s="26">
        <f t="shared" si="9"/>
        <v>14.97</v>
      </c>
      <c r="O27" s="26">
        <f t="shared" si="9"/>
        <v>22.55</v>
      </c>
      <c r="P27" s="26">
        <f t="shared" si="9"/>
        <v>14.49</v>
      </c>
      <c r="Q27" s="27">
        <f t="shared" si="9"/>
        <v>35.450000000000003</v>
      </c>
      <c r="R27" s="50">
        <f>SUM(F27:Q27)</f>
        <v>555.7700000000001</v>
      </c>
    </row>
    <row r="28" spans="2:18" ht="15" x14ac:dyDescent="0.4">
      <c r="B28" s="5"/>
      <c r="C28" s="22"/>
      <c r="D28" s="22"/>
      <c r="E28" s="4"/>
      <c r="F28" s="51"/>
      <c r="G28" s="53"/>
      <c r="H28" s="52"/>
      <c r="I28" s="52"/>
      <c r="J28" s="52"/>
      <c r="K28" s="52"/>
      <c r="L28" s="52"/>
      <c r="M28" s="52"/>
      <c r="N28" s="52"/>
      <c r="O28" s="52"/>
      <c r="P28" s="52"/>
      <c r="Q28" s="53"/>
      <c r="R28" s="66"/>
    </row>
    <row r="29" spans="2:18" ht="15" x14ac:dyDescent="0.4">
      <c r="B29" s="201" t="s">
        <v>33</v>
      </c>
      <c r="C29" s="93" t="s">
        <v>75</v>
      </c>
      <c r="D29" s="2" t="s">
        <v>26</v>
      </c>
      <c r="E29" s="4"/>
      <c r="F29" s="143">
        <f>1.08/R$10</f>
        <v>2.9589041095890414E-3</v>
      </c>
      <c r="G29" s="79">
        <f>+F29</f>
        <v>2.9589041095890414E-3</v>
      </c>
      <c r="H29" s="117">
        <f t="shared" ref="H29:Q30" si="10">+G29</f>
        <v>2.9589041095890414E-3</v>
      </c>
      <c r="I29" s="78">
        <f t="shared" si="10"/>
        <v>2.9589041095890414E-3</v>
      </c>
      <c r="J29" s="78">
        <f t="shared" si="10"/>
        <v>2.9589041095890414E-3</v>
      </c>
      <c r="K29" s="78">
        <f t="shared" si="10"/>
        <v>2.9589041095890414E-3</v>
      </c>
      <c r="L29" s="78">
        <f t="shared" si="10"/>
        <v>2.9589041095890414E-3</v>
      </c>
      <c r="M29" s="78">
        <f t="shared" si="10"/>
        <v>2.9589041095890414E-3</v>
      </c>
      <c r="N29" s="78">
        <f t="shared" si="10"/>
        <v>2.9589041095890414E-3</v>
      </c>
      <c r="O29" s="78">
        <f t="shared" si="10"/>
        <v>2.9589041095890414E-3</v>
      </c>
      <c r="P29" s="78">
        <f t="shared" si="10"/>
        <v>2.9589041095890414E-3</v>
      </c>
      <c r="Q29" s="79">
        <f t="shared" si="10"/>
        <v>2.9589041095890414E-3</v>
      </c>
      <c r="R29" s="67"/>
    </row>
    <row r="30" spans="2:18" ht="15" x14ac:dyDescent="0.4">
      <c r="B30" s="202"/>
      <c r="C30" s="93" t="s">
        <v>76</v>
      </c>
      <c r="D30" s="2" t="s">
        <v>3</v>
      </c>
      <c r="E30" s="4"/>
      <c r="F30" s="144">
        <v>7.4339999999999996E-3</v>
      </c>
      <c r="G30" s="91">
        <f>+F30</f>
        <v>7.4339999999999996E-3</v>
      </c>
      <c r="H30" s="160">
        <f t="shared" si="10"/>
        <v>7.4339999999999996E-3</v>
      </c>
      <c r="I30" s="90">
        <f t="shared" si="10"/>
        <v>7.4339999999999996E-3</v>
      </c>
      <c r="J30" s="90">
        <f t="shared" si="10"/>
        <v>7.4339999999999996E-3</v>
      </c>
      <c r="K30" s="90">
        <f t="shared" si="10"/>
        <v>7.4339999999999996E-3</v>
      </c>
      <c r="L30" s="90">
        <f t="shared" si="10"/>
        <v>7.4339999999999996E-3</v>
      </c>
      <c r="M30" s="90">
        <f t="shared" si="10"/>
        <v>7.4339999999999996E-3</v>
      </c>
      <c r="N30" s="90">
        <f t="shared" si="10"/>
        <v>7.4339999999999996E-3</v>
      </c>
      <c r="O30" s="90">
        <f t="shared" si="10"/>
        <v>7.4339999999999996E-3</v>
      </c>
      <c r="P30" s="90">
        <f t="shared" si="10"/>
        <v>7.4339999999999996E-3</v>
      </c>
      <c r="Q30" s="91">
        <f t="shared" si="10"/>
        <v>7.4339999999999996E-3</v>
      </c>
      <c r="R30" s="67"/>
    </row>
    <row r="31" spans="2:18" ht="15" x14ac:dyDescent="0.4">
      <c r="B31" s="202"/>
      <c r="C31" s="93" t="s">
        <v>77</v>
      </c>
      <c r="D31" s="2" t="s">
        <v>4</v>
      </c>
      <c r="E31" s="4"/>
      <c r="F31" s="70">
        <f t="shared" ref="F31:Q31" si="11">ROUND(F29*F10,2)</f>
        <v>0.09</v>
      </c>
      <c r="G31" s="72">
        <f t="shared" si="11"/>
        <v>0.09</v>
      </c>
      <c r="H31" s="159">
        <f t="shared" si="11"/>
        <v>0.09</v>
      </c>
      <c r="I31" s="71">
        <f t="shared" si="11"/>
        <v>0.08</v>
      </c>
      <c r="J31" s="71">
        <f t="shared" si="11"/>
        <v>0.09</v>
      </c>
      <c r="K31" s="71">
        <f t="shared" si="11"/>
        <v>0.09</v>
      </c>
      <c r="L31" s="71">
        <f t="shared" si="11"/>
        <v>0.09</v>
      </c>
      <c r="M31" s="71">
        <f t="shared" si="11"/>
        <v>0.09</v>
      </c>
      <c r="N31" s="71">
        <f t="shared" si="11"/>
        <v>0.09</v>
      </c>
      <c r="O31" s="71">
        <f t="shared" si="11"/>
        <v>0.09</v>
      </c>
      <c r="P31" s="71">
        <f t="shared" si="11"/>
        <v>0.09</v>
      </c>
      <c r="Q31" s="72">
        <f t="shared" si="11"/>
        <v>0.09</v>
      </c>
      <c r="R31" s="89">
        <f>SUM(F31:Q31)</f>
        <v>1.0699999999999998</v>
      </c>
    </row>
    <row r="32" spans="2:18" ht="16.5" customHeight="1" thickBot="1" x14ac:dyDescent="0.45">
      <c r="B32" s="202"/>
      <c r="C32" s="93" t="s">
        <v>78</v>
      </c>
      <c r="D32" s="2" t="s">
        <v>4</v>
      </c>
      <c r="E32" s="4"/>
      <c r="F32" s="70">
        <f t="shared" ref="F32:Q32" si="12">ROUND(F12*F30,2)</f>
        <v>0</v>
      </c>
      <c r="G32" s="72">
        <f t="shared" si="12"/>
        <v>76.62</v>
      </c>
      <c r="H32" s="159">
        <f t="shared" si="12"/>
        <v>0</v>
      </c>
      <c r="I32" s="71">
        <f t="shared" si="12"/>
        <v>77.599999999999994</v>
      </c>
      <c r="J32" s="71">
        <f t="shared" si="12"/>
        <v>0</v>
      </c>
      <c r="K32" s="71">
        <f t="shared" si="12"/>
        <v>16.3</v>
      </c>
      <c r="L32" s="71">
        <f t="shared" si="12"/>
        <v>0</v>
      </c>
      <c r="M32" s="71">
        <f t="shared" si="12"/>
        <v>96.57</v>
      </c>
      <c r="N32" s="71">
        <f t="shared" si="12"/>
        <v>0</v>
      </c>
      <c r="O32" s="71">
        <f t="shared" si="12"/>
        <v>5.76</v>
      </c>
      <c r="P32" s="71">
        <f t="shared" si="12"/>
        <v>0</v>
      </c>
      <c r="Q32" s="72">
        <f t="shared" si="12"/>
        <v>15.57</v>
      </c>
      <c r="R32" s="89">
        <f>SUM(F32:Q32)</f>
        <v>288.42</v>
      </c>
    </row>
    <row r="33" spans="2:19" ht="15.4" thickBot="1" x14ac:dyDescent="0.45">
      <c r="B33" s="203"/>
      <c r="C33" s="92" t="s">
        <v>34</v>
      </c>
      <c r="D33" s="54" t="s">
        <v>4</v>
      </c>
      <c r="E33" s="4"/>
      <c r="F33" s="25">
        <f>+F32+F31</f>
        <v>0.09</v>
      </c>
      <c r="G33" s="27">
        <f t="shared" ref="G33:Q33" si="13">SUM(G31:G32)</f>
        <v>76.710000000000008</v>
      </c>
      <c r="H33" s="83">
        <f t="shared" si="13"/>
        <v>0.09</v>
      </c>
      <c r="I33" s="26">
        <f t="shared" si="13"/>
        <v>77.679999999999993</v>
      </c>
      <c r="J33" s="26">
        <f t="shared" si="13"/>
        <v>0.09</v>
      </c>
      <c r="K33" s="26">
        <f t="shared" si="13"/>
        <v>16.39</v>
      </c>
      <c r="L33" s="26">
        <f t="shared" si="13"/>
        <v>0.09</v>
      </c>
      <c r="M33" s="26">
        <f t="shared" si="13"/>
        <v>96.66</v>
      </c>
      <c r="N33" s="26">
        <f t="shared" si="13"/>
        <v>0.09</v>
      </c>
      <c r="O33" s="26">
        <f t="shared" si="13"/>
        <v>5.85</v>
      </c>
      <c r="P33" s="26">
        <f t="shared" si="13"/>
        <v>0.09</v>
      </c>
      <c r="Q33" s="27">
        <f t="shared" si="13"/>
        <v>15.66</v>
      </c>
      <c r="R33" s="50">
        <f>SUM(F33:Q33)</f>
        <v>289.49</v>
      </c>
    </row>
    <row r="34" spans="2:19" x14ac:dyDescent="0.35">
      <c r="B34" s="5"/>
      <c r="C34" s="5"/>
      <c r="D34" s="5"/>
      <c r="E34" s="5"/>
      <c r="F34" s="94"/>
      <c r="G34" s="96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/>
      <c r="S34" s="5"/>
    </row>
    <row r="35" spans="2:19" ht="15" x14ac:dyDescent="0.4">
      <c r="B35" s="2" t="s">
        <v>27</v>
      </c>
      <c r="C35" s="2" t="s">
        <v>80</v>
      </c>
      <c r="D35" s="2" t="s">
        <v>4</v>
      </c>
      <c r="E35" s="5"/>
      <c r="F35" s="70">
        <f>ROUND((F21+F27)*1.354/100,2)</f>
        <v>0.21</v>
      </c>
      <c r="G35" s="72">
        <f t="shared" ref="G35:Q35" si="14">ROUND((G21+G27)*1.354/100,2)</f>
        <v>1.58</v>
      </c>
      <c r="H35" s="159">
        <f t="shared" si="14"/>
        <v>0.22</v>
      </c>
      <c r="I35" s="71">
        <f t="shared" si="14"/>
        <v>1.58</v>
      </c>
      <c r="J35" s="71">
        <f t="shared" si="14"/>
        <v>0.22</v>
      </c>
      <c r="K35" s="71">
        <f t="shared" si="14"/>
        <v>0.5</v>
      </c>
      <c r="L35" s="71">
        <f t="shared" si="14"/>
        <v>0.22</v>
      </c>
      <c r="M35" s="71">
        <f t="shared" si="14"/>
        <v>1.93</v>
      </c>
      <c r="N35" s="71">
        <f t="shared" si="14"/>
        <v>0.22</v>
      </c>
      <c r="O35" s="71">
        <f t="shared" si="14"/>
        <v>0.32</v>
      </c>
      <c r="P35" s="71">
        <f t="shared" si="14"/>
        <v>0.21</v>
      </c>
      <c r="Q35" s="72">
        <f t="shared" si="14"/>
        <v>0.5</v>
      </c>
      <c r="R35" s="89">
        <f t="shared" ref="R35:R36" si="15">SUM(F35:Q35)</f>
        <v>7.71</v>
      </c>
      <c r="S35" s="5"/>
    </row>
    <row r="36" spans="2:19" ht="15" x14ac:dyDescent="0.4">
      <c r="B36" s="2" t="s">
        <v>38</v>
      </c>
      <c r="C36" s="2" t="s">
        <v>37</v>
      </c>
      <c r="D36" s="2" t="s">
        <v>4</v>
      </c>
      <c r="E36" s="5"/>
      <c r="F36" s="70">
        <f t="shared" ref="F36:Q36" si="16">ROUND((F21+F27+F33)*0.0014,2)</f>
        <v>0.02</v>
      </c>
      <c r="G36" s="72">
        <f t="shared" si="16"/>
        <v>0.27</v>
      </c>
      <c r="H36" s="159">
        <f t="shared" si="16"/>
        <v>0.02</v>
      </c>
      <c r="I36" s="71">
        <f t="shared" si="16"/>
        <v>0.27</v>
      </c>
      <c r="J36" s="71">
        <f t="shared" si="16"/>
        <v>0.02</v>
      </c>
      <c r="K36" s="71">
        <f t="shared" si="16"/>
        <v>7.0000000000000007E-2</v>
      </c>
      <c r="L36" s="71">
        <f t="shared" si="16"/>
        <v>0.02</v>
      </c>
      <c r="M36" s="71">
        <f t="shared" si="16"/>
        <v>0.34</v>
      </c>
      <c r="N36" s="71">
        <f t="shared" si="16"/>
        <v>0.02</v>
      </c>
      <c r="O36" s="71">
        <f t="shared" si="16"/>
        <v>0.04</v>
      </c>
      <c r="P36" s="71">
        <f t="shared" si="16"/>
        <v>0.02</v>
      </c>
      <c r="Q36" s="72">
        <f t="shared" si="16"/>
        <v>7.0000000000000007E-2</v>
      </c>
      <c r="R36" s="89">
        <f t="shared" si="15"/>
        <v>1.1800000000000004</v>
      </c>
      <c r="S36" s="5"/>
    </row>
    <row r="37" spans="2:19" ht="15.4" thickBot="1" x14ac:dyDescent="0.45">
      <c r="B37" s="2" t="s">
        <v>36</v>
      </c>
      <c r="C37" s="108" t="s">
        <v>79</v>
      </c>
      <c r="D37" s="56" t="s">
        <v>4</v>
      </c>
      <c r="E37" s="4"/>
      <c r="F37" s="74">
        <f>ROUND(F12*0.00234,2)</f>
        <v>0</v>
      </c>
      <c r="G37" s="76">
        <f t="shared" ref="G37:Q37" si="17">ROUND(G12*0.00234,2)</f>
        <v>24.12</v>
      </c>
      <c r="H37" s="161">
        <f t="shared" si="17"/>
        <v>0</v>
      </c>
      <c r="I37" s="75">
        <f t="shared" si="17"/>
        <v>24.43</v>
      </c>
      <c r="J37" s="75">
        <f t="shared" si="17"/>
        <v>0</v>
      </c>
      <c r="K37" s="75">
        <f t="shared" si="17"/>
        <v>5.13</v>
      </c>
      <c r="L37" s="75">
        <f t="shared" si="17"/>
        <v>0</v>
      </c>
      <c r="M37" s="75">
        <f t="shared" si="17"/>
        <v>30.4</v>
      </c>
      <c r="N37" s="75">
        <f t="shared" si="17"/>
        <v>0</v>
      </c>
      <c r="O37" s="75">
        <f t="shared" si="17"/>
        <v>1.81</v>
      </c>
      <c r="P37" s="75">
        <f t="shared" si="17"/>
        <v>0</v>
      </c>
      <c r="Q37" s="76">
        <f t="shared" si="17"/>
        <v>4.9000000000000004</v>
      </c>
      <c r="R37" s="98">
        <f>SUM(F37:Q37)</f>
        <v>90.79</v>
      </c>
    </row>
    <row r="38" spans="2:19" ht="15.4" thickBot="1" x14ac:dyDescent="0.45">
      <c r="B38" s="22"/>
      <c r="C38" s="21" t="s">
        <v>39</v>
      </c>
      <c r="D38" s="46" t="s">
        <v>4</v>
      </c>
      <c r="E38" s="57"/>
      <c r="F38" s="25">
        <f>SUM(F35:F37)</f>
        <v>0.22999999999999998</v>
      </c>
      <c r="G38" s="27">
        <f t="shared" ref="G38:Q38" si="18">SUM(G35:G37)</f>
        <v>25.970000000000002</v>
      </c>
      <c r="H38" s="83">
        <f t="shared" si="18"/>
        <v>0.24</v>
      </c>
      <c r="I38" s="26">
        <f t="shared" si="18"/>
        <v>26.28</v>
      </c>
      <c r="J38" s="26">
        <f t="shared" si="18"/>
        <v>0.24</v>
      </c>
      <c r="K38" s="26">
        <f t="shared" si="18"/>
        <v>5.7</v>
      </c>
      <c r="L38" s="26">
        <f t="shared" si="18"/>
        <v>0.24</v>
      </c>
      <c r="M38" s="26">
        <f t="shared" si="18"/>
        <v>32.67</v>
      </c>
      <c r="N38" s="26">
        <f t="shared" si="18"/>
        <v>0.24</v>
      </c>
      <c r="O38" s="26">
        <f t="shared" si="18"/>
        <v>2.17</v>
      </c>
      <c r="P38" s="26">
        <f t="shared" si="18"/>
        <v>0.22999999999999998</v>
      </c>
      <c r="Q38" s="45">
        <f t="shared" si="18"/>
        <v>5.4700000000000006</v>
      </c>
      <c r="R38" s="50">
        <f>SUM(F38:Q38)</f>
        <v>99.68</v>
      </c>
    </row>
    <row r="39" spans="2:19" ht="15" x14ac:dyDescent="0.4">
      <c r="C39" s="22"/>
      <c r="D39" s="22"/>
      <c r="E39" s="4"/>
      <c r="F39" s="36"/>
      <c r="G39" s="37"/>
      <c r="H39" s="6"/>
      <c r="I39" s="6"/>
      <c r="J39" s="6"/>
      <c r="K39" s="6"/>
      <c r="L39" s="6"/>
      <c r="M39" s="6"/>
      <c r="N39" s="6"/>
      <c r="O39" s="6"/>
      <c r="P39" s="6"/>
      <c r="Q39" s="6"/>
      <c r="R39" s="67"/>
    </row>
    <row r="40" spans="2:19" ht="15.4" thickBot="1" x14ac:dyDescent="0.45">
      <c r="B40" s="204" t="s">
        <v>21</v>
      </c>
      <c r="C40" s="109" t="s">
        <v>20</v>
      </c>
      <c r="D40" s="2" t="s">
        <v>4</v>
      </c>
      <c r="E40" s="4"/>
      <c r="F40" s="70">
        <f>0.019068*F10</f>
        <v>0.5720400000000001</v>
      </c>
      <c r="G40" s="72">
        <f t="shared" ref="G40:Q40" si="19">0.019068*G10</f>
        <v>0.59110800000000008</v>
      </c>
      <c r="H40" s="159">
        <f t="shared" si="19"/>
        <v>0.59110800000000008</v>
      </c>
      <c r="I40" s="71">
        <f t="shared" si="19"/>
        <v>0.53390400000000005</v>
      </c>
      <c r="J40" s="71">
        <f t="shared" si="19"/>
        <v>0.59110800000000008</v>
      </c>
      <c r="K40" s="71">
        <f t="shared" si="19"/>
        <v>0.5720400000000001</v>
      </c>
      <c r="L40" s="71">
        <f t="shared" si="19"/>
        <v>0.59110800000000008</v>
      </c>
      <c r="M40" s="71">
        <f t="shared" si="19"/>
        <v>0.5720400000000001</v>
      </c>
      <c r="N40" s="71">
        <f t="shared" si="19"/>
        <v>0.59110800000000008</v>
      </c>
      <c r="O40" s="71">
        <f t="shared" si="19"/>
        <v>0.59110800000000008</v>
      </c>
      <c r="P40" s="71">
        <f t="shared" si="19"/>
        <v>0.5720400000000001</v>
      </c>
      <c r="Q40" s="73">
        <f t="shared" si="19"/>
        <v>0.59110800000000008</v>
      </c>
      <c r="R40" s="77">
        <f>SUM(F40:Q40)</f>
        <v>6.9598200000000023</v>
      </c>
    </row>
    <row r="41" spans="2:19" ht="15.4" thickBot="1" x14ac:dyDescent="0.45">
      <c r="B41" s="205"/>
      <c r="C41" s="21" t="s">
        <v>81</v>
      </c>
      <c r="D41" s="55" t="s">
        <v>4</v>
      </c>
      <c r="E41" s="47"/>
      <c r="F41" s="48">
        <f t="shared" ref="F41:Q41" si="20">+F40</f>
        <v>0.5720400000000001</v>
      </c>
      <c r="G41" s="41">
        <f t="shared" si="20"/>
        <v>0.59110800000000008</v>
      </c>
      <c r="H41" s="49">
        <f t="shared" si="20"/>
        <v>0.59110800000000008</v>
      </c>
      <c r="I41" s="49">
        <f t="shared" si="20"/>
        <v>0.53390400000000005</v>
      </c>
      <c r="J41" s="49">
        <f t="shared" si="20"/>
        <v>0.59110800000000008</v>
      </c>
      <c r="K41" s="49">
        <f t="shared" si="20"/>
        <v>0.5720400000000001</v>
      </c>
      <c r="L41" s="49">
        <f t="shared" si="20"/>
        <v>0.59110800000000008</v>
      </c>
      <c r="M41" s="49">
        <f t="shared" si="20"/>
        <v>0.5720400000000001</v>
      </c>
      <c r="N41" s="49">
        <f t="shared" si="20"/>
        <v>0.59110800000000008</v>
      </c>
      <c r="O41" s="49">
        <f t="shared" si="20"/>
        <v>0.59110800000000008</v>
      </c>
      <c r="P41" s="49">
        <f t="shared" si="20"/>
        <v>0.5720400000000001</v>
      </c>
      <c r="Q41" s="41">
        <f t="shared" si="20"/>
        <v>0.59110800000000008</v>
      </c>
      <c r="R41" s="41">
        <f>SUM(F41:Q41)</f>
        <v>6.9598200000000023</v>
      </c>
    </row>
    <row r="42" spans="2:19" ht="15.4" thickBot="1" x14ac:dyDescent="0.45">
      <c r="C42" s="22"/>
      <c r="D42" s="22"/>
      <c r="E42" s="4"/>
      <c r="F42" s="36"/>
      <c r="G42" s="37"/>
      <c r="H42" s="6"/>
      <c r="I42" s="6"/>
      <c r="J42" s="6"/>
      <c r="K42" s="6"/>
      <c r="L42" s="6"/>
      <c r="M42" s="6"/>
      <c r="N42" s="6"/>
      <c r="O42" s="6"/>
      <c r="P42" s="6"/>
      <c r="Q42" s="37"/>
      <c r="R42" s="37"/>
    </row>
    <row r="43" spans="2:19" ht="15.4" thickBot="1" x14ac:dyDescent="0.45">
      <c r="C43" s="23" t="s">
        <v>19</v>
      </c>
      <c r="D43" s="54" t="s">
        <v>3</v>
      </c>
      <c r="E43" s="4"/>
      <c r="F43" s="38">
        <f>IF(F12=0,0,+F45/F12)</f>
        <v>0</v>
      </c>
      <c r="G43" s="40">
        <f t="shared" ref="G43:Q43" si="21">IF(G12=0,0,+G45/G12)</f>
        <v>2.1361318327350345E-2</v>
      </c>
      <c r="H43" s="162">
        <f t="shared" si="21"/>
        <v>0</v>
      </c>
      <c r="I43" s="39">
        <f t="shared" si="21"/>
        <v>2.1182479547849412E-2</v>
      </c>
      <c r="J43" s="39">
        <f t="shared" si="21"/>
        <v>0</v>
      </c>
      <c r="K43" s="39">
        <f t="shared" si="21"/>
        <v>2.7218083941605842E-2</v>
      </c>
      <c r="L43" s="39">
        <f t="shared" si="21"/>
        <v>0</v>
      </c>
      <c r="M43" s="39">
        <f t="shared" si="21"/>
        <v>2.0980141647421093E-2</v>
      </c>
      <c r="N43" s="39">
        <f t="shared" si="21"/>
        <v>0</v>
      </c>
      <c r="O43" s="39">
        <f t="shared" si="21"/>
        <v>4.1640139354838707E-2</v>
      </c>
      <c r="P43" s="39">
        <f t="shared" si="21"/>
        <v>0</v>
      </c>
      <c r="Q43" s="40">
        <f t="shared" si="21"/>
        <v>2.7832429799426933E-2</v>
      </c>
      <c r="R43" s="24">
        <f>+R45/R12</f>
        <v>2.4871763796169809E-2</v>
      </c>
    </row>
    <row r="44" spans="2:19" ht="15.4" thickBot="1" x14ac:dyDescent="0.45">
      <c r="C44" s="22"/>
      <c r="D44" s="22"/>
      <c r="E44" s="4"/>
      <c r="F44" s="35"/>
      <c r="G44" s="16"/>
      <c r="H44" s="22"/>
      <c r="I44" s="22"/>
      <c r="J44" s="22"/>
      <c r="K44" s="22"/>
      <c r="L44" s="22"/>
      <c r="M44" s="22"/>
      <c r="N44" s="22"/>
      <c r="O44" s="22"/>
      <c r="P44" s="22"/>
      <c r="Q44" s="16"/>
      <c r="R44" s="16"/>
    </row>
    <row r="45" spans="2:19" ht="15.4" thickBot="1" x14ac:dyDescent="0.45">
      <c r="B45" s="4"/>
      <c r="C45" s="23" t="s">
        <v>72</v>
      </c>
      <c r="D45" s="55" t="s">
        <v>17</v>
      </c>
      <c r="E45" s="4"/>
      <c r="F45" s="25">
        <f t="shared" ref="F45:Q45" si="22">F15+F21+F27+F33+F38+F41</f>
        <v>16.45204</v>
      </c>
      <c r="G45" s="27">
        <f t="shared" si="22"/>
        <v>220.171108</v>
      </c>
      <c r="H45" s="83">
        <f t="shared" si="22"/>
        <v>17.001107999999999</v>
      </c>
      <c r="I45" s="26">
        <f t="shared" si="22"/>
        <v>221.12390400000001</v>
      </c>
      <c r="J45" s="26">
        <f t="shared" si="22"/>
        <v>17.001107999999999</v>
      </c>
      <c r="K45" s="26">
        <f t="shared" si="22"/>
        <v>59.662040000000005</v>
      </c>
      <c r="L45" s="26">
        <f t="shared" si="22"/>
        <v>17.001107999999999</v>
      </c>
      <c r="M45" s="26">
        <f t="shared" si="22"/>
        <v>272.53203999999999</v>
      </c>
      <c r="N45" s="26">
        <f t="shared" si="22"/>
        <v>17.001107999999999</v>
      </c>
      <c r="O45" s="26">
        <f t="shared" si="22"/>
        <v>32.271107999999998</v>
      </c>
      <c r="P45" s="26">
        <f t="shared" si="22"/>
        <v>16.45204</v>
      </c>
      <c r="Q45" s="27">
        <f t="shared" si="22"/>
        <v>58.281107999999996</v>
      </c>
      <c r="R45" s="41">
        <f>SUM(F45:Q45)</f>
        <v>964.94982000000005</v>
      </c>
    </row>
    <row r="46" spans="2:19" ht="15.4" thickBot="1" x14ac:dyDescent="0.45">
      <c r="C46" s="9"/>
      <c r="D46" s="9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</row>
    <row r="47" spans="2:19" ht="21" thickBot="1" x14ac:dyDescent="0.65">
      <c r="B47" s="4"/>
      <c r="C47" s="190" t="s">
        <v>73</v>
      </c>
      <c r="D47" s="191"/>
      <c r="E47" s="191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3"/>
      <c r="R47" s="17" t="s">
        <v>57</v>
      </c>
    </row>
    <row r="48" spans="2:19" ht="15" x14ac:dyDescent="0.4">
      <c r="B48" s="4"/>
      <c r="C48" s="33" t="s">
        <v>22</v>
      </c>
      <c r="D48" s="33" t="s">
        <v>0</v>
      </c>
      <c r="E48" s="22"/>
      <c r="F48" s="58">
        <f t="shared" ref="F48:Q48" si="23">+F12</f>
        <v>0</v>
      </c>
      <c r="G48" s="60">
        <f t="shared" si="23"/>
        <v>10307</v>
      </c>
      <c r="H48" s="164">
        <f t="shared" si="23"/>
        <v>0</v>
      </c>
      <c r="I48" s="59">
        <f t="shared" si="23"/>
        <v>10439</v>
      </c>
      <c r="J48" s="59">
        <f t="shared" si="23"/>
        <v>0</v>
      </c>
      <c r="K48" s="59">
        <f t="shared" si="23"/>
        <v>2192</v>
      </c>
      <c r="L48" s="59">
        <f t="shared" si="23"/>
        <v>0</v>
      </c>
      <c r="M48" s="59">
        <f t="shared" si="23"/>
        <v>12990</v>
      </c>
      <c r="N48" s="59">
        <f t="shared" si="23"/>
        <v>0</v>
      </c>
      <c r="O48" s="59">
        <f t="shared" si="23"/>
        <v>775</v>
      </c>
      <c r="P48" s="59">
        <f t="shared" si="23"/>
        <v>0</v>
      </c>
      <c r="Q48" s="60">
        <f t="shared" si="23"/>
        <v>2094</v>
      </c>
      <c r="R48" s="64">
        <f>SUM(F48:Q48)</f>
        <v>38797</v>
      </c>
    </row>
    <row r="49" spans="2:18" ht="15.4" thickBot="1" x14ac:dyDescent="0.45">
      <c r="B49" s="4"/>
      <c r="C49" s="42" t="s">
        <v>19</v>
      </c>
      <c r="D49" s="42" t="s">
        <v>5</v>
      </c>
      <c r="E49" s="5"/>
      <c r="F49" s="61">
        <f>IF(F48=0,0,+F50/F48)</f>
        <v>0</v>
      </c>
      <c r="G49" s="63">
        <f t="shared" ref="G49:Q49" si="24">IF(G48=0,0,+G50/G48)</f>
        <v>2.1361318327350345E-2</v>
      </c>
      <c r="H49" s="165">
        <f t="shared" si="24"/>
        <v>0</v>
      </c>
      <c r="I49" s="62">
        <f t="shared" si="24"/>
        <v>2.1182479547849412E-2</v>
      </c>
      <c r="J49" s="62">
        <f t="shared" si="24"/>
        <v>0</v>
      </c>
      <c r="K49" s="62">
        <f t="shared" si="24"/>
        <v>2.7218083941605842E-2</v>
      </c>
      <c r="L49" s="62">
        <f t="shared" si="24"/>
        <v>0</v>
      </c>
      <c r="M49" s="62">
        <f t="shared" si="24"/>
        <v>2.0980141647421093E-2</v>
      </c>
      <c r="N49" s="62">
        <f t="shared" si="24"/>
        <v>0</v>
      </c>
      <c r="O49" s="62">
        <f t="shared" si="24"/>
        <v>4.1640139354838707E-2</v>
      </c>
      <c r="P49" s="62">
        <f t="shared" si="24"/>
        <v>0</v>
      </c>
      <c r="Q49" s="63">
        <f t="shared" si="24"/>
        <v>2.7832429799426933E-2</v>
      </c>
      <c r="R49" s="65">
        <f t="shared" ref="R49" si="25">+R50/R48</f>
        <v>2.4871768435703791E-2</v>
      </c>
    </row>
    <row r="50" spans="2:18" ht="15.4" thickBot="1" x14ac:dyDescent="0.45">
      <c r="C50" s="44" t="s">
        <v>23</v>
      </c>
      <c r="D50" s="43" t="s">
        <v>4</v>
      </c>
      <c r="E50" s="5"/>
      <c r="F50" s="25">
        <f t="shared" ref="F50:Q50" si="26">+F45</f>
        <v>16.45204</v>
      </c>
      <c r="G50" s="27">
        <f t="shared" si="26"/>
        <v>220.171108</v>
      </c>
      <c r="H50" s="83">
        <f t="shared" si="26"/>
        <v>17.001107999999999</v>
      </c>
      <c r="I50" s="26">
        <f t="shared" si="26"/>
        <v>221.12390400000001</v>
      </c>
      <c r="J50" s="26">
        <f t="shared" si="26"/>
        <v>17.001107999999999</v>
      </c>
      <c r="K50" s="26">
        <f t="shared" si="26"/>
        <v>59.662040000000005</v>
      </c>
      <c r="L50" s="26">
        <f t="shared" si="26"/>
        <v>17.001107999999999</v>
      </c>
      <c r="M50" s="26">
        <f t="shared" si="26"/>
        <v>272.53203999999999</v>
      </c>
      <c r="N50" s="26">
        <f t="shared" si="26"/>
        <v>17.001107999999999</v>
      </c>
      <c r="O50" s="26">
        <f t="shared" si="26"/>
        <v>32.271107999999998</v>
      </c>
      <c r="P50" s="26">
        <f t="shared" si="26"/>
        <v>16.45204</v>
      </c>
      <c r="Q50" s="27">
        <f t="shared" si="26"/>
        <v>58.281107999999996</v>
      </c>
      <c r="R50" s="50">
        <f>ROUND(SUM(F50:Q50),2)</f>
        <v>964.95</v>
      </c>
    </row>
    <row r="51" spans="2:18" ht="15.4" thickBot="1" x14ac:dyDescent="0.4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99" t="s">
        <v>24</v>
      </c>
      <c r="R51" s="41">
        <f>ROUND(R50*0.21,2)</f>
        <v>202.64</v>
      </c>
    </row>
    <row r="52" spans="2:18" ht="15.4" thickBot="1" x14ac:dyDescent="0.45">
      <c r="Q52" s="99" t="s">
        <v>35</v>
      </c>
      <c r="R52" s="41">
        <f>+R51+R50</f>
        <v>1167.5900000000001</v>
      </c>
    </row>
  </sheetData>
  <sheetProtection algorithmName="SHA-512" hashValue="d6BReb34hagu4HERswBqmfiThQdlDBv/7+TwZ74FCsPF6MbMv+iRAKKcf4bjtXA3LekfMtwj1H2Jj4nWUFrUqw==" saltValue="Gp0I/RyRttQsxzmB6fBe1g==" spinCount="100000" sheet="1" objects="1" scenarios="1"/>
  <mergeCells count="10">
    <mergeCell ref="C47:Q47"/>
    <mergeCell ref="F5:Q5"/>
    <mergeCell ref="B29:B33"/>
    <mergeCell ref="B40:B41"/>
    <mergeCell ref="B9:C9"/>
    <mergeCell ref="B17:B21"/>
    <mergeCell ref="B23:B27"/>
    <mergeCell ref="F7:Q7"/>
    <mergeCell ref="F8:G8"/>
    <mergeCell ref="H8:Q8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23-EA47-4658-B47B-C80599BE0B2A}">
  <sheetPr>
    <pageSetUpPr fitToPage="1"/>
  </sheetPr>
  <dimension ref="B3:W52"/>
  <sheetViews>
    <sheetView topLeftCell="B19" zoomScale="80" zoomScaleNormal="80" workbookViewId="0">
      <selection activeCell="R12" sqref="R12"/>
    </sheetView>
  </sheetViews>
  <sheetFormatPr baseColWidth="10" defaultRowHeight="12.75" x14ac:dyDescent="0.35"/>
  <cols>
    <col min="1" max="1" width="4.1328125" customWidth="1"/>
    <col min="2" max="2" width="17.6640625" customWidth="1"/>
    <col min="3" max="3" width="87.46484375" bestFit="1" customWidth="1"/>
    <col min="4" max="4" width="19.6640625" bestFit="1" customWidth="1"/>
    <col min="5" max="5" width="1" customWidth="1"/>
    <col min="6" max="6" width="18.33203125" bestFit="1" customWidth="1"/>
    <col min="7" max="8" width="17.33203125" bestFit="1" customWidth="1"/>
    <col min="9" max="10" width="16.1328125" bestFit="1" customWidth="1"/>
    <col min="11" max="11" width="16.33203125" bestFit="1" customWidth="1"/>
    <col min="12" max="12" width="15.86328125" bestFit="1" customWidth="1"/>
    <col min="13" max="13" width="16.33203125" bestFit="1" customWidth="1"/>
    <col min="14" max="14" width="16.1328125" bestFit="1" customWidth="1"/>
    <col min="15" max="15" width="15.86328125" bestFit="1" customWidth="1"/>
    <col min="16" max="16" width="17" bestFit="1" customWidth="1"/>
    <col min="17" max="17" width="16.86328125" bestFit="1" customWidth="1"/>
    <col min="18" max="18" width="22.6640625" bestFit="1" customWidth="1"/>
    <col min="19" max="19" width="1.6640625" customWidth="1"/>
    <col min="23" max="23" width="17.53125" bestFit="1" customWidth="1"/>
    <col min="24" max="24" width="32.1328125" bestFit="1" customWidth="1"/>
    <col min="25" max="25" width="17.86328125" bestFit="1" customWidth="1"/>
    <col min="27" max="38" width="15.46484375" bestFit="1" customWidth="1"/>
    <col min="39" max="39" width="12.53125" bestFit="1" customWidth="1"/>
  </cols>
  <sheetData>
    <row r="3" spans="2:23" ht="23.25" customHeight="1" x14ac:dyDescent="0.35"/>
    <row r="4" spans="2:23" ht="22.5" x14ac:dyDescent="0.6">
      <c r="E4" s="34" t="s">
        <v>86</v>
      </c>
    </row>
    <row r="5" spans="2:23" ht="25.5" thickBot="1" x14ac:dyDescent="0.75">
      <c r="E5" s="1"/>
      <c r="F5" s="200" t="s">
        <v>92</v>
      </c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</row>
    <row r="6" spans="2:23" ht="18" thickBot="1" x14ac:dyDescent="0.55000000000000004">
      <c r="C6" s="112" t="s">
        <v>45</v>
      </c>
      <c r="D6" s="118">
        <v>40</v>
      </c>
    </row>
    <row r="7" spans="2:23" ht="18" thickBot="1" x14ac:dyDescent="0.55000000000000004">
      <c r="C7" s="113" t="s">
        <v>64</v>
      </c>
      <c r="D7" s="140">
        <f>+'MODEL Oferta Formula Indexada'!D14</f>
        <v>0</v>
      </c>
      <c r="E7" s="4"/>
      <c r="F7" s="186" t="s">
        <v>74</v>
      </c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8"/>
      <c r="R7" s="3"/>
      <c r="V7" s="141"/>
      <c r="W7" s="141"/>
    </row>
    <row r="8" spans="2:23" ht="18" thickBot="1" x14ac:dyDescent="0.5">
      <c r="C8" s="114" t="s">
        <v>65</v>
      </c>
      <c r="D8" s="142">
        <f>+'MODEL Oferta Formula Indexada'!D15</f>
        <v>0</v>
      </c>
      <c r="E8" s="4"/>
      <c r="F8" s="172" t="s">
        <v>55</v>
      </c>
      <c r="G8" s="174"/>
      <c r="H8" s="172" t="s">
        <v>56</v>
      </c>
      <c r="I8" s="173"/>
      <c r="J8" s="173"/>
      <c r="K8" s="173"/>
      <c r="L8" s="173"/>
      <c r="M8" s="173"/>
      <c r="N8" s="173"/>
      <c r="O8" s="173"/>
      <c r="P8" s="173"/>
      <c r="Q8" s="174"/>
      <c r="R8" s="11"/>
    </row>
    <row r="9" spans="2:23" ht="15.4" thickBot="1" x14ac:dyDescent="0.45">
      <c r="B9" s="206" t="s">
        <v>1</v>
      </c>
      <c r="C9" s="207"/>
      <c r="D9" s="33" t="s">
        <v>2</v>
      </c>
      <c r="E9" s="4"/>
      <c r="F9" s="18" t="s">
        <v>15</v>
      </c>
      <c r="G9" s="20" t="s">
        <v>16</v>
      </c>
      <c r="H9" s="154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83</v>
      </c>
      <c r="Q9" s="20" t="s">
        <v>14</v>
      </c>
      <c r="R9" s="17" t="s">
        <v>57</v>
      </c>
    </row>
    <row r="10" spans="2:23" ht="15" x14ac:dyDescent="0.4">
      <c r="B10" s="68"/>
      <c r="C10" s="68"/>
      <c r="D10" s="2" t="s">
        <v>25</v>
      </c>
      <c r="E10" s="4"/>
      <c r="F10" s="18">
        <v>30</v>
      </c>
      <c r="G10" s="20">
        <v>31</v>
      </c>
      <c r="H10" s="154">
        <v>31</v>
      </c>
      <c r="I10" s="115">
        <v>28</v>
      </c>
      <c r="J10" s="19">
        <v>31</v>
      </c>
      <c r="K10" s="19">
        <v>30</v>
      </c>
      <c r="L10" s="19">
        <v>31</v>
      </c>
      <c r="M10" s="19">
        <v>30</v>
      </c>
      <c r="N10" s="19">
        <v>31</v>
      </c>
      <c r="O10" s="19">
        <v>31</v>
      </c>
      <c r="P10" s="19">
        <v>30</v>
      </c>
      <c r="Q10" s="20">
        <v>31</v>
      </c>
      <c r="R10" s="69">
        <f>SUM(F10:Q10)</f>
        <v>365</v>
      </c>
    </row>
    <row r="11" spans="2:23" ht="6" customHeight="1" thickBot="1" x14ac:dyDescent="0.45">
      <c r="C11" s="6"/>
      <c r="D11" s="6"/>
      <c r="E11" s="4"/>
      <c r="F11" s="13"/>
      <c r="G11" s="15"/>
      <c r="H11" s="14"/>
      <c r="I11" s="14"/>
      <c r="J11" s="14"/>
      <c r="K11" s="14"/>
      <c r="L11" s="14"/>
      <c r="M11" s="10"/>
      <c r="N11" s="10"/>
      <c r="O11" s="10"/>
      <c r="P11" s="10"/>
      <c r="Q11" s="12"/>
      <c r="R11" s="16"/>
    </row>
    <row r="12" spans="2:23" ht="16.5" customHeight="1" thickBot="1" x14ac:dyDescent="0.45">
      <c r="C12" s="21" t="s">
        <v>63</v>
      </c>
      <c r="D12" s="54" t="s">
        <v>0</v>
      </c>
      <c r="E12" s="4"/>
      <c r="F12" s="163">
        <v>0</v>
      </c>
      <c r="G12" s="147">
        <v>10307</v>
      </c>
      <c r="H12" s="155">
        <v>0</v>
      </c>
      <c r="I12" s="146">
        <v>10439</v>
      </c>
      <c r="J12" s="146">
        <v>0</v>
      </c>
      <c r="K12" s="146">
        <v>2192</v>
      </c>
      <c r="L12" s="146">
        <v>0</v>
      </c>
      <c r="M12" s="148">
        <v>12990</v>
      </c>
      <c r="N12" s="148">
        <v>0</v>
      </c>
      <c r="O12" s="148">
        <v>775</v>
      </c>
      <c r="P12" s="148">
        <v>0</v>
      </c>
      <c r="Q12" s="149">
        <v>2094</v>
      </c>
      <c r="R12" s="82">
        <f>SUM(F12:Q12)</f>
        <v>38797</v>
      </c>
    </row>
    <row r="13" spans="2:23" ht="15" x14ac:dyDescent="0.4">
      <c r="C13" s="85"/>
      <c r="D13" s="84"/>
      <c r="E13" s="4"/>
      <c r="F13" s="103"/>
      <c r="G13" s="105"/>
      <c r="H13" s="156"/>
      <c r="I13" s="104"/>
      <c r="J13" s="104"/>
      <c r="K13" s="104"/>
      <c r="L13" s="104"/>
      <c r="M13" s="86"/>
      <c r="N13" s="86"/>
      <c r="O13" s="86"/>
      <c r="P13" s="86"/>
      <c r="Q13" s="87"/>
      <c r="R13" s="88"/>
    </row>
    <row r="14" spans="2:23" ht="15.4" thickBot="1" x14ac:dyDescent="0.45">
      <c r="B14" s="5"/>
      <c r="C14" s="42" t="s">
        <v>84</v>
      </c>
      <c r="D14" s="2" t="s">
        <v>3</v>
      </c>
      <c r="E14" s="4"/>
      <c r="F14" s="116">
        <f>ROUND((D6*D8)/1000+D7/1000,6)</f>
        <v>0</v>
      </c>
      <c r="G14" s="107">
        <f>+F14</f>
        <v>0</v>
      </c>
      <c r="H14" s="157">
        <f t="shared" ref="H14:Q14" si="0">+G14</f>
        <v>0</v>
      </c>
      <c r="I14" s="106">
        <f t="shared" si="0"/>
        <v>0</v>
      </c>
      <c r="J14" s="106">
        <f t="shared" si="0"/>
        <v>0</v>
      </c>
      <c r="K14" s="106">
        <f t="shared" si="0"/>
        <v>0</v>
      </c>
      <c r="L14" s="106">
        <f t="shared" si="0"/>
        <v>0</v>
      </c>
      <c r="M14" s="78">
        <f t="shared" si="0"/>
        <v>0</v>
      </c>
      <c r="N14" s="78">
        <f t="shared" si="0"/>
        <v>0</v>
      </c>
      <c r="O14" s="78">
        <f t="shared" si="0"/>
        <v>0</v>
      </c>
      <c r="P14" s="78">
        <f t="shared" si="0"/>
        <v>0</v>
      </c>
      <c r="Q14" s="79">
        <f t="shared" si="0"/>
        <v>0</v>
      </c>
      <c r="R14" s="67"/>
    </row>
    <row r="15" spans="2:23" ht="15.4" thickBot="1" x14ac:dyDescent="0.45">
      <c r="B15" s="44" t="s">
        <v>18</v>
      </c>
      <c r="C15" s="43" t="s">
        <v>41</v>
      </c>
      <c r="D15" s="54" t="s">
        <v>4</v>
      </c>
      <c r="E15" s="47"/>
      <c r="F15" s="100">
        <f>+F14*F12</f>
        <v>0</v>
      </c>
      <c r="G15" s="102">
        <f t="shared" ref="G15:Q15" si="1">+G14*G12</f>
        <v>0</v>
      </c>
      <c r="H15" s="158">
        <f t="shared" si="1"/>
        <v>0</v>
      </c>
      <c r="I15" s="101">
        <f t="shared" si="1"/>
        <v>0</v>
      </c>
      <c r="J15" s="102">
        <f t="shared" si="1"/>
        <v>0</v>
      </c>
      <c r="K15" s="101">
        <f t="shared" si="1"/>
        <v>0</v>
      </c>
      <c r="L15" s="102">
        <f t="shared" si="1"/>
        <v>0</v>
      </c>
      <c r="M15" s="26">
        <f t="shared" si="1"/>
        <v>0</v>
      </c>
      <c r="N15" s="26">
        <f t="shared" si="1"/>
        <v>0</v>
      </c>
      <c r="O15" s="26">
        <f t="shared" si="1"/>
        <v>0</v>
      </c>
      <c r="P15" s="26">
        <f t="shared" si="1"/>
        <v>0</v>
      </c>
      <c r="Q15" s="27">
        <f t="shared" si="1"/>
        <v>0</v>
      </c>
      <c r="R15" s="50">
        <f>SUM(F15:Q15)</f>
        <v>0</v>
      </c>
    </row>
    <row r="16" spans="2:23" ht="15" x14ac:dyDescent="0.4">
      <c r="B16" s="5"/>
      <c r="C16" s="22"/>
      <c r="D16" s="22"/>
      <c r="E16" s="4"/>
      <c r="F16" s="51"/>
      <c r="G16" s="53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66"/>
    </row>
    <row r="17" spans="2:18" ht="15" x14ac:dyDescent="0.4">
      <c r="B17" s="208" t="s">
        <v>29</v>
      </c>
      <c r="C17" s="42" t="s">
        <v>66</v>
      </c>
      <c r="D17" s="2" t="s">
        <v>26</v>
      </c>
      <c r="E17" s="4"/>
      <c r="F17" s="143">
        <f>13.012555/R$10</f>
        <v>3.5650835616438357E-2</v>
      </c>
      <c r="G17" s="79">
        <f>+F17</f>
        <v>3.5650835616438357E-2</v>
      </c>
      <c r="H17" s="117">
        <f t="shared" ref="H17:Q18" si="2">+G17</f>
        <v>3.5650835616438357E-2</v>
      </c>
      <c r="I17" s="78">
        <f t="shared" si="2"/>
        <v>3.5650835616438357E-2</v>
      </c>
      <c r="J17" s="78">
        <f t="shared" si="2"/>
        <v>3.5650835616438357E-2</v>
      </c>
      <c r="K17" s="78">
        <f t="shared" si="2"/>
        <v>3.5650835616438357E-2</v>
      </c>
      <c r="L17" s="78">
        <f t="shared" si="2"/>
        <v>3.5650835616438357E-2</v>
      </c>
      <c r="M17" s="78">
        <f t="shared" si="2"/>
        <v>3.5650835616438357E-2</v>
      </c>
      <c r="N17" s="78">
        <f t="shared" si="2"/>
        <v>3.5650835616438357E-2</v>
      </c>
      <c r="O17" s="78">
        <f t="shared" si="2"/>
        <v>3.5650835616438357E-2</v>
      </c>
      <c r="P17" s="78">
        <f t="shared" si="2"/>
        <v>3.5650835616438357E-2</v>
      </c>
      <c r="Q17" s="79">
        <f t="shared" si="2"/>
        <v>3.5650835616438357E-2</v>
      </c>
      <c r="R17" s="67"/>
    </row>
    <row r="18" spans="2:18" ht="15" x14ac:dyDescent="0.4">
      <c r="B18" s="208"/>
      <c r="C18" s="42" t="s">
        <v>67</v>
      </c>
      <c r="D18" s="2" t="s">
        <v>32</v>
      </c>
      <c r="E18" s="4"/>
      <c r="F18" s="143">
        <v>0</v>
      </c>
      <c r="G18" s="79">
        <f>+F18</f>
        <v>0</v>
      </c>
      <c r="H18" s="117">
        <f t="shared" si="2"/>
        <v>0</v>
      </c>
      <c r="I18" s="78">
        <f t="shared" si="2"/>
        <v>0</v>
      </c>
      <c r="J18" s="78">
        <f t="shared" si="2"/>
        <v>0</v>
      </c>
      <c r="K18" s="78">
        <f t="shared" si="2"/>
        <v>0</v>
      </c>
      <c r="L18" s="78">
        <f t="shared" si="2"/>
        <v>0</v>
      </c>
      <c r="M18" s="78">
        <f t="shared" si="2"/>
        <v>0</v>
      </c>
      <c r="N18" s="78">
        <f t="shared" si="2"/>
        <v>0</v>
      </c>
      <c r="O18" s="78">
        <f t="shared" si="2"/>
        <v>0</v>
      </c>
      <c r="P18" s="78">
        <f t="shared" si="2"/>
        <v>0</v>
      </c>
      <c r="Q18" s="79">
        <f t="shared" si="2"/>
        <v>0</v>
      </c>
      <c r="R18" s="67"/>
    </row>
    <row r="19" spans="2:18" ht="15" x14ac:dyDescent="0.4">
      <c r="B19" s="208"/>
      <c r="C19" s="42" t="s">
        <v>68</v>
      </c>
      <c r="D19" s="2" t="s">
        <v>4</v>
      </c>
      <c r="E19" s="4"/>
      <c r="F19" s="70">
        <f>ROUND(F17*F10,2)</f>
        <v>1.07</v>
      </c>
      <c r="G19" s="72">
        <f t="shared" ref="G19:Q19" si="3">ROUND(G17*G10,2)</f>
        <v>1.1100000000000001</v>
      </c>
      <c r="H19" s="159">
        <f t="shared" si="3"/>
        <v>1.1100000000000001</v>
      </c>
      <c r="I19" s="71">
        <f t="shared" si="3"/>
        <v>1</v>
      </c>
      <c r="J19" s="71">
        <f t="shared" si="3"/>
        <v>1.1100000000000001</v>
      </c>
      <c r="K19" s="71">
        <f t="shared" si="3"/>
        <v>1.07</v>
      </c>
      <c r="L19" s="71">
        <f t="shared" si="3"/>
        <v>1.1100000000000001</v>
      </c>
      <c r="M19" s="71">
        <f t="shared" si="3"/>
        <v>1.07</v>
      </c>
      <c r="N19" s="71">
        <f t="shared" si="3"/>
        <v>1.1100000000000001</v>
      </c>
      <c r="O19" s="71">
        <f t="shared" si="3"/>
        <v>1.1100000000000001</v>
      </c>
      <c r="P19" s="71">
        <f t="shared" si="3"/>
        <v>1.07</v>
      </c>
      <c r="Q19" s="72">
        <f t="shared" si="3"/>
        <v>1.1100000000000001</v>
      </c>
      <c r="R19" s="89">
        <f>SUM(F19:Q19)</f>
        <v>13.049999999999999</v>
      </c>
    </row>
    <row r="20" spans="2:18" ht="15.4" thickBot="1" x14ac:dyDescent="0.45">
      <c r="B20" s="208"/>
      <c r="C20" s="42" t="s">
        <v>69</v>
      </c>
      <c r="D20" s="42" t="s">
        <v>4</v>
      </c>
      <c r="E20" s="4"/>
      <c r="F20" s="70">
        <f>ROUND(F12*F18,2)</f>
        <v>0</v>
      </c>
      <c r="G20" s="72">
        <f t="shared" ref="G20:Q20" si="4">ROUND(G12*G18,2)</f>
        <v>0</v>
      </c>
      <c r="H20" s="159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72">
        <f t="shared" si="4"/>
        <v>0</v>
      </c>
      <c r="R20" s="89">
        <f>SUM(F20:Q20)</f>
        <v>0</v>
      </c>
    </row>
    <row r="21" spans="2:18" ht="15.4" thickBot="1" x14ac:dyDescent="0.45">
      <c r="B21" s="209"/>
      <c r="C21" s="92" t="s">
        <v>31</v>
      </c>
      <c r="D21" s="54" t="s">
        <v>4</v>
      </c>
      <c r="E21" s="47"/>
      <c r="F21" s="25">
        <f>+F20+F19</f>
        <v>1.07</v>
      </c>
      <c r="G21" s="27">
        <f t="shared" ref="G21:Q21" si="5">SUM(G19:G20)</f>
        <v>1.1100000000000001</v>
      </c>
      <c r="H21" s="83">
        <f t="shared" si="5"/>
        <v>1.1100000000000001</v>
      </c>
      <c r="I21" s="26">
        <f t="shared" si="5"/>
        <v>1</v>
      </c>
      <c r="J21" s="26">
        <f t="shared" si="5"/>
        <v>1.1100000000000001</v>
      </c>
      <c r="K21" s="26">
        <f t="shared" si="5"/>
        <v>1.07</v>
      </c>
      <c r="L21" s="26">
        <f t="shared" si="5"/>
        <v>1.1100000000000001</v>
      </c>
      <c r="M21" s="26">
        <f t="shared" si="5"/>
        <v>1.07</v>
      </c>
      <c r="N21" s="26">
        <f t="shared" si="5"/>
        <v>1.1100000000000001</v>
      </c>
      <c r="O21" s="26">
        <f t="shared" si="5"/>
        <v>1.1100000000000001</v>
      </c>
      <c r="P21" s="26">
        <f t="shared" si="5"/>
        <v>1.07</v>
      </c>
      <c r="Q21" s="27">
        <f t="shared" si="5"/>
        <v>1.1100000000000001</v>
      </c>
      <c r="R21" s="50">
        <f>SUM(F21:Q21)</f>
        <v>13.049999999999999</v>
      </c>
    </row>
    <row r="22" spans="2:18" ht="15" x14ac:dyDescent="0.4">
      <c r="B22" s="5"/>
      <c r="C22" s="22"/>
      <c r="D22" s="22"/>
      <c r="E22" s="4"/>
      <c r="F22" s="51"/>
      <c r="G22" s="53"/>
      <c r="H22" s="52"/>
      <c r="I22" s="52"/>
      <c r="J22" s="52"/>
      <c r="K22" s="52"/>
      <c r="L22" s="52"/>
      <c r="M22" s="52"/>
      <c r="N22" s="52"/>
      <c r="O22" s="52"/>
      <c r="P22" s="52"/>
      <c r="Q22" s="53"/>
      <c r="R22" s="66"/>
    </row>
    <row r="23" spans="2:18" ht="15" x14ac:dyDescent="0.4">
      <c r="B23" s="208" t="s">
        <v>28</v>
      </c>
      <c r="C23" s="42" t="s">
        <v>70</v>
      </c>
      <c r="D23" s="2" t="s">
        <v>26</v>
      </c>
      <c r="E23" s="4"/>
      <c r="F23" s="143">
        <f>176.302005/$R10</f>
        <v>0.48301919178082192</v>
      </c>
      <c r="G23" s="79">
        <f>+F23</f>
        <v>0.48301919178082192</v>
      </c>
      <c r="H23" s="117">
        <f t="shared" ref="H23:Q24" si="6">+G23</f>
        <v>0.48301919178082192</v>
      </c>
      <c r="I23" s="78">
        <f t="shared" si="6"/>
        <v>0.48301919178082192</v>
      </c>
      <c r="J23" s="78">
        <f t="shared" si="6"/>
        <v>0.48301919178082192</v>
      </c>
      <c r="K23" s="78">
        <f t="shared" si="6"/>
        <v>0.48301919178082192</v>
      </c>
      <c r="L23" s="78">
        <f t="shared" si="6"/>
        <v>0.48301919178082192</v>
      </c>
      <c r="M23" s="78">
        <f t="shared" si="6"/>
        <v>0.48301919178082192</v>
      </c>
      <c r="N23" s="78">
        <f t="shared" si="6"/>
        <v>0.48301919178082192</v>
      </c>
      <c r="O23" s="78">
        <f t="shared" si="6"/>
        <v>0.48301919178082192</v>
      </c>
      <c r="P23" s="78">
        <f t="shared" si="6"/>
        <v>0.48301919178082192</v>
      </c>
      <c r="Q23" s="79">
        <f t="shared" si="6"/>
        <v>0.48301919178082192</v>
      </c>
      <c r="R23" s="67"/>
    </row>
    <row r="24" spans="2:18" ht="15" x14ac:dyDescent="0.4">
      <c r="B24" s="208"/>
      <c r="C24" s="2" t="s">
        <v>71</v>
      </c>
      <c r="D24" s="2" t="s">
        <v>3</v>
      </c>
      <c r="E24" s="4"/>
      <c r="F24" s="143">
        <v>9.7820000000000008E-3</v>
      </c>
      <c r="G24" s="79">
        <f>+F24</f>
        <v>9.7820000000000008E-3</v>
      </c>
      <c r="H24" s="117">
        <f t="shared" si="6"/>
        <v>9.7820000000000008E-3</v>
      </c>
      <c r="I24" s="78">
        <f t="shared" si="6"/>
        <v>9.7820000000000008E-3</v>
      </c>
      <c r="J24" s="78">
        <f t="shared" si="6"/>
        <v>9.7820000000000008E-3</v>
      </c>
      <c r="K24" s="78">
        <f t="shared" si="6"/>
        <v>9.7820000000000008E-3</v>
      </c>
      <c r="L24" s="78">
        <f t="shared" si="6"/>
        <v>9.7820000000000008E-3</v>
      </c>
      <c r="M24" s="78">
        <f t="shared" si="6"/>
        <v>9.7820000000000008E-3</v>
      </c>
      <c r="N24" s="78">
        <f t="shared" si="6"/>
        <v>9.7820000000000008E-3</v>
      </c>
      <c r="O24" s="78">
        <f t="shared" si="6"/>
        <v>9.7820000000000008E-3</v>
      </c>
      <c r="P24" s="78">
        <f t="shared" si="6"/>
        <v>9.7820000000000008E-3</v>
      </c>
      <c r="Q24" s="79">
        <f t="shared" si="6"/>
        <v>9.7820000000000008E-3</v>
      </c>
      <c r="R24" s="67"/>
    </row>
    <row r="25" spans="2:18" ht="15" x14ac:dyDescent="0.4">
      <c r="B25" s="208"/>
      <c r="C25" s="42" t="s">
        <v>68</v>
      </c>
      <c r="D25" s="2" t="s">
        <v>4</v>
      </c>
      <c r="E25" s="4"/>
      <c r="F25" s="70">
        <f t="shared" ref="F25:Q25" si="7">ROUND(F23*F10,2)</f>
        <v>14.49</v>
      </c>
      <c r="G25" s="72">
        <f t="shared" si="7"/>
        <v>14.97</v>
      </c>
      <c r="H25" s="159">
        <f t="shared" si="7"/>
        <v>14.97</v>
      </c>
      <c r="I25" s="71">
        <f t="shared" si="7"/>
        <v>13.52</v>
      </c>
      <c r="J25" s="71">
        <f t="shared" si="7"/>
        <v>14.97</v>
      </c>
      <c r="K25" s="71">
        <f t="shared" si="7"/>
        <v>14.49</v>
      </c>
      <c r="L25" s="71">
        <f t="shared" si="7"/>
        <v>14.97</v>
      </c>
      <c r="M25" s="71">
        <f t="shared" si="7"/>
        <v>14.49</v>
      </c>
      <c r="N25" s="71">
        <f t="shared" si="7"/>
        <v>14.97</v>
      </c>
      <c r="O25" s="71">
        <f t="shared" si="7"/>
        <v>14.97</v>
      </c>
      <c r="P25" s="71">
        <f t="shared" si="7"/>
        <v>14.49</v>
      </c>
      <c r="Q25" s="72">
        <f t="shared" si="7"/>
        <v>14.97</v>
      </c>
      <c r="R25" s="89">
        <f>SUM(F25:Q25)</f>
        <v>176.27</v>
      </c>
    </row>
    <row r="26" spans="2:18" ht="15.4" thickBot="1" x14ac:dyDescent="0.45">
      <c r="B26" s="208"/>
      <c r="C26" s="2" t="s">
        <v>69</v>
      </c>
      <c r="D26" s="2" t="s">
        <v>4</v>
      </c>
      <c r="E26" s="4"/>
      <c r="F26" s="70">
        <f t="shared" ref="F26:Q26" si="8">ROUND(F24*F12,2)</f>
        <v>0</v>
      </c>
      <c r="G26" s="72">
        <f t="shared" si="8"/>
        <v>100.82</v>
      </c>
      <c r="H26" s="159">
        <f t="shared" si="8"/>
        <v>0</v>
      </c>
      <c r="I26" s="71">
        <f t="shared" si="8"/>
        <v>102.11</v>
      </c>
      <c r="J26" s="71">
        <f t="shared" si="8"/>
        <v>0</v>
      </c>
      <c r="K26" s="71">
        <f t="shared" si="8"/>
        <v>21.44</v>
      </c>
      <c r="L26" s="71">
        <f t="shared" si="8"/>
        <v>0</v>
      </c>
      <c r="M26" s="71">
        <f t="shared" si="8"/>
        <v>127.07</v>
      </c>
      <c r="N26" s="71">
        <f t="shared" si="8"/>
        <v>0</v>
      </c>
      <c r="O26" s="71">
        <f t="shared" si="8"/>
        <v>7.58</v>
      </c>
      <c r="P26" s="71">
        <f t="shared" si="8"/>
        <v>0</v>
      </c>
      <c r="Q26" s="72">
        <f t="shared" si="8"/>
        <v>20.48</v>
      </c>
      <c r="R26" s="89">
        <f>SUM(F26:Q26)</f>
        <v>379.5</v>
      </c>
    </row>
    <row r="27" spans="2:18" ht="15.4" thickBot="1" x14ac:dyDescent="0.45">
      <c r="B27" s="208"/>
      <c r="C27" s="92" t="s">
        <v>30</v>
      </c>
      <c r="D27" s="54" t="s">
        <v>4</v>
      </c>
      <c r="E27" s="47"/>
      <c r="F27" s="25">
        <f t="shared" ref="F27:Q27" si="9">SUM(F25:F26)</f>
        <v>14.49</v>
      </c>
      <c r="G27" s="27">
        <f t="shared" si="9"/>
        <v>115.78999999999999</v>
      </c>
      <c r="H27" s="83">
        <f t="shared" si="9"/>
        <v>14.97</v>
      </c>
      <c r="I27" s="26">
        <f t="shared" si="9"/>
        <v>115.63</v>
      </c>
      <c r="J27" s="26">
        <f t="shared" si="9"/>
        <v>14.97</v>
      </c>
      <c r="K27" s="26">
        <f t="shared" si="9"/>
        <v>35.93</v>
      </c>
      <c r="L27" s="26">
        <f t="shared" si="9"/>
        <v>14.97</v>
      </c>
      <c r="M27" s="26">
        <f t="shared" si="9"/>
        <v>141.56</v>
      </c>
      <c r="N27" s="26">
        <f t="shared" si="9"/>
        <v>14.97</v>
      </c>
      <c r="O27" s="26">
        <f t="shared" si="9"/>
        <v>22.55</v>
      </c>
      <c r="P27" s="26">
        <f t="shared" si="9"/>
        <v>14.49</v>
      </c>
      <c r="Q27" s="27">
        <f t="shared" si="9"/>
        <v>35.450000000000003</v>
      </c>
      <c r="R27" s="50">
        <f>SUM(F27:Q27)</f>
        <v>555.7700000000001</v>
      </c>
    </row>
    <row r="28" spans="2:18" ht="15" x14ac:dyDescent="0.4">
      <c r="B28" s="5"/>
      <c r="C28" s="22"/>
      <c r="D28" s="22"/>
      <c r="E28" s="4"/>
      <c r="F28" s="51"/>
      <c r="G28" s="53"/>
      <c r="H28" s="52"/>
      <c r="I28" s="52"/>
      <c r="J28" s="52"/>
      <c r="K28" s="52"/>
      <c r="L28" s="52"/>
      <c r="M28" s="52"/>
      <c r="N28" s="52"/>
      <c r="O28" s="52"/>
      <c r="P28" s="52"/>
      <c r="Q28" s="53"/>
      <c r="R28" s="66"/>
    </row>
    <row r="29" spans="2:18" ht="15" x14ac:dyDescent="0.4">
      <c r="B29" s="201" t="s">
        <v>33</v>
      </c>
      <c r="C29" s="93" t="s">
        <v>75</v>
      </c>
      <c r="D29" s="2" t="s">
        <v>26</v>
      </c>
      <c r="E29" s="4"/>
      <c r="F29" s="143">
        <f>1.08/R$10</f>
        <v>2.9589041095890414E-3</v>
      </c>
      <c r="G29" s="79">
        <f>+F29</f>
        <v>2.9589041095890414E-3</v>
      </c>
      <c r="H29" s="117">
        <f t="shared" ref="H29:Q30" si="10">+G29</f>
        <v>2.9589041095890414E-3</v>
      </c>
      <c r="I29" s="78">
        <f t="shared" si="10"/>
        <v>2.9589041095890414E-3</v>
      </c>
      <c r="J29" s="78">
        <f t="shared" si="10"/>
        <v>2.9589041095890414E-3</v>
      </c>
      <c r="K29" s="78">
        <f t="shared" si="10"/>
        <v>2.9589041095890414E-3</v>
      </c>
      <c r="L29" s="78">
        <f t="shared" si="10"/>
        <v>2.9589041095890414E-3</v>
      </c>
      <c r="M29" s="78">
        <f t="shared" si="10"/>
        <v>2.9589041095890414E-3</v>
      </c>
      <c r="N29" s="78">
        <f t="shared" si="10"/>
        <v>2.9589041095890414E-3</v>
      </c>
      <c r="O29" s="78">
        <f t="shared" si="10"/>
        <v>2.9589041095890414E-3</v>
      </c>
      <c r="P29" s="78">
        <f t="shared" si="10"/>
        <v>2.9589041095890414E-3</v>
      </c>
      <c r="Q29" s="79">
        <f t="shared" si="10"/>
        <v>2.9589041095890414E-3</v>
      </c>
      <c r="R29" s="67"/>
    </row>
    <row r="30" spans="2:18" ht="15" x14ac:dyDescent="0.4">
      <c r="B30" s="202"/>
      <c r="C30" s="93" t="s">
        <v>76</v>
      </c>
      <c r="D30" s="2" t="s">
        <v>3</v>
      </c>
      <c r="E30" s="4"/>
      <c r="F30" s="144">
        <v>7.4339999999999996E-3</v>
      </c>
      <c r="G30" s="91">
        <f>+F30</f>
        <v>7.4339999999999996E-3</v>
      </c>
      <c r="H30" s="160">
        <f t="shared" si="10"/>
        <v>7.4339999999999996E-3</v>
      </c>
      <c r="I30" s="90">
        <f t="shared" si="10"/>
        <v>7.4339999999999996E-3</v>
      </c>
      <c r="J30" s="90">
        <f t="shared" si="10"/>
        <v>7.4339999999999996E-3</v>
      </c>
      <c r="K30" s="90">
        <f t="shared" si="10"/>
        <v>7.4339999999999996E-3</v>
      </c>
      <c r="L30" s="90">
        <f t="shared" si="10"/>
        <v>7.4339999999999996E-3</v>
      </c>
      <c r="M30" s="90">
        <f t="shared" si="10"/>
        <v>7.4339999999999996E-3</v>
      </c>
      <c r="N30" s="90">
        <f t="shared" si="10"/>
        <v>7.4339999999999996E-3</v>
      </c>
      <c r="O30" s="90">
        <f t="shared" si="10"/>
        <v>7.4339999999999996E-3</v>
      </c>
      <c r="P30" s="90">
        <f t="shared" si="10"/>
        <v>7.4339999999999996E-3</v>
      </c>
      <c r="Q30" s="91">
        <f t="shared" si="10"/>
        <v>7.4339999999999996E-3</v>
      </c>
      <c r="R30" s="67"/>
    </row>
    <row r="31" spans="2:18" ht="15" x14ac:dyDescent="0.4">
      <c r="B31" s="202"/>
      <c r="C31" s="93" t="s">
        <v>77</v>
      </c>
      <c r="D31" s="2" t="s">
        <v>4</v>
      </c>
      <c r="E31" s="4"/>
      <c r="F31" s="70">
        <f t="shared" ref="F31:Q31" si="11">ROUND(F29*F10,2)</f>
        <v>0.09</v>
      </c>
      <c r="G31" s="72">
        <f t="shared" si="11"/>
        <v>0.09</v>
      </c>
      <c r="H31" s="159">
        <f t="shared" si="11"/>
        <v>0.09</v>
      </c>
      <c r="I31" s="71">
        <f t="shared" si="11"/>
        <v>0.08</v>
      </c>
      <c r="J31" s="71">
        <f t="shared" si="11"/>
        <v>0.09</v>
      </c>
      <c r="K31" s="71">
        <f t="shared" si="11"/>
        <v>0.09</v>
      </c>
      <c r="L31" s="71">
        <f t="shared" si="11"/>
        <v>0.09</v>
      </c>
      <c r="M31" s="71">
        <f t="shared" si="11"/>
        <v>0.09</v>
      </c>
      <c r="N31" s="71">
        <f t="shared" si="11"/>
        <v>0.09</v>
      </c>
      <c r="O31" s="71">
        <f t="shared" si="11"/>
        <v>0.09</v>
      </c>
      <c r="P31" s="71">
        <f t="shared" si="11"/>
        <v>0.09</v>
      </c>
      <c r="Q31" s="72">
        <f t="shared" si="11"/>
        <v>0.09</v>
      </c>
      <c r="R31" s="89">
        <f>SUM(F31:Q31)</f>
        <v>1.0699999999999998</v>
      </c>
    </row>
    <row r="32" spans="2:18" ht="16.5" customHeight="1" thickBot="1" x14ac:dyDescent="0.45">
      <c r="B32" s="202"/>
      <c r="C32" s="93" t="s">
        <v>78</v>
      </c>
      <c r="D32" s="2" t="s">
        <v>4</v>
      </c>
      <c r="E32" s="4"/>
      <c r="F32" s="70">
        <f t="shared" ref="F32:Q32" si="12">ROUND(F12*F30,2)</f>
        <v>0</v>
      </c>
      <c r="G32" s="72">
        <f t="shared" si="12"/>
        <v>76.62</v>
      </c>
      <c r="H32" s="159">
        <f t="shared" si="12"/>
        <v>0</v>
      </c>
      <c r="I32" s="71">
        <f t="shared" si="12"/>
        <v>77.599999999999994</v>
      </c>
      <c r="J32" s="71">
        <f t="shared" si="12"/>
        <v>0</v>
      </c>
      <c r="K32" s="71">
        <f t="shared" si="12"/>
        <v>16.3</v>
      </c>
      <c r="L32" s="71">
        <f t="shared" si="12"/>
        <v>0</v>
      </c>
      <c r="M32" s="71">
        <f t="shared" si="12"/>
        <v>96.57</v>
      </c>
      <c r="N32" s="71">
        <f t="shared" si="12"/>
        <v>0</v>
      </c>
      <c r="O32" s="71">
        <f t="shared" si="12"/>
        <v>5.76</v>
      </c>
      <c r="P32" s="71">
        <f t="shared" si="12"/>
        <v>0</v>
      </c>
      <c r="Q32" s="72">
        <f t="shared" si="12"/>
        <v>15.57</v>
      </c>
      <c r="R32" s="89">
        <f>SUM(F32:Q32)</f>
        <v>288.42</v>
      </c>
    </row>
    <row r="33" spans="2:19" ht="15.4" thickBot="1" x14ac:dyDescent="0.45">
      <c r="B33" s="203"/>
      <c r="C33" s="92" t="s">
        <v>34</v>
      </c>
      <c r="D33" s="54" t="s">
        <v>4</v>
      </c>
      <c r="E33" s="4"/>
      <c r="F33" s="25">
        <f>+F32+F31</f>
        <v>0.09</v>
      </c>
      <c r="G33" s="27">
        <f t="shared" ref="G33:Q33" si="13">SUM(G31:G32)</f>
        <v>76.710000000000008</v>
      </c>
      <c r="H33" s="83">
        <f t="shared" si="13"/>
        <v>0.09</v>
      </c>
      <c r="I33" s="26">
        <f t="shared" si="13"/>
        <v>77.679999999999993</v>
      </c>
      <c r="J33" s="26">
        <f t="shared" si="13"/>
        <v>0.09</v>
      </c>
      <c r="K33" s="26">
        <f t="shared" si="13"/>
        <v>16.39</v>
      </c>
      <c r="L33" s="26">
        <f t="shared" si="13"/>
        <v>0.09</v>
      </c>
      <c r="M33" s="26">
        <f t="shared" si="13"/>
        <v>96.66</v>
      </c>
      <c r="N33" s="26">
        <f t="shared" si="13"/>
        <v>0.09</v>
      </c>
      <c r="O33" s="26">
        <f t="shared" si="13"/>
        <v>5.85</v>
      </c>
      <c r="P33" s="26">
        <f t="shared" si="13"/>
        <v>0.09</v>
      </c>
      <c r="Q33" s="27">
        <f t="shared" si="13"/>
        <v>15.66</v>
      </c>
      <c r="R33" s="50">
        <f>SUM(F33:Q33)</f>
        <v>289.49</v>
      </c>
    </row>
    <row r="34" spans="2:19" x14ac:dyDescent="0.35">
      <c r="B34" s="5"/>
      <c r="C34" s="5"/>
      <c r="D34" s="5"/>
      <c r="E34" s="5"/>
      <c r="F34" s="94"/>
      <c r="G34" s="96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/>
      <c r="S34" s="5"/>
    </row>
    <row r="35" spans="2:19" ht="15" x14ac:dyDescent="0.4">
      <c r="B35" s="2" t="s">
        <v>27</v>
      </c>
      <c r="C35" s="2" t="s">
        <v>80</v>
      </c>
      <c r="D35" s="2" t="s">
        <v>4</v>
      </c>
      <c r="E35" s="5"/>
      <c r="F35" s="70">
        <f>ROUND((F21+F27)*1.354/100,2)</f>
        <v>0.21</v>
      </c>
      <c r="G35" s="72">
        <f t="shared" ref="G35:Q35" si="14">ROUND((G21+G27)*1.354/100,2)</f>
        <v>1.58</v>
      </c>
      <c r="H35" s="159">
        <f t="shared" si="14"/>
        <v>0.22</v>
      </c>
      <c r="I35" s="71">
        <f t="shared" si="14"/>
        <v>1.58</v>
      </c>
      <c r="J35" s="71">
        <f t="shared" si="14"/>
        <v>0.22</v>
      </c>
      <c r="K35" s="71">
        <f t="shared" si="14"/>
        <v>0.5</v>
      </c>
      <c r="L35" s="71">
        <f t="shared" si="14"/>
        <v>0.22</v>
      </c>
      <c r="M35" s="71">
        <f t="shared" si="14"/>
        <v>1.93</v>
      </c>
      <c r="N35" s="71">
        <f t="shared" si="14"/>
        <v>0.22</v>
      </c>
      <c r="O35" s="71">
        <f t="shared" si="14"/>
        <v>0.32</v>
      </c>
      <c r="P35" s="71">
        <f t="shared" si="14"/>
        <v>0.21</v>
      </c>
      <c r="Q35" s="72">
        <f t="shared" si="14"/>
        <v>0.5</v>
      </c>
      <c r="R35" s="89">
        <f t="shared" ref="R35:R36" si="15">SUM(F35:Q35)</f>
        <v>7.71</v>
      </c>
      <c r="S35" s="5"/>
    </row>
    <row r="36" spans="2:19" ht="15" x14ac:dyDescent="0.4">
      <c r="B36" s="2" t="s">
        <v>38</v>
      </c>
      <c r="C36" s="2" t="s">
        <v>37</v>
      </c>
      <c r="D36" s="2" t="s">
        <v>4</v>
      </c>
      <c r="E36" s="5"/>
      <c r="F36" s="70">
        <f t="shared" ref="F36:Q36" si="16">ROUND((F21+F27+F33)*0.0014,2)</f>
        <v>0.02</v>
      </c>
      <c r="G36" s="72">
        <f t="shared" si="16"/>
        <v>0.27</v>
      </c>
      <c r="H36" s="159">
        <f t="shared" si="16"/>
        <v>0.02</v>
      </c>
      <c r="I36" s="71">
        <f t="shared" si="16"/>
        <v>0.27</v>
      </c>
      <c r="J36" s="71">
        <f t="shared" si="16"/>
        <v>0.02</v>
      </c>
      <c r="K36" s="71">
        <f t="shared" si="16"/>
        <v>7.0000000000000007E-2</v>
      </c>
      <c r="L36" s="71">
        <f t="shared" si="16"/>
        <v>0.02</v>
      </c>
      <c r="M36" s="71">
        <f t="shared" si="16"/>
        <v>0.34</v>
      </c>
      <c r="N36" s="71">
        <f t="shared" si="16"/>
        <v>0.02</v>
      </c>
      <c r="O36" s="71">
        <f t="shared" si="16"/>
        <v>0.04</v>
      </c>
      <c r="P36" s="71">
        <f t="shared" si="16"/>
        <v>0.02</v>
      </c>
      <c r="Q36" s="72">
        <f t="shared" si="16"/>
        <v>7.0000000000000007E-2</v>
      </c>
      <c r="R36" s="89">
        <f t="shared" si="15"/>
        <v>1.1800000000000004</v>
      </c>
      <c r="S36" s="5"/>
    </row>
    <row r="37" spans="2:19" ht="15.4" thickBot="1" x14ac:dyDescent="0.45">
      <c r="B37" s="2" t="s">
        <v>36</v>
      </c>
      <c r="C37" s="108" t="s">
        <v>79</v>
      </c>
      <c r="D37" s="56" t="s">
        <v>4</v>
      </c>
      <c r="E37" s="4"/>
      <c r="F37" s="74">
        <f>ROUND(F12*0.00234,2)</f>
        <v>0</v>
      </c>
      <c r="G37" s="76">
        <f t="shared" ref="G37:Q37" si="17">ROUND(G12*0.00234,2)</f>
        <v>24.12</v>
      </c>
      <c r="H37" s="161">
        <f t="shared" si="17"/>
        <v>0</v>
      </c>
      <c r="I37" s="75">
        <f t="shared" si="17"/>
        <v>24.43</v>
      </c>
      <c r="J37" s="75">
        <f t="shared" si="17"/>
        <v>0</v>
      </c>
      <c r="K37" s="75">
        <f t="shared" si="17"/>
        <v>5.13</v>
      </c>
      <c r="L37" s="75">
        <f t="shared" si="17"/>
        <v>0</v>
      </c>
      <c r="M37" s="75">
        <f t="shared" si="17"/>
        <v>30.4</v>
      </c>
      <c r="N37" s="75">
        <f t="shared" si="17"/>
        <v>0</v>
      </c>
      <c r="O37" s="75">
        <f t="shared" si="17"/>
        <v>1.81</v>
      </c>
      <c r="P37" s="75">
        <f t="shared" si="17"/>
        <v>0</v>
      </c>
      <c r="Q37" s="76">
        <f t="shared" si="17"/>
        <v>4.9000000000000004</v>
      </c>
      <c r="R37" s="98">
        <f>SUM(F37:Q37)</f>
        <v>90.79</v>
      </c>
    </row>
    <row r="38" spans="2:19" ht="15.4" thickBot="1" x14ac:dyDescent="0.45">
      <c r="B38" s="22"/>
      <c r="C38" s="21" t="s">
        <v>39</v>
      </c>
      <c r="D38" s="46" t="s">
        <v>4</v>
      </c>
      <c r="E38" s="57"/>
      <c r="F38" s="25">
        <f>SUM(F35:F37)</f>
        <v>0.22999999999999998</v>
      </c>
      <c r="G38" s="27">
        <f t="shared" ref="G38:Q38" si="18">SUM(G35:G37)</f>
        <v>25.970000000000002</v>
      </c>
      <c r="H38" s="83">
        <f t="shared" si="18"/>
        <v>0.24</v>
      </c>
      <c r="I38" s="26">
        <f t="shared" si="18"/>
        <v>26.28</v>
      </c>
      <c r="J38" s="26">
        <f t="shared" si="18"/>
        <v>0.24</v>
      </c>
      <c r="K38" s="26">
        <f t="shared" si="18"/>
        <v>5.7</v>
      </c>
      <c r="L38" s="26">
        <f t="shared" si="18"/>
        <v>0.24</v>
      </c>
      <c r="M38" s="26">
        <f t="shared" si="18"/>
        <v>32.67</v>
      </c>
      <c r="N38" s="26">
        <f t="shared" si="18"/>
        <v>0.24</v>
      </c>
      <c r="O38" s="26">
        <f t="shared" si="18"/>
        <v>2.17</v>
      </c>
      <c r="P38" s="26">
        <f t="shared" si="18"/>
        <v>0.22999999999999998</v>
      </c>
      <c r="Q38" s="45">
        <f t="shared" si="18"/>
        <v>5.4700000000000006</v>
      </c>
      <c r="R38" s="50">
        <f>SUM(F38:Q38)</f>
        <v>99.68</v>
      </c>
    </row>
    <row r="39" spans="2:19" ht="15" x14ac:dyDescent="0.4">
      <c r="C39" s="22"/>
      <c r="D39" s="22"/>
      <c r="E39" s="4"/>
      <c r="F39" s="36"/>
      <c r="G39" s="37"/>
      <c r="H39" s="6"/>
      <c r="I39" s="6"/>
      <c r="J39" s="6"/>
      <c r="K39" s="6"/>
      <c r="L39" s="6"/>
      <c r="M39" s="6"/>
      <c r="N39" s="6"/>
      <c r="O39" s="6"/>
      <c r="P39" s="6"/>
      <c r="Q39" s="6"/>
      <c r="R39" s="67"/>
    </row>
    <row r="40" spans="2:19" ht="15.4" thickBot="1" x14ac:dyDescent="0.45">
      <c r="B40" s="204" t="s">
        <v>21</v>
      </c>
      <c r="C40" s="109" t="s">
        <v>20</v>
      </c>
      <c r="D40" s="2" t="s">
        <v>4</v>
      </c>
      <c r="E40" s="4"/>
      <c r="F40" s="70">
        <f>0.019068*F10</f>
        <v>0.5720400000000001</v>
      </c>
      <c r="G40" s="72">
        <f t="shared" ref="G40:Q40" si="19">0.019068*G10</f>
        <v>0.59110800000000008</v>
      </c>
      <c r="H40" s="159">
        <f t="shared" si="19"/>
        <v>0.59110800000000008</v>
      </c>
      <c r="I40" s="71">
        <f t="shared" si="19"/>
        <v>0.53390400000000005</v>
      </c>
      <c r="J40" s="71">
        <f t="shared" si="19"/>
        <v>0.59110800000000008</v>
      </c>
      <c r="K40" s="71">
        <f t="shared" si="19"/>
        <v>0.5720400000000001</v>
      </c>
      <c r="L40" s="71">
        <f t="shared" si="19"/>
        <v>0.59110800000000008</v>
      </c>
      <c r="M40" s="71">
        <f t="shared" si="19"/>
        <v>0.5720400000000001</v>
      </c>
      <c r="N40" s="71">
        <f t="shared" si="19"/>
        <v>0.59110800000000008</v>
      </c>
      <c r="O40" s="71">
        <f t="shared" si="19"/>
        <v>0.59110800000000008</v>
      </c>
      <c r="P40" s="71">
        <f t="shared" si="19"/>
        <v>0.5720400000000001</v>
      </c>
      <c r="Q40" s="73">
        <f t="shared" si="19"/>
        <v>0.59110800000000008</v>
      </c>
      <c r="R40" s="77">
        <f>SUM(F40:Q40)</f>
        <v>6.9598200000000023</v>
      </c>
    </row>
    <row r="41" spans="2:19" ht="15.4" thickBot="1" x14ac:dyDescent="0.45">
      <c r="B41" s="205"/>
      <c r="C41" s="21" t="s">
        <v>81</v>
      </c>
      <c r="D41" s="55" t="s">
        <v>4</v>
      </c>
      <c r="E41" s="47"/>
      <c r="F41" s="48">
        <f t="shared" ref="F41:Q41" si="20">+F40</f>
        <v>0.5720400000000001</v>
      </c>
      <c r="G41" s="41">
        <f t="shared" si="20"/>
        <v>0.59110800000000008</v>
      </c>
      <c r="H41" s="49">
        <f t="shared" si="20"/>
        <v>0.59110800000000008</v>
      </c>
      <c r="I41" s="49">
        <f t="shared" si="20"/>
        <v>0.53390400000000005</v>
      </c>
      <c r="J41" s="49">
        <f t="shared" si="20"/>
        <v>0.59110800000000008</v>
      </c>
      <c r="K41" s="49">
        <f t="shared" si="20"/>
        <v>0.5720400000000001</v>
      </c>
      <c r="L41" s="49">
        <f t="shared" si="20"/>
        <v>0.59110800000000008</v>
      </c>
      <c r="M41" s="49">
        <f t="shared" si="20"/>
        <v>0.5720400000000001</v>
      </c>
      <c r="N41" s="49">
        <f t="shared" si="20"/>
        <v>0.59110800000000008</v>
      </c>
      <c r="O41" s="49">
        <f t="shared" si="20"/>
        <v>0.59110800000000008</v>
      </c>
      <c r="P41" s="49">
        <f t="shared" si="20"/>
        <v>0.5720400000000001</v>
      </c>
      <c r="Q41" s="41">
        <f t="shared" si="20"/>
        <v>0.59110800000000008</v>
      </c>
      <c r="R41" s="41">
        <f>SUM(F41:Q41)</f>
        <v>6.9598200000000023</v>
      </c>
    </row>
    <row r="42" spans="2:19" ht="15.4" thickBot="1" x14ac:dyDescent="0.45">
      <c r="C42" s="22"/>
      <c r="D42" s="22"/>
      <c r="E42" s="4"/>
      <c r="F42" s="36"/>
      <c r="G42" s="37"/>
      <c r="H42" s="6"/>
      <c r="I42" s="6"/>
      <c r="J42" s="6"/>
      <c r="K42" s="6"/>
      <c r="L42" s="6"/>
      <c r="M42" s="6"/>
      <c r="N42" s="6"/>
      <c r="O42" s="6"/>
      <c r="P42" s="6"/>
      <c r="Q42" s="37"/>
      <c r="R42" s="37"/>
    </row>
    <row r="43" spans="2:19" ht="15.4" thickBot="1" x14ac:dyDescent="0.45">
      <c r="C43" s="23" t="s">
        <v>19</v>
      </c>
      <c r="D43" s="54" t="s">
        <v>3</v>
      </c>
      <c r="E43" s="4"/>
      <c r="F43" s="38">
        <f>IF(F12=0,0,+F45/F12)</f>
        <v>0</v>
      </c>
      <c r="G43" s="40">
        <f t="shared" ref="G43:Q43" si="21">IF(G12=0,0,+G45/G12)</f>
        <v>2.1361318327350345E-2</v>
      </c>
      <c r="H43" s="162">
        <f t="shared" si="21"/>
        <v>0</v>
      </c>
      <c r="I43" s="39">
        <f t="shared" si="21"/>
        <v>2.1182479547849412E-2</v>
      </c>
      <c r="J43" s="39">
        <f t="shared" si="21"/>
        <v>0</v>
      </c>
      <c r="K43" s="39">
        <f t="shared" si="21"/>
        <v>2.7218083941605842E-2</v>
      </c>
      <c r="L43" s="39">
        <f t="shared" si="21"/>
        <v>0</v>
      </c>
      <c r="M43" s="39">
        <f t="shared" si="21"/>
        <v>2.0980141647421093E-2</v>
      </c>
      <c r="N43" s="39">
        <f t="shared" si="21"/>
        <v>0</v>
      </c>
      <c r="O43" s="39">
        <f t="shared" si="21"/>
        <v>4.1640139354838707E-2</v>
      </c>
      <c r="P43" s="39">
        <f t="shared" si="21"/>
        <v>0</v>
      </c>
      <c r="Q43" s="40">
        <f t="shared" si="21"/>
        <v>2.7832429799426933E-2</v>
      </c>
      <c r="R43" s="24">
        <f>+R45/R12</f>
        <v>2.4871763796169809E-2</v>
      </c>
    </row>
    <row r="44" spans="2:19" ht="15.4" thickBot="1" x14ac:dyDescent="0.45">
      <c r="C44" s="22"/>
      <c r="D44" s="22"/>
      <c r="E44" s="4"/>
      <c r="F44" s="35"/>
      <c r="G44" s="16"/>
      <c r="H44" s="22"/>
      <c r="I44" s="22"/>
      <c r="J44" s="22"/>
      <c r="K44" s="22"/>
      <c r="L44" s="22"/>
      <c r="M44" s="22"/>
      <c r="N44" s="22"/>
      <c r="O44" s="22"/>
      <c r="P44" s="22"/>
      <c r="Q44" s="16"/>
      <c r="R44" s="16"/>
    </row>
    <row r="45" spans="2:19" ht="15.4" thickBot="1" x14ac:dyDescent="0.45">
      <c r="B45" s="4"/>
      <c r="C45" s="23" t="s">
        <v>72</v>
      </c>
      <c r="D45" s="55" t="s">
        <v>17</v>
      </c>
      <c r="E45" s="4"/>
      <c r="F45" s="25">
        <f t="shared" ref="F45:Q45" si="22">F15+F21+F27+F33+F38+F41</f>
        <v>16.45204</v>
      </c>
      <c r="G45" s="27">
        <f t="shared" si="22"/>
        <v>220.171108</v>
      </c>
      <c r="H45" s="83">
        <f t="shared" si="22"/>
        <v>17.001107999999999</v>
      </c>
      <c r="I45" s="26">
        <f t="shared" si="22"/>
        <v>221.12390400000001</v>
      </c>
      <c r="J45" s="26">
        <f t="shared" si="22"/>
        <v>17.001107999999999</v>
      </c>
      <c r="K45" s="26">
        <f t="shared" si="22"/>
        <v>59.662040000000005</v>
      </c>
      <c r="L45" s="26">
        <f t="shared" si="22"/>
        <v>17.001107999999999</v>
      </c>
      <c r="M45" s="26">
        <f t="shared" si="22"/>
        <v>272.53203999999999</v>
      </c>
      <c r="N45" s="26">
        <f t="shared" si="22"/>
        <v>17.001107999999999</v>
      </c>
      <c r="O45" s="26">
        <f t="shared" si="22"/>
        <v>32.271107999999998</v>
      </c>
      <c r="P45" s="26">
        <f t="shared" si="22"/>
        <v>16.45204</v>
      </c>
      <c r="Q45" s="27">
        <f t="shared" si="22"/>
        <v>58.281107999999996</v>
      </c>
      <c r="R45" s="41">
        <f>SUM(F45:Q45)</f>
        <v>964.94982000000005</v>
      </c>
    </row>
    <row r="46" spans="2:19" ht="15.4" thickBot="1" x14ac:dyDescent="0.45">
      <c r="C46" s="9"/>
      <c r="D46" s="9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</row>
    <row r="47" spans="2:19" ht="21" thickBot="1" x14ac:dyDescent="0.65">
      <c r="B47" s="4"/>
      <c r="C47" s="190" t="s">
        <v>73</v>
      </c>
      <c r="D47" s="191"/>
      <c r="E47" s="191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3"/>
      <c r="R47" s="17" t="s">
        <v>57</v>
      </c>
    </row>
    <row r="48" spans="2:19" ht="15" x14ac:dyDescent="0.4">
      <c r="B48" s="4"/>
      <c r="C48" s="33" t="s">
        <v>22</v>
      </c>
      <c r="D48" s="33" t="s">
        <v>0</v>
      </c>
      <c r="E48" s="22"/>
      <c r="F48" s="58">
        <f t="shared" ref="F48:Q48" si="23">+F12</f>
        <v>0</v>
      </c>
      <c r="G48" s="59">
        <f t="shared" si="23"/>
        <v>10307</v>
      </c>
      <c r="H48" s="59">
        <f t="shared" si="23"/>
        <v>0</v>
      </c>
      <c r="I48" s="59">
        <f t="shared" si="23"/>
        <v>10439</v>
      </c>
      <c r="J48" s="59">
        <f t="shared" si="23"/>
        <v>0</v>
      </c>
      <c r="K48" s="60">
        <f t="shared" si="23"/>
        <v>2192</v>
      </c>
      <c r="L48" s="58">
        <f t="shared" si="23"/>
        <v>0</v>
      </c>
      <c r="M48" s="59">
        <f t="shared" si="23"/>
        <v>12990</v>
      </c>
      <c r="N48" s="59">
        <f t="shared" si="23"/>
        <v>0</v>
      </c>
      <c r="O48" s="59">
        <f t="shared" si="23"/>
        <v>775</v>
      </c>
      <c r="P48" s="59">
        <f t="shared" si="23"/>
        <v>0</v>
      </c>
      <c r="Q48" s="60">
        <f t="shared" si="23"/>
        <v>2094</v>
      </c>
      <c r="R48" s="64">
        <f>SUM(F48:Q48)</f>
        <v>38797</v>
      </c>
    </row>
    <row r="49" spans="2:18" ht="15.4" thickBot="1" x14ac:dyDescent="0.45">
      <c r="B49" s="4"/>
      <c r="C49" s="42" t="s">
        <v>19</v>
      </c>
      <c r="D49" s="42" t="s">
        <v>5</v>
      </c>
      <c r="E49" s="5"/>
      <c r="F49" s="61">
        <f>IF(F48=0,0,+F50/F48)</f>
        <v>0</v>
      </c>
      <c r="G49" s="62">
        <f t="shared" ref="G49:Q49" si="24">IF(G48=0,0,+G50/G48)</f>
        <v>2.1361318327350345E-2</v>
      </c>
      <c r="H49" s="62">
        <f t="shared" si="24"/>
        <v>0</v>
      </c>
      <c r="I49" s="62">
        <f t="shared" si="24"/>
        <v>2.1182479547849412E-2</v>
      </c>
      <c r="J49" s="62">
        <f t="shared" si="24"/>
        <v>0</v>
      </c>
      <c r="K49" s="63">
        <f t="shared" si="24"/>
        <v>2.7218083941605842E-2</v>
      </c>
      <c r="L49" s="61">
        <f t="shared" si="24"/>
        <v>0</v>
      </c>
      <c r="M49" s="62">
        <f t="shared" si="24"/>
        <v>2.0980141647421093E-2</v>
      </c>
      <c r="N49" s="62">
        <f t="shared" si="24"/>
        <v>0</v>
      </c>
      <c r="O49" s="62">
        <f t="shared" si="24"/>
        <v>4.1640139354838707E-2</v>
      </c>
      <c r="P49" s="62">
        <f t="shared" si="24"/>
        <v>0</v>
      </c>
      <c r="Q49" s="63">
        <f t="shared" si="24"/>
        <v>2.7832429799426933E-2</v>
      </c>
      <c r="R49" s="65">
        <f t="shared" ref="R49" si="25">+R50/R48</f>
        <v>2.4871768435703791E-2</v>
      </c>
    </row>
    <row r="50" spans="2:18" ht="15.4" thickBot="1" x14ac:dyDescent="0.45">
      <c r="C50" s="44" t="s">
        <v>23</v>
      </c>
      <c r="D50" s="43" t="s">
        <v>4</v>
      </c>
      <c r="E50" s="5"/>
      <c r="F50" s="25">
        <f t="shared" ref="F50:Q50" si="26">+F45</f>
        <v>16.45204</v>
      </c>
      <c r="G50" s="26">
        <f t="shared" si="26"/>
        <v>220.171108</v>
      </c>
      <c r="H50" s="26">
        <f t="shared" si="26"/>
        <v>17.001107999999999</v>
      </c>
      <c r="I50" s="26">
        <f t="shared" si="26"/>
        <v>221.12390400000001</v>
      </c>
      <c r="J50" s="26">
        <f t="shared" si="26"/>
        <v>17.001107999999999</v>
      </c>
      <c r="K50" s="27">
        <f t="shared" si="26"/>
        <v>59.662040000000005</v>
      </c>
      <c r="L50" s="25">
        <f t="shared" si="26"/>
        <v>17.001107999999999</v>
      </c>
      <c r="M50" s="26">
        <f t="shared" si="26"/>
        <v>272.53203999999999</v>
      </c>
      <c r="N50" s="26">
        <f t="shared" si="26"/>
        <v>17.001107999999999</v>
      </c>
      <c r="O50" s="26">
        <f t="shared" si="26"/>
        <v>32.271107999999998</v>
      </c>
      <c r="P50" s="26">
        <f t="shared" si="26"/>
        <v>16.45204</v>
      </c>
      <c r="Q50" s="27">
        <f t="shared" si="26"/>
        <v>58.281107999999996</v>
      </c>
      <c r="R50" s="50">
        <f>ROUND(SUM(F50:Q50),2)</f>
        <v>964.95</v>
      </c>
    </row>
    <row r="51" spans="2:18" ht="15.4" thickBot="1" x14ac:dyDescent="0.4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99" t="s">
        <v>24</v>
      </c>
      <c r="R51" s="41">
        <f>ROUND(R50*0.21,2)</f>
        <v>202.64</v>
      </c>
    </row>
    <row r="52" spans="2:18" ht="15.4" thickBot="1" x14ac:dyDescent="0.45">
      <c r="Q52" s="99" t="s">
        <v>35</v>
      </c>
      <c r="R52" s="41">
        <f>+R51+R50</f>
        <v>1167.5900000000001</v>
      </c>
    </row>
  </sheetData>
  <sheetProtection algorithmName="SHA-512" hashValue="PP1srwi6npyK8QV/j8JAYQzoktFZgr20KVyeBv0tPywM4fTNYeDFOdZOuznbVd8dRIffi7tgtcAGztTD+JoBhg==" saltValue="gxXxPMQzVnoVVViK1udipA==" spinCount="100000" sheet="1" objects="1" scenarios="1"/>
  <mergeCells count="10">
    <mergeCell ref="B29:B33"/>
    <mergeCell ref="B40:B41"/>
    <mergeCell ref="C47:Q47"/>
    <mergeCell ref="F5:Q5"/>
    <mergeCell ref="F7:Q7"/>
    <mergeCell ref="B23:B27"/>
    <mergeCell ref="B9:C9"/>
    <mergeCell ref="B17:B21"/>
    <mergeCell ref="F8:G8"/>
    <mergeCell ref="H8:Q8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31D8716343F4787BB6C83E936E8FC" ma:contentTypeVersion="19" ma:contentTypeDescription="Crear nuevo documento." ma:contentTypeScope="" ma:versionID="87624be757b0eeb43521b89d3ed3ed8b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4de6534595c5425cf4b44ad73a102c5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AC5F95-F4D1-4AB8-B97D-37395C3C10DB}"/>
</file>

<file path=customXml/itemProps2.xml><?xml version="1.0" encoding="utf-8"?>
<ds:datastoreItem xmlns:ds="http://schemas.openxmlformats.org/officeDocument/2006/customXml" ds:itemID="{EA844077-E097-455D-8F42-99E9A60D1FA7}"/>
</file>

<file path=customXml/itemProps3.xml><?xml version="1.0" encoding="utf-8"?>
<ds:datastoreItem xmlns:ds="http://schemas.openxmlformats.org/officeDocument/2006/customXml" ds:itemID="{2D38476C-C65A-4840-BE2E-0FCBD9D259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MODEL Oferta Formula Indexada</vt:lpstr>
      <vt:lpstr>Càlcul MODEL Oferta MIBGAS=50</vt:lpstr>
      <vt:lpstr>Càlcul MODEL Oferta MIBGAS=40</vt:lpstr>
    </vt:vector>
  </TitlesOfParts>
  <Company>FGC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Miguel Maestre</dc:creator>
  <cp:lastModifiedBy>Javier Nieto Guarasa</cp:lastModifiedBy>
  <cp:lastPrinted>2023-03-16T08:30:41Z</cp:lastPrinted>
  <dcterms:created xsi:type="dcterms:W3CDTF">2004-12-09T09:23:28Z</dcterms:created>
  <dcterms:modified xsi:type="dcterms:W3CDTF">2026-06-01T07:51:56Z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