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6"/>
  <workbookPr defaultThemeVersion="124226"/>
  <mc:AlternateContent xmlns:mc="http://schemas.openxmlformats.org/markup-compatibility/2006">
    <mc:Choice Requires="x15">
      <x15ac:absPath xmlns:x15ac="http://schemas.microsoft.com/office/spreadsheetml/2010/11/ac" url="/Users/asanahuja/Desktop/Escritorio - Mac/ESPITAU VAL D'ARAN/Licitacions/2026/Obres Cuina/Segona Licitacio/Pressupost Nou/Xavier Mallol/"/>
    </mc:Choice>
  </mc:AlternateContent>
  <xr:revisionPtr revIDLastSave="0" documentId="13_ncr:1_{A632B4CD-4A30-C94C-A4E2-4A39ABC19B00}" xr6:coauthVersionLast="47" xr6:coauthVersionMax="47" xr10:uidLastSave="{00000000-0000-0000-0000-000000000000}"/>
  <bookViews>
    <workbookView xWindow="240" yWindow="760" windowWidth="27200" windowHeight="16460" activeTab="1" xr2:uid="{00000000-000D-0000-FFFF-FFFF00000000}"/>
  </bookViews>
  <sheets>
    <sheet name="Full 1" sheetId="1" r:id="rId1"/>
    <sheet name="Resum"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6" i="1" l="1"/>
  <c r="K1406" i="1" s="1"/>
  <c r="K1403" i="1" s="1"/>
  <c r="L1403" i="1"/>
  <c r="L1397" i="1"/>
  <c r="M1397" i="1" s="1"/>
  <c r="L1396" i="1"/>
  <c r="M1396" i="1" s="1"/>
  <c r="K1394" i="1"/>
  <c r="L1392" i="1"/>
  <c r="M1392" i="1" s="1"/>
  <c r="L1391" i="1"/>
  <c r="M1391" i="1" s="1"/>
  <c r="K1389" i="1"/>
  <c r="L1385" i="1"/>
  <c r="M1385" i="1" s="1"/>
  <c r="L1384" i="1"/>
  <c r="M1384" i="1" s="1"/>
  <c r="K1382" i="1"/>
  <c r="L1380" i="1"/>
  <c r="M1380" i="1" s="1"/>
  <c r="L1379" i="1"/>
  <c r="M1379" i="1" s="1"/>
  <c r="K1377" i="1"/>
  <c r="J1372" i="1"/>
  <c r="K1372" i="1" s="1"/>
  <c r="K1369" i="1" s="1"/>
  <c r="L1369" i="1"/>
  <c r="J1366" i="1"/>
  <c r="K1366" i="1" s="1"/>
  <c r="K1363" i="1" s="1"/>
  <c r="L1363" i="1"/>
  <c r="J1362" i="1"/>
  <c r="K1362" i="1" s="1"/>
  <c r="K1359" i="1" s="1"/>
  <c r="L1359" i="1"/>
  <c r="J1358" i="1"/>
  <c r="K1358" i="1" s="1"/>
  <c r="K1355" i="1" s="1"/>
  <c r="L1355" i="1"/>
  <c r="J1354" i="1"/>
  <c r="K1354" i="1" s="1"/>
  <c r="K1351" i="1" s="1"/>
  <c r="L1351" i="1"/>
  <c r="L1346" i="1"/>
  <c r="M1346" i="1" s="1"/>
  <c r="L1345" i="1"/>
  <c r="M1345" i="1" s="1"/>
  <c r="L1344" i="1"/>
  <c r="M1344" i="1" s="1"/>
  <c r="L1343" i="1"/>
  <c r="M1343" i="1" s="1"/>
  <c r="K1341" i="1"/>
  <c r="L1335" i="1"/>
  <c r="K1335" i="1"/>
  <c r="L1331" i="1"/>
  <c r="K1331" i="1"/>
  <c r="M1331" i="1" s="1"/>
  <c r="L1329" i="1"/>
  <c r="K1329" i="1"/>
  <c r="L1327" i="1"/>
  <c r="K1327" i="1"/>
  <c r="L1325" i="1"/>
  <c r="K1325" i="1"/>
  <c r="L1323" i="1"/>
  <c r="K1323" i="1"/>
  <c r="L1319" i="1"/>
  <c r="K1319" i="1"/>
  <c r="M1319" i="1" s="1"/>
  <c r="L1317" i="1"/>
  <c r="K1317" i="1"/>
  <c r="L1315" i="1"/>
  <c r="K1315" i="1"/>
  <c r="L1313" i="1"/>
  <c r="K1313" i="1"/>
  <c r="L1311" i="1"/>
  <c r="K1311" i="1"/>
  <c r="L1309" i="1"/>
  <c r="K1309" i="1"/>
  <c r="L1307" i="1"/>
  <c r="K1307" i="1"/>
  <c r="L1305" i="1"/>
  <c r="K1305" i="1"/>
  <c r="L1303" i="1"/>
  <c r="K1303" i="1"/>
  <c r="L1301" i="1"/>
  <c r="K1301" i="1"/>
  <c r="L1299" i="1"/>
  <c r="K1299" i="1"/>
  <c r="M1299" i="1" s="1"/>
  <c r="L1297" i="1"/>
  <c r="K1297" i="1"/>
  <c r="L1295" i="1"/>
  <c r="K1295" i="1"/>
  <c r="L1293" i="1"/>
  <c r="K1293" i="1"/>
  <c r="L1291" i="1"/>
  <c r="K1291" i="1"/>
  <c r="L1289" i="1"/>
  <c r="K1289" i="1"/>
  <c r="L1287" i="1"/>
  <c r="K1287" i="1"/>
  <c r="L1285" i="1"/>
  <c r="K1285" i="1"/>
  <c r="L1283" i="1"/>
  <c r="K1283" i="1"/>
  <c r="L1281" i="1"/>
  <c r="K1281" i="1"/>
  <c r="L1279" i="1"/>
  <c r="K1279" i="1"/>
  <c r="M1279" i="1" s="1"/>
  <c r="L1275" i="1"/>
  <c r="K1275" i="1"/>
  <c r="L1273" i="1"/>
  <c r="K1273" i="1"/>
  <c r="L1271" i="1"/>
  <c r="K1271" i="1"/>
  <c r="L1269" i="1"/>
  <c r="K1269" i="1"/>
  <c r="L1267" i="1"/>
  <c r="K1267" i="1"/>
  <c r="L1265" i="1"/>
  <c r="K1265" i="1"/>
  <c r="L1263" i="1"/>
  <c r="K1263" i="1"/>
  <c r="L1261" i="1"/>
  <c r="K1261" i="1"/>
  <c r="L1257" i="1"/>
  <c r="K1257" i="1"/>
  <c r="L1255" i="1"/>
  <c r="K1255" i="1"/>
  <c r="L1253" i="1"/>
  <c r="K1253" i="1"/>
  <c r="L1251" i="1"/>
  <c r="K1251" i="1"/>
  <c r="L1249" i="1"/>
  <c r="K1249" i="1"/>
  <c r="L1247" i="1"/>
  <c r="K1247" i="1"/>
  <c r="L1245" i="1"/>
  <c r="K1245" i="1"/>
  <c r="M1245" i="1" s="1"/>
  <c r="L1243" i="1"/>
  <c r="K1243" i="1"/>
  <c r="L1241" i="1"/>
  <c r="K1241" i="1"/>
  <c r="L1239" i="1"/>
  <c r="K1239" i="1"/>
  <c r="L1237" i="1"/>
  <c r="K1237" i="1"/>
  <c r="L1235" i="1"/>
  <c r="K1235" i="1"/>
  <c r="M1235" i="1" s="1"/>
  <c r="L1233" i="1"/>
  <c r="K1233" i="1"/>
  <c r="L1231" i="1"/>
  <c r="K1231" i="1"/>
  <c r="L1229" i="1"/>
  <c r="K1229" i="1"/>
  <c r="L1227" i="1"/>
  <c r="K1227" i="1"/>
  <c r="L1225" i="1"/>
  <c r="K1225" i="1"/>
  <c r="M1225" i="1" s="1"/>
  <c r="L1223" i="1"/>
  <c r="K1223" i="1"/>
  <c r="L1221" i="1"/>
  <c r="K1221" i="1"/>
  <c r="L1219" i="1"/>
  <c r="K1219" i="1"/>
  <c r="L1217" i="1"/>
  <c r="K1217" i="1"/>
  <c r="L1210" i="1"/>
  <c r="K1210" i="1"/>
  <c r="L1208" i="1"/>
  <c r="K1208" i="1"/>
  <c r="L1206" i="1"/>
  <c r="M1206" i="1" s="1"/>
  <c r="L1205" i="1"/>
  <c r="M1205" i="1" s="1"/>
  <c r="L1204" i="1"/>
  <c r="M1204" i="1" s="1"/>
  <c r="L1203" i="1"/>
  <c r="M1203" i="1" s="1"/>
  <c r="K1201" i="1"/>
  <c r="L1199" i="1"/>
  <c r="M1199" i="1" s="1"/>
  <c r="L1198" i="1"/>
  <c r="M1198" i="1" s="1"/>
  <c r="L1197" i="1"/>
  <c r="M1197" i="1" s="1"/>
  <c r="L1196" i="1"/>
  <c r="M1196" i="1" s="1"/>
  <c r="K1194" i="1"/>
  <c r="L1192" i="1"/>
  <c r="M1192" i="1" s="1"/>
  <c r="L1191" i="1"/>
  <c r="M1191" i="1" s="1"/>
  <c r="L1190" i="1"/>
  <c r="M1190" i="1" s="1"/>
  <c r="L1189" i="1"/>
  <c r="M1189" i="1" s="1"/>
  <c r="K1187" i="1"/>
  <c r="L1183" i="1"/>
  <c r="M1183" i="1" s="1"/>
  <c r="L1182" i="1"/>
  <c r="M1182" i="1" s="1"/>
  <c r="L1181" i="1"/>
  <c r="M1181" i="1" s="1"/>
  <c r="L1180" i="1"/>
  <c r="M1180" i="1" s="1"/>
  <c r="L1179" i="1"/>
  <c r="M1179" i="1" s="1"/>
  <c r="L1178" i="1"/>
  <c r="M1178" i="1" s="1"/>
  <c r="K1176" i="1"/>
  <c r="L1174" i="1"/>
  <c r="M1174" i="1" s="1"/>
  <c r="L1173" i="1"/>
  <c r="M1173" i="1" s="1"/>
  <c r="L1172" i="1"/>
  <c r="M1172" i="1" s="1"/>
  <c r="L1171" i="1"/>
  <c r="M1171" i="1" s="1"/>
  <c r="L1170" i="1"/>
  <c r="M1170" i="1" s="1"/>
  <c r="L1169" i="1"/>
  <c r="M1169" i="1" s="1"/>
  <c r="K1167" i="1"/>
  <c r="L1165" i="1"/>
  <c r="K1165" i="1"/>
  <c r="L1161" i="1"/>
  <c r="M1161" i="1" s="1"/>
  <c r="L1162" i="1" s="1"/>
  <c r="K1159" i="1"/>
  <c r="L1153" i="1"/>
  <c r="M1153" i="1" s="1"/>
  <c r="L1152" i="1"/>
  <c r="M1152" i="1" s="1"/>
  <c r="L1151" i="1"/>
  <c r="M1151" i="1" s="1"/>
  <c r="K1149" i="1"/>
  <c r="L1145" i="1"/>
  <c r="M1145" i="1" s="1"/>
  <c r="L1144" i="1"/>
  <c r="M1144" i="1" s="1"/>
  <c r="L1143" i="1"/>
  <c r="M1143" i="1" s="1"/>
  <c r="L1142" i="1"/>
  <c r="M1142" i="1" s="1"/>
  <c r="K1140" i="1"/>
  <c r="L1136" i="1"/>
  <c r="M1136" i="1" s="1"/>
  <c r="L1135" i="1"/>
  <c r="M1135" i="1" s="1"/>
  <c r="L1134" i="1"/>
  <c r="M1134" i="1" s="1"/>
  <c r="L1133" i="1"/>
  <c r="M1133" i="1" s="1"/>
  <c r="K1131" i="1"/>
  <c r="L1129" i="1"/>
  <c r="M1129" i="1" s="1"/>
  <c r="L1128" i="1"/>
  <c r="M1128" i="1" s="1"/>
  <c r="L1127" i="1"/>
  <c r="M1127" i="1" s="1"/>
  <c r="K1125" i="1"/>
  <c r="L1121" i="1"/>
  <c r="K1121" i="1"/>
  <c r="L1119" i="1"/>
  <c r="M1119" i="1" s="1"/>
  <c r="L1118" i="1"/>
  <c r="M1118" i="1" s="1"/>
  <c r="L1117" i="1"/>
  <c r="M1117" i="1" s="1"/>
  <c r="L1116" i="1"/>
  <c r="M1116" i="1" s="1"/>
  <c r="J1115" i="1"/>
  <c r="K1115" i="1" s="1"/>
  <c r="K1112" i="1" s="1"/>
  <c r="L1110" i="1"/>
  <c r="M1110" i="1" s="1"/>
  <c r="L1109" i="1"/>
  <c r="M1109" i="1" s="1"/>
  <c r="L1108" i="1"/>
  <c r="M1108" i="1" s="1"/>
  <c r="L1107" i="1"/>
  <c r="M1107" i="1" s="1"/>
  <c r="J1106" i="1"/>
  <c r="K1106" i="1" s="1"/>
  <c r="K1103" i="1" s="1"/>
  <c r="L1101" i="1"/>
  <c r="M1101" i="1" s="1"/>
  <c r="L1100" i="1"/>
  <c r="M1100" i="1" s="1"/>
  <c r="L1099" i="1"/>
  <c r="M1099" i="1" s="1"/>
  <c r="L1098" i="1"/>
  <c r="M1098" i="1" s="1"/>
  <c r="K1096" i="1"/>
  <c r="L1094" i="1"/>
  <c r="M1094" i="1" s="1"/>
  <c r="L1093" i="1"/>
  <c r="M1093" i="1" s="1"/>
  <c r="L1092" i="1"/>
  <c r="M1092" i="1" s="1"/>
  <c r="L1091" i="1"/>
  <c r="M1091" i="1" s="1"/>
  <c r="K1089" i="1"/>
  <c r="L1087" i="1"/>
  <c r="M1087" i="1" s="1"/>
  <c r="L1086" i="1"/>
  <c r="M1086" i="1" s="1"/>
  <c r="L1085" i="1"/>
  <c r="M1085" i="1" s="1"/>
  <c r="L1084" i="1"/>
  <c r="M1084" i="1" s="1"/>
  <c r="L1083" i="1"/>
  <c r="M1083" i="1" s="1"/>
  <c r="K1081" i="1"/>
  <c r="L1079" i="1"/>
  <c r="M1079" i="1" s="1"/>
  <c r="L1078" i="1"/>
  <c r="M1078" i="1" s="1"/>
  <c r="L1077" i="1"/>
  <c r="M1077" i="1" s="1"/>
  <c r="L1076" i="1"/>
  <c r="M1076" i="1" s="1"/>
  <c r="K1074" i="1"/>
  <c r="L1072" i="1"/>
  <c r="M1072" i="1" s="1"/>
  <c r="L1071" i="1"/>
  <c r="M1071" i="1" s="1"/>
  <c r="L1070" i="1"/>
  <c r="M1070" i="1" s="1"/>
  <c r="L1069" i="1"/>
  <c r="M1069" i="1" s="1"/>
  <c r="L1068" i="1"/>
  <c r="M1068" i="1" s="1"/>
  <c r="K1066" i="1"/>
  <c r="L1060" i="1"/>
  <c r="K1060" i="1"/>
  <c r="L1058" i="1"/>
  <c r="K1058" i="1"/>
  <c r="L1056" i="1"/>
  <c r="M1056" i="1" s="1"/>
  <c r="L1055" i="1"/>
  <c r="M1055" i="1" s="1"/>
  <c r="L1054" i="1"/>
  <c r="M1054" i="1" s="1"/>
  <c r="L1053" i="1"/>
  <c r="M1053" i="1" s="1"/>
  <c r="K1051" i="1"/>
  <c r="L1049" i="1"/>
  <c r="K1049" i="1"/>
  <c r="L1047" i="1"/>
  <c r="M1047" i="1" s="1"/>
  <c r="L1046" i="1"/>
  <c r="M1046" i="1" s="1"/>
  <c r="L1045" i="1"/>
  <c r="M1045" i="1" s="1"/>
  <c r="L1044" i="1"/>
  <c r="M1044" i="1" s="1"/>
  <c r="K1042" i="1"/>
  <c r="L1040" i="1"/>
  <c r="K1040" i="1"/>
  <c r="M1040" i="1" s="1"/>
  <c r="L1038" i="1"/>
  <c r="M1038" i="1" s="1"/>
  <c r="L1037" i="1"/>
  <c r="M1037" i="1" s="1"/>
  <c r="L1036" i="1"/>
  <c r="M1036" i="1" s="1"/>
  <c r="L1035" i="1"/>
  <c r="M1035" i="1" s="1"/>
  <c r="K1033" i="1"/>
  <c r="L1027" i="1"/>
  <c r="K1027" i="1"/>
  <c r="L1025" i="1"/>
  <c r="K1025" i="1"/>
  <c r="L1023" i="1"/>
  <c r="K1023" i="1"/>
  <c r="L1021" i="1"/>
  <c r="K1021" i="1"/>
  <c r="L1019" i="1"/>
  <c r="K1019" i="1"/>
  <c r="L1017" i="1"/>
  <c r="K1017" i="1"/>
  <c r="L1015" i="1"/>
  <c r="M1015" i="1" s="1"/>
  <c r="L1014" i="1"/>
  <c r="M1014" i="1" s="1"/>
  <c r="L1013" i="1"/>
  <c r="M1013" i="1" s="1"/>
  <c r="K1011" i="1"/>
  <c r="L1009" i="1"/>
  <c r="M1009" i="1" s="1"/>
  <c r="L1008" i="1"/>
  <c r="M1008" i="1" s="1"/>
  <c r="L1007" i="1"/>
  <c r="M1007" i="1" s="1"/>
  <c r="K1005" i="1"/>
  <c r="L1003" i="1"/>
  <c r="M1003" i="1" s="1"/>
  <c r="L1002" i="1"/>
  <c r="M1002" i="1" s="1"/>
  <c r="L1001" i="1"/>
  <c r="M1001" i="1" s="1"/>
  <c r="K999" i="1"/>
  <c r="L995" i="1"/>
  <c r="M995" i="1" s="1"/>
  <c r="L994" i="1"/>
  <c r="M994" i="1" s="1"/>
  <c r="L993" i="1"/>
  <c r="M993" i="1" s="1"/>
  <c r="L992" i="1"/>
  <c r="M992" i="1" s="1"/>
  <c r="L991" i="1"/>
  <c r="M991" i="1" s="1"/>
  <c r="L990" i="1"/>
  <c r="M990" i="1" s="1"/>
  <c r="L989" i="1"/>
  <c r="M989" i="1" s="1"/>
  <c r="L988" i="1"/>
  <c r="M988" i="1" s="1"/>
  <c r="K986" i="1"/>
  <c r="L984" i="1"/>
  <c r="M984" i="1" s="1"/>
  <c r="L983" i="1"/>
  <c r="M983" i="1" s="1"/>
  <c r="L982" i="1"/>
  <c r="M982" i="1" s="1"/>
  <c r="K980" i="1"/>
  <c r="L978" i="1"/>
  <c r="M978" i="1" s="1"/>
  <c r="L977" i="1"/>
  <c r="M977" i="1" s="1"/>
  <c r="L976" i="1"/>
  <c r="M976" i="1" s="1"/>
  <c r="K974" i="1"/>
  <c r="L972" i="1"/>
  <c r="M972" i="1" s="1"/>
  <c r="L971" i="1"/>
  <c r="M971" i="1" s="1"/>
  <c r="L970" i="1"/>
  <c r="M970" i="1" s="1"/>
  <c r="K968" i="1"/>
  <c r="L966" i="1"/>
  <c r="M966" i="1" s="1"/>
  <c r="L965" i="1"/>
  <c r="M965" i="1" s="1"/>
  <c r="L964" i="1"/>
  <c r="M964" i="1" s="1"/>
  <c r="K962" i="1"/>
  <c r="L960" i="1"/>
  <c r="M960" i="1" s="1"/>
  <c r="L959" i="1"/>
  <c r="M959" i="1" s="1"/>
  <c r="L958" i="1"/>
  <c r="M958" i="1" s="1"/>
  <c r="K956" i="1"/>
  <c r="L954" i="1"/>
  <c r="M954" i="1" s="1"/>
  <c r="L953" i="1"/>
  <c r="M953" i="1" s="1"/>
  <c r="L952" i="1"/>
  <c r="M952" i="1" s="1"/>
  <c r="K950" i="1"/>
  <c r="L948" i="1"/>
  <c r="M948" i="1" s="1"/>
  <c r="L947" i="1"/>
  <c r="M947" i="1" s="1"/>
  <c r="L946" i="1"/>
  <c r="M946" i="1" s="1"/>
  <c r="L945" i="1"/>
  <c r="M945" i="1" s="1"/>
  <c r="K943" i="1"/>
  <c r="L941" i="1"/>
  <c r="M941" i="1" s="1"/>
  <c r="L940" i="1"/>
  <c r="M940" i="1" s="1"/>
  <c r="L939" i="1"/>
  <c r="M939" i="1" s="1"/>
  <c r="L938" i="1"/>
  <c r="M938" i="1" s="1"/>
  <c r="K936" i="1"/>
  <c r="L934" i="1"/>
  <c r="M934" i="1" s="1"/>
  <c r="L933" i="1"/>
  <c r="M933" i="1" s="1"/>
  <c r="L932" i="1"/>
  <c r="M932" i="1" s="1"/>
  <c r="K930" i="1"/>
  <c r="L928" i="1"/>
  <c r="M928" i="1" s="1"/>
  <c r="L927" i="1"/>
  <c r="M927" i="1" s="1"/>
  <c r="L926" i="1"/>
  <c r="M926" i="1" s="1"/>
  <c r="K924" i="1"/>
  <c r="L922" i="1"/>
  <c r="M922" i="1" s="1"/>
  <c r="L921" i="1"/>
  <c r="M921" i="1" s="1"/>
  <c r="L920" i="1"/>
  <c r="M920" i="1" s="1"/>
  <c r="K918" i="1"/>
  <c r="L916" i="1"/>
  <c r="M916" i="1" s="1"/>
  <c r="L915" i="1"/>
  <c r="M915" i="1" s="1"/>
  <c r="L914" i="1"/>
  <c r="M914" i="1" s="1"/>
  <c r="K912" i="1"/>
  <c r="L910" i="1"/>
  <c r="M910" i="1" s="1"/>
  <c r="L909" i="1"/>
  <c r="M909" i="1" s="1"/>
  <c r="L908" i="1"/>
  <c r="M908" i="1" s="1"/>
  <c r="K906" i="1"/>
  <c r="L904" i="1"/>
  <c r="K904" i="1"/>
  <c r="J901" i="1"/>
  <c r="K901" i="1" s="1"/>
  <c r="K898" i="1" s="1"/>
  <c r="L898" i="1"/>
  <c r="L896" i="1"/>
  <c r="M896" i="1" s="1"/>
  <c r="L895" i="1"/>
  <c r="M895" i="1" s="1"/>
  <c r="L894" i="1"/>
  <c r="M894" i="1" s="1"/>
  <c r="J893" i="1"/>
  <c r="J892" i="1"/>
  <c r="J891" i="1"/>
  <c r="J890" i="1"/>
  <c r="J889" i="1"/>
  <c r="J888" i="1"/>
  <c r="J887" i="1"/>
  <c r="J886" i="1"/>
  <c r="J885" i="1"/>
  <c r="L880" i="1"/>
  <c r="M880" i="1" s="1"/>
  <c r="L879" i="1"/>
  <c r="M879" i="1" s="1"/>
  <c r="L878" i="1"/>
  <c r="M878" i="1" s="1"/>
  <c r="K876" i="1"/>
  <c r="L874" i="1"/>
  <c r="M874" i="1" s="1"/>
  <c r="L873" i="1"/>
  <c r="M873" i="1" s="1"/>
  <c r="L872" i="1"/>
  <c r="M872" i="1" s="1"/>
  <c r="K870" i="1"/>
  <c r="L868" i="1"/>
  <c r="M868" i="1" s="1"/>
  <c r="L867" i="1"/>
  <c r="M867" i="1" s="1"/>
  <c r="L866" i="1"/>
  <c r="M866" i="1" s="1"/>
  <c r="K864" i="1"/>
  <c r="L862" i="1"/>
  <c r="K862" i="1"/>
  <c r="L860" i="1"/>
  <c r="K860" i="1"/>
  <c r="L858" i="1"/>
  <c r="K858" i="1"/>
  <c r="L856" i="1"/>
  <c r="K856" i="1"/>
  <c r="L854" i="1"/>
  <c r="K854" i="1"/>
  <c r="L852" i="1"/>
  <c r="M852" i="1" s="1"/>
  <c r="L851" i="1"/>
  <c r="M851" i="1" s="1"/>
  <c r="L850" i="1"/>
  <c r="M850" i="1" s="1"/>
  <c r="K848" i="1"/>
  <c r="L846" i="1"/>
  <c r="K846" i="1"/>
  <c r="L844" i="1"/>
  <c r="M844" i="1" s="1"/>
  <c r="L843" i="1"/>
  <c r="M843" i="1" s="1"/>
  <c r="L842" i="1"/>
  <c r="M842" i="1" s="1"/>
  <c r="K840" i="1"/>
  <c r="L838" i="1"/>
  <c r="M838" i="1" s="1"/>
  <c r="L839" i="1" s="1"/>
  <c r="L836" i="1" s="1"/>
  <c r="K836" i="1"/>
  <c r="L834" i="1"/>
  <c r="K834" i="1"/>
  <c r="L828" i="1"/>
  <c r="K828" i="1"/>
  <c r="L826" i="1"/>
  <c r="M826" i="1" s="1"/>
  <c r="L825" i="1"/>
  <c r="M825" i="1" s="1"/>
  <c r="L824" i="1"/>
  <c r="M824" i="1" s="1"/>
  <c r="L823" i="1"/>
  <c r="M823" i="1" s="1"/>
  <c r="L822" i="1"/>
  <c r="M822" i="1" s="1"/>
  <c r="K820" i="1"/>
  <c r="L818" i="1"/>
  <c r="M818" i="1" s="1"/>
  <c r="L817" i="1"/>
  <c r="M817" i="1" s="1"/>
  <c r="L816" i="1"/>
  <c r="M816" i="1" s="1"/>
  <c r="L815" i="1"/>
  <c r="M815" i="1" s="1"/>
  <c r="J814" i="1"/>
  <c r="J813" i="1"/>
  <c r="L808" i="1"/>
  <c r="M808" i="1" s="1"/>
  <c r="L807" i="1"/>
  <c r="M807" i="1" s="1"/>
  <c r="L806" i="1"/>
  <c r="M806" i="1" s="1"/>
  <c r="L805" i="1"/>
  <c r="M805" i="1" s="1"/>
  <c r="J804" i="1"/>
  <c r="J803" i="1"/>
  <c r="L798" i="1"/>
  <c r="M798" i="1" s="1"/>
  <c r="L797" i="1"/>
  <c r="M797" i="1" s="1"/>
  <c r="L796" i="1"/>
  <c r="M796" i="1" s="1"/>
  <c r="L795" i="1"/>
  <c r="M795" i="1" s="1"/>
  <c r="L794" i="1"/>
  <c r="M794" i="1" s="1"/>
  <c r="L793" i="1"/>
  <c r="M793" i="1" s="1"/>
  <c r="L792" i="1"/>
  <c r="M792" i="1" s="1"/>
  <c r="L791" i="1"/>
  <c r="M791" i="1" s="1"/>
  <c r="J790" i="1"/>
  <c r="K790" i="1" s="1"/>
  <c r="K787" i="1" s="1"/>
  <c r="L785" i="1"/>
  <c r="M785" i="1" s="1"/>
  <c r="L784" i="1"/>
  <c r="M784" i="1" s="1"/>
  <c r="L783" i="1"/>
  <c r="M783" i="1" s="1"/>
  <c r="L782" i="1"/>
  <c r="M782" i="1" s="1"/>
  <c r="L781" i="1"/>
  <c r="M781" i="1" s="1"/>
  <c r="L780" i="1"/>
  <c r="M780" i="1" s="1"/>
  <c r="L779" i="1"/>
  <c r="M779" i="1" s="1"/>
  <c r="L778" i="1"/>
  <c r="M778" i="1" s="1"/>
  <c r="J777" i="1"/>
  <c r="K777" i="1" s="1"/>
  <c r="K774" i="1" s="1"/>
  <c r="L770" i="1"/>
  <c r="M770" i="1" s="1"/>
  <c r="L769" i="1"/>
  <c r="M769" i="1" s="1"/>
  <c r="L768" i="1"/>
  <c r="M768" i="1" s="1"/>
  <c r="L767" i="1"/>
  <c r="M767" i="1" s="1"/>
  <c r="K765" i="1"/>
  <c r="L763" i="1"/>
  <c r="M763" i="1" s="1"/>
  <c r="L762" i="1"/>
  <c r="M762" i="1" s="1"/>
  <c r="L761" i="1"/>
  <c r="M761" i="1" s="1"/>
  <c r="L760" i="1"/>
  <c r="M760" i="1" s="1"/>
  <c r="L759" i="1"/>
  <c r="M759" i="1" s="1"/>
  <c r="K757" i="1"/>
  <c r="L755" i="1"/>
  <c r="M755" i="1" s="1"/>
  <c r="L754" i="1"/>
  <c r="M754" i="1" s="1"/>
  <c r="L753" i="1"/>
  <c r="M753" i="1" s="1"/>
  <c r="L752" i="1"/>
  <c r="M752" i="1" s="1"/>
  <c r="K750" i="1"/>
  <c r="L748" i="1"/>
  <c r="K748" i="1"/>
  <c r="L744" i="1"/>
  <c r="M744" i="1" s="1"/>
  <c r="L743" i="1"/>
  <c r="M743" i="1" s="1"/>
  <c r="L742" i="1"/>
  <c r="M742" i="1" s="1"/>
  <c r="L741" i="1"/>
  <c r="M741" i="1" s="1"/>
  <c r="L740" i="1"/>
  <c r="M740" i="1" s="1"/>
  <c r="L739" i="1"/>
  <c r="M739" i="1" s="1"/>
  <c r="L738" i="1"/>
  <c r="M738" i="1" s="1"/>
  <c r="K736" i="1"/>
  <c r="L734" i="1"/>
  <c r="M734" i="1" s="1"/>
  <c r="L733" i="1"/>
  <c r="M733" i="1" s="1"/>
  <c r="L732" i="1"/>
  <c r="M732" i="1" s="1"/>
  <c r="L731" i="1"/>
  <c r="M731" i="1" s="1"/>
  <c r="L730" i="1"/>
  <c r="M730" i="1" s="1"/>
  <c r="L729" i="1"/>
  <c r="M729" i="1" s="1"/>
  <c r="L728" i="1"/>
  <c r="M728" i="1" s="1"/>
  <c r="K726" i="1"/>
  <c r="L724" i="1"/>
  <c r="M724" i="1" s="1"/>
  <c r="L723" i="1"/>
  <c r="M723" i="1" s="1"/>
  <c r="L722" i="1"/>
  <c r="M722" i="1" s="1"/>
  <c r="L721" i="1"/>
  <c r="M721" i="1" s="1"/>
  <c r="L720" i="1"/>
  <c r="M720" i="1" s="1"/>
  <c r="L719" i="1"/>
  <c r="M719" i="1" s="1"/>
  <c r="L718" i="1"/>
  <c r="M718" i="1" s="1"/>
  <c r="K716" i="1"/>
  <c r="L714" i="1"/>
  <c r="M714" i="1" s="1"/>
  <c r="L713" i="1"/>
  <c r="M713" i="1" s="1"/>
  <c r="L712" i="1"/>
  <c r="M712" i="1" s="1"/>
  <c r="L711" i="1"/>
  <c r="M711" i="1" s="1"/>
  <c r="L710" i="1"/>
  <c r="M710" i="1" s="1"/>
  <c r="L709" i="1"/>
  <c r="M709" i="1" s="1"/>
  <c r="L708" i="1"/>
  <c r="M708" i="1" s="1"/>
  <c r="K706" i="1"/>
  <c r="L704" i="1"/>
  <c r="M704" i="1" s="1"/>
  <c r="L703" i="1"/>
  <c r="M703" i="1" s="1"/>
  <c r="L702" i="1"/>
  <c r="M702" i="1" s="1"/>
  <c r="L701" i="1"/>
  <c r="M701" i="1" s="1"/>
  <c r="L700" i="1"/>
  <c r="M700" i="1" s="1"/>
  <c r="L699" i="1"/>
  <c r="M699" i="1" s="1"/>
  <c r="L698" i="1"/>
  <c r="M698" i="1" s="1"/>
  <c r="K696" i="1"/>
  <c r="L694" i="1"/>
  <c r="K694" i="1"/>
  <c r="L686" i="1"/>
  <c r="M686" i="1" s="1"/>
  <c r="L685" i="1"/>
  <c r="M685" i="1" s="1"/>
  <c r="L684" i="1"/>
  <c r="M684" i="1" s="1"/>
  <c r="L683" i="1"/>
  <c r="M683" i="1" s="1"/>
  <c r="L682" i="1"/>
  <c r="M682" i="1" s="1"/>
  <c r="K680" i="1"/>
  <c r="L674" i="1"/>
  <c r="M674" i="1" s="1"/>
  <c r="L673" i="1"/>
  <c r="M673" i="1" s="1"/>
  <c r="L672" i="1"/>
  <c r="M672" i="1" s="1"/>
  <c r="L671" i="1"/>
  <c r="M671" i="1" s="1"/>
  <c r="L670" i="1"/>
  <c r="M670" i="1" s="1"/>
  <c r="J669" i="1"/>
  <c r="J668" i="1"/>
  <c r="J667" i="1"/>
  <c r="L658" i="1"/>
  <c r="M658" i="1" s="1"/>
  <c r="L657" i="1"/>
  <c r="M657" i="1" s="1"/>
  <c r="L656" i="1"/>
  <c r="M656" i="1" s="1"/>
  <c r="L655" i="1"/>
  <c r="M655" i="1" s="1"/>
  <c r="L654" i="1"/>
  <c r="M654" i="1" s="1"/>
  <c r="L653" i="1"/>
  <c r="M653" i="1" s="1"/>
  <c r="L652" i="1"/>
  <c r="M652" i="1" s="1"/>
  <c r="J651" i="1"/>
  <c r="J650" i="1"/>
  <c r="L641" i="1"/>
  <c r="M641" i="1" s="1"/>
  <c r="L640" i="1"/>
  <c r="M640" i="1" s="1"/>
  <c r="L639" i="1"/>
  <c r="M639" i="1" s="1"/>
  <c r="L638" i="1"/>
  <c r="M638" i="1" s="1"/>
  <c r="L637" i="1"/>
  <c r="M637" i="1" s="1"/>
  <c r="L636" i="1"/>
  <c r="M636" i="1" s="1"/>
  <c r="L635" i="1"/>
  <c r="M635" i="1" s="1"/>
  <c r="L634" i="1"/>
  <c r="M634" i="1" s="1"/>
  <c r="L633" i="1"/>
  <c r="M633" i="1" s="1"/>
  <c r="L632" i="1"/>
  <c r="M632" i="1" s="1"/>
  <c r="L631" i="1"/>
  <c r="M631" i="1" s="1"/>
  <c r="J630" i="1"/>
  <c r="J629" i="1"/>
  <c r="J628" i="1"/>
  <c r="L621" i="1"/>
  <c r="M621" i="1" s="1"/>
  <c r="L620" i="1"/>
  <c r="M620" i="1" s="1"/>
  <c r="L619" i="1"/>
  <c r="M619" i="1" s="1"/>
  <c r="L618" i="1"/>
  <c r="M618" i="1" s="1"/>
  <c r="L617" i="1"/>
  <c r="M617" i="1" s="1"/>
  <c r="L616" i="1"/>
  <c r="M616" i="1" s="1"/>
  <c r="L615" i="1"/>
  <c r="M615" i="1" s="1"/>
  <c r="L614" i="1"/>
  <c r="M614" i="1" s="1"/>
  <c r="L613" i="1"/>
  <c r="M613" i="1" s="1"/>
  <c r="L612" i="1"/>
  <c r="M612" i="1" s="1"/>
  <c r="L611" i="1"/>
  <c r="M611" i="1" s="1"/>
  <c r="L610" i="1"/>
  <c r="M610" i="1" s="1"/>
  <c r="L609" i="1"/>
  <c r="M609" i="1" s="1"/>
  <c r="L608" i="1"/>
  <c r="M608" i="1" s="1"/>
  <c r="L607" i="1"/>
  <c r="M607" i="1" s="1"/>
  <c r="L606" i="1"/>
  <c r="M606" i="1" s="1"/>
  <c r="L605" i="1"/>
  <c r="M605" i="1" s="1"/>
  <c r="J604" i="1"/>
  <c r="J603" i="1"/>
  <c r="L594" i="1"/>
  <c r="M594" i="1" s="1"/>
  <c r="L593" i="1"/>
  <c r="M593" i="1" s="1"/>
  <c r="L592" i="1"/>
  <c r="M592" i="1" s="1"/>
  <c r="L591" i="1"/>
  <c r="M591" i="1" s="1"/>
  <c r="L590" i="1"/>
  <c r="M590" i="1" s="1"/>
  <c r="L589" i="1"/>
  <c r="M589" i="1" s="1"/>
  <c r="L588" i="1"/>
  <c r="M588" i="1" s="1"/>
  <c r="L587" i="1"/>
  <c r="M587" i="1" s="1"/>
  <c r="K585" i="1"/>
  <c r="L581" i="1"/>
  <c r="M581" i="1" s="1"/>
  <c r="L580" i="1"/>
  <c r="M580" i="1" s="1"/>
  <c r="L579" i="1"/>
  <c r="M579" i="1" s="1"/>
  <c r="L578" i="1"/>
  <c r="M578" i="1" s="1"/>
  <c r="L577" i="1"/>
  <c r="M577" i="1" s="1"/>
  <c r="L576" i="1"/>
  <c r="M576" i="1" s="1"/>
  <c r="L575" i="1"/>
  <c r="M575" i="1" s="1"/>
  <c r="K573" i="1"/>
  <c r="L569" i="1"/>
  <c r="M569" i="1" s="1"/>
  <c r="L568" i="1"/>
  <c r="M568" i="1" s="1"/>
  <c r="L567" i="1"/>
  <c r="M567" i="1" s="1"/>
  <c r="L566" i="1"/>
  <c r="M566" i="1" s="1"/>
  <c r="L565" i="1"/>
  <c r="M565" i="1" s="1"/>
  <c r="J564" i="1"/>
  <c r="J563" i="1"/>
  <c r="J562" i="1"/>
  <c r="L553" i="1"/>
  <c r="M553" i="1" s="1"/>
  <c r="L552" i="1"/>
  <c r="M552" i="1" s="1"/>
  <c r="L551" i="1"/>
  <c r="M551" i="1" s="1"/>
  <c r="L550" i="1"/>
  <c r="M550" i="1" s="1"/>
  <c r="L549" i="1"/>
  <c r="M549" i="1" s="1"/>
  <c r="J548" i="1"/>
  <c r="J547" i="1"/>
  <c r="J546" i="1"/>
  <c r="J545" i="1"/>
  <c r="J544" i="1"/>
  <c r="J542" i="1"/>
  <c r="J541" i="1"/>
  <c r="L530" i="1"/>
  <c r="M530" i="1" s="1"/>
  <c r="L529" i="1"/>
  <c r="M529" i="1" s="1"/>
  <c r="L528" i="1"/>
  <c r="M528" i="1" s="1"/>
  <c r="L527" i="1"/>
  <c r="M527" i="1" s="1"/>
  <c r="L526" i="1"/>
  <c r="M526" i="1" s="1"/>
  <c r="L525" i="1"/>
  <c r="M525" i="1" s="1"/>
  <c r="L524" i="1"/>
  <c r="M524" i="1" s="1"/>
  <c r="L523" i="1"/>
  <c r="M523" i="1" s="1"/>
  <c r="L522" i="1"/>
  <c r="M522" i="1" s="1"/>
  <c r="L521" i="1"/>
  <c r="M521" i="1" s="1"/>
  <c r="J520" i="1"/>
  <c r="J519" i="1"/>
  <c r="J517" i="1"/>
  <c r="J516" i="1"/>
  <c r="L507" i="1"/>
  <c r="M507" i="1" s="1"/>
  <c r="L506" i="1"/>
  <c r="M506" i="1" s="1"/>
  <c r="L505" i="1"/>
  <c r="M505" i="1" s="1"/>
  <c r="L504" i="1"/>
  <c r="M504" i="1" s="1"/>
  <c r="L503" i="1"/>
  <c r="M503" i="1" s="1"/>
  <c r="L502" i="1"/>
  <c r="M502" i="1" s="1"/>
  <c r="L501" i="1"/>
  <c r="M501" i="1" s="1"/>
  <c r="L500" i="1"/>
  <c r="M500" i="1" s="1"/>
  <c r="L499" i="1"/>
  <c r="M499" i="1" s="1"/>
  <c r="L498" i="1"/>
  <c r="M498" i="1" s="1"/>
  <c r="J497" i="1"/>
  <c r="J496" i="1"/>
  <c r="L491" i="1"/>
  <c r="M491" i="1" s="1"/>
  <c r="L490" i="1"/>
  <c r="M490" i="1" s="1"/>
  <c r="L489" i="1"/>
  <c r="M489" i="1" s="1"/>
  <c r="L488" i="1"/>
  <c r="M488" i="1" s="1"/>
  <c r="L487" i="1"/>
  <c r="M487" i="1" s="1"/>
  <c r="L486" i="1"/>
  <c r="M486" i="1" s="1"/>
  <c r="L485" i="1"/>
  <c r="M485" i="1" s="1"/>
  <c r="L484" i="1"/>
  <c r="M484" i="1" s="1"/>
  <c r="L483" i="1"/>
  <c r="M483" i="1" s="1"/>
  <c r="L482" i="1"/>
  <c r="M482" i="1" s="1"/>
  <c r="L481" i="1"/>
  <c r="M481" i="1" s="1"/>
  <c r="K479" i="1"/>
  <c r="L477" i="1"/>
  <c r="M477" i="1" s="1"/>
  <c r="L476" i="1"/>
  <c r="M476" i="1" s="1"/>
  <c r="L475" i="1"/>
  <c r="M475" i="1" s="1"/>
  <c r="L474" i="1"/>
  <c r="M474" i="1" s="1"/>
  <c r="L473" i="1"/>
  <c r="M473" i="1" s="1"/>
  <c r="L472" i="1"/>
  <c r="M472" i="1" s="1"/>
  <c r="L471" i="1"/>
  <c r="M471" i="1" s="1"/>
  <c r="L470" i="1"/>
  <c r="M470" i="1" s="1"/>
  <c r="L469" i="1"/>
  <c r="M469" i="1" s="1"/>
  <c r="L468" i="1"/>
  <c r="M468" i="1" s="1"/>
  <c r="L467" i="1"/>
  <c r="M467" i="1" s="1"/>
  <c r="K465" i="1"/>
  <c r="L459" i="1"/>
  <c r="M459" i="1" s="1"/>
  <c r="L458" i="1"/>
  <c r="M458" i="1" s="1"/>
  <c r="L457" i="1"/>
  <c r="M457" i="1" s="1"/>
  <c r="L456" i="1"/>
  <c r="M456" i="1" s="1"/>
  <c r="L455" i="1"/>
  <c r="M455" i="1" s="1"/>
  <c r="L454" i="1"/>
  <c r="M454" i="1" s="1"/>
  <c r="L453" i="1"/>
  <c r="M453" i="1" s="1"/>
  <c r="K451" i="1"/>
  <c r="L449" i="1"/>
  <c r="M449" i="1" s="1"/>
  <c r="L448" i="1"/>
  <c r="M448" i="1" s="1"/>
  <c r="L447" i="1"/>
  <c r="M447" i="1" s="1"/>
  <c r="L446" i="1"/>
  <c r="M446" i="1" s="1"/>
  <c r="L445" i="1"/>
  <c r="M445" i="1" s="1"/>
  <c r="L444" i="1"/>
  <c r="M444" i="1" s="1"/>
  <c r="L443" i="1"/>
  <c r="M443" i="1" s="1"/>
  <c r="K441" i="1"/>
  <c r="L433" i="1"/>
  <c r="M433" i="1" s="1"/>
  <c r="L432" i="1"/>
  <c r="M432" i="1" s="1"/>
  <c r="L431" i="1"/>
  <c r="M431" i="1" s="1"/>
  <c r="L430" i="1"/>
  <c r="M430" i="1" s="1"/>
  <c r="L429" i="1"/>
  <c r="M429" i="1" s="1"/>
  <c r="L428" i="1"/>
  <c r="M428" i="1" s="1"/>
  <c r="L427" i="1"/>
  <c r="M427" i="1" s="1"/>
  <c r="L426" i="1"/>
  <c r="M426" i="1" s="1"/>
  <c r="J425" i="1"/>
  <c r="J424" i="1"/>
  <c r="L417" i="1"/>
  <c r="M417" i="1" s="1"/>
  <c r="L416" i="1"/>
  <c r="M416" i="1" s="1"/>
  <c r="L415" i="1"/>
  <c r="M415" i="1" s="1"/>
  <c r="L414" i="1"/>
  <c r="M414" i="1" s="1"/>
  <c r="L413" i="1"/>
  <c r="M413" i="1" s="1"/>
  <c r="J412" i="1"/>
  <c r="K412" i="1" s="1"/>
  <c r="K409" i="1" s="1"/>
  <c r="L403" i="1"/>
  <c r="M403" i="1" s="1"/>
  <c r="L402" i="1"/>
  <c r="M402" i="1" s="1"/>
  <c r="L401" i="1"/>
  <c r="M401" i="1" s="1"/>
  <c r="L400" i="1"/>
  <c r="M400" i="1" s="1"/>
  <c r="L399" i="1"/>
  <c r="M399" i="1" s="1"/>
  <c r="L398" i="1"/>
  <c r="M398" i="1" s="1"/>
  <c r="L397" i="1"/>
  <c r="M397" i="1" s="1"/>
  <c r="L396" i="1"/>
  <c r="M396" i="1" s="1"/>
  <c r="L395" i="1"/>
  <c r="M395" i="1" s="1"/>
  <c r="L394" i="1"/>
  <c r="M394" i="1" s="1"/>
  <c r="L393" i="1"/>
  <c r="M393" i="1" s="1"/>
  <c r="L392" i="1"/>
  <c r="M392" i="1" s="1"/>
  <c r="L391" i="1"/>
  <c r="M391" i="1" s="1"/>
  <c r="J390" i="1"/>
  <c r="J389" i="1"/>
  <c r="L384" i="1"/>
  <c r="M384" i="1" s="1"/>
  <c r="L383" i="1"/>
  <c r="M383" i="1" s="1"/>
  <c r="L382" i="1"/>
  <c r="M382" i="1" s="1"/>
  <c r="L381" i="1"/>
  <c r="M381" i="1" s="1"/>
  <c r="L380" i="1"/>
  <c r="M380" i="1" s="1"/>
  <c r="L379" i="1"/>
  <c r="M379" i="1" s="1"/>
  <c r="L378" i="1"/>
  <c r="M378" i="1" s="1"/>
  <c r="L377" i="1"/>
  <c r="M377" i="1" s="1"/>
  <c r="L376" i="1"/>
  <c r="M376" i="1" s="1"/>
  <c r="L375" i="1"/>
  <c r="M375" i="1" s="1"/>
  <c r="L374" i="1"/>
  <c r="M374" i="1" s="1"/>
  <c r="L373" i="1"/>
  <c r="M373" i="1" s="1"/>
  <c r="L372" i="1"/>
  <c r="M372" i="1" s="1"/>
  <c r="L371" i="1"/>
  <c r="M371" i="1" s="1"/>
  <c r="L370" i="1"/>
  <c r="M370" i="1" s="1"/>
  <c r="J369" i="1"/>
  <c r="J368" i="1"/>
  <c r="J367" i="1"/>
  <c r="J366" i="1"/>
  <c r="J365" i="1"/>
  <c r="J364" i="1"/>
  <c r="J363" i="1"/>
  <c r="L354" i="1"/>
  <c r="M354" i="1" s="1"/>
  <c r="L353" i="1"/>
  <c r="M353" i="1" s="1"/>
  <c r="L352" i="1"/>
  <c r="M352" i="1" s="1"/>
  <c r="L351" i="1"/>
  <c r="M351" i="1" s="1"/>
  <c r="L350" i="1"/>
  <c r="M350" i="1" s="1"/>
  <c r="L349" i="1"/>
  <c r="M349" i="1" s="1"/>
  <c r="L348" i="1"/>
  <c r="M348" i="1" s="1"/>
  <c r="L347" i="1"/>
  <c r="M347" i="1" s="1"/>
  <c r="L346" i="1"/>
  <c r="M346" i="1" s="1"/>
  <c r="L345" i="1"/>
  <c r="M345" i="1" s="1"/>
  <c r="L344" i="1"/>
  <c r="M344" i="1" s="1"/>
  <c r="L343" i="1"/>
  <c r="M343" i="1" s="1"/>
  <c r="L342" i="1"/>
  <c r="M342" i="1" s="1"/>
  <c r="L341" i="1"/>
  <c r="M341" i="1" s="1"/>
  <c r="L340" i="1"/>
  <c r="M340" i="1" s="1"/>
  <c r="J339" i="1"/>
  <c r="K339" i="1" s="1"/>
  <c r="K336" i="1" s="1"/>
  <c r="L332" i="1"/>
  <c r="M332" i="1" s="1"/>
  <c r="L331" i="1"/>
  <c r="M331" i="1" s="1"/>
  <c r="L330" i="1"/>
  <c r="M330" i="1" s="1"/>
  <c r="L329" i="1"/>
  <c r="M329" i="1" s="1"/>
  <c r="L328" i="1"/>
  <c r="M328" i="1" s="1"/>
  <c r="L327" i="1"/>
  <c r="M327" i="1" s="1"/>
  <c r="J326" i="1"/>
  <c r="K326" i="1" s="1"/>
  <c r="K323" i="1" s="1"/>
  <c r="L315" i="1"/>
  <c r="M315" i="1" s="1"/>
  <c r="L314" i="1"/>
  <c r="M314" i="1" s="1"/>
  <c r="L313" i="1"/>
  <c r="M313" i="1" s="1"/>
  <c r="L312" i="1"/>
  <c r="M312" i="1" s="1"/>
  <c r="L311" i="1"/>
  <c r="M311" i="1" s="1"/>
  <c r="L310" i="1"/>
  <c r="M310" i="1" s="1"/>
  <c r="L309" i="1"/>
  <c r="M309" i="1" s="1"/>
  <c r="L308" i="1"/>
  <c r="M308" i="1" s="1"/>
  <c r="L307" i="1"/>
  <c r="M307" i="1" s="1"/>
  <c r="L306" i="1"/>
  <c r="M306" i="1" s="1"/>
  <c r="L305" i="1"/>
  <c r="M305" i="1" s="1"/>
  <c r="L304" i="1"/>
  <c r="M304" i="1" s="1"/>
  <c r="L303" i="1"/>
  <c r="M303" i="1" s="1"/>
  <c r="L302" i="1"/>
  <c r="M302" i="1" s="1"/>
  <c r="L301" i="1"/>
  <c r="M301" i="1" s="1"/>
  <c r="J300" i="1"/>
  <c r="J299" i="1"/>
  <c r="L294" i="1"/>
  <c r="M294" i="1" s="1"/>
  <c r="L293" i="1"/>
  <c r="M293" i="1" s="1"/>
  <c r="L292" i="1"/>
  <c r="M292" i="1" s="1"/>
  <c r="L291" i="1"/>
  <c r="M291" i="1" s="1"/>
  <c r="L290" i="1"/>
  <c r="M290" i="1" s="1"/>
  <c r="L289" i="1"/>
  <c r="M289" i="1" s="1"/>
  <c r="K287" i="1"/>
  <c r="L285" i="1"/>
  <c r="M285" i="1" s="1"/>
  <c r="L284" i="1"/>
  <c r="M284" i="1" s="1"/>
  <c r="L283" i="1"/>
  <c r="M283" i="1" s="1"/>
  <c r="L282" i="1"/>
  <c r="M282" i="1" s="1"/>
  <c r="L281" i="1"/>
  <c r="M281" i="1" s="1"/>
  <c r="L280" i="1"/>
  <c r="M280" i="1" s="1"/>
  <c r="L279" i="1"/>
  <c r="M279" i="1" s="1"/>
  <c r="L278" i="1"/>
  <c r="M278" i="1" s="1"/>
  <c r="L277" i="1"/>
  <c r="M277" i="1" s="1"/>
  <c r="K275" i="1"/>
  <c r="L271" i="1"/>
  <c r="M271" i="1" s="1"/>
  <c r="L270" i="1"/>
  <c r="M270" i="1" s="1"/>
  <c r="L269" i="1"/>
  <c r="M269" i="1" s="1"/>
  <c r="L268" i="1"/>
  <c r="M268" i="1" s="1"/>
  <c r="L267" i="1"/>
  <c r="M267" i="1" s="1"/>
  <c r="L266" i="1"/>
  <c r="M266" i="1" s="1"/>
  <c r="L265" i="1"/>
  <c r="M265" i="1" s="1"/>
  <c r="L264" i="1"/>
  <c r="M264" i="1" s="1"/>
  <c r="L263" i="1"/>
  <c r="M263" i="1" s="1"/>
  <c r="L262" i="1"/>
  <c r="M262" i="1" s="1"/>
  <c r="L261" i="1"/>
  <c r="M261" i="1" s="1"/>
  <c r="L260" i="1"/>
  <c r="M260" i="1" s="1"/>
  <c r="J258" i="1"/>
  <c r="J257" i="1"/>
  <c r="L250" i="1"/>
  <c r="M250" i="1" s="1"/>
  <c r="L249" i="1"/>
  <c r="M249" i="1" s="1"/>
  <c r="L248" i="1"/>
  <c r="M248" i="1" s="1"/>
  <c r="L247" i="1"/>
  <c r="M247" i="1" s="1"/>
  <c r="L246" i="1"/>
  <c r="M246" i="1" s="1"/>
  <c r="L245" i="1"/>
  <c r="M245" i="1" s="1"/>
  <c r="K243" i="1"/>
  <c r="L237" i="1"/>
  <c r="M237" i="1" s="1"/>
  <c r="L236" i="1"/>
  <c r="M236" i="1" s="1"/>
  <c r="L235" i="1"/>
  <c r="M235" i="1" s="1"/>
  <c r="L234" i="1"/>
  <c r="M234" i="1" s="1"/>
  <c r="L233" i="1"/>
  <c r="M233" i="1" s="1"/>
  <c r="K231" i="1"/>
  <c r="L229" i="1"/>
  <c r="M229" i="1" s="1"/>
  <c r="L228" i="1"/>
  <c r="M228" i="1" s="1"/>
  <c r="L227" i="1"/>
  <c r="M227" i="1" s="1"/>
  <c r="L226" i="1"/>
  <c r="M226" i="1" s="1"/>
  <c r="L225" i="1"/>
  <c r="M225" i="1" s="1"/>
  <c r="L224" i="1"/>
  <c r="M224" i="1" s="1"/>
  <c r="L223" i="1"/>
  <c r="M223" i="1" s="1"/>
  <c r="L222" i="1"/>
  <c r="M222" i="1" s="1"/>
  <c r="L221" i="1"/>
  <c r="M221" i="1" s="1"/>
  <c r="L220" i="1"/>
  <c r="M220" i="1" s="1"/>
  <c r="L219" i="1"/>
  <c r="M219" i="1" s="1"/>
  <c r="L218" i="1"/>
  <c r="M218" i="1" s="1"/>
  <c r="K216" i="1"/>
  <c r="L214" i="1"/>
  <c r="M214" i="1" s="1"/>
  <c r="L213" i="1"/>
  <c r="M213" i="1" s="1"/>
  <c r="L212" i="1"/>
  <c r="M212" i="1" s="1"/>
  <c r="L211" i="1"/>
  <c r="M211" i="1" s="1"/>
  <c r="L210" i="1"/>
  <c r="M210" i="1" s="1"/>
  <c r="L209" i="1"/>
  <c r="M209" i="1" s="1"/>
  <c r="L208" i="1"/>
  <c r="M208" i="1" s="1"/>
  <c r="L207" i="1"/>
  <c r="M207" i="1" s="1"/>
  <c r="L206" i="1"/>
  <c r="M206" i="1" s="1"/>
  <c r="L205" i="1"/>
  <c r="M205" i="1" s="1"/>
  <c r="L204" i="1"/>
  <c r="M204" i="1" s="1"/>
  <c r="L203" i="1"/>
  <c r="M203" i="1" s="1"/>
  <c r="K201" i="1"/>
  <c r="L199" i="1"/>
  <c r="M199" i="1" s="1"/>
  <c r="L198" i="1"/>
  <c r="M198" i="1" s="1"/>
  <c r="L197" i="1"/>
  <c r="M197" i="1" s="1"/>
  <c r="L196" i="1"/>
  <c r="M196" i="1" s="1"/>
  <c r="L195" i="1"/>
  <c r="M195" i="1" s="1"/>
  <c r="L194" i="1"/>
  <c r="M194" i="1" s="1"/>
  <c r="L193" i="1"/>
  <c r="M193" i="1" s="1"/>
  <c r="L192" i="1"/>
  <c r="M192" i="1" s="1"/>
  <c r="L191" i="1"/>
  <c r="M191" i="1" s="1"/>
  <c r="K189" i="1"/>
  <c r="L185" i="1"/>
  <c r="M185" i="1" s="1"/>
  <c r="L184" i="1"/>
  <c r="M184" i="1" s="1"/>
  <c r="L183" i="1"/>
  <c r="M183" i="1" s="1"/>
  <c r="L182" i="1"/>
  <c r="M182" i="1" s="1"/>
  <c r="L181" i="1"/>
  <c r="M181" i="1" s="1"/>
  <c r="L180" i="1"/>
  <c r="M180" i="1" s="1"/>
  <c r="L179" i="1"/>
  <c r="M179" i="1" s="1"/>
  <c r="L178" i="1"/>
  <c r="M178" i="1" s="1"/>
  <c r="K176" i="1"/>
  <c r="L172" i="1"/>
  <c r="M172" i="1" s="1"/>
  <c r="L171" i="1"/>
  <c r="M171" i="1" s="1"/>
  <c r="L170" i="1"/>
  <c r="M170" i="1" s="1"/>
  <c r="L169" i="1"/>
  <c r="M169" i="1" s="1"/>
  <c r="L168" i="1"/>
  <c r="M168" i="1" s="1"/>
  <c r="K166" i="1"/>
  <c r="L164" i="1"/>
  <c r="M164" i="1" s="1"/>
  <c r="L163" i="1"/>
  <c r="M163" i="1" s="1"/>
  <c r="L162" i="1"/>
  <c r="M162" i="1" s="1"/>
  <c r="L161" i="1"/>
  <c r="M161" i="1" s="1"/>
  <c r="L160" i="1"/>
  <c r="M160" i="1" s="1"/>
  <c r="L159" i="1"/>
  <c r="M159" i="1" s="1"/>
  <c r="K157" i="1"/>
  <c r="L151" i="1"/>
  <c r="M151" i="1" s="1"/>
  <c r="L150" i="1"/>
  <c r="M150" i="1" s="1"/>
  <c r="L149" i="1"/>
  <c r="M149" i="1" s="1"/>
  <c r="L148" i="1"/>
  <c r="M148" i="1" s="1"/>
  <c r="L147" i="1"/>
  <c r="M147" i="1" s="1"/>
  <c r="L146" i="1"/>
  <c r="M146" i="1" s="1"/>
  <c r="L145" i="1"/>
  <c r="M145" i="1" s="1"/>
  <c r="J144" i="1"/>
  <c r="K144" i="1" s="1"/>
  <c r="K141" i="1" s="1"/>
  <c r="L137" i="1"/>
  <c r="M137" i="1" s="1"/>
  <c r="L136" i="1"/>
  <c r="M136" i="1" s="1"/>
  <c r="J135" i="1"/>
  <c r="K135" i="1" s="1"/>
  <c r="K132" i="1" s="1"/>
  <c r="L124" i="1"/>
  <c r="M124" i="1" s="1"/>
  <c r="L123" i="1"/>
  <c r="M123" i="1" s="1"/>
  <c r="L122" i="1"/>
  <c r="M122" i="1" s="1"/>
  <c r="K120" i="1"/>
  <c r="L114" i="1"/>
  <c r="M114" i="1" s="1"/>
  <c r="L113" i="1"/>
  <c r="M113" i="1" s="1"/>
  <c r="L112" i="1"/>
  <c r="M112" i="1" s="1"/>
  <c r="L111" i="1"/>
  <c r="M111" i="1" s="1"/>
  <c r="K109" i="1"/>
  <c r="L103" i="1"/>
  <c r="M103" i="1" s="1"/>
  <c r="L102" i="1"/>
  <c r="M102" i="1" s="1"/>
  <c r="J101" i="1"/>
  <c r="J100" i="1"/>
  <c r="L93" i="1"/>
  <c r="M93" i="1" s="1"/>
  <c r="L92" i="1"/>
  <c r="M92" i="1" s="1"/>
  <c r="J91" i="1"/>
  <c r="J90" i="1"/>
  <c r="L81" i="1"/>
  <c r="M81" i="1" s="1"/>
  <c r="L80" i="1"/>
  <c r="M80" i="1" s="1"/>
  <c r="J79" i="1"/>
  <c r="K79" i="1" s="1"/>
  <c r="K76" i="1" s="1"/>
  <c r="L70" i="1"/>
  <c r="M70" i="1" s="1"/>
  <c r="L69" i="1"/>
  <c r="M69" i="1" s="1"/>
  <c r="J68" i="1"/>
  <c r="J67" i="1"/>
  <c r="L62" i="1"/>
  <c r="M62" i="1" s="1"/>
  <c r="L61" i="1"/>
  <c r="M61" i="1" s="1"/>
  <c r="L60" i="1"/>
  <c r="M60" i="1" s="1"/>
  <c r="L59" i="1"/>
  <c r="M59" i="1" s="1"/>
  <c r="L58" i="1"/>
  <c r="M58" i="1" s="1"/>
  <c r="J57" i="1"/>
  <c r="J56" i="1"/>
  <c r="L47" i="1"/>
  <c r="M47" i="1" s="1"/>
  <c r="L46" i="1"/>
  <c r="M46" i="1" s="1"/>
  <c r="J45" i="1"/>
  <c r="J44" i="1"/>
  <c r="L37" i="1"/>
  <c r="M37" i="1" s="1"/>
  <c r="L36" i="1"/>
  <c r="M36" i="1" s="1"/>
  <c r="K34" i="1"/>
  <c r="L30" i="1"/>
  <c r="M30" i="1" s="1"/>
  <c r="L29" i="1"/>
  <c r="M29" i="1" s="1"/>
  <c r="L28" i="1"/>
  <c r="M28" i="1" s="1"/>
  <c r="L27" i="1"/>
  <c r="M27" i="1" s="1"/>
  <c r="L26" i="1"/>
  <c r="M26" i="1" s="1"/>
  <c r="L25" i="1"/>
  <c r="M25" i="1" s="1"/>
  <c r="L24" i="1"/>
  <c r="M24" i="1" s="1"/>
  <c r="K22" i="1"/>
  <c r="L20" i="1"/>
  <c r="M20" i="1" s="1"/>
  <c r="L19" i="1"/>
  <c r="M19" i="1" s="1"/>
  <c r="L18" i="1"/>
  <c r="M18" i="1" s="1"/>
  <c r="K16" i="1"/>
  <c r="L14" i="1"/>
  <c r="M14" i="1" s="1"/>
  <c r="L13" i="1"/>
  <c r="M13" i="1" s="1"/>
  <c r="L12" i="1"/>
  <c r="M12" i="1" s="1"/>
  <c r="L11" i="1"/>
  <c r="M11" i="1" s="1"/>
  <c r="L10" i="1"/>
  <c r="M10" i="1" s="1"/>
  <c r="K8" i="1"/>
  <c r="K45" i="1" l="1"/>
  <c r="K41" i="1" s="1"/>
  <c r="M1221" i="1"/>
  <c r="M1231" i="1"/>
  <c r="M1241" i="1"/>
  <c r="M1305" i="1"/>
  <c r="M1315" i="1"/>
  <c r="M1327" i="1"/>
  <c r="M1208" i="1"/>
  <c r="M1223" i="1"/>
  <c r="M1233" i="1"/>
  <c r="M1243" i="1"/>
  <c r="M1253" i="1"/>
  <c r="M1275" i="1"/>
  <c r="M1297" i="1"/>
  <c r="M1307" i="1"/>
  <c r="M854" i="1"/>
  <c r="L1393" i="1"/>
  <c r="L1389" i="1" s="1"/>
  <c r="M1389" i="1" s="1"/>
  <c r="L845" i="1"/>
  <c r="M845" i="1" s="1"/>
  <c r="M1217" i="1"/>
  <c r="M1227" i="1"/>
  <c r="M1247" i="1"/>
  <c r="M862" i="1"/>
  <c r="K497" i="1"/>
  <c r="K493" i="1" s="1"/>
  <c r="L881" i="1"/>
  <c r="M881" i="1" s="1"/>
  <c r="M1023" i="1"/>
  <c r="L1398" i="1"/>
  <c r="M1398" i="1" s="1"/>
  <c r="K259" i="1"/>
  <c r="K254" i="1" s="1"/>
  <c r="K542" i="1"/>
  <c r="M1165" i="1"/>
  <c r="M1369" i="1"/>
  <c r="L1373" i="1" s="1"/>
  <c r="M1373" i="1" s="1"/>
  <c r="K68" i="1"/>
  <c r="K64" i="1" s="1"/>
  <c r="M1257" i="1"/>
  <c r="M828" i="1"/>
  <c r="M846" i="1"/>
  <c r="M1363" i="1"/>
  <c r="K390" i="1"/>
  <c r="K386" i="1" s="1"/>
  <c r="K91" i="1"/>
  <c r="K87" i="1" s="1"/>
  <c r="K604" i="1"/>
  <c r="K600" i="1" s="1"/>
  <c r="M1060" i="1"/>
  <c r="M1121" i="1"/>
  <c r="M1219" i="1"/>
  <c r="M1229" i="1"/>
  <c r="M1249" i="1"/>
  <c r="M1261" i="1"/>
  <c r="M1283" i="1"/>
  <c r="M1293" i="1"/>
  <c r="M1021" i="1"/>
  <c r="K814" i="1"/>
  <c r="K810" i="1" s="1"/>
  <c r="M856" i="1"/>
  <c r="M1025" i="1"/>
  <c r="K101" i="1"/>
  <c r="K97" i="1" s="1"/>
  <c r="M858" i="1"/>
  <c r="L138" i="1"/>
  <c r="L132" i="1" s="1"/>
  <c r="M132" i="1" s="1"/>
  <c r="L139" i="1" s="1"/>
  <c r="M1311" i="1"/>
  <c r="L115" i="1"/>
  <c r="M115" i="1" s="1"/>
  <c r="K517" i="1"/>
  <c r="K804" i="1"/>
  <c r="K800" i="1" s="1"/>
  <c r="M834" i="1"/>
  <c r="L1386" i="1"/>
  <c r="M1386" i="1" s="1"/>
  <c r="M1351" i="1"/>
  <c r="L295" i="1"/>
  <c r="M295" i="1" s="1"/>
  <c r="K57" i="1"/>
  <c r="K53" i="1" s="1"/>
  <c r="K669" i="1"/>
  <c r="K664" i="1" s="1"/>
  <c r="L63" i="1"/>
  <c r="L53" i="1" s="1"/>
  <c r="K651" i="1"/>
  <c r="K647" i="1" s="1"/>
  <c r="M1291" i="1"/>
  <c r="M1301" i="1"/>
  <c r="K520" i="1"/>
  <c r="M1049" i="1"/>
  <c r="L929" i="1"/>
  <c r="M929" i="1" s="1"/>
  <c r="K300" i="1"/>
  <c r="K296" i="1" s="1"/>
  <c r="M1027" i="1"/>
  <c r="M1295" i="1"/>
  <c r="M1403" i="1"/>
  <c r="L1407" i="1" s="1"/>
  <c r="M1407" i="1" s="1"/>
  <c r="L853" i="1"/>
  <c r="L848" i="1" s="1"/>
  <c r="M848" i="1" s="1"/>
  <c r="M898" i="1"/>
  <c r="M1265" i="1"/>
  <c r="L71" i="1"/>
  <c r="L64" i="1" s="1"/>
  <c r="M904" i="1"/>
  <c r="L1039" i="1"/>
  <c r="L1033" i="1" s="1"/>
  <c r="M1033" i="1" s="1"/>
  <c r="M1255" i="1"/>
  <c r="M1267" i="1"/>
  <c r="M1317" i="1"/>
  <c r="M1355" i="1"/>
  <c r="L582" i="1"/>
  <c r="M582" i="1" s="1"/>
  <c r="L1175" i="1"/>
  <c r="L1167" i="1" s="1"/>
  <c r="M1167" i="1" s="1"/>
  <c r="L251" i="1"/>
  <c r="M251" i="1" s="1"/>
  <c r="L333" i="1"/>
  <c r="M333" i="1" s="1"/>
  <c r="L622" i="1"/>
  <c r="L600" i="1" s="1"/>
  <c r="L973" i="1"/>
  <c r="L968" i="1" s="1"/>
  <c r="M968" i="1" s="1"/>
  <c r="L1207" i="1"/>
  <c r="M1207" i="1" s="1"/>
  <c r="L531" i="1"/>
  <c r="L513" i="1" s="1"/>
  <c r="M836" i="1"/>
  <c r="K893" i="1"/>
  <c r="K882" i="1" s="1"/>
  <c r="L985" i="1"/>
  <c r="L1016" i="1"/>
  <c r="M1016" i="1" s="1"/>
  <c r="M1058" i="1"/>
  <c r="M1273" i="1"/>
  <c r="L200" i="1"/>
  <c r="L189" i="1" s="1"/>
  <c r="M189" i="1" s="1"/>
  <c r="L230" i="1"/>
  <c r="M230" i="1" s="1"/>
  <c r="L355" i="1"/>
  <c r="L336" i="1" s="1"/>
  <c r="M336" i="1" s="1"/>
  <c r="L356" i="1" s="1"/>
  <c r="L786" i="1"/>
  <c r="L774" i="1" s="1"/>
  <c r="M774" i="1" s="1"/>
  <c r="L827" i="1"/>
  <c r="L820" i="1" s="1"/>
  <c r="M820" i="1" s="1"/>
  <c r="M860" i="1"/>
  <c r="L875" i="1"/>
  <c r="L870" i="1" s="1"/>
  <c r="M870" i="1" s="1"/>
  <c r="M1017" i="1"/>
  <c r="M1285" i="1"/>
  <c r="M1303" i="1"/>
  <c r="M1323" i="1"/>
  <c r="M1335" i="1"/>
  <c r="L1337" i="1" s="1"/>
  <c r="L38" i="1"/>
  <c r="L34" i="1" s="1"/>
  <c r="M34" i="1" s="1"/>
  <c r="L39" i="1" s="1"/>
  <c r="L15" i="1"/>
  <c r="M15" i="1" s="1"/>
  <c r="L82" i="1"/>
  <c r="L76" i="1" s="1"/>
  <c r="M76" i="1" s="1"/>
  <c r="L83" i="1" s="1"/>
  <c r="K425" i="1"/>
  <c r="K421" i="1" s="1"/>
  <c r="K548" i="1"/>
  <c r="L554" i="1"/>
  <c r="M554" i="1" s="1"/>
  <c r="L675" i="1"/>
  <c r="M675" i="1" s="1"/>
  <c r="L799" i="1"/>
  <c r="L787" i="1" s="1"/>
  <c r="M787" i="1" s="1"/>
  <c r="L923" i="1"/>
  <c r="L918" i="1" s="1"/>
  <c r="M918" i="1" s="1"/>
  <c r="L955" i="1"/>
  <c r="L950" i="1" s="1"/>
  <c r="M950" i="1" s="1"/>
  <c r="L1010" i="1"/>
  <c r="M1010" i="1" s="1"/>
  <c r="L1137" i="1"/>
  <c r="M1137" i="1" s="1"/>
  <c r="M1237" i="1"/>
  <c r="M1313" i="1"/>
  <c r="M1325" i="1"/>
  <c r="L967" i="1"/>
  <c r="M967" i="1" s="1"/>
  <c r="L771" i="1"/>
  <c r="L765" i="1" s="1"/>
  <c r="M765" i="1" s="1"/>
  <c r="L595" i="1"/>
  <c r="L585" i="1" s="1"/>
  <c r="M585" i="1" s="1"/>
  <c r="L596" i="1" s="1"/>
  <c r="K630" i="1"/>
  <c r="K625" i="1" s="1"/>
  <c r="M694" i="1"/>
  <c r="L1073" i="1"/>
  <c r="L1066" i="1" s="1"/>
  <c r="M1066" i="1" s="1"/>
  <c r="L1193" i="1"/>
  <c r="M1193" i="1" s="1"/>
  <c r="M1269" i="1"/>
  <c r="M1239" i="1"/>
  <c r="L94" i="1"/>
  <c r="M94" i="1" s="1"/>
  <c r="K369" i="1"/>
  <c r="K360" i="1" s="1"/>
  <c r="L1095" i="1"/>
  <c r="M1271" i="1"/>
  <c r="M1281" i="1"/>
  <c r="L935" i="1"/>
  <c r="L930" i="1" s="1"/>
  <c r="M930" i="1" s="1"/>
  <c r="L21" i="1"/>
  <c r="M21" i="1" s="1"/>
  <c r="L48" i="1"/>
  <c r="M48" i="1" s="1"/>
  <c r="L238" i="1"/>
  <c r="L231" i="1" s="1"/>
  <c r="M231" i="1" s="1"/>
  <c r="L404" i="1"/>
  <c r="L386" i="1" s="1"/>
  <c r="L1120" i="1"/>
  <c r="L1112" i="1" s="1"/>
  <c r="M1112" i="1" s="1"/>
  <c r="L1146" i="1"/>
  <c r="M1146" i="1" s="1"/>
  <c r="M1251" i="1"/>
  <c r="M1309" i="1"/>
  <c r="L1159" i="1"/>
  <c r="M1159" i="1" s="1"/>
  <c r="L1163" i="1" s="1"/>
  <c r="M1162" i="1"/>
  <c r="L152" i="1"/>
  <c r="L165" i="1"/>
  <c r="L173" i="1"/>
  <c r="L642" i="1"/>
  <c r="L104" i="1"/>
  <c r="L125" i="1"/>
  <c r="L272" i="1"/>
  <c r="L316" i="1"/>
  <c r="L215" i="1"/>
  <c r="L450" i="1"/>
  <c r="L418" i="1"/>
  <c r="L434" i="1"/>
  <c r="L1057" i="1"/>
  <c r="L31" i="1"/>
  <c r="L286" i="1"/>
  <c r="L492" i="1"/>
  <c r="L659" i="1"/>
  <c r="L186" i="1"/>
  <c r="L460" i="1"/>
  <c r="L996" i="1"/>
  <c r="L897" i="1"/>
  <c r="L949" i="1"/>
  <c r="L508" i="1"/>
  <c r="L687" i="1"/>
  <c r="L745" i="1"/>
  <c r="L809" i="1"/>
  <c r="L819" i="1"/>
  <c r="L942" i="1"/>
  <c r="L1080" i="1"/>
  <c r="L1111" i="1"/>
  <c r="L1130" i="1"/>
  <c r="L478" i="1"/>
  <c r="L917" i="1"/>
  <c r="L715" i="1"/>
  <c r="M748" i="1"/>
  <c r="L570" i="1"/>
  <c r="L764" i="1"/>
  <c r="L911" i="1"/>
  <c r="L1102" i="1"/>
  <c r="L1184" i="1"/>
  <c r="L725" i="1"/>
  <c r="L756" i="1"/>
  <c r="L961" i="1"/>
  <c r="L1200" i="1"/>
  <c r="M839" i="1"/>
  <c r="L869" i="1"/>
  <c r="L1088" i="1"/>
  <c r="L385" i="1"/>
  <c r="L705" i="1"/>
  <c r="L735" i="1"/>
  <c r="M1359" i="1"/>
  <c r="L1004" i="1"/>
  <c r="M1263" i="1"/>
  <c r="M1289" i="1"/>
  <c r="K564" i="1"/>
  <c r="K559" i="1" s="1"/>
  <c r="L979" i="1"/>
  <c r="L1048" i="1"/>
  <c r="L1154" i="1"/>
  <c r="L1347" i="1"/>
  <c r="M1210" i="1"/>
  <c r="L1381" i="1"/>
  <c r="M1019" i="1"/>
  <c r="M1287" i="1"/>
  <c r="M1329" i="1"/>
  <c r="M600" i="1" l="1"/>
  <c r="L623" i="1" s="1"/>
  <c r="L1368" i="1"/>
  <c r="M1368" i="1" s="1"/>
  <c r="F102" i="2" s="1"/>
  <c r="L840" i="1"/>
  <c r="M840" i="1" s="1"/>
  <c r="M1393" i="1"/>
  <c r="L1394" i="1"/>
  <c r="M1394" i="1" s="1"/>
  <c r="L1399" i="1" s="1"/>
  <c r="M138" i="1"/>
  <c r="L243" i="1"/>
  <c r="M243" i="1" s="1"/>
  <c r="L252" i="1" s="1"/>
  <c r="L242" i="1" s="1"/>
  <c r="M242" i="1" s="1"/>
  <c r="F29" i="2" s="1"/>
  <c r="M404" i="1"/>
  <c r="L876" i="1"/>
  <c r="M876" i="1" s="1"/>
  <c r="L664" i="1"/>
  <c r="M664" i="1" s="1"/>
  <c r="L676" i="1" s="1"/>
  <c r="M676" i="1" s="1"/>
  <c r="L677" i="1" s="1"/>
  <c r="K538" i="1"/>
  <c r="K513" i="1"/>
  <c r="M513" i="1" s="1"/>
  <c r="L532" i="1" s="1"/>
  <c r="L512" i="1" s="1"/>
  <c r="M512" i="1" s="1"/>
  <c r="F49" i="2" s="1"/>
  <c r="L538" i="1"/>
  <c r="L573" i="1"/>
  <c r="M573" i="1" s="1"/>
  <c r="L583" i="1" s="1"/>
  <c r="M583" i="1" s="1"/>
  <c r="M386" i="1"/>
  <c r="M64" i="1"/>
  <c r="M799" i="1"/>
  <c r="L1382" i="1"/>
  <c r="M1382" i="1" s="1"/>
  <c r="M71" i="1"/>
  <c r="M1175" i="1"/>
  <c r="L1011" i="1"/>
  <c r="M1011" i="1" s="1"/>
  <c r="M53" i="1"/>
  <c r="M875" i="1"/>
  <c r="L924" i="1"/>
  <c r="M924" i="1" s="1"/>
  <c r="L1201" i="1"/>
  <c r="M1201" i="1" s="1"/>
  <c r="L1005" i="1"/>
  <c r="M1005" i="1" s="1"/>
  <c r="L287" i="1"/>
  <c r="M287" i="1" s="1"/>
  <c r="M1039" i="1"/>
  <c r="M355" i="1"/>
  <c r="M595" i="1"/>
  <c r="M935" i="1"/>
  <c r="L1131" i="1"/>
  <c r="M1131" i="1" s="1"/>
  <c r="L1402" i="1"/>
  <c r="M1402" i="1" s="1"/>
  <c r="L1187" i="1"/>
  <c r="M1187" i="1" s="1"/>
  <c r="M531" i="1"/>
  <c r="M786" i="1"/>
  <c r="L109" i="1"/>
  <c r="M109" i="1" s="1"/>
  <c r="L116" i="1" s="1"/>
  <c r="M116" i="1" s="1"/>
  <c r="L117" i="1" s="1"/>
  <c r="M238" i="1"/>
  <c r="L1321" i="1"/>
  <c r="L1278" i="1" s="1"/>
  <c r="M1278" i="1" s="1"/>
  <c r="F93" i="2" s="1"/>
  <c r="M853" i="1"/>
  <c r="M63" i="1"/>
  <c r="M38" i="1"/>
  <c r="L41" i="1"/>
  <c r="M41" i="1" s="1"/>
  <c r="L49" i="1" s="1"/>
  <c r="M49" i="1" s="1"/>
  <c r="L8" i="1"/>
  <c r="M8" i="1" s="1"/>
  <c r="L1277" i="1"/>
  <c r="L1260" i="1" s="1"/>
  <c r="M1260" i="1" s="1"/>
  <c r="F92" i="2" s="1"/>
  <c r="L16" i="1"/>
  <c r="M16" i="1" s="1"/>
  <c r="M82" i="1"/>
  <c r="M827" i="1"/>
  <c r="L1367" i="1"/>
  <c r="M1367" i="1" s="1"/>
  <c r="M200" i="1"/>
  <c r="L1259" i="1"/>
  <c r="M1259" i="1" s="1"/>
  <c r="M973" i="1"/>
  <c r="L216" i="1"/>
  <c r="M216" i="1" s="1"/>
  <c r="M955" i="1"/>
  <c r="L323" i="1"/>
  <c r="M323" i="1" s="1"/>
  <c r="L334" i="1" s="1"/>
  <c r="M334" i="1" s="1"/>
  <c r="M1120" i="1"/>
  <c r="L1333" i="1"/>
  <c r="L1322" i="1" s="1"/>
  <c r="M1322" i="1" s="1"/>
  <c r="F94" i="2" s="1"/>
  <c r="L1334" i="1"/>
  <c r="M1334" i="1" s="1"/>
  <c r="F95" i="2" s="1"/>
  <c r="M1337" i="1"/>
  <c r="M771" i="1"/>
  <c r="M622" i="1"/>
  <c r="M985" i="1"/>
  <c r="L980" i="1"/>
  <c r="M980" i="1" s="1"/>
  <c r="L962" i="1"/>
  <c r="M962" i="1" s="1"/>
  <c r="M1073" i="1"/>
  <c r="L87" i="1"/>
  <c r="M87" i="1" s="1"/>
  <c r="L95" i="1" s="1"/>
  <c r="M95" i="1" s="1"/>
  <c r="M923" i="1"/>
  <c r="L1140" i="1"/>
  <c r="M1140" i="1" s="1"/>
  <c r="L1147" i="1" s="1"/>
  <c r="M1147" i="1" s="1"/>
  <c r="M1095" i="1"/>
  <c r="L1089" i="1"/>
  <c r="M1089" i="1" s="1"/>
  <c r="M83" i="1"/>
  <c r="L84" i="1" s="1"/>
  <c r="L75" i="1"/>
  <c r="M75" i="1" s="1"/>
  <c r="F11" i="2" s="1"/>
  <c r="L974" i="1"/>
  <c r="M974" i="1" s="1"/>
  <c r="M979" i="1"/>
  <c r="M385" i="1"/>
  <c r="L360" i="1"/>
  <c r="M360" i="1" s="1"/>
  <c r="M1130" i="1"/>
  <c r="L1125" i="1"/>
  <c r="M1125" i="1" s="1"/>
  <c r="M508" i="1"/>
  <c r="L493" i="1"/>
  <c r="M493" i="1" s="1"/>
  <c r="L451" i="1"/>
  <c r="M451" i="1" s="1"/>
  <c r="M460" i="1"/>
  <c r="M659" i="1"/>
  <c r="L647" i="1"/>
  <c r="M647" i="1" s="1"/>
  <c r="L660" i="1" s="1"/>
  <c r="M139" i="1"/>
  <c r="L131" i="1"/>
  <c r="M131" i="1" s="1"/>
  <c r="F22" i="2" s="1"/>
  <c r="M104" i="1"/>
  <c r="L97" i="1"/>
  <c r="M97" i="1" s="1"/>
  <c r="L105" i="1" s="1"/>
  <c r="M356" i="1"/>
  <c r="L335" i="1"/>
  <c r="M335" i="1" s="1"/>
  <c r="F36" i="2" s="1"/>
  <c r="L1377" i="1"/>
  <c r="M1377" i="1" s="1"/>
  <c r="M1381" i="1"/>
  <c r="M961" i="1"/>
  <c r="L956" i="1"/>
  <c r="M956" i="1" s="1"/>
  <c r="L1103" i="1"/>
  <c r="M1103" i="1" s="1"/>
  <c r="M1111" i="1"/>
  <c r="M39" i="1"/>
  <c r="L33" i="1"/>
  <c r="M33" i="1" s="1"/>
  <c r="F6" i="2" s="1"/>
  <c r="L1158" i="1"/>
  <c r="M1158" i="1" s="1"/>
  <c r="F85" i="2" s="1"/>
  <c r="M1163" i="1"/>
  <c r="L1176" i="1"/>
  <c r="M1176" i="1" s="1"/>
  <c r="L1185" i="1" s="1"/>
  <c r="M1184" i="1"/>
  <c r="L1074" i="1"/>
  <c r="M1074" i="1" s="1"/>
  <c r="M1080" i="1"/>
  <c r="M596" i="1"/>
  <c r="L584" i="1"/>
  <c r="M584" i="1" s="1"/>
  <c r="F57" i="2" s="1"/>
  <c r="L421" i="1"/>
  <c r="M421" i="1" s="1"/>
  <c r="L435" i="1" s="1"/>
  <c r="M434" i="1"/>
  <c r="M1088" i="1"/>
  <c r="L1081" i="1"/>
  <c r="M1081" i="1" s="1"/>
  <c r="M756" i="1"/>
  <c r="L750" i="1"/>
  <c r="M750" i="1" s="1"/>
  <c r="M1102" i="1"/>
  <c r="L1096" i="1"/>
  <c r="M1096" i="1" s="1"/>
  <c r="M715" i="1"/>
  <c r="L706" i="1"/>
  <c r="M706" i="1" s="1"/>
  <c r="M949" i="1"/>
  <c r="L943" i="1"/>
  <c r="M943" i="1" s="1"/>
  <c r="M418" i="1"/>
  <c r="L409" i="1"/>
  <c r="M409" i="1" s="1"/>
  <c r="L419" i="1" s="1"/>
  <c r="M1004" i="1"/>
  <c r="L999" i="1"/>
  <c r="M999" i="1" s="1"/>
  <c r="L157" i="1"/>
  <c r="M157" i="1" s="1"/>
  <c r="M165" i="1"/>
  <c r="L296" i="1"/>
  <c r="M296" i="1" s="1"/>
  <c r="M316" i="1"/>
  <c r="M152" i="1"/>
  <c r="L141" i="1"/>
  <c r="M141" i="1" s="1"/>
  <c r="L153" i="1" s="1"/>
  <c r="M942" i="1"/>
  <c r="L936" i="1"/>
  <c r="M936" i="1" s="1"/>
  <c r="M215" i="1"/>
  <c r="L201" i="1"/>
  <c r="M201" i="1" s="1"/>
  <c r="M173" i="1"/>
  <c r="L166" i="1"/>
  <c r="M166" i="1" s="1"/>
  <c r="M764" i="1"/>
  <c r="L757" i="1"/>
  <c r="M757" i="1" s="1"/>
  <c r="M819" i="1"/>
  <c r="L810" i="1"/>
  <c r="M810" i="1" s="1"/>
  <c r="M492" i="1"/>
  <c r="L479" i="1"/>
  <c r="M479" i="1" s="1"/>
  <c r="M725" i="1"/>
  <c r="L716" i="1"/>
  <c r="M716" i="1" s="1"/>
  <c r="L559" i="1"/>
  <c r="M559" i="1" s="1"/>
  <c r="L571" i="1" s="1"/>
  <c r="M570" i="1"/>
  <c r="L800" i="1"/>
  <c r="M800" i="1" s="1"/>
  <c r="M809" i="1"/>
  <c r="L1051" i="1"/>
  <c r="M1051" i="1" s="1"/>
  <c r="M1057" i="1"/>
  <c r="L625" i="1"/>
  <c r="M625" i="1" s="1"/>
  <c r="L643" i="1" s="1"/>
  <c r="M642" i="1"/>
  <c r="M1154" i="1"/>
  <c r="L1149" i="1"/>
  <c r="M1149" i="1" s="1"/>
  <c r="L1155" i="1" s="1"/>
  <c r="L912" i="1"/>
  <c r="M912" i="1" s="1"/>
  <c r="M917" i="1"/>
  <c r="L736" i="1"/>
  <c r="M736" i="1" s="1"/>
  <c r="M745" i="1"/>
  <c r="L275" i="1"/>
  <c r="M275" i="1" s="1"/>
  <c r="M286" i="1"/>
  <c r="L864" i="1"/>
  <c r="M864" i="1" s="1"/>
  <c r="M869" i="1"/>
  <c r="M1048" i="1"/>
  <c r="L1042" i="1"/>
  <c r="M1042" i="1" s="1"/>
  <c r="M735" i="1"/>
  <c r="L726" i="1"/>
  <c r="M726" i="1" s="1"/>
  <c r="L1194" i="1"/>
  <c r="M1194" i="1" s="1"/>
  <c r="M1200" i="1"/>
  <c r="L680" i="1"/>
  <c r="M680" i="1" s="1"/>
  <c r="L688" i="1" s="1"/>
  <c r="M687" i="1"/>
  <c r="M996" i="1"/>
  <c r="L986" i="1"/>
  <c r="M986" i="1" s="1"/>
  <c r="L176" i="1"/>
  <c r="M176" i="1" s="1"/>
  <c r="L187" i="1" s="1"/>
  <c r="M186" i="1"/>
  <c r="M31" i="1"/>
  <c r="L22" i="1"/>
  <c r="M22" i="1" s="1"/>
  <c r="L254" i="1"/>
  <c r="M254" i="1" s="1"/>
  <c r="L273" i="1" s="1"/>
  <c r="M272" i="1"/>
  <c r="M911" i="1"/>
  <c r="L906" i="1"/>
  <c r="M906" i="1" s="1"/>
  <c r="L1341" i="1"/>
  <c r="M1341" i="1" s="1"/>
  <c r="L1348" i="1" s="1"/>
  <c r="M1347" i="1"/>
  <c r="L882" i="1"/>
  <c r="M882" i="1" s="1"/>
  <c r="M897" i="1"/>
  <c r="L696" i="1"/>
  <c r="M696" i="1" s="1"/>
  <c r="M705" i="1"/>
  <c r="L465" i="1"/>
  <c r="M465" i="1" s="1"/>
  <c r="M478" i="1"/>
  <c r="L599" i="1"/>
  <c r="M599" i="1" s="1"/>
  <c r="F59" i="2" s="1"/>
  <c r="M623" i="1"/>
  <c r="L441" i="1"/>
  <c r="M441" i="1" s="1"/>
  <c r="M450" i="1"/>
  <c r="L120" i="1"/>
  <c r="M120" i="1" s="1"/>
  <c r="L126" i="1" s="1"/>
  <c r="M125" i="1"/>
  <c r="F48" i="2" l="1"/>
  <c r="M252" i="1"/>
  <c r="M538" i="1"/>
  <c r="L555" i="1" s="1"/>
  <c r="F10" i="2"/>
  <c r="L1387" i="1"/>
  <c r="L1376" i="1" s="1"/>
  <c r="M1376" i="1" s="1"/>
  <c r="F105" i="2" s="1"/>
  <c r="L572" i="1"/>
  <c r="M572" i="1" s="1"/>
  <c r="F56" i="2" s="1"/>
  <c r="L239" i="1"/>
  <c r="M239" i="1" s="1"/>
  <c r="L40" i="1"/>
  <c r="M40" i="1" s="1"/>
  <c r="F7" i="2" s="1"/>
  <c r="L1029" i="1"/>
  <c r="M1029" i="1" s="1"/>
  <c r="L405" i="1"/>
  <c r="L359" i="1" s="1"/>
  <c r="M359" i="1" s="1"/>
  <c r="F38" i="2" s="1"/>
  <c r="L72" i="1"/>
  <c r="L52" i="1" s="1"/>
  <c r="M52" i="1" s="1"/>
  <c r="F9" i="2" s="1"/>
  <c r="L902" i="1"/>
  <c r="M902" i="1" s="1"/>
  <c r="L1123" i="1"/>
  <c r="M1123" i="1" s="1"/>
  <c r="L317" i="1"/>
  <c r="L274" i="1" s="1"/>
  <c r="M274" i="1" s="1"/>
  <c r="F31" i="2" s="1"/>
  <c r="L1350" i="1"/>
  <c r="M1350" i="1" s="1"/>
  <c r="F100" i="2" s="1"/>
  <c r="L1212" i="1"/>
  <c r="L1186" i="1" s="1"/>
  <c r="M1186" i="1" s="1"/>
  <c r="F87" i="2" s="1"/>
  <c r="L663" i="1"/>
  <c r="M663" i="1" s="1"/>
  <c r="F64" i="2" s="1"/>
  <c r="M532" i="1"/>
  <c r="L533" i="1" s="1"/>
  <c r="M533" i="1" s="1"/>
  <c r="L1138" i="1"/>
  <c r="L1124" i="1" s="1"/>
  <c r="M1124" i="1" s="1"/>
  <c r="F81" i="2" s="1"/>
  <c r="M1333" i="1"/>
  <c r="L108" i="1"/>
  <c r="M108" i="1" s="1"/>
  <c r="F16" i="2" s="1"/>
  <c r="L322" i="1"/>
  <c r="M322" i="1" s="1"/>
  <c r="F35" i="2" s="1"/>
  <c r="M1321" i="1"/>
  <c r="L746" i="1"/>
  <c r="L693" i="1" s="1"/>
  <c r="M693" i="1" s="1"/>
  <c r="F70" i="2" s="1"/>
  <c r="L86" i="1"/>
  <c r="M86" i="1" s="1"/>
  <c r="F13" i="2" s="1"/>
  <c r="M1277" i="1"/>
  <c r="L32" i="1"/>
  <c r="L7" i="1" s="1"/>
  <c r="M7" i="1" s="1"/>
  <c r="F5" i="2" s="1"/>
  <c r="L1216" i="1"/>
  <c r="M1216" i="1" s="1"/>
  <c r="F91" i="2" s="1"/>
  <c r="L509" i="1"/>
  <c r="M509" i="1" s="1"/>
  <c r="L510" i="1" s="1"/>
  <c r="L772" i="1"/>
  <c r="M772" i="1" s="1"/>
  <c r="L461" i="1"/>
  <c r="L440" i="1" s="1"/>
  <c r="M440" i="1" s="1"/>
  <c r="F45" i="2" s="1"/>
  <c r="L830" i="1"/>
  <c r="L773" i="1" s="1"/>
  <c r="M773" i="1" s="1"/>
  <c r="F72" i="2" s="1"/>
  <c r="L1062" i="1"/>
  <c r="M1062" i="1" s="1"/>
  <c r="L1063" i="1" s="1"/>
  <c r="L1139" i="1"/>
  <c r="M1139" i="1" s="1"/>
  <c r="F82" i="2" s="1"/>
  <c r="L558" i="1"/>
  <c r="M558" i="1" s="1"/>
  <c r="F55" i="2" s="1"/>
  <c r="M571" i="1"/>
  <c r="L597" i="1" s="1"/>
  <c r="L188" i="1"/>
  <c r="M188" i="1" s="1"/>
  <c r="L96" i="1"/>
  <c r="M96" i="1" s="1"/>
  <c r="F14" i="2" s="1"/>
  <c r="M105" i="1"/>
  <c r="L106" i="1" s="1"/>
  <c r="M84" i="1"/>
  <c r="L74" i="1"/>
  <c r="M74" i="1" s="1"/>
  <c r="M1348" i="1"/>
  <c r="L1349" i="1" s="1"/>
  <c r="L1340" i="1"/>
  <c r="M1340" i="1" s="1"/>
  <c r="F98" i="2" s="1"/>
  <c r="M187" i="1"/>
  <c r="L175" i="1"/>
  <c r="M175" i="1" s="1"/>
  <c r="F26" i="2" s="1"/>
  <c r="M117" i="1"/>
  <c r="L107" i="1"/>
  <c r="M107" i="1" s="1"/>
  <c r="M1399" i="1"/>
  <c r="L1388" i="1"/>
  <c r="M1388" i="1" s="1"/>
  <c r="F106" i="2" s="1"/>
  <c r="L1164" i="1"/>
  <c r="M1164" i="1" s="1"/>
  <c r="F86" i="2" s="1"/>
  <c r="M1185" i="1"/>
  <c r="L357" i="1"/>
  <c r="L1148" i="1"/>
  <c r="M1148" i="1" s="1"/>
  <c r="F83" i="2" s="1"/>
  <c r="M1155" i="1"/>
  <c r="L174" i="1"/>
  <c r="L997" i="1"/>
  <c r="M435" i="1"/>
  <c r="L420" i="1"/>
  <c r="M420" i="1" s="1"/>
  <c r="F41" i="2" s="1"/>
  <c r="L662" i="1"/>
  <c r="M662" i="1" s="1"/>
  <c r="M677" i="1"/>
  <c r="L679" i="1"/>
  <c r="M679" i="1" s="1"/>
  <c r="F66" i="2" s="1"/>
  <c r="M688" i="1"/>
  <c r="L689" i="1" s="1"/>
  <c r="M660" i="1"/>
  <c r="L661" i="1" s="1"/>
  <c r="L646" i="1"/>
  <c r="M646" i="1" s="1"/>
  <c r="F62" i="2" s="1"/>
  <c r="L119" i="1"/>
  <c r="M119" i="1" s="1"/>
  <c r="F18" i="2" s="1"/>
  <c r="M126" i="1"/>
  <c r="L127" i="1" s="1"/>
  <c r="M643" i="1"/>
  <c r="L644" i="1" s="1"/>
  <c r="L624" i="1"/>
  <c r="M624" i="1" s="1"/>
  <c r="F60" i="2" s="1"/>
  <c r="M419" i="1"/>
  <c r="L408" i="1"/>
  <c r="M408" i="1" s="1"/>
  <c r="F40" i="2" s="1"/>
  <c r="M273" i="1"/>
  <c r="L253" i="1"/>
  <c r="M253" i="1" s="1"/>
  <c r="F30" i="2" s="1"/>
  <c r="L140" i="1"/>
  <c r="M140" i="1" s="1"/>
  <c r="F23" i="2" s="1"/>
  <c r="M153" i="1"/>
  <c r="L154" i="1" s="1"/>
  <c r="F104" i="2" l="1"/>
  <c r="F97" i="2"/>
  <c r="F90" i="2"/>
  <c r="F84" i="2"/>
  <c r="F65" i="2"/>
  <c r="F63" i="2"/>
  <c r="F61" i="2"/>
  <c r="F58" i="2"/>
  <c r="F54" i="2"/>
  <c r="F44" i="2"/>
  <c r="F39" i="2"/>
  <c r="F37" i="2"/>
  <c r="F34" i="2"/>
  <c r="F27" i="2"/>
  <c r="F28" i="2"/>
  <c r="F21" i="2"/>
  <c r="F17" i="2"/>
  <c r="F15" i="2"/>
  <c r="L998" i="1"/>
  <c r="M998" i="1" s="1"/>
  <c r="F76" i="2" s="1"/>
  <c r="F12" i="2"/>
  <c r="M1387" i="1"/>
  <c r="L1400" i="1" s="1"/>
  <c r="M1400" i="1" s="1"/>
  <c r="L1401" i="1" s="1"/>
  <c r="M72" i="1"/>
  <c r="L73" i="1" s="1"/>
  <c r="L51" i="1" s="1"/>
  <c r="M51" i="1" s="1"/>
  <c r="L537" i="1"/>
  <c r="M537" i="1" s="1"/>
  <c r="F53" i="2" s="1"/>
  <c r="M555" i="1"/>
  <c r="L556" i="1" s="1"/>
  <c r="F8" i="2"/>
  <c r="L1065" i="1"/>
  <c r="M1065" i="1" s="1"/>
  <c r="F80" i="2" s="1"/>
  <c r="M405" i="1"/>
  <c r="L406" i="1" s="1"/>
  <c r="M406" i="1" s="1"/>
  <c r="F4" i="2"/>
  <c r="M746" i="1"/>
  <c r="L833" i="1"/>
  <c r="M833" i="1" s="1"/>
  <c r="F74" i="2" s="1"/>
  <c r="M317" i="1"/>
  <c r="L318" i="1" s="1"/>
  <c r="L241" i="1" s="1"/>
  <c r="M241" i="1" s="1"/>
  <c r="M1138" i="1"/>
  <c r="L1156" i="1" s="1"/>
  <c r="L747" i="1"/>
  <c r="M747" i="1" s="1"/>
  <c r="F71" i="2" s="1"/>
  <c r="L1338" i="1"/>
  <c r="M1338" i="1" s="1"/>
  <c r="L511" i="1"/>
  <c r="M511" i="1" s="1"/>
  <c r="M1212" i="1"/>
  <c r="L1213" i="1" s="1"/>
  <c r="L1157" i="1" s="1"/>
  <c r="M1157" i="1" s="1"/>
  <c r="M830" i="1"/>
  <c r="M32" i="1"/>
  <c r="L50" i="1" s="1"/>
  <c r="M50" i="1" s="1"/>
  <c r="L464" i="1"/>
  <c r="M464" i="1" s="1"/>
  <c r="F47" i="2" s="1"/>
  <c r="M461" i="1"/>
  <c r="L462" i="1" s="1"/>
  <c r="L439" i="1" s="1"/>
  <c r="M439" i="1" s="1"/>
  <c r="L436" i="1"/>
  <c r="L407" i="1" s="1"/>
  <c r="M407" i="1" s="1"/>
  <c r="L1032" i="1"/>
  <c r="M1032" i="1" s="1"/>
  <c r="F78" i="2" s="1"/>
  <c r="M154" i="1"/>
  <c r="L130" i="1"/>
  <c r="M130" i="1" s="1"/>
  <c r="M106" i="1"/>
  <c r="L85" i="1"/>
  <c r="M85" i="1" s="1"/>
  <c r="M644" i="1"/>
  <c r="L598" i="1"/>
  <c r="M598" i="1" s="1"/>
  <c r="M661" i="1"/>
  <c r="L645" i="1"/>
  <c r="M645" i="1" s="1"/>
  <c r="L903" i="1"/>
  <c r="M903" i="1" s="1"/>
  <c r="F75" i="2" s="1"/>
  <c r="M997" i="1"/>
  <c r="L1030" i="1" s="1"/>
  <c r="M689" i="1"/>
  <c r="L678" i="1"/>
  <c r="M678" i="1" s="1"/>
  <c r="L463" i="1"/>
  <c r="M463" i="1" s="1"/>
  <c r="M510" i="1"/>
  <c r="L1339" i="1"/>
  <c r="M1339" i="1" s="1"/>
  <c r="M1349" i="1"/>
  <c r="L557" i="1"/>
  <c r="M557" i="1" s="1"/>
  <c r="M597" i="1"/>
  <c r="L321" i="1"/>
  <c r="M321" i="1" s="1"/>
  <c r="M357" i="1"/>
  <c r="L1031" i="1"/>
  <c r="M1031" i="1" s="1"/>
  <c r="M1063" i="1"/>
  <c r="L118" i="1"/>
  <c r="M118" i="1" s="1"/>
  <c r="M127" i="1"/>
  <c r="L156" i="1"/>
  <c r="M156" i="1" s="1"/>
  <c r="F25" i="2" s="1"/>
  <c r="M174" i="1"/>
  <c r="L240" i="1" s="1"/>
  <c r="F89" i="2" l="1"/>
  <c r="F79" i="2"/>
  <c r="F77" i="2"/>
  <c r="F73" i="2"/>
  <c r="F69" i="2"/>
  <c r="F52" i="2"/>
  <c r="F46" i="2"/>
  <c r="F33" i="2"/>
  <c r="F24" i="2"/>
  <c r="M73" i="1"/>
  <c r="L128" i="1" s="1"/>
  <c r="L536" i="1"/>
  <c r="M536" i="1" s="1"/>
  <c r="M556" i="1"/>
  <c r="L690" i="1" s="1"/>
  <c r="M690" i="1" s="1"/>
  <c r="L358" i="1"/>
  <c r="M358" i="1" s="1"/>
  <c r="L6" i="1"/>
  <c r="M6" i="1" s="1"/>
  <c r="L1215" i="1"/>
  <c r="M1215" i="1" s="1"/>
  <c r="F3" i="2"/>
  <c r="L831" i="1"/>
  <c r="M831" i="1" s="1"/>
  <c r="M436" i="1"/>
  <c r="L437" i="1" s="1"/>
  <c r="L320" i="1" s="1"/>
  <c r="M320" i="1" s="1"/>
  <c r="M462" i="1"/>
  <c r="L534" i="1" s="1"/>
  <c r="M534" i="1" s="1"/>
  <c r="L1375" i="1"/>
  <c r="M1375" i="1" s="1"/>
  <c r="M1213" i="1"/>
  <c r="M318" i="1"/>
  <c r="L832" i="1"/>
  <c r="M832" i="1" s="1"/>
  <c r="M1030" i="1"/>
  <c r="L155" i="1"/>
  <c r="M155" i="1" s="1"/>
  <c r="M240" i="1"/>
  <c r="M1156" i="1"/>
  <c r="L1064" i="1"/>
  <c r="M1064" i="1" s="1"/>
  <c r="M1401" i="1"/>
  <c r="L1374" i="1"/>
  <c r="M1374" i="1" s="1"/>
  <c r="F68" i="2" l="1"/>
  <c r="F43" i="2"/>
  <c r="F51" i="2"/>
  <c r="F20" i="2"/>
  <c r="M437" i="1"/>
  <c r="L692" i="1"/>
  <c r="M692" i="1" s="1"/>
  <c r="L535" i="1"/>
  <c r="M535" i="1" s="1"/>
  <c r="L319" i="1"/>
  <c r="M319" i="1" s="1"/>
  <c r="L438" i="1"/>
  <c r="M438" i="1" s="1"/>
  <c r="L1214" i="1"/>
  <c r="L5" i="1"/>
  <c r="M5" i="1" s="1"/>
  <c r="M128" i="1"/>
  <c r="F109" i="2" l="1"/>
  <c r="F110" i="2"/>
  <c r="L129" i="1"/>
  <c r="M129" i="1" s="1"/>
  <c r="F111" i="2"/>
  <c r="L691" i="1"/>
  <c r="M691" i="1" s="1"/>
  <c r="M1214" i="1"/>
  <c r="L1408" i="1" s="1"/>
  <c r="F112" i="2" l="1"/>
  <c r="F113" i="2" s="1"/>
  <c r="F114" i="2" s="1"/>
  <c r="M1408" i="1"/>
  <c r="L4" i="1"/>
  <c r="M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5" authorId="0" shapeId="0" xr:uid="{9ADFB556-3A5D-054B-A838-8C5FD48842DE}">
      <text>
        <r>
          <rPr>
            <sz val="11"/>
            <color rgb="FF000000"/>
            <rFont val="Calibri"/>
            <family val="2"/>
          </rPr>
          <t>Subtotal extraído del PDF. Página origen: 94</t>
        </r>
      </text>
    </comment>
  </commentList>
</comments>
</file>

<file path=xl/sharedStrings.xml><?xml version="1.0" encoding="utf-8"?>
<sst xmlns="http://schemas.openxmlformats.org/spreadsheetml/2006/main" count="4162" uniqueCount="4162">
  <si>
    <t>Obra:</t>
  </si>
  <si>
    <t>2867_COCINA_ESPITAU_MAYO2026</t>
  </si>
  <si>
    <t>Pressupost</t>
  </si>
  <si>
    <t>% C.I.</t>
  </si>
  <si>
    <t>Codi</t>
  </si>
  <si>
    <t>Tipus</t>
  </si>
  <si>
    <t>U</t>
  </si>
  <si>
    <t>Resum</t>
  </si>
  <si>
    <t>Quantitat</t>
  </si>
  <si>
    <t>Preu (€)</t>
  </si>
  <si>
    <t>Import (€)</t>
  </si>
  <si>
    <t>2867_COCINA_ESPITAU_MAYO2026</t>
  </si>
  <si>
    <t>Capítol</t>
  </si>
  <si>
    <t>D</t>
  </si>
  <si>
    <t>Capítol</t>
  </si>
  <si>
    <t>Demoliciones</t>
  </si>
  <si>
    <t>DR</t>
  </si>
  <si>
    <t>Capítol</t>
  </si>
  <si>
    <t>Revestimientos y trasdosados</t>
  </si>
  <si>
    <t>DRS</t>
  </si>
  <si>
    <t>Capítol</t>
  </si>
  <si>
    <t>Suelos y pavimentos</t>
  </si>
  <si>
    <t>DRS010</t>
  </si>
  <si>
    <t>Partida</t>
  </si>
  <si>
    <t>m²</t>
  </si>
  <si>
    <t>Demolición de pavimento de terrazo.</t>
  </si>
  <si>
    <t>Demolición de pavimento existente en el interior del edificio, de baldosas de terrazo, con martillo neumático, sin deteriorar los elementos constructivos contiguos, y carga manual sobre camión o contenedor.
Criterio de valoración económica: El precio incluye el picado del material de agarre adherido al soporte, pero no incluye la demolición de la base soporte.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</si>
  <si>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mq05mai030</t>
  </si>
  <si>
    <t>Maquinària</t>
  </si>
  <si>
    <t>h</t>
  </si>
  <si>
    <t>Martillo neumático.</t>
  </si>
  <si>
    <t>mq05pdm110</t>
  </si>
  <si>
    <t>Maquinària</t>
  </si>
  <si>
    <t>h</t>
  </si>
  <si>
    <t>Compresor portátil diesel media presión 10 m³/min.</t>
  </si>
  <si>
    <t>mo112</t>
  </si>
  <si>
    <t>Mà d'obra</t>
  </si>
  <si>
    <t>h</t>
  </si>
  <si>
    <t>Peón especializado construcción.</t>
  </si>
  <si>
    <t>mo113</t>
  </si>
  <si>
    <t>Mà d'obra</t>
  </si>
  <si>
    <t>h</t>
  </si>
  <si>
    <t>Peón ordinario construcción.</t>
  </si>
  <si>
    <t>%</t>
  </si>
  <si>
    <t>%</t>
  </si>
  <si>
    <t>Costes directos complementarios</t>
  </si>
  <si>
    <t>DRS010</t>
  </si>
  <si>
    <t>DRS040</t>
  </si>
  <si>
    <t>Partida</t>
  </si>
  <si>
    <t>m²</t>
  </si>
  <si>
    <t>Levantado de techado de madera.</t>
  </si>
  <si>
    <t>Levantado de techado existente en el interior del edificio, de tarima de tablas de madera maciza, sobre estructura sustentante basada en muro cerámico, con medios manuales o mecanicos, sin deteriorar los elementos constructivos contiguos, y carga manual sobre camión o contenedor.
Criterio de valoración económica: El precio no incluye la demolición de la base soporte.
Incluye: Levantado de los elementos.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</si>
  <si>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mo112</t>
  </si>
  <si>
    <t>Mà d'obra</t>
  </si>
  <si>
    <t>h</t>
  </si>
  <si>
    <t>Peón especializado construcción.</t>
  </si>
  <si>
    <t>mo113</t>
  </si>
  <si>
    <t>Mà d'obra</t>
  </si>
  <si>
    <t>h</t>
  </si>
  <si>
    <t>Peón ordinario construcción.</t>
  </si>
  <si>
    <t>%</t>
  </si>
  <si>
    <t>%</t>
  </si>
  <si>
    <t>Costes directos complementarios</t>
  </si>
  <si>
    <t>DRS040</t>
  </si>
  <si>
    <t>DRS070</t>
  </si>
  <si>
    <t>Partida</t>
  </si>
  <si>
    <t>m²</t>
  </si>
  <si>
    <t>Demolición de pavimento continuo de hormigón.</t>
  </si>
  <si>
    <t>Demolición de pavimento continuo de hormigón armado de 10 cm de espesor, con martillo neumático y equipo de oxicorte, sin deteriorar los elementos constructivos contiguos, y carga manual sobre camión o contenedor.
Criterio de valoración económica: El precio no incluye la demolición de la base soporte.
Incluye: Demolición del elemento. Corte de las armaduras.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</si>
  <si>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mq05mai030</t>
  </si>
  <si>
    <t>Maquinària</t>
  </si>
  <si>
    <t>h</t>
  </si>
  <si>
    <t>Martillo neumático.</t>
  </si>
  <si>
    <t>mq05pdm010a</t>
  </si>
  <si>
    <t>Maquinària</t>
  </si>
  <si>
    <t>h</t>
  </si>
  <si>
    <t>Compresor portátil eléctrico 2 m³/min de caudal.</t>
  </si>
  <si>
    <t>mq08sol010</t>
  </si>
  <si>
    <t>Maquinària</t>
  </si>
  <si>
    <t>h</t>
  </si>
  <si>
    <t>Equipo de oxicorte, con acetileno como combustible y oxígeno como comburente.</t>
  </si>
  <si>
    <t>mo019</t>
  </si>
  <si>
    <t>Mà d'obra</t>
  </si>
  <si>
    <t>h</t>
  </si>
  <si>
    <t>Oficial 1ª soldador.</t>
  </si>
  <si>
    <t>mo112</t>
  </si>
  <si>
    <t>Mà d'obra</t>
  </si>
  <si>
    <t>h</t>
  </si>
  <si>
    <t>Peón especializado construcción.</t>
  </si>
  <si>
    <t>mo113</t>
  </si>
  <si>
    <t>Mà d'obra</t>
  </si>
  <si>
    <t>h</t>
  </si>
  <si>
    <t>Peón ordinario construcción.</t>
  </si>
  <si>
    <t>%</t>
  </si>
  <si>
    <t>%</t>
  </si>
  <si>
    <t>Costes directos complementarios</t>
  </si>
  <si>
    <t>DRS070</t>
  </si>
  <si>
    <t>DRS</t>
  </si>
  <si>
    <t>DRT</t>
  </si>
  <si>
    <t>Capítol</t>
  </si>
  <si>
    <t>Falsos techos</t>
  </si>
  <si>
    <t>DRT020</t>
  </si>
  <si>
    <t>Partida</t>
  </si>
  <si>
    <t>m²</t>
  </si>
  <si>
    <t>Demolición de falso techo continuo de placas de yeso o de escayola.</t>
  </si>
  <si>
    <t>Demolición de falso techo continuo o registrable de placas de yeso, escayola o similares, situado a una altura menor de 4 m, con medios manuales, sin deteriorar los elementos constructivos contiguos, y carga manual sobre camión o contenedor.
Criterio de valoración económica: El precio incluye la demolición de la estructura metálica de sujeción, de las falsas vigas y de los remates.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</si>
  <si>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mo113</t>
  </si>
  <si>
    <t>Mà d'obra</t>
  </si>
  <si>
    <t>h</t>
  </si>
  <si>
    <t>Peón ordinario construcción.</t>
  </si>
  <si>
    <t>%</t>
  </si>
  <si>
    <t>%</t>
  </si>
  <si>
    <t>Costes directos complementarios</t>
  </si>
  <si>
    <t>DRT020</t>
  </si>
  <si>
    <t>DRT</t>
  </si>
  <si>
    <t>DRA</t>
  </si>
  <si>
    <t>Capítol</t>
  </si>
  <si>
    <t>Alicatados</t>
  </si>
  <si>
    <t>DRA010</t>
  </si>
  <si>
    <t>Partida</t>
  </si>
  <si>
    <t>m²</t>
  </si>
  <si>
    <t>Demolición de alicatado.</t>
  </si>
  <si>
    <t>Demolición de alicatado de azulejo o revestiminetos similares, con medios manuales, y carga manual sobre camión o contenedor.
Criterio de valoración económica: El precio incluye el picado del material de agarre adherido al soporte.
Incluye: Demolición del elemento. Fragmentación de los escombros en piezas manejables.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</si>
  <si>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Uts.</t>
  </si>
  <si>
    <t>Llargada</t>
  </si>
  <si>
    <t>Amplada</t>
  </si>
  <si>
    <t>Alçada</t>
  </si>
  <si>
    <t>Parcial</t>
  </si>
  <si>
    <t>Subtotal</t>
  </si>
  <si>
    <t>área cocina</t>
  </si>
  <si>
    <t>otras dependencias</t>
  </si>
  <si>
    <t>mo113</t>
  </si>
  <si>
    <t>Mà d'obra</t>
  </si>
  <si>
    <t>h</t>
  </si>
  <si>
    <t>Peón ordinario construcción.</t>
  </si>
  <si>
    <t>%</t>
  </si>
  <si>
    <t>%</t>
  </si>
  <si>
    <t>Costes directos complementarios</t>
  </si>
  <si>
    <t>DRA010</t>
  </si>
  <si>
    <t>DRA</t>
  </si>
  <si>
    <t>DR</t>
  </si>
  <si>
    <t>DF</t>
  </si>
  <si>
    <t>Capítol</t>
  </si>
  <si>
    <t>Fachadas</t>
  </si>
  <si>
    <t>DFF</t>
  </si>
  <si>
    <t>Capítol</t>
  </si>
  <si>
    <t>Fábricas</t>
  </si>
  <si>
    <t>DFF021</t>
  </si>
  <si>
    <t>Partida</t>
  </si>
  <si>
    <t>m²</t>
  </si>
  <si>
    <t>Apertura de hueco en hoja exterior de fachada, de fábrica revestida.</t>
  </si>
  <si>
    <t>Apertura de hueco para posterior colocación de la carpintería, en hoja exterior de cerramiento de fachada, con martillo neumático, sin afectar a la estabilidad de la hoja o de los elementos constructivos contiguos, y carga manual sobre camión o contenedor.
Criterio de valoración económica: El precio incluye el corte previo del contorno del hueco y la demolición del revestimiento, montaje y desmontaje del apeo del hueco y la colocación de dinteles si es necesario.
Incluye: Replanteo del hueco en el paramento. Corte previo del contorno del hueco. Colocación de apeos y dinteles.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</si>
  <si>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Uts.</t>
  </si>
  <si>
    <t>Llargada</t>
  </si>
  <si>
    <t>Amplada</t>
  </si>
  <si>
    <t>Alçada</t>
  </si>
  <si>
    <t>Parcial</t>
  </si>
  <si>
    <t>Subtotal</t>
  </si>
  <si>
    <t>transformación de ventana en puerta</t>
  </si>
  <si>
    <t>previsones paso conductos (en unidades de 1m2)</t>
  </si>
  <si>
    <t>mq05mai030</t>
  </si>
  <si>
    <t>Maquinària</t>
  </si>
  <si>
    <t>h</t>
  </si>
  <si>
    <t>Martillo neumático.</t>
  </si>
  <si>
    <t>mq05pdm110</t>
  </si>
  <si>
    <t>Maquinària</t>
  </si>
  <si>
    <t>h</t>
  </si>
  <si>
    <t>Compresor portátil diesel media presión 10 m³/min.</t>
  </si>
  <si>
    <t>mo112</t>
  </si>
  <si>
    <t>Mà d'obra</t>
  </si>
  <si>
    <t>h</t>
  </si>
  <si>
    <t>Peón especializado construcción.</t>
  </si>
  <si>
    <t>mo113</t>
  </si>
  <si>
    <t>Mà d'obra</t>
  </si>
  <si>
    <t>h</t>
  </si>
  <si>
    <t>Peón ordinario construcción.</t>
  </si>
  <si>
    <t>%</t>
  </si>
  <si>
    <t>%</t>
  </si>
  <si>
    <t>Costes directos complementarios</t>
  </si>
  <si>
    <t>DFF021</t>
  </si>
  <si>
    <t>DFF030</t>
  </si>
  <si>
    <t>Partida</t>
  </si>
  <si>
    <t>m²</t>
  </si>
  <si>
    <t>Demolición de hoja interior de fachada, de fábrica revestida.</t>
  </si>
  <si>
    <t>Demolición de hoja interior de cerramiento de fachada, de fábrica revestida, formada por ladrillo hueco sencillo de 4/5 cm de espesor, con medios manuales, sin afectar a la estabilidad de los elementos constructivos contiguos, y carga manual sobre camión o contenedor.
Criterio de valoración económica: El precio incluye la demolición del revestimiento.
Incluye: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</si>
  <si>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Uts.</t>
  </si>
  <si>
    <t>Llargada</t>
  </si>
  <si>
    <t>Amplada</t>
  </si>
  <si>
    <t>Alçada</t>
  </si>
  <si>
    <t>Parcial</t>
  </si>
  <si>
    <t>Subtotal</t>
  </si>
  <si>
    <t>transformación de ventana en puerta</t>
  </si>
  <si>
    <t>previsones paso conductos (en unidades de 1m2)</t>
  </si>
  <si>
    <t>mo113</t>
  </si>
  <si>
    <t>Mà d'obra</t>
  </si>
  <si>
    <t>h</t>
  </si>
  <si>
    <t>Peón ordinario construcción.</t>
  </si>
  <si>
    <t>%</t>
  </si>
  <si>
    <t>%</t>
  </si>
  <si>
    <t>Costes directos complementarios</t>
  </si>
  <si>
    <t>DFF030</t>
  </si>
  <si>
    <t>DFF</t>
  </si>
  <si>
    <t>DF</t>
  </si>
  <si>
    <t>DP</t>
  </si>
  <si>
    <t>Capítol</t>
  </si>
  <si>
    <t>Particiones</t>
  </si>
  <si>
    <t>DPT</t>
  </si>
  <si>
    <t>Capítol</t>
  </si>
  <si>
    <t>Tabiquería de fábrica</t>
  </si>
  <si>
    <t>DPT020</t>
  </si>
  <si>
    <t>Partida</t>
  </si>
  <si>
    <t>m²</t>
  </si>
  <si>
    <t>Demolición de partición interior de fábrica revestida.</t>
  </si>
  <si>
    <t>Demolición de partición interior de fábrica revestida, formada por ladrillo hueco o perforado de en tre 4/5 cm y 15 cm de espesor, con medios manuales o mecanicos, sin afectar a la estabilidad de los elementos constructivos contiguos, y carga manual sobre camión o contenedor.
Criterio de valoración económica: El precio no incluye el desmontaje previo de las hojas de la carpintería, pero si la extracción de marcos.
Incluye: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
Se miden las divisorias en toda la altura libre de la planta.</t>
  </si>
  <si>
    <t>Uts.</t>
  </si>
  <si>
    <t>Llargada</t>
  </si>
  <si>
    <t>Amplada</t>
  </si>
  <si>
    <t>Alçada</t>
  </si>
  <si>
    <t>Parcial</t>
  </si>
  <si>
    <t>Subtotal</t>
  </si>
  <si>
    <t>divisorias</t>
  </si>
  <si>
    <t>mo113</t>
  </si>
  <si>
    <t>Mà d'obra</t>
  </si>
  <si>
    <t>h</t>
  </si>
  <si>
    <t>Peón ordinario construcción.</t>
  </si>
  <si>
    <t>%</t>
  </si>
  <si>
    <t>%</t>
  </si>
  <si>
    <t>Costes directos complementarios</t>
  </si>
  <si>
    <t>DPT020</t>
  </si>
  <si>
    <t>DPT</t>
  </si>
  <si>
    <t>DP</t>
  </si>
  <si>
    <t>DL</t>
  </si>
  <si>
    <t>Capítol</t>
  </si>
  <si>
    <t>Carpintería, vidrios y protecciones solares</t>
  </si>
  <si>
    <t>DLC</t>
  </si>
  <si>
    <t>Capítol</t>
  </si>
  <si>
    <t>Carpintería</t>
  </si>
  <si>
    <t>DLC010</t>
  </si>
  <si>
    <t>Partida</t>
  </si>
  <si>
    <t>Ud</t>
  </si>
  <si>
    <t>Desmontaje de hoja de carpintería exterior.</t>
  </si>
  <si>
    <t>Desmontaje de hoja de carpintería acristalada de aluminio de cualquier tipo situada en fachada, de menos de 3 m² de superficie, con medios manuales, sin deteriorar los elementos constructivos a los que está sujeta, y carga manual sobre camión o contenedor.
Incluye: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</si>
  <si>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Uts.</t>
  </si>
  <si>
    <t>Llargada</t>
  </si>
  <si>
    <t>Amplada</t>
  </si>
  <si>
    <t>Alçada</t>
  </si>
  <si>
    <t>Parcial</t>
  </si>
  <si>
    <t>Subtotal</t>
  </si>
  <si>
    <t>ventanas</t>
  </si>
  <si>
    <t>puerta</t>
  </si>
  <si>
    <t>mo113</t>
  </si>
  <si>
    <t>Mà d'obra</t>
  </si>
  <si>
    <t>h</t>
  </si>
  <si>
    <t>Peón ordinario construcción.</t>
  </si>
  <si>
    <t>%</t>
  </si>
  <si>
    <t>%</t>
  </si>
  <si>
    <t>Costes directos complementarios</t>
  </si>
  <si>
    <t>DLC010</t>
  </si>
  <si>
    <t>DLC</t>
  </si>
  <si>
    <t>DLP</t>
  </si>
  <si>
    <t>Capítol</t>
  </si>
  <si>
    <t>Puertas</t>
  </si>
  <si>
    <t>DLP220</t>
  </si>
  <si>
    <t>Partida</t>
  </si>
  <si>
    <t>Ud</t>
  </si>
  <si>
    <t>Desmontaje de hoja de puerta interior.</t>
  </si>
  <si>
    <t>Desmontaje de hoja (medición por hoja) de puerta interior de carpintería de madera, con medios manuales, y carga manual sobre camión o contenedor.
Criterio de valoración económica: El precio incluye el desmontaje de los galces, de los tapajuntas y de los herrajes.
Incluye: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</si>
  <si>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Uts.</t>
  </si>
  <si>
    <t>Llargada</t>
  </si>
  <si>
    <t>Amplada</t>
  </si>
  <si>
    <t>Alçada</t>
  </si>
  <si>
    <t>Parcial</t>
  </si>
  <si>
    <t>Subtotal</t>
  </si>
  <si>
    <t>1 hoja</t>
  </si>
  <si>
    <t>2 hojas</t>
  </si>
  <si>
    <t>mo058</t>
  </si>
  <si>
    <t>Mà d'obra</t>
  </si>
  <si>
    <t>h</t>
  </si>
  <si>
    <t>Ayudante carpintero.</t>
  </si>
  <si>
    <t>%</t>
  </si>
  <si>
    <t>%</t>
  </si>
  <si>
    <t>Costes directos complementarios</t>
  </si>
  <si>
    <t>DLP220</t>
  </si>
  <si>
    <t>DLP</t>
  </si>
  <si>
    <t>DL</t>
  </si>
  <si>
    <t>DS</t>
  </si>
  <si>
    <t>Capítol</t>
  </si>
  <si>
    <t>Equipamiento</t>
  </si>
  <si>
    <t>DSC</t>
  </si>
  <si>
    <t>Capítol</t>
  </si>
  <si>
    <t>Cocinas</t>
  </si>
  <si>
    <t>DSC020</t>
  </si>
  <si>
    <t>Partida</t>
  </si>
  <si>
    <t>m2</t>
  </si>
  <si>
    <t>Desmontaje de conjunto de mobiliario de cocina.</t>
  </si>
  <si>
    <t>Desmontaje de conjunto de cocina y áreas auxiliares, compuesta por, mobiliario de cocina, maquinaria y utillaje, con medios manuales, sin afectar a la estabilidad de los elementos resistentes a los que puedan estar unidos, y carga manual sobre camión o contenedor.
Criterio de valoración económica: El precio incluye el desmontaje de los accesorios, maquinaria y utillaje.
Incluye: Desmontaje del elemento. Retirada y acopio del material desmontado. Limpieza de los restos de obra. Carga manual del material desmontado y restos de obra sobre camión o contenedor.
Criterio de medición de proyecto: Superficie medida según documentación gráfica de Proyecto.
Criterio de medición de obra: Se medirá la superficie realmente desmontada según especificaciones de Proyecto.</t>
  </si>
  <si>
    <t>mo020</t>
  </si>
  <si>
    <t>Mà d'obra</t>
  </si>
  <si>
    <t>h</t>
  </si>
  <si>
    <t>Oficial 1ª construcción.</t>
  </si>
  <si>
    <t>mo077</t>
  </si>
  <si>
    <t>Mà d'obra</t>
  </si>
  <si>
    <t>h</t>
  </si>
  <si>
    <t>Ayudante construcción.</t>
  </si>
  <si>
    <t>mo113</t>
  </si>
  <si>
    <t>Mà d'obra</t>
  </si>
  <si>
    <t>h</t>
  </si>
  <si>
    <t>Peón ordinario construcción.</t>
  </si>
  <si>
    <t>%</t>
  </si>
  <si>
    <t>%</t>
  </si>
  <si>
    <t>Costes directos complementarios</t>
  </si>
  <si>
    <t>DSC020</t>
  </si>
  <si>
    <t>DSC</t>
  </si>
  <si>
    <t>DS</t>
  </si>
  <si>
    <t>DM</t>
  </si>
  <si>
    <t>Capítol</t>
  </si>
  <si>
    <t>Firmes y pavimentos</t>
  </si>
  <si>
    <t>DMC</t>
  </si>
  <si>
    <t>Capítol</t>
  </si>
  <si>
    <t>Cortes</t>
  </si>
  <si>
    <t>DMC010</t>
  </si>
  <si>
    <t>Partida</t>
  </si>
  <si>
    <t>m</t>
  </si>
  <si>
    <t>Corte de pavimento.</t>
  </si>
  <si>
    <t>Corte de pavimento de hormigón, mediante máquina cortadora de pavimento, y carga manual sobre camión o contenedor.
Incluye: Replanteo de las zonas a cortar. Corte del pavimento. Limpieza de los restos de obra. Carga manual de escombros y tierra sobre camión o contenedor.
Criterio de medición de proyecto: Longitud medida según documentación gráfica de Proyecto.
Criterio de medición de obra: Se medirá la longitud realmente ejecutada según especificaciones de Proyecto.</t>
  </si>
  <si>
    <t>mq11eqc010</t>
  </si>
  <si>
    <t>Maquinària</t>
  </si>
  <si>
    <t>h</t>
  </si>
  <si>
    <t>Cortadora de pavimento con arranque, desplazamiento y regulación del disco de corte manuales.</t>
  </si>
  <si>
    <t>mo087</t>
  </si>
  <si>
    <t>Mà d'obra</t>
  </si>
  <si>
    <t>h</t>
  </si>
  <si>
    <t>Ayudante construcción de obra civil.</t>
  </si>
  <si>
    <t>%</t>
  </si>
  <si>
    <t>%</t>
  </si>
  <si>
    <t>Costes directos complementarios</t>
  </si>
  <si>
    <t>DMC010</t>
  </si>
  <si>
    <t>DMC</t>
  </si>
  <si>
    <t>DM</t>
  </si>
  <si>
    <t>D</t>
  </si>
  <si>
    <t>A</t>
  </si>
  <si>
    <t>Capítol</t>
  </si>
  <si>
    <t>Acondicionamiento del terreno</t>
  </si>
  <si>
    <t>AD</t>
  </si>
  <si>
    <t>Capítol</t>
  </si>
  <si>
    <t>Movimiento de tierras en edificación</t>
  </si>
  <si>
    <t>ADE</t>
  </si>
  <si>
    <t>Capítol</t>
  </si>
  <si>
    <t>Excavaciones</t>
  </si>
  <si>
    <t>ADE010</t>
  </si>
  <si>
    <t>Partida</t>
  </si>
  <si>
    <t>m³</t>
  </si>
  <si>
    <t>Excavación de zanjas y pozos.</t>
  </si>
  <si>
    <t>Excavación de zanjas para instalaciones hasta una profundidad máxima de 2 m, en suelo de grava suelta, con medios manuales, y acopio en los bordes de la excavación.
Criterio de valoración económica: El precio incluye la carga, pero no incluye el transporte de los materiales excavados.
Incluye: Replanteo general y fijación de los puntos y niveles de referencia. Colocación de las camillas en las esquinas y extremos de las alineaciones. Excavación en sucesivas franjas horizontales y extracción de tierras. Refinado de fondos con extracción de las tierras. Acopio de los materiales excavados en los bordes de la excavación.
Criterio de medición de proyecto: Volumen medido sobre las secciones teóricas de la excavación, según documentación gráfica de Proyecto, sin duplicar esquinas ni encuentros.
Criterio de medición de obra: Se medirá el volumen teórico ejecutado según especificaciones de Proyecto, sin duplicar esquinas ni encuentros y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t>
  </si>
  <si>
    <t>Uts.</t>
  </si>
  <si>
    <t>Llargada</t>
  </si>
  <si>
    <t>Amplada</t>
  </si>
  <si>
    <t>Alçada</t>
  </si>
  <si>
    <t>Parcial</t>
  </si>
  <si>
    <t>Subtotal</t>
  </si>
  <si>
    <t>área de excavación para paso de saneamineto</t>
  </si>
  <si>
    <t>mo113</t>
  </si>
  <si>
    <t>Mà d'obra</t>
  </si>
  <si>
    <t>h</t>
  </si>
  <si>
    <t>Peón ordinario construcción.</t>
  </si>
  <si>
    <t>%</t>
  </si>
  <si>
    <t>%</t>
  </si>
  <si>
    <t>Costes directos complementarios</t>
  </si>
  <si>
    <t>ADE010</t>
  </si>
  <si>
    <t>ADE</t>
  </si>
  <si>
    <t>ADR</t>
  </si>
  <si>
    <t>Capítol</t>
  </si>
  <si>
    <t>Rellenos y compactaciones</t>
  </si>
  <si>
    <t>ADR010</t>
  </si>
  <si>
    <t>Partida</t>
  </si>
  <si>
    <t>m³</t>
  </si>
  <si>
    <t>Relleno de zanjas para instalaciones.</t>
  </si>
  <si>
    <t>Relleno envolvente y principal de zanjas para instalaciones, con arena de 0 a 5 mm de diámetro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</si>
  <si>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Uts.</t>
  </si>
  <si>
    <t>Llargada</t>
  </si>
  <si>
    <t>Amplada</t>
  </si>
  <si>
    <t>Alçada</t>
  </si>
  <si>
    <t>Parcial</t>
  </si>
  <si>
    <t>Subtotal</t>
  </si>
  <si>
    <t>área de excavación para paso de saneamineto</t>
  </si>
  <si>
    <t>mt01var010</t>
  </si>
  <si>
    <t>Material</t>
  </si>
  <si>
    <t>m</t>
  </si>
  <si>
    <t>Cinta plastificada.</t>
  </si>
  <si>
    <t>mt01ara030</t>
  </si>
  <si>
    <t>Material</t>
  </si>
  <si>
    <t>t</t>
  </si>
  <si>
    <t>Arena de 0 a 5 mm de diámetro, limpia.</t>
  </si>
  <si>
    <t>mq04dua020b</t>
  </si>
  <si>
    <t>Maquinària</t>
  </si>
  <si>
    <t>h</t>
  </si>
  <si>
    <t>Dumper de descarga frontal de 2 t de carga útil.</t>
  </si>
  <si>
    <t>mq02rod010d</t>
  </si>
  <si>
    <t>Maquinària</t>
  </si>
  <si>
    <t>h</t>
  </si>
  <si>
    <t>Bandeja vibrante de guiado manual, de 300 kg, anchura de trabajo 70 cm, reversible.</t>
  </si>
  <si>
    <t>mq02cia020j</t>
  </si>
  <si>
    <t>Maquinària</t>
  </si>
  <si>
    <t>h</t>
  </si>
  <si>
    <t>Camión cisterna, de 8 m³ de capacidad.</t>
  </si>
  <si>
    <t>mo113</t>
  </si>
  <si>
    <t>Mà d'obra</t>
  </si>
  <si>
    <t>h</t>
  </si>
  <si>
    <t>Peón ordinario construcción.</t>
  </si>
  <si>
    <t>%</t>
  </si>
  <si>
    <t>%</t>
  </si>
  <si>
    <t>Costes directos complementarios</t>
  </si>
  <si>
    <t>ADR010</t>
  </si>
  <si>
    <t>ADR</t>
  </si>
  <si>
    <t>AD</t>
  </si>
  <si>
    <t>AS</t>
  </si>
  <si>
    <t>Capítol</t>
  </si>
  <si>
    <t>Red de saneamiento horizontal</t>
  </si>
  <si>
    <t>ASA</t>
  </si>
  <si>
    <t>Capítol</t>
  </si>
  <si>
    <t>Arquetas</t>
  </si>
  <si>
    <t>ASA012</t>
  </si>
  <si>
    <t>Partida</t>
  </si>
  <si>
    <t>Ud</t>
  </si>
  <si>
    <t>Arqueta prefabricada.</t>
  </si>
  <si>
    <t>Arqueta de paso enterrada, de polipropileno, de dimensiones interiores 30x30x30 cm, sobre solera de hormigón en masa HM-20/B/20/X0 de 20 cm de espesor, con tapa prefabricada de polipropileno con cierre hermético al paso de los olores mefíticos.
Criterio de valoración económica: El precio no incluye la excavación ni el relleno del trasdós.
Incluye: Replanteo. Vertido y compactación del hormigón en formación de solera. Colocación de la arqueta prefabricada. Ejecución de taladros para el conexionado de los colectores a la arqueta. Empalme y rejuntado de los colectores a la arqueta. Colocación de la tapa y los accesorios.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</si>
  <si>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mt10hmf010tLb</t>
  </si>
  <si>
    <t>Material</t>
  </si>
  <si>
    <t>m³</t>
  </si>
  <si>
    <t>Hormigón HM-20/B/20/X0, fabricado en central.</t>
  </si>
  <si>
    <t>mt11arp010a</t>
  </si>
  <si>
    <t>Material</t>
  </si>
  <si>
    <t>Ud</t>
  </si>
  <si>
    <t>Arqueta registrable de polipropileno, con fondo precortado, 30x30x30 cm, para saneamiento.</t>
  </si>
  <si>
    <t>mt11arp050a</t>
  </si>
  <si>
    <t>Material</t>
  </si>
  <si>
    <t>Ud</t>
  </si>
  <si>
    <t>Tapa de PVC, para arquetas de saneamiento de 30x30 cm, con cierre hermético al paso de los olores mefíticos.</t>
  </si>
  <si>
    <t>mo020</t>
  </si>
  <si>
    <t>Mà d'obra</t>
  </si>
  <si>
    <t>h</t>
  </si>
  <si>
    <t>Oficial 1ª construcción.</t>
  </si>
  <si>
    <t>mo113</t>
  </si>
  <si>
    <t>Mà d'obra</t>
  </si>
  <si>
    <t>h</t>
  </si>
  <si>
    <t>Peón ordinario construcción.</t>
  </si>
  <si>
    <t>%</t>
  </si>
  <si>
    <t>%</t>
  </si>
  <si>
    <t>Costes directos complementarios</t>
  </si>
  <si>
    <t>ASA012</t>
  </si>
  <si>
    <t>ASA012b</t>
  </si>
  <si>
    <t>Partida</t>
  </si>
  <si>
    <t>Ud</t>
  </si>
  <si>
    <t>Arqueta separadora de grasas prefabricada.</t>
  </si>
  <si>
    <t>Arqueta decantadora de grasas enterrada, de PVC, con un cuerpo de Ø 250 mm, una entrada de Ø 160-200 mm) y una salida de Ø 160/200 mm, sobre solera de hormigón en masa HM-20/B/20/X0 de 20 cm de espesor, con tapa metalica registrable, para dejar vista en superficie o para aplacar, con cierre hermético al paso de los olores mefíticos.
Criterio de valoración económica: El precio no incluye la excavación ni el relleno del trasdós.
Incluye: Replanteo. Vertido y compactación del hormigón en formación de solera. Colocación de la arqueta prefabricada. Empalme y rejuntado de los colectores a la arqueta. Colocación de la tapa y los accesorios.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</si>
  <si>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mt10hmf010tLb</t>
  </si>
  <si>
    <t>Material</t>
  </si>
  <si>
    <t>m³</t>
  </si>
  <si>
    <t>Hormigón HM-20/B/20/X0, fabricado en central.</t>
  </si>
  <si>
    <t>mt11avg030a</t>
  </si>
  <si>
    <t>Material</t>
  </si>
  <si>
    <t>Ud</t>
  </si>
  <si>
    <t>Arqueta separadora de grasas</t>
  </si>
  <si>
    <t>mo020</t>
  </si>
  <si>
    <t>Mà d'obra</t>
  </si>
  <si>
    <t>h</t>
  </si>
  <si>
    <t>Oficial 1ª construcción.</t>
  </si>
  <si>
    <t>mo113</t>
  </si>
  <si>
    <t>Mà d'obra</t>
  </si>
  <si>
    <t>h</t>
  </si>
  <si>
    <t>Peón ordinario construcción.</t>
  </si>
  <si>
    <t>%</t>
  </si>
  <si>
    <t>%</t>
  </si>
  <si>
    <t>Costes directos complementarios</t>
  </si>
  <si>
    <t>ASA012b</t>
  </si>
  <si>
    <t>ASA</t>
  </si>
  <si>
    <t>ASB</t>
  </si>
  <si>
    <t>Capítol</t>
  </si>
  <si>
    <t>Acometidas</t>
  </si>
  <si>
    <t>ASB020</t>
  </si>
  <si>
    <t>Partida</t>
  </si>
  <si>
    <t>Ud</t>
  </si>
  <si>
    <t>Conexión de la acometida a la red general de saneamiento del edificio</t>
  </si>
  <si>
    <t>Conexión de la acometida a la red general de saneamiento del edificio. Incluso elementos y accesorios necesarios para el empalme de la acometida de la red ampliada en la existente a traves de la arqueta separadora de grasas.
Criterio de valoración económica: El precio no incluye la excavación ni la arqueta.
Incluye: Replanteo y trazado de la conexión en la arqueta hacia la red existente.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</si>
  <si>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mt08aaa010a</t>
  </si>
  <si>
    <t>Material</t>
  </si>
  <si>
    <t>m³</t>
  </si>
  <si>
    <t>Agua.</t>
  </si>
  <si>
    <t>mt09mif010ca</t>
  </si>
  <si>
    <t>Material</t>
  </si>
  <si>
    <t>t</t>
  </si>
  <si>
    <t>Mortero industrial para albañilería, de cemento, color gris, categoría M-5 (resistencia a compresión 5 N/mm²), suministrado en sacos, según UNE-EN 998-2.</t>
  </si>
  <si>
    <t>mt11var200</t>
  </si>
  <si>
    <t>Material</t>
  </si>
  <si>
    <t>Ud</t>
  </si>
  <si>
    <t>Material para ejecución de junta flexible en el empalme de la acometida al pozo de registro.</t>
  </si>
  <si>
    <t>mq05pdm110</t>
  </si>
  <si>
    <t>Maquinària</t>
  </si>
  <si>
    <t>h</t>
  </si>
  <si>
    <t>Compresor portátil diesel media presión 10 m³/min.</t>
  </si>
  <si>
    <t>mq05mai030</t>
  </si>
  <si>
    <t>Maquinària</t>
  </si>
  <si>
    <t>h</t>
  </si>
  <si>
    <t>Martillo neumático.</t>
  </si>
  <si>
    <t>mo020</t>
  </si>
  <si>
    <t>Mà d'obra</t>
  </si>
  <si>
    <t>h</t>
  </si>
  <si>
    <t>Oficial 1ª construcción.</t>
  </si>
  <si>
    <t>mo112</t>
  </si>
  <si>
    <t>Mà d'obra</t>
  </si>
  <si>
    <t>h</t>
  </si>
  <si>
    <t>Peón especializado construcción.</t>
  </si>
  <si>
    <t>%</t>
  </si>
  <si>
    <t>%</t>
  </si>
  <si>
    <t>Costes directos complementarios</t>
  </si>
  <si>
    <t>ASB020</t>
  </si>
  <si>
    <t>ASB</t>
  </si>
  <si>
    <t>ASC</t>
  </si>
  <si>
    <t>Capítol</t>
  </si>
  <si>
    <t>Colectores</t>
  </si>
  <si>
    <t>ASC0200</t>
  </si>
  <si>
    <t>Partida</t>
  </si>
  <si>
    <t>m</t>
  </si>
  <si>
    <t>Colector enterrado.</t>
  </si>
  <si>
    <t>Colector enterrado de red horizontal de saneamiento, con arquetas, con una pendiente mínima del 2%, para la evacuación de aguas residuales y/o pluviales, formado por tubo de PVC liso, serie SN-4, rigidez anular nominal 4 kN/m², de 200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Realización de pruebas de servicio.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</si>
  <si>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mt11tpb030d</t>
  </si>
  <si>
    <t>Material</t>
  </si>
  <si>
    <t>m</t>
  </si>
  <si>
    <t>Tubo de PVC liso, para saneamiento enterrado sin presión, serie SN-4, rigidez anular nominal 4 kN/m², de 200 mm de diámetro exterior y 4,9 mm de espesor, según UNE-EN 1401-1.</t>
  </si>
  <si>
    <t>mt11var009</t>
  </si>
  <si>
    <t>Material</t>
  </si>
  <si>
    <t>l</t>
  </si>
  <si>
    <t>Líquido limpiador para pegado mediante adhesivo de tubos y accesorios de PVC.</t>
  </si>
  <si>
    <t>mt11var010</t>
  </si>
  <si>
    <t>Material</t>
  </si>
  <si>
    <t>l</t>
  </si>
  <si>
    <t>Adhesivo para tubos y accesorios de PVC.</t>
  </si>
  <si>
    <t>mt01ara010</t>
  </si>
  <si>
    <t>Material</t>
  </si>
  <si>
    <t>m³</t>
  </si>
  <si>
    <t>Arena de 0 a 5 mm de diámetro, limpia.</t>
  </si>
  <si>
    <t>mq01ret020b</t>
  </si>
  <si>
    <t>Maquinària</t>
  </si>
  <si>
    <t>h</t>
  </si>
  <si>
    <t>Retrocargadora sobre neumáticos, de 70 kW.</t>
  </si>
  <si>
    <t>mq02rop020</t>
  </si>
  <si>
    <t>Maquinària</t>
  </si>
  <si>
    <t>h</t>
  </si>
  <si>
    <t>Pisón vibrante de guiado manual, de 80 kg, con placa de 30x30 cm, tipo rana.</t>
  </si>
  <si>
    <t>mo041</t>
  </si>
  <si>
    <t>Mà d'obra</t>
  </si>
  <si>
    <t>h</t>
  </si>
  <si>
    <t>Oficial 1ª construcción de obra civil.</t>
  </si>
  <si>
    <t>mo087</t>
  </si>
  <si>
    <t>Mà d'obra</t>
  </si>
  <si>
    <t>h</t>
  </si>
  <si>
    <t>Ayudante construcción de obra civil.</t>
  </si>
  <si>
    <t>%</t>
  </si>
  <si>
    <t>%</t>
  </si>
  <si>
    <t>Costes directos complementarios</t>
  </si>
  <si>
    <t>ASC0200</t>
  </si>
  <si>
    <t>ASC0160</t>
  </si>
  <si>
    <t>Partida</t>
  </si>
  <si>
    <t>m</t>
  </si>
  <si>
    <t>Colector enterrado.</t>
  </si>
  <si>
    <t>Colector enterrado de red horizontal de saneamiento, con arquetas, con una pendiente mínima del 2%, para la evacuación de aguas residuales y/o pluviales, formado por tubo de PVC liso, serie SN-4, rigidez anular nominal 4 kN/m², de 160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Realización de pruebas de servicio.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</si>
  <si>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mt01ara010</t>
  </si>
  <si>
    <t>Material</t>
  </si>
  <si>
    <t>m³</t>
  </si>
  <si>
    <t>Arena de 0 a 5 mm de diámetro, limpia.</t>
  </si>
  <si>
    <t>mt11tpb030c</t>
  </si>
  <si>
    <t>Material</t>
  </si>
  <si>
    <t>m</t>
  </si>
  <si>
    <t>Tubo de PVC liso, para saneamiento enterrado sin presión, serie SN-4, rigidez anular nominal 4 kN/m², de 160 mm de diámetro exterior y 4 mm de espesor, según UNE-EN 1401-1.</t>
  </si>
  <si>
    <t>mt11var009</t>
  </si>
  <si>
    <t>Material</t>
  </si>
  <si>
    <t>l</t>
  </si>
  <si>
    <t>Líquido limpiador para pegado mediante adhesivo de tubos y accesorios de PVC.</t>
  </si>
  <si>
    <t>mt11var010</t>
  </si>
  <si>
    <t>Material</t>
  </si>
  <si>
    <t>l</t>
  </si>
  <si>
    <t>Adhesivo para tubos y accesorios de PVC.</t>
  </si>
  <si>
    <t>mq04dua020b</t>
  </si>
  <si>
    <t>Maquinària</t>
  </si>
  <si>
    <t>h</t>
  </si>
  <si>
    <t>Dumper de descarga frontal de 2 t de carga útil.</t>
  </si>
  <si>
    <t>mq02rop020</t>
  </si>
  <si>
    <t>Maquinària</t>
  </si>
  <si>
    <t>h</t>
  </si>
  <si>
    <t>Pisón vibrante de guiado manual, de 80 kg, con placa de 30x30 cm, tipo rana.</t>
  </si>
  <si>
    <t>mq02cia020j</t>
  </si>
  <si>
    <t>Maquinària</t>
  </si>
  <si>
    <t>h</t>
  </si>
  <si>
    <t>Camión cisterna, de 8 m³ de capacidad.</t>
  </si>
  <si>
    <t>mo020</t>
  </si>
  <si>
    <t>Mà d'obra</t>
  </si>
  <si>
    <t>h</t>
  </si>
  <si>
    <t>Oficial 1ª construcción.</t>
  </si>
  <si>
    <t>mo113</t>
  </si>
  <si>
    <t>Mà d'obra</t>
  </si>
  <si>
    <t>h</t>
  </si>
  <si>
    <t>Peón ordinario construcción.</t>
  </si>
  <si>
    <t>mo008</t>
  </si>
  <si>
    <t>Mà d'obra</t>
  </si>
  <si>
    <t>h</t>
  </si>
  <si>
    <t>Oficial 1ª fontanero.</t>
  </si>
  <si>
    <t>mo107</t>
  </si>
  <si>
    <t>Mà d'obra</t>
  </si>
  <si>
    <t>h</t>
  </si>
  <si>
    <t>Ayudante fontanero.</t>
  </si>
  <si>
    <t>%</t>
  </si>
  <si>
    <t>%</t>
  </si>
  <si>
    <t>Costes directos complementarios</t>
  </si>
  <si>
    <t>ASC0160</t>
  </si>
  <si>
    <t>ASC0110</t>
  </si>
  <si>
    <t>Partida</t>
  </si>
  <si>
    <t>m</t>
  </si>
  <si>
    <t>Colector enterrado.</t>
  </si>
  <si>
    <t>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Realización de pruebas de servicio.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</si>
  <si>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mt01ara010</t>
  </si>
  <si>
    <t>Material</t>
  </si>
  <si>
    <t>m³</t>
  </si>
  <si>
    <t>Arena de 0 a 5 mm de diámetro, limpia.</t>
  </si>
  <si>
    <t>mt11tpb030a</t>
  </si>
  <si>
    <t>Material</t>
  </si>
  <si>
    <t>m</t>
  </si>
  <si>
    <t>Tubo de PVC liso, para saneamiento enterrado sin presión, serie SN-4, rigidez anular nominal 4 kN/m², de 110 mm de diámetro exterior y 3,2 mm de espesor, según UNE-EN 1401-1.</t>
  </si>
  <si>
    <t>mt11var009</t>
  </si>
  <si>
    <t>Material</t>
  </si>
  <si>
    <t>l</t>
  </si>
  <si>
    <t>Líquido limpiador para pegado mediante adhesivo de tubos y accesorios de PVC.</t>
  </si>
  <si>
    <t>mt11var010</t>
  </si>
  <si>
    <t>Material</t>
  </si>
  <si>
    <t>l</t>
  </si>
  <si>
    <t>Adhesivo para tubos y accesorios de PVC.</t>
  </si>
  <si>
    <t>mq04dua020b</t>
  </si>
  <si>
    <t>Maquinària</t>
  </si>
  <si>
    <t>h</t>
  </si>
  <si>
    <t>Dumper de descarga frontal de 2 t de carga útil.</t>
  </si>
  <si>
    <t>mq02rop020</t>
  </si>
  <si>
    <t>Maquinària</t>
  </si>
  <si>
    <t>h</t>
  </si>
  <si>
    <t>Pisón vibrante de guiado manual, de 80 kg, con placa de 30x30 cm, tipo rana.</t>
  </si>
  <si>
    <t>mq02cia020j</t>
  </si>
  <si>
    <t>Maquinària</t>
  </si>
  <si>
    <t>h</t>
  </si>
  <si>
    <t>Camión cisterna, de 8 m³ de capacidad.</t>
  </si>
  <si>
    <t>mo020</t>
  </si>
  <si>
    <t>Mà d'obra</t>
  </si>
  <si>
    <t>h</t>
  </si>
  <si>
    <t>Oficial 1ª construcción.</t>
  </si>
  <si>
    <t>mo113</t>
  </si>
  <si>
    <t>Mà d'obra</t>
  </si>
  <si>
    <t>h</t>
  </si>
  <si>
    <t>Peón ordinario construcción.</t>
  </si>
  <si>
    <t>mo008</t>
  </si>
  <si>
    <t>Mà d'obra</t>
  </si>
  <si>
    <t>h</t>
  </si>
  <si>
    <t>Oficial 1ª fontanero.</t>
  </si>
  <si>
    <t>mo107</t>
  </si>
  <si>
    <t>Mà d'obra</t>
  </si>
  <si>
    <t>h</t>
  </si>
  <si>
    <t>Ayudante fontanero.</t>
  </si>
  <si>
    <t>%</t>
  </si>
  <si>
    <t>%</t>
  </si>
  <si>
    <t>Costes directos complementarios</t>
  </si>
  <si>
    <t>ASC0110</t>
  </si>
  <si>
    <t>IHC010</t>
  </si>
  <si>
    <t>Partida</t>
  </si>
  <si>
    <t>m</t>
  </si>
  <si>
    <t>Tubería de desagüe de cobre.</t>
  </si>
  <si>
    <t>Tubería de desagüe formada por tubo de cobre rígido con pared de 1,5 mm de espesor y 51/54 mm de diámetro. Instalación en superficie y enterrada. Incluso material auxiliar para montaje y sujeción a la obra, accesorios y piezas especiales.
Incluye: Replanteo.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</si>
  <si>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mt37tca400h</t>
  </si>
  <si>
    <t>Material</t>
  </si>
  <si>
    <t>Ud</t>
  </si>
  <si>
    <t>Material auxiliar para montaje y sujeción a la obra de las tuberías de cobre rígido, de 51/54 mm de diámetro.</t>
  </si>
  <si>
    <t>mt37tca010hg</t>
  </si>
  <si>
    <t>Material</t>
  </si>
  <si>
    <t>m</t>
  </si>
  <si>
    <t>Tubo de cobre rígido con pared de 1,5 mm de espesor y 51/54 mm de diámetro, según UNE-EN 1057, con el precio incrementado el 30% en concepto de accesorios y piezas especiales.</t>
  </si>
  <si>
    <t>mo008</t>
  </si>
  <si>
    <t>Mà d'obra</t>
  </si>
  <si>
    <t>h</t>
  </si>
  <si>
    <t>Oficial 1ª fontanero.</t>
  </si>
  <si>
    <t>mo107</t>
  </si>
  <si>
    <t>Mà d'obra</t>
  </si>
  <si>
    <t>h</t>
  </si>
  <si>
    <t>Ayudante fontanero.</t>
  </si>
  <si>
    <t>%</t>
  </si>
  <si>
    <t>%</t>
  </si>
  <si>
    <t>Costes directos complementarios</t>
  </si>
  <si>
    <t>IHC010</t>
  </si>
  <si>
    <t>ASC</t>
  </si>
  <si>
    <t>AS</t>
  </si>
  <si>
    <t>AN</t>
  </si>
  <si>
    <t>Capítol</t>
  </si>
  <si>
    <t>Nivelación</t>
  </si>
  <si>
    <t>ANE</t>
  </si>
  <si>
    <t>Capítol</t>
  </si>
  <si>
    <t>Encachados</t>
  </si>
  <si>
    <t>ANE010</t>
  </si>
  <si>
    <t>Partida</t>
  </si>
  <si>
    <t>m²</t>
  </si>
  <si>
    <t>Encachado en caja para base de solera.</t>
  </si>
  <si>
    <t>Encachado en caja para base de solera de 10 cm de espesor, mediante relleno y extendido en tongadas de espesor no superior a 20 cm de gravillas procedentes de cantera caliza de 20/40 mm; y posterior compactación mediante equipo manual con pisón vibrante, sobre la explanada homogénea y nivelada.
Criterio de valoración económica: El precio incluye la ejecución de la explanada.
Incluye: Transporte y descarga del material de relleno a pie de tajo. Extendido del material de relleno en tongadas de espesor uniforme. Humectación o desecación de cada tongada. Compactación y nivelación.
Criterio de medición de proyecto: Superficie medida según documentación gráfica de Proyecto.
Criterio de medición de obra: Se medirá la superficie realmente ejecutada según especificaciones de Proyecto.</t>
  </si>
  <si>
    <t>mt01are020a</t>
  </si>
  <si>
    <t>Material</t>
  </si>
  <si>
    <t>m³</t>
  </si>
  <si>
    <t>Gravilla de cantera, de piedra caliza, de 20 a 40 mm de diámetro.</t>
  </si>
  <si>
    <t>mq01pan010a</t>
  </si>
  <si>
    <t>Maquinària</t>
  </si>
  <si>
    <t>h</t>
  </si>
  <si>
    <t>Pala cargadora sobre neumáticos de 120 kW/1,9 m³.</t>
  </si>
  <si>
    <t>mq02rop020</t>
  </si>
  <si>
    <t>Maquinària</t>
  </si>
  <si>
    <t>h</t>
  </si>
  <si>
    <t>Pisón vibrante de guiado manual, de 80 kg, con placa de 30x30 cm, tipo rana.</t>
  </si>
  <si>
    <t>mq02cia020j</t>
  </si>
  <si>
    <t>Maquinària</t>
  </si>
  <si>
    <t>h</t>
  </si>
  <si>
    <t>Camión cisterna, de 8 m³ de capacidad.</t>
  </si>
  <si>
    <t>mo113</t>
  </si>
  <si>
    <t>Mà d'obra</t>
  </si>
  <si>
    <t>h</t>
  </si>
  <si>
    <t>Peón ordinario construcción.</t>
  </si>
  <si>
    <t>%</t>
  </si>
  <si>
    <t>%</t>
  </si>
  <si>
    <t>Costes directos complementarios</t>
  </si>
  <si>
    <t>ANE010</t>
  </si>
  <si>
    <t>ANE</t>
  </si>
  <si>
    <t>ANS</t>
  </si>
  <si>
    <t>Capítol</t>
  </si>
  <si>
    <t>Soleras</t>
  </si>
  <si>
    <t>ANS010</t>
  </si>
  <si>
    <t>Partida</t>
  </si>
  <si>
    <t>m²</t>
  </si>
  <si>
    <t>Solera de hormigón.</t>
  </si>
  <si>
    <t>Solera de hormigón con malla electrosoldada de 10 cm de espesor, realizada con hormigón HM-25/B/20/X0 fabricado en central y vertido con bomba, con malla electrosoldada superior como armadura de reparto, ME 20x20 Ø 5-5 B 500 T 6x2,20 UNE-EN 10080, extendido y vibrado manual mediante regla vibrante, sin tratamiento de su superficie; con juntas de retracción de 5 mm de espesor, mediante corte con disco de diamante. Incluso panel de poliestireno expandido de 3 cm de espesor, para la ejecución de juntas de dilatación.
Criterio de valoración económica: El precio no incluye la base de la solera.
Incluye: Preparación de la superficie de apoyo del hormigón. Replanteo de las juntas de construcción y de dilatación. Tendido de niveles mediante toques, maestras de hormigón o reglas. Riego de la superficie base. Formación de juntas de construcción y de juntas perimetrales de dilatación. Colocación de la malla electrosoldada con separadores homologados. Conexionado, anclaje y emboquillado de las redes de instalaciones proyectadas. Vertido, extendido y vibrado del hormigón. Curado del hormigón. Replanteo de las juntas de retracción. Corte del hormigón. Limpieza final de las juntas de retracción.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</si>
  <si>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Uts.</t>
  </si>
  <si>
    <t>Llargada</t>
  </si>
  <si>
    <t>Amplada</t>
  </si>
  <si>
    <t>Alçada</t>
  </si>
  <si>
    <t>Parcial</t>
  </si>
  <si>
    <t>Subtotal</t>
  </si>
  <si>
    <t>pasos saneamiento</t>
  </si>
  <si>
    <t>recrecido pavimento</t>
  </si>
  <si>
    <t>0</t>
  </si>
  <si>
    <t>mt07aco020n</t>
  </si>
  <si>
    <t>Material</t>
  </si>
  <si>
    <t>Ud</t>
  </si>
  <si>
    <t>Separador homologado para malla electrosoldada superior.</t>
  </si>
  <si>
    <t>mt07ame010d</t>
  </si>
  <si>
    <t>Material</t>
  </si>
  <si>
    <t>m²</t>
  </si>
  <si>
    <t>Malla electrosoldada ME 20x20 Ø 5-5 B 500 T 6x2,20 UNE-EN 10080.</t>
  </si>
  <si>
    <t>mt10hmf010tOb</t>
  </si>
  <si>
    <t>Material</t>
  </si>
  <si>
    <t>m³</t>
  </si>
  <si>
    <t>Hormigón HM-25/B/20/X0, fabricado en central.</t>
  </si>
  <si>
    <t>mt16pea020c</t>
  </si>
  <si>
    <t>Material</t>
  </si>
  <si>
    <t>m²</t>
  </si>
  <si>
    <t>Panel rígido de poliestireno expandido, según UNE-EN 13163, mecanizado lateral recto, de 30 mm de espesor, resistencia térmica 0,8 m²K/W, conductividad térmica 0,036 W/(mK), para junta de dilatación.</t>
  </si>
  <si>
    <t>mq06vib020</t>
  </si>
  <si>
    <t>Maquinària</t>
  </si>
  <si>
    <t>h</t>
  </si>
  <si>
    <t>Regla vibrante de 3 m.</t>
  </si>
  <si>
    <t>mq06cor020</t>
  </si>
  <si>
    <t>Maquinària</t>
  </si>
  <si>
    <t>h</t>
  </si>
  <si>
    <t>Equipo para corte de juntas en soleras de hormigón.</t>
  </si>
  <si>
    <t>mq06bhe010</t>
  </si>
  <si>
    <t>Maquinària</t>
  </si>
  <si>
    <t>h</t>
  </si>
  <si>
    <t>Camión bomba estacionado en obra, para bombeo de hormigón.</t>
  </si>
  <si>
    <t>mo112</t>
  </si>
  <si>
    <t>Mà d'obra</t>
  </si>
  <si>
    <t>h</t>
  </si>
  <si>
    <t>Peón especializado construcción.</t>
  </si>
  <si>
    <t>mo020</t>
  </si>
  <si>
    <t>Mà d'obra</t>
  </si>
  <si>
    <t>h</t>
  </si>
  <si>
    <t>Oficial 1ª construcción.</t>
  </si>
  <si>
    <t>mo113</t>
  </si>
  <si>
    <t>Mà d'obra</t>
  </si>
  <si>
    <t>h</t>
  </si>
  <si>
    <t>Peón ordinario construcción.</t>
  </si>
  <si>
    <t>mo077</t>
  </si>
  <si>
    <t>Mà d'obra</t>
  </si>
  <si>
    <t>h</t>
  </si>
  <si>
    <t>Ayudante construcción.</t>
  </si>
  <si>
    <t>%</t>
  </si>
  <si>
    <t>%</t>
  </si>
  <si>
    <t>Costes directos complementarios</t>
  </si>
  <si>
    <t>ANS010</t>
  </si>
  <si>
    <t>ANS</t>
  </si>
  <si>
    <t>ANZ</t>
  </si>
  <si>
    <t>Capítol</t>
  </si>
  <si>
    <t>Base recrecido</t>
  </si>
  <si>
    <t>QUG010</t>
  </si>
  <si>
    <t>Partida</t>
  </si>
  <si>
    <t>m²</t>
  </si>
  <si>
    <t>Soporte discontinuo, de tabiques aligerados, para tablero</t>
  </si>
  <si>
    <t>Soporte discontinuo, de tabiques aligerados de ladrillo cerámico hueco de 24x11,5x9 cm recibido con mortero de cemento industrial, color gris, M-5, suministrado a granel, con un porcentaje de aligeramiento del 25% y rematado superiormente con maestras de pasta de cemento rápido, para tablero en recrecido de suelo. Incluso papel kraft para desolidarización de la unión entre el tabique aligerado y el tablero. Altura de tabiques hasta 70cm.
Incluye: Limpieza y preparación de la superficie soporte. Replanteo de lineas de apoyo. Colocación y aplomado de miras de referencia. Tendido de hilos entre miras. Ejecución de los tabiques aligerados. Maestreado del remate de los tabiques aligerados para recibir el tablero. Colocación de las cintas de papel sobre los tabiques aligerados.
Criterio de medición de proyecto: Superficie medida según documentación gráfica de Proyecto, deduciendo los huecos de superficie mayor de 1 m².
Criterio de medición de obra: Se medirá la superficie realmente ejecutada según especificaciones de Proyecto, deduciendo los huecos de superficie mayor de 1 m².
Medición de superficie en planta.</t>
  </si>
  <si>
    <t>mt04lvc010c</t>
  </si>
  <si>
    <t>Material</t>
  </si>
  <si>
    <t>Ud</t>
  </si>
  <si>
    <t>Ladrillo cerámico hueco doble, para revestir, 24x11,5x9 cm, para uso en fábrica protegida (pieza P), densidad 780 kg/m³, según UNE-EN 771-1.</t>
  </si>
  <si>
    <t>mt08aaa010a</t>
  </si>
  <si>
    <t>Material</t>
  </si>
  <si>
    <t>m³</t>
  </si>
  <si>
    <t>Agua.</t>
  </si>
  <si>
    <t>mt09mif010cb</t>
  </si>
  <si>
    <t>Material</t>
  </si>
  <si>
    <t>t</t>
  </si>
  <si>
    <t>Mortero industrial para albañilería, de cemento, color gris, categoría M-5 (resistencia a compresión 5 N/mm²), suministrado a granel, según UNE-EN 998-2.</t>
  </si>
  <si>
    <t>mt09pce030</t>
  </si>
  <si>
    <t>Material</t>
  </si>
  <si>
    <t>kg</t>
  </si>
  <si>
    <t>Cemento rápido CNR4 según UNE 80309, en sacos.</t>
  </si>
  <si>
    <t>mt13blw200</t>
  </si>
  <si>
    <t>Material</t>
  </si>
  <si>
    <t>m²</t>
  </si>
  <si>
    <t>Papel kraft.</t>
  </si>
  <si>
    <t>mq06mms010</t>
  </si>
  <si>
    <t>Maquinària</t>
  </si>
  <si>
    <t>h</t>
  </si>
  <si>
    <t>Mezclador continuo con silo, para mortero industrial en seco, suministrado a granel.</t>
  </si>
  <si>
    <t>mo020</t>
  </si>
  <si>
    <t>Mà d'obra</t>
  </si>
  <si>
    <t>h</t>
  </si>
  <si>
    <t>Oficial 1ª construcción.</t>
  </si>
  <si>
    <t>mo113</t>
  </si>
  <si>
    <t>Mà d'obra</t>
  </si>
  <si>
    <t>h</t>
  </si>
  <si>
    <t>Peón ordinario construcción.</t>
  </si>
  <si>
    <t>%</t>
  </si>
  <si>
    <t>%</t>
  </si>
  <si>
    <t>Costes directos complementarios</t>
  </si>
  <si>
    <t>QUG010</t>
  </si>
  <si>
    <t>QUG110</t>
  </si>
  <si>
    <t>Partida</t>
  </si>
  <si>
    <t>m²</t>
  </si>
  <si>
    <t>Tablero cerámico, para formación de recrecido</t>
  </si>
  <si>
    <t>Tablero de piezas cerámicas machihembradas, para revestir, de 120x30x4 cm, con las testas rectas, apoyado sobre soporte discontinuo de fábrica; para formación de recrecido de pavimento.
Incluye: Replanteo. Corte de las piezas. Colocación de las piezas cerámicas que forman el tablero. Vertido, extendido y regleado de la capa de mortero de regularización.
Criterio de medición de proyecto: Superficie del faldón medida en verdadera magnitud, según documentación gráfica de Proyecto.
Criterio de medición de obra: Se medirá, en verdadera magnitud, la superficie realmente ejecutada según especificaciones de Proyecto.</t>
  </si>
  <si>
    <t>mt04lvg020g</t>
  </si>
  <si>
    <t>Material</t>
  </si>
  <si>
    <t>Ud</t>
  </si>
  <si>
    <t>Tablero cerámico hueco machihembrado, para revestir, 120x30x4 cm, con las testas rectas, según UNE 67041.</t>
  </si>
  <si>
    <t>mt08aaa010a</t>
  </si>
  <si>
    <t>Material</t>
  </si>
  <si>
    <t>m³</t>
  </si>
  <si>
    <t>Agua.</t>
  </si>
  <si>
    <t>mt09mif010ca</t>
  </si>
  <si>
    <t>Material</t>
  </si>
  <si>
    <t>t</t>
  </si>
  <si>
    <t>Mortero industrial para albañilería, de cemento, color gris, categoría M-5 (resistencia a compresión 5 N/mm²), suministrado en sacos, según UNE-EN 998-2.</t>
  </si>
  <si>
    <t>mo020</t>
  </si>
  <si>
    <t>Mà d'obra</t>
  </si>
  <si>
    <t>h</t>
  </si>
  <si>
    <t>Oficial 1ª construcción.</t>
  </si>
  <si>
    <t>mo077</t>
  </si>
  <si>
    <t>Mà d'obra</t>
  </si>
  <si>
    <t>h</t>
  </si>
  <si>
    <t>Ayudante construcción.</t>
  </si>
  <si>
    <t>%</t>
  </si>
  <si>
    <t>%</t>
  </si>
  <si>
    <t>Costes directos complementarios</t>
  </si>
  <si>
    <t>QUG110</t>
  </si>
  <si>
    <t>CNF010</t>
  </si>
  <si>
    <t>Partida</t>
  </si>
  <si>
    <t>m²</t>
  </si>
  <si>
    <t>Murete de bloques de hormigón.</t>
  </si>
  <si>
    <t>Murete de 20 cm de espesor de fábrica, de bloque hueco de hormigón, para revestir, color gris, 40x20x20 cm, resistencia normalizada R10 (10 N/mm²), recibida con mortero de cemento industrial, color gris, M-5, suministrado a granel, hormigón de relleno, HA-25/B/12/XC2, preparado en obra, vertido con medios manuales, volumen 0,015 m³/m², con armadura de acero UNE-EN 10080 B 500 S, con una cuantía aproximada de 5 kg/m². Incluso alambre de atar.
Criterio de valoración económica: El precio incluye la elaboración de la ferralla (corte, doblado y conformado de elementos) en taller industrial y el montaje en el lugar definitivo de su colocación en obra.
Incluye: Limpieza y preparación de la superficie de la solera de soporte. Replanteo. Colocación y aplomado de miras de referencia. Tendido de hilos entre miras. Colocación de los bloques por hiladas a nivel. Colocación de las armaduras en los huecos de los bloques. Preparación del hormigón. Vertido, vibrado y curado del hormigón. Realización de todos los trabajos necesarios para la resolución de huecos. Enlace entre murete y forjados.
Criterio de medición de proyecto: Superficie medida según documentación gráfica de Proyecto, sin duplicar esquinas ni encuentros, deduciendo los huecos de superficie mayor de 2 m².
Criterio de medición de obra: Se medirá la superficie realmente ejecutada según especificaciones de Proyecto, sin duplicar esquinas ni encuentros, deduciendo los huecos de superficie mayor de 2 m².</t>
  </si>
  <si>
    <t>Uts.</t>
  </si>
  <si>
    <t>Llargada</t>
  </si>
  <si>
    <t>Amplada</t>
  </si>
  <si>
    <t>Alçada</t>
  </si>
  <si>
    <t>Parcial</t>
  </si>
  <si>
    <t>Subtotal</t>
  </si>
  <si>
    <t>(B+C)*D</t>
  </si>
  <si>
    <t>ejecución base y estructura de la escalera área norte</t>
  </si>
  <si>
    <t>mt02bhg010de</t>
  </si>
  <si>
    <t>Material</t>
  </si>
  <si>
    <t>Ud</t>
  </si>
  <si>
    <t>Bloque hueco de hormigón, para revestir, color gris, 40x20x20 cm, categoría II, resistencia normalizada R10 (10 N/mm²), densidad 1150 kg/m³; con el precio incrementado el 20% en concepto de piezas especiales: zunchos y medios. Según UNE-EN 771-3.</t>
  </si>
  <si>
    <t>mt08aaa010a</t>
  </si>
  <si>
    <t>Material</t>
  </si>
  <si>
    <t>m³</t>
  </si>
  <si>
    <t>Agua.</t>
  </si>
  <si>
    <t>mt09mif010cb</t>
  </si>
  <si>
    <t>Material</t>
  </si>
  <si>
    <t>t</t>
  </si>
  <si>
    <t>Mortero industrial para albañilería, de cemento, color gris, categoría M-5 (resistencia a compresión 5 N/mm²), suministrado a granel, según UNE-EN 998-2.</t>
  </si>
  <si>
    <t>mt07aco010c</t>
  </si>
  <si>
    <t>Material</t>
  </si>
  <si>
    <t>kg</t>
  </si>
  <si>
    <t>Ferralla elaborada en taller industrial con acero en barras corrugadas, UNE-EN 10080 B 500 S, de varios diámetros.</t>
  </si>
  <si>
    <t>mt08var050</t>
  </si>
  <si>
    <t>Material</t>
  </si>
  <si>
    <t>kg</t>
  </si>
  <si>
    <t>Alambre galvanizado para atar, de 1,30 mm de diámetro.</t>
  </si>
  <si>
    <t>mt08cem011a</t>
  </si>
  <si>
    <t>Material</t>
  </si>
  <si>
    <t>kg</t>
  </si>
  <si>
    <t>Cemento Portland CEM II/B-L 32,5 R, color gris, en sacos, según UNE-EN 197-1.</t>
  </si>
  <si>
    <t>mt01arg006</t>
  </si>
  <si>
    <t>Material</t>
  </si>
  <si>
    <t>t</t>
  </si>
  <si>
    <t>Arena de cantera, para hormigón preparado en obra.</t>
  </si>
  <si>
    <t>mt01arg007b</t>
  </si>
  <si>
    <t>Material</t>
  </si>
  <si>
    <t>t</t>
  </si>
  <si>
    <t>Árido grueso homogeneizado, de tamaño máximo 12 mm.</t>
  </si>
  <si>
    <t>mq06hor010</t>
  </si>
  <si>
    <t>Maquinària</t>
  </si>
  <si>
    <t>h</t>
  </si>
  <si>
    <t>Hormigonera eléctrica con una capacidad de amasado de 160 l.</t>
  </si>
  <si>
    <t>mq06mms010</t>
  </si>
  <si>
    <t>Maquinària</t>
  </si>
  <si>
    <t>h</t>
  </si>
  <si>
    <t>Mezclador continuo con silo, para mortero industrial en seco, suministrado a granel.</t>
  </si>
  <si>
    <t>mo043</t>
  </si>
  <si>
    <t>Mà d'obra</t>
  </si>
  <si>
    <t>h</t>
  </si>
  <si>
    <t>Oficial 1ª ferrallista.</t>
  </si>
  <si>
    <t>mo090</t>
  </si>
  <si>
    <t>Mà d'obra</t>
  </si>
  <si>
    <t>h</t>
  </si>
  <si>
    <t>Ayudante ferrallista.</t>
  </si>
  <si>
    <t>mo021</t>
  </si>
  <si>
    <t>Mà d'obra</t>
  </si>
  <si>
    <t>h</t>
  </si>
  <si>
    <t>Oficial 1ª construcción en trabajos de albañilería.</t>
  </si>
  <si>
    <t>mo078</t>
  </si>
  <si>
    <t>Mà d'obra</t>
  </si>
  <si>
    <t>h</t>
  </si>
  <si>
    <t>Ayudante construcción en trabajos de albañilería.</t>
  </si>
  <si>
    <t>%</t>
  </si>
  <si>
    <t>%</t>
  </si>
  <si>
    <t>Costes directos complementarios</t>
  </si>
  <si>
    <t>CNF010</t>
  </si>
  <si>
    <t>ANZ</t>
  </si>
  <si>
    <t>AN</t>
  </si>
  <si>
    <t>A</t>
  </si>
  <si>
    <t>F</t>
  </si>
  <si>
    <t>Capítol</t>
  </si>
  <si>
    <t>Fachadas y particiones</t>
  </si>
  <si>
    <t>FF</t>
  </si>
  <si>
    <t>Capítol</t>
  </si>
  <si>
    <t>Fábrica no estructural</t>
  </si>
  <si>
    <t>FFZ</t>
  </si>
  <si>
    <t>Capítol</t>
  </si>
  <si>
    <t>Hoja exterior para revestir en fachada de dos hojas</t>
  </si>
  <si>
    <t>ECM010</t>
  </si>
  <si>
    <t>Partida</t>
  </si>
  <si>
    <t>m³</t>
  </si>
  <si>
    <t>Muro de mampostería.</t>
  </si>
  <si>
    <t>Muro de mampostería careada a una cara vista, con mampuestos, de piedra caliza, con las caras de paramento labradas en forma poligonal, colocados con mortero de cal industrial, color Natural, M-15, suministrado en sacos y rellenando las juntas con mortero fino, en muros de espesor variable, hasta 50 cm.
Incluye: Replanteo del muro. Colocación y aplomado de miras de referencia. Tendido de hilos entre miras. Limpieza y humectación del lecho de la primera hilada. Colocación de los mampuestos sobre la capa de mortero. Tanteo con regla y plomada, rectificando su posición mediante golpeo. Refino, rejuntado y rehundido con hierro. Limpieza del paramento.
Criterio de medición de proyecto: Volumen medido según documentación gráfica de Proyecto, deduciendo todos los huecos, sea cual fuere su superficie, al no considerar la ejecución de dinteles, jambas, vierteaguas, albardillas ni cornisas.
Criterio de medición de obra: Se medirá el volumen realmente ejecutado según especificaciones de Proyecto, deduciendo todos los huecos, sea cual fuere su superficie, ya que no incluye la ejecución de dinteles, jambas, vierteaguas, albardillas ni cornisas.</t>
  </si>
  <si>
    <t>Uts.</t>
  </si>
  <si>
    <t>Llargada</t>
  </si>
  <si>
    <t>Amplada</t>
  </si>
  <si>
    <t>Alçada</t>
  </si>
  <si>
    <t>Parcial</t>
  </si>
  <si>
    <t>Subtotal</t>
  </si>
  <si>
    <t>mt06mab010b</t>
  </si>
  <si>
    <t>Material</t>
  </si>
  <si>
    <t>m³</t>
  </si>
  <si>
    <t>Piedra caliza careada para mampostería, formada por mampuestos labrados por una sola cara que define su frente.</t>
  </si>
  <si>
    <t>mt08aaa010a</t>
  </si>
  <si>
    <t>Material</t>
  </si>
  <si>
    <t>m³</t>
  </si>
  <si>
    <t>Agua.</t>
  </si>
  <si>
    <t>mt09mcu010aah</t>
  </si>
  <si>
    <t>Material</t>
  </si>
  <si>
    <t>t</t>
  </si>
  <si>
    <t>Mortero industrial para albañilería, de cal, color Natural, categoría M-15 (resistencia a compresión 15 N/mm²), compuesto de cal hidráulica natural, tipo NHL 5, según UNE-EN 459-1 y áridos silíceos seleccionados, suministrado en sacos, según UNE-EN 998-2.</t>
  </si>
  <si>
    <t>mo022</t>
  </si>
  <si>
    <t>Mà d'obra</t>
  </si>
  <si>
    <t>h</t>
  </si>
  <si>
    <t>Oficial 1ª colocador de piedra natural.</t>
  </si>
  <si>
    <t>mo060</t>
  </si>
  <si>
    <t>Mà d'obra</t>
  </si>
  <si>
    <t>h</t>
  </si>
  <si>
    <t>Ayudante colocador de piedra natural.</t>
  </si>
  <si>
    <t>%</t>
  </si>
  <si>
    <t>%</t>
  </si>
  <si>
    <t>Costes directos complementarios</t>
  </si>
  <si>
    <t>ECM010</t>
  </si>
  <si>
    <t>FFZ</t>
  </si>
  <si>
    <t>FFR</t>
  </si>
  <si>
    <t>Capítol</t>
  </si>
  <si>
    <t>Hoja interior para revestir en fachada de dos hojas</t>
  </si>
  <si>
    <t>FFR010</t>
  </si>
  <si>
    <t>Partida</t>
  </si>
  <si>
    <t>m²</t>
  </si>
  <si>
    <t>Hoja interior de fachada de dos hojas, de fábrica de ladrillo cerámico para revestir.</t>
  </si>
  <si>
    <t>Hoja interior de fachada de dos hojas, de 7 cm de espesor, de fábrica de ladrillo cerámico hueco doble, para revestir, 50x20x7 cm, con juntas de 10 mm de espesor, recibida con una mezcla en agua de pegamento de cola preparado y hasta un 25% de yeso de calidad B1. Dintel de fábrica armada de ladrillos cortados para revestir; montaje y desmontaje de apeo.
Incluye: Replanteo, planta a planta. Marcado en los pilares de los niveles de referencia general de planta y de nivel de pavimento. Asiento de la primera hilada. Colocación y aplomado de miras de referencia. Tendido de hilos entre miras. Colocación de plomos fijos en las aristas. Colocación de las piezas por hiladas a nivel. Realización de todos los trabajos necesarios para la resolución de los huecos. Remate con yeso en el encuentro de la fábrica de ladrillo de gran formato con el forjado superior. Limpieza del paramento.
Criterio de medición de proyecto: Superficie medida según documentación gráfica de Proyecto, sin duplicar esquinas ni encuentros, deduciendo los huecos de superficie mayor de 4 m². En los huecos que no se deduzcan, están incluidos los trabajos de realizar la superficie interior del hueco.
Criterio de medición de obra: Se medirá la superficie realmente ejecutada según especificaciones de Proyecto, sin duplicar esquinas ni encuentros, deduciendo los huecos de superficie mayor de 4 m². En los huecos que no se deduzcan, están incluidos los trabajos de realizar la superficie interior del hueco.</t>
  </si>
  <si>
    <t>Uts.</t>
  </si>
  <si>
    <t>Llargada</t>
  </si>
  <si>
    <t>Amplada</t>
  </si>
  <si>
    <t>Alçada</t>
  </si>
  <si>
    <t>Parcial</t>
  </si>
  <si>
    <t>Subtotal</t>
  </si>
  <si>
    <t>mt04lvg010b</t>
  </si>
  <si>
    <t>Material</t>
  </si>
  <si>
    <t>Ud</t>
  </si>
  <si>
    <t>Ladrillo cerámico hueco doble, para revestir, 50x20x7 cm, para uso en fábrica protegida (pieza P), densidad 780 kg/m³, según UNE-EN 771-1.</t>
  </si>
  <si>
    <t>mt09eyc010</t>
  </si>
  <si>
    <t>Material</t>
  </si>
  <si>
    <t>kg</t>
  </si>
  <si>
    <t>Pegamento de escayola.</t>
  </si>
  <si>
    <t>mt09eyc020</t>
  </si>
  <si>
    <t>Material</t>
  </si>
  <si>
    <t>kg</t>
  </si>
  <si>
    <t>Pegamento de yeso.</t>
  </si>
  <si>
    <t>mt09pye010b</t>
  </si>
  <si>
    <t>Material</t>
  </si>
  <si>
    <t>m³</t>
  </si>
  <si>
    <t>Pasta de yeso de construcción B1, según UNE-EN 13279-1.</t>
  </si>
  <si>
    <t>mt07aco010c</t>
  </si>
  <si>
    <t>Material</t>
  </si>
  <si>
    <t>kg</t>
  </si>
  <si>
    <t>Ferralla elaborada en taller industrial con acero en barras corrugadas, UNE-EN 10080 B 500 S, de varios diámetros.</t>
  </si>
  <si>
    <t>mt08cem011a</t>
  </si>
  <si>
    <t>Material</t>
  </si>
  <si>
    <t>kg</t>
  </si>
  <si>
    <t>Cemento Portland CEM II/B-L 32,5 R, color gris, en sacos, según UNE-EN 197-1.</t>
  </si>
  <si>
    <t>mt08aaa010a</t>
  </si>
  <si>
    <t>Material</t>
  </si>
  <si>
    <t>m³</t>
  </si>
  <si>
    <t>Agua.</t>
  </si>
  <si>
    <t>mt01arg006</t>
  </si>
  <si>
    <t>Material</t>
  </si>
  <si>
    <t>t</t>
  </si>
  <si>
    <t>Arena de cantera, para hormigón preparado en obra.</t>
  </si>
  <si>
    <t>mt01arg007b</t>
  </si>
  <si>
    <t>Material</t>
  </si>
  <si>
    <t>t</t>
  </si>
  <si>
    <t>Árido grueso homogeneizado, de tamaño máximo 12 mm.</t>
  </si>
  <si>
    <t>mt50spa050m</t>
  </si>
  <si>
    <t>Material</t>
  </si>
  <si>
    <t>m³</t>
  </si>
  <si>
    <t>Tablón de madera de pino, dimensiones 20x7,2 cm.</t>
  </si>
  <si>
    <t>mt50spa081a</t>
  </si>
  <si>
    <t>Material</t>
  </si>
  <si>
    <t>Ud</t>
  </si>
  <si>
    <t>Puntal metálico telescópico, de hasta 3 m de altura.</t>
  </si>
  <si>
    <t>mt50spa101</t>
  </si>
  <si>
    <t>Material</t>
  </si>
  <si>
    <t>kg</t>
  </si>
  <si>
    <t>Clavos de acero.</t>
  </si>
  <si>
    <t>mo021</t>
  </si>
  <si>
    <t>Mà d'obra</t>
  </si>
  <si>
    <t>h</t>
  </si>
  <si>
    <t>Oficial 1ª construcción en trabajos de albañilería.</t>
  </si>
  <si>
    <t>mo114</t>
  </si>
  <si>
    <t>Mà d'obra</t>
  </si>
  <si>
    <t>h</t>
  </si>
  <si>
    <t>Peón ordinario construcción en trabajos de albañilería.</t>
  </si>
  <si>
    <t>%</t>
  </si>
  <si>
    <t>%</t>
  </si>
  <si>
    <t>Costes directos complementarios</t>
  </si>
  <si>
    <t>FFR010</t>
  </si>
  <si>
    <t>FFR</t>
  </si>
  <si>
    <t>FF</t>
  </si>
  <si>
    <t>FB</t>
  </si>
  <si>
    <t>Capítol</t>
  </si>
  <si>
    <t>Tabiquería de entramado autoportante</t>
  </si>
  <si>
    <t>FBY</t>
  </si>
  <si>
    <t>Capítol</t>
  </si>
  <si>
    <t>De placas de yeso laminado</t>
  </si>
  <si>
    <t>FBY010</t>
  </si>
  <si>
    <t>Partida</t>
  </si>
  <si>
    <t>m²</t>
  </si>
  <si>
    <t>Tabique EI180 de placas de yeso laminado.</t>
  </si>
  <si>
    <t>Tabique múltiple (15+15+15+70+15+15+15)/400 (70) (6 placas cortafuego) (EI180), con placas de yeso laminado, de 160 mm de espesor total, con nivel de calidad del acabado estándar (Q2), formado por una estructura simple de perfiles de chapa de acero galvanizado de 70 mm de anchura, a base de montantes (elementos verticales) separados 400 mm entre sí, con disposición normal "N" y canales (elementos horizontales), a la que se atornillan seis placas en total (tres placas tipo cortafuego en cada cara, de 15 mm de espesor cada placa). Incluso banda acústica de dilatación autoadhesiva;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los montantes.
Incluye: Replanteo y trazado en el forjado inferior y en el superior de los tabiques a realizar.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para el cierre de una de las caras del tabique. Fijación de las placas para el cierre de la segunda cara del tabique.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</si>
  <si>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Uts.</t>
  </si>
  <si>
    <t>Llargada</t>
  </si>
  <si>
    <t>Amplada</t>
  </si>
  <si>
    <t>Alçada</t>
  </si>
  <si>
    <t>Parcial</t>
  </si>
  <si>
    <t>Subtotal</t>
  </si>
  <si>
    <t>divisoria norte</t>
  </si>
  <si>
    <t>divisoria oeste</t>
  </si>
  <si>
    <t>vestibulo de independencia suroeste 1 *</t>
  </si>
  <si>
    <t>vestibulo de independencia suroeste 2 *</t>
  </si>
  <si>
    <t>vestibulo de independencia norte *</t>
  </si>
  <si>
    <t>descuentos puertas dobles *</t>
  </si>
  <si>
    <t>descuentos puertas simples *</t>
  </si>
  <si>
    <t>mt12psg041c</t>
  </si>
  <si>
    <t>Material</t>
  </si>
  <si>
    <t>m</t>
  </si>
  <si>
    <t>Banda autoadhesiva desolidarizante de espuma de poliuretano de celdas cerradas, de 3,2 mm de espesor y 70 mm de anchura, resistencia térmica 0,10 m²K/W, conductividad térmica 0,032 W/(mK).</t>
  </si>
  <si>
    <t>mt12psg070d</t>
  </si>
  <si>
    <t>Material</t>
  </si>
  <si>
    <t>m</t>
  </si>
  <si>
    <t>Canal de perfil de acero galvanizado de 70 mm de anchura, según UNE-EN 14195.</t>
  </si>
  <si>
    <t>mt12psg060d</t>
  </si>
  <si>
    <t>Material</t>
  </si>
  <si>
    <t>m</t>
  </si>
  <si>
    <t>Montante de perfil de acero galvanizado de 70 mm de anchura, según UNE-EN 14195.</t>
  </si>
  <si>
    <t>mt12psg010g</t>
  </si>
  <si>
    <t>Material</t>
  </si>
  <si>
    <t>m²</t>
  </si>
  <si>
    <t>Placa de yeso laminado DF / UNE-EN 520 - 1200 / longitud / 15 / con los bordes longitudinales afinados, con fibra de vidrio textil en la masa de yeso que le confiere estabilidad frente al fuego.</t>
  </si>
  <si>
    <t>mt12psg081c</t>
  </si>
  <si>
    <t>Material</t>
  </si>
  <si>
    <t>Ud</t>
  </si>
  <si>
    <t>Tornillo autoperforante 3,5x25 mm.</t>
  </si>
  <si>
    <t>mt12psg081e</t>
  </si>
  <si>
    <t>Material</t>
  </si>
  <si>
    <t>Ud</t>
  </si>
  <si>
    <t>Tornillo autoperforante 3,5x45 mm.</t>
  </si>
  <si>
    <t>mt12psg081f</t>
  </si>
  <si>
    <t>Material</t>
  </si>
  <si>
    <t>Ud</t>
  </si>
  <si>
    <t>Tornillo autoperforante 3,9x55 mm.</t>
  </si>
  <si>
    <t>mt12psg220</t>
  </si>
  <si>
    <t>Material</t>
  </si>
  <si>
    <t>Ud</t>
  </si>
  <si>
    <t>Fijación compuesta por taco y tornillo 5x27.</t>
  </si>
  <si>
    <t>mt12psg035a</t>
  </si>
  <si>
    <t>Material</t>
  </si>
  <si>
    <t>kg</t>
  </si>
  <si>
    <t>Pasta de agarre, según UNE-EN 14496.</t>
  </si>
  <si>
    <t>mt12psg030a</t>
  </si>
  <si>
    <t>Material</t>
  </si>
  <si>
    <t>kg</t>
  </si>
  <si>
    <t>Pasta de juntas, según UNE-EN 13963.</t>
  </si>
  <si>
    <t>mt12psg040a</t>
  </si>
  <si>
    <t>Material</t>
  </si>
  <si>
    <t>m</t>
  </si>
  <si>
    <t>Cinta microperforada de papel, según UNE-EN 13963.</t>
  </si>
  <si>
    <t>mt12psg040b</t>
  </si>
  <si>
    <t>Material</t>
  </si>
  <si>
    <t>m</t>
  </si>
  <si>
    <t>Cinta de papel con refuerzo metálico, según UNE-EN 14353.</t>
  </si>
  <si>
    <t>mo053</t>
  </si>
  <si>
    <t>Mà d'obra</t>
  </si>
  <si>
    <t>h</t>
  </si>
  <si>
    <t>Oficial 1ª montador de prefabricados interiores.</t>
  </si>
  <si>
    <t>mo100</t>
  </si>
  <si>
    <t>Mà d'obra</t>
  </si>
  <si>
    <t>h</t>
  </si>
  <si>
    <t>Ayudante montador de prefabricados interiores.</t>
  </si>
  <si>
    <t>%</t>
  </si>
  <si>
    <t>%</t>
  </si>
  <si>
    <t>Costes directos complementarios</t>
  </si>
  <si>
    <t>FBY010</t>
  </si>
  <si>
    <t>FBY010b</t>
  </si>
  <si>
    <t>Partida</t>
  </si>
  <si>
    <t>m²</t>
  </si>
  <si>
    <t>Tabique de placas de yeso laminado. -</t>
  </si>
  <si>
    <t>Tabique sencillo (15+48+15)/400 (48) (2 normal), con placas de yeso laminado, de 78 mm de espesor total, con nivel de calidad del acabado estándar (Q2), formado por una estructura simple de perfiles de chapa de acero galvanizado de 48 mm de anchura, a base de montantes (elementos verticales) separados 400 mm entre sí, con disposición normal "N" y canales (elementos horizontales), a la que se atornillan dos placas en total (una placa tipo normal en cada cara, de 15 mm de espesor cada placa). Incluso banda acústica de dilatación autoadhesiva;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los montantes.
Incluye: Replanteo y trazado en el forjado inferior y en el superior de los tabiques a realizar.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para el cierre de una de las caras del tabique. Fijación de las placas para el cierre de la segunda cara del tabique.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</si>
  <si>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Uts.</t>
  </si>
  <si>
    <t>Llargada</t>
  </si>
  <si>
    <t>Amplada</t>
  </si>
  <si>
    <t>Alçada</t>
  </si>
  <si>
    <t>Parcial</t>
  </si>
  <si>
    <t>Subtotal</t>
  </si>
  <si>
    <t>divisoria túmulo</t>
  </si>
  <si>
    <t>cajón instalaciones</t>
  </si>
  <si>
    <t>mt12psg041b</t>
  </si>
  <si>
    <t>Material</t>
  </si>
  <si>
    <t>m</t>
  </si>
  <si>
    <t>Banda autoadhesiva desolidarizante de espuma de poliuretano de celdas cerradas, de 3,2 mm de espesor y 50 mm de anchura, resistencia térmica 0,10 m²K/W, conductividad térmica 0,032 W/(mK).</t>
  </si>
  <si>
    <t>mt12psg070c</t>
  </si>
  <si>
    <t>Material</t>
  </si>
  <si>
    <t>m</t>
  </si>
  <si>
    <t>Canal de perfil de acero galvanizado de 48 mm de anchura, según UNE-EN 14195.</t>
  </si>
  <si>
    <t>mt12psg060c</t>
  </si>
  <si>
    <t>Material</t>
  </si>
  <si>
    <t>m</t>
  </si>
  <si>
    <t>Montante de perfil de acero galvanizado de 48 mm de anchura, según UNE-EN 14195.</t>
  </si>
  <si>
    <t>mt12psg010b</t>
  </si>
  <si>
    <t>Material</t>
  </si>
  <si>
    <t>m²</t>
  </si>
  <si>
    <t>Placa de yeso laminado A / UNE-EN 520 - 1200 / longitud / 15 / con los bordes longitudinales afinados.</t>
  </si>
  <si>
    <t>mt12psg081c</t>
  </si>
  <si>
    <t>Material</t>
  </si>
  <si>
    <t>Ud</t>
  </si>
  <si>
    <t>Tornillo autoperforante 3,5x25 mm.</t>
  </si>
  <si>
    <t>mt12psg220</t>
  </si>
  <si>
    <t>Material</t>
  </si>
  <si>
    <t>Ud</t>
  </si>
  <si>
    <t>Fijación compuesta por taco y tornillo 5x27.</t>
  </si>
  <si>
    <t>mt12psg035a</t>
  </si>
  <si>
    <t>Material</t>
  </si>
  <si>
    <t>kg</t>
  </si>
  <si>
    <t>Pasta de agarre, según UNE-EN 14496.</t>
  </si>
  <si>
    <t>mt12psg030a</t>
  </si>
  <si>
    <t>Material</t>
  </si>
  <si>
    <t>kg</t>
  </si>
  <si>
    <t>Pasta de juntas, según UNE-EN 13963.</t>
  </si>
  <si>
    <t>mt12psg040a</t>
  </si>
  <si>
    <t>Material</t>
  </si>
  <si>
    <t>m</t>
  </si>
  <si>
    <t>Cinta microperforada de papel, según UNE-EN 13963.</t>
  </si>
  <si>
    <t>mt12psg040b</t>
  </si>
  <si>
    <t>Material</t>
  </si>
  <si>
    <t>m</t>
  </si>
  <si>
    <t>Cinta de papel con refuerzo metálico, según UNE-EN 14353.</t>
  </si>
  <si>
    <t>mo053</t>
  </si>
  <si>
    <t>Mà d'obra</t>
  </si>
  <si>
    <t>h</t>
  </si>
  <si>
    <t>Oficial 1ª montador de prefabricados interiores.</t>
  </si>
  <si>
    <t>mo100</t>
  </si>
  <si>
    <t>Mà d'obra</t>
  </si>
  <si>
    <t>h</t>
  </si>
  <si>
    <t>Ayudante montador de prefabricados interiores.</t>
  </si>
  <si>
    <t>%</t>
  </si>
  <si>
    <t>%</t>
  </si>
  <si>
    <t>Costes directos complementarios</t>
  </si>
  <si>
    <t>FBY010b</t>
  </si>
  <si>
    <t>FBY</t>
  </si>
  <si>
    <t>FB</t>
  </si>
  <si>
    <t>FD</t>
  </si>
  <si>
    <t>Capítol</t>
  </si>
  <si>
    <t>Defensas</t>
  </si>
  <si>
    <t>FDR</t>
  </si>
  <si>
    <t>Capítol</t>
  </si>
  <si>
    <t>Rejas metálicas</t>
  </si>
  <si>
    <t>FDR030</t>
  </si>
  <si>
    <t>Partida</t>
  </si>
  <si>
    <t>m²</t>
  </si>
  <si>
    <t>Reja electrosoldada de acero.</t>
  </si>
  <si>
    <t>Reja electrosoldada metálica formada por pletina de acero galvanizado de 30x2 mm en cuadrícula de 30x30 mm, con bastidor electrosoldado.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</si>
  <si>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Uts.</t>
  </si>
  <si>
    <t>Llargada</t>
  </si>
  <si>
    <t>Amplada</t>
  </si>
  <si>
    <t>Alçada</t>
  </si>
  <si>
    <t>Parcial</t>
  </si>
  <si>
    <t>Subtotal</t>
  </si>
  <si>
    <t>patio maquinas</t>
  </si>
  <si>
    <t>mt26btr010a</t>
  </si>
  <si>
    <t>Material</t>
  </si>
  <si>
    <t>m²</t>
  </si>
  <si>
    <t>Rejilla electrosoldada con pletina de acero galvanizado de 30x2 mm en cuadrícula de 30x30 mm, con bastidor electrosoldado.</t>
  </si>
  <si>
    <t>mt26aaa033a</t>
  </si>
  <si>
    <t>Material</t>
  </si>
  <si>
    <t>Ud</t>
  </si>
  <si>
    <t>Anclaje mecánico con taco de nylon y tornillo de acero galvanizado, de cabeza avellanada.</t>
  </si>
  <si>
    <t>mo018</t>
  </si>
  <si>
    <t>Mà d'obra</t>
  </si>
  <si>
    <t>h</t>
  </si>
  <si>
    <t>Oficial 1ª cerrajero.</t>
  </si>
  <si>
    <t>mo059</t>
  </si>
  <si>
    <t>Mà d'obra</t>
  </si>
  <si>
    <t>h</t>
  </si>
  <si>
    <t>Ayudante cerrajero.</t>
  </si>
  <si>
    <t>%</t>
  </si>
  <si>
    <t>%</t>
  </si>
  <si>
    <t>Costes directos complementarios</t>
  </si>
  <si>
    <t>FDR030</t>
  </si>
  <si>
    <t>FDR</t>
  </si>
  <si>
    <t>FDD</t>
  </si>
  <si>
    <t>Capítol</t>
  </si>
  <si>
    <t>Barandillas y pasamanos</t>
  </si>
  <si>
    <t>FDD115</t>
  </si>
  <si>
    <t>Partida</t>
  </si>
  <si>
    <t>m</t>
  </si>
  <si>
    <t>Barandilla de escalera, de acero inoxidable.</t>
  </si>
  <si>
    <t>Barandilla de acero inoxidable AISI 304 de 100 cm de altura, compuesta de pasamanos de 60x30 mm sujeto a montantes verticales de 40x40 mm dispuestos cada 100 cm y entrepaño de vidrio laminar de seguridad transparente de 4+4 mm con guías para sujeción, para escalera recta de un tramo. Incluso pletinas para fijación mediante atornillado en obra de fábrica con tacos de nylon y tornillos de acero. Elaborada en taller y montada en obra. Totalmente terminada y lista para pintar.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</si>
  <si>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Uts.</t>
  </si>
  <si>
    <t>Llargada</t>
  </si>
  <si>
    <t>Amplada</t>
  </si>
  <si>
    <t>Alçada</t>
  </si>
  <si>
    <t>Parcial</t>
  </si>
  <si>
    <t>Subtotal</t>
  </si>
  <si>
    <t>escalera</t>
  </si>
  <si>
    <t>desnivel montacargas</t>
  </si>
  <si>
    <t>mt26aaa033b</t>
  </si>
  <si>
    <t>Material</t>
  </si>
  <si>
    <t>Ud</t>
  </si>
  <si>
    <t>Anclaje mecánico con taco de nylon y tornillo de acero inoxidable AISI 316, de cabeza avellanada.</t>
  </si>
  <si>
    <t>mt26dbe320aa</t>
  </si>
  <si>
    <t>Material</t>
  </si>
  <si>
    <t>m</t>
  </si>
  <si>
    <t>Barandilla de acero inoxidable AISI 304 de 100 cm de altura, compuesta de pasamanos de 60x30 mm sujeto a montantes verticales de 40x40 mm dispuestos cada 120 cm y entrepaño de vidrio laminar de seguridad transparente de 4+4 mm con guías para sujeción, para una escalera recta de un tramo.</t>
  </si>
  <si>
    <t>mq08sol020</t>
  </si>
  <si>
    <t>Maquinària</t>
  </si>
  <si>
    <t>h</t>
  </si>
  <si>
    <t>Equipo y elementos auxiliares para soldadura eléctrica.</t>
  </si>
  <si>
    <t>mo018</t>
  </si>
  <si>
    <t>Mà d'obra</t>
  </si>
  <si>
    <t>h</t>
  </si>
  <si>
    <t>Oficial 1ª cerrajero.</t>
  </si>
  <si>
    <t>mo059</t>
  </si>
  <si>
    <t>Mà d'obra</t>
  </si>
  <si>
    <t>h</t>
  </si>
  <si>
    <t>Ayudante cerrajero.</t>
  </si>
  <si>
    <t>mo055</t>
  </si>
  <si>
    <t>Mà d'obra</t>
  </si>
  <si>
    <t>h</t>
  </si>
  <si>
    <t>Oficial 1ª cristalero.</t>
  </si>
  <si>
    <t>mo110</t>
  </si>
  <si>
    <t>Mà d'obra</t>
  </si>
  <si>
    <t>h</t>
  </si>
  <si>
    <t>Ayudante cristalero.</t>
  </si>
  <si>
    <t>%</t>
  </si>
  <si>
    <t>%</t>
  </si>
  <si>
    <t>Costes directos complementarios</t>
  </si>
  <si>
    <t>FDD115</t>
  </si>
  <si>
    <t>FDD</t>
  </si>
  <si>
    <t>FD</t>
  </si>
  <si>
    <t>F</t>
  </si>
  <si>
    <t>L</t>
  </si>
  <si>
    <t>Capítol</t>
  </si>
  <si>
    <t>Carpintería, cerrajería, vidrios y protecciones solares</t>
  </si>
  <si>
    <t>LC</t>
  </si>
  <si>
    <t>Capítol</t>
  </si>
  <si>
    <t>Carpintería</t>
  </si>
  <si>
    <t>LCL</t>
  </si>
  <si>
    <t>Capítol</t>
  </si>
  <si>
    <t>De aluminio</t>
  </si>
  <si>
    <t>LCL060</t>
  </si>
  <si>
    <t>Partida</t>
  </si>
  <si>
    <t>Ud</t>
  </si>
  <si>
    <t>V Carpintería exterior de aluminio.</t>
  </si>
  <si>
    <t>Ventanal fijo de aluminio, gama media, con rotura de puente térmico, dimensiones 900x900 mm, acabado lacado RAL, con el sello QUALICOAT, que garantiza el espesor y la calidad del proceso de lacado, perfiles de 60 mm soldados a inglete y junquillos, según UNE-EN 14351-1; transmitancia térmica del marco: Uh,m = desde 2,8 W/(m²K); espesor máximo del acristalamiento: 46 mm, con clasificación a la permeabilidad al aire clase 4, según UNE-EN 12207, clasificación a la estanqueidad al agua clase E1650, según UNE-EN 12208, y clasificación a la resistencia a la carga del viento clase C5, según UNE-EN 12210, con premarco y sin persiana. Incluso sellador adhesivo y silicona neutra para sellado perimetral de las juntas exterior e interior, entre la carpintería y la obra.
Se miden por unidades individuales aunque se montaran agrupadas (3U-2U+puerta-2U).
Criterio de valoración económica: El precio no incluye el recibido en obra del premarco.
Incluye: Colocación de la carpintería sobre el premarco. Sellado perimetral de la junta entre la carpintería exterior y el paramento.
Criterio de medición de proyecto: Número de unidades previstas, según documentación gráfica de Proyecto.
Criterio de medición de obra: Se medirá el número de unidades realmente ejecutadas según especificaciones de Proyecto.</t>
  </si>
  <si>
    <t>mt25pfx055kic</t>
  </si>
  <si>
    <t>Material</t>
  </si>
  <si>
    <t>Ud</t>
  </si>
  <si>
    <t>Ventanal fijo de aluminio, gama media, con rotura de puente térmico, dimensiones 900x900 mm, acabado lacado RAL, con el sello QUALICOAT, que garantiza el espesor y la calidad del proceso de lacado, perfiles de 60 mm soldados a inglete y junquillos, según UNE-EN 14351-1; transmitancia térmica del marco: Uh,m = desde 2,8 W/(m²K); espesor máximo del acristalamiento: 46 mm, con clasificación a la permeabilidad al aire clase 4, según UNE-EN 12207, clasificación a la estanqueidad al agua clase E1650, según UNE-EN 12208, y clasificación a la resistencia a la carga del viento clase C5, según UNE-EN 12210.</t>
  </si>
  <si>
    <t>mt25pem015a</t>
  </si>
  <si>
    <t>Material</t>
  </si>
  <si>
    <t>m</t>
  </si>
  <si>
    <t>Premarco de aluminio, de 36x19x1,5 mm, ensamblado mediante escuadras y con patillas de anclaje para la fijación al paramento y tornillos para la fijación de la carpintería.</t>
  </si>
  <si>
    <t>mt22www010a</t>
  </si>
  <si>
    <t>Material</t>
  </si>
  <si>
    <t>Ud</t>
  </si>
  <si>
    <t>Cartucho de 290 ml de sellador adhesivo monocomponente, neutro, superelástico, a base de polímero MS, color blanco, con resistencia a la intemperie y a los rayos UV y elongación hasta rotura 750%.</t>
  </si>
  <si>
    <t>mt22www050a</t>
  </si>
  <si>
    <t>Material</t>
  </si>
  <si>
    <t>Ud</t>
  </si>
  <si>
    <t>Cartucho de 300 ml de silicona neutra oxímica, de elasticidad permanente y curado rápido, color blanco, rango de temperatura de trabajo de -60 a 150°C, con resistencia a los rayos UV, dureza Shore A aproximada de 22, según UNE-EN ISO 868 y elongación a rotura &gt;= 800%, según UNE-EN ISO 8339.</t>
  </si>
  <si>
    <t>mo018</t>
  </si>
  <si>
    <t>Mà d'obra</t>
  </si>
  <si>
    <t>h</t>
  </si>
  <si>
    <t>Oficial 1ª cerrajero.</t>
  </si>
  <si>
    <t>mo059</t>
  </si>
  <si>
    <t>Mà d'obra</t>
  </si>
  <si>
    <t>h</t>
  </si>
  <si>
    <t>Ayudante cerrajero.</t>
  </si>
  <si>
    <t>%</t>
  </si>
  <si>
    <t>%</t>
  </si>
  <si>
    <t>Costes directos complementarios</t>
  </si>
  <si>
    <t>LCL060</t>
  </si>
  <si>
    <t>LCL060b</t>
  </si>
  <si>
    <t>Partida</t>
  </si>
  <si>
    <t>Ud</t>
  </si>
  <si>
    <t>P Carpintería exterior de aluminio.</t>
  </si>
  <si>
    <t>Puerta de aluminio, gama media, con rotura de puente térmico, una hoja practicable, con apertura hacia el interior, dimensiones 750x2250 mm, acabado lacado color blanco, con el sello QUALICOAT, que garantiza el espesor y la calidad del proceso de lacado, compuesta de hoja de 68 mm y marco de 60 mm, junquillos, galce, juntas de estanqueidad de EPDM, manilla y herrajes, según UNE-EN 14351-1; transmitancia térmica del marco: Uh,m = desde 2,8 W/(m²K); espesor máximo del acristalamiento: 46 mm, con clasificación a la permeabilidad al aire clase 4, según UNE-EN 12207, clasificación a la estanqueidad al agua clase E1650, según UNE-EN 12208, y clasificación a la resistencia a la carga del viento clase C5, según UNE-EN 12210, con premarco y sin persiana. Incluso sellador adhesivo y silicona neutra para sellado perimetral de las juntas exterior e interior, entre la carpintería y la obra.
Criterio de valoración económica: El precio no incluye el recibido en obra del premarco.
Incluye: Colocación de la carpintería sobre el premarco. Ajuste final de la hoja. Sellado perimetral de la junta entre la carpintería exterior y el paramento. Realización de pruebas de servicio.
Criterio de medición de proyecto: Número de unidades previstas, según documentación gráfica de Proyecto.
Criterio de medición de obra: Se medirá el número de unidades realmente ejecutadas según especificaciones de Proyecto.</t>
  </si>
  <si>
    <t>mt25pfx115hJa</t>
  </si>
  <si>
    <t>Material</t>
  </si>
  <si>
    <t>Ud</t>
  </si>
  <si>
    <t>Puerta de aluminio, gama media, con rotura de puente térmico, una hoja practicable, con apertura hacia el interior, dimensiones 750x2250 mm, acabado lacado color blanco, con el sello QUALICOAT, que garantiza el espesor y la calidad del proceso de lacado, compuesta de hoja de 68 mm y marco de 60 mm, junquillos, galce, juntas de estanqueidad de EPDM, manilla y herrajes, según UNE-EN 14351-1; transmitancia térmica del marco: Uh,m = desde 2,8 W/(m²K); espesor máximo del acristalamiento: 46 mm, con clasificación a la permeabilidad al aire clase 4, según UNE-EN 12207, clasificación a la estanqueidad al agua clase E1650, según UNE-EN 12208, y clasificación a la resistencia a la carga del viento clase C5, según UNE-EN 12210.</t>
  </si>
  <si>
    <t>mt25pem015a</t>
  </si>
  <si>
    <t>Material</t>
  </si>
  <si>
    <t>m</t>
  </si>
  <si>
    <t>Premarco de aluminio, de 36x19x1,5 mm, ensamblado mediante escuadras y con patillas de anclaje para la fijación al paramento y tornillos para la fijación de la carpintería.</t>
  </si>
  <si>
    <t>mt22www010a</t>
  </si>
  <si>
    <t>Material</t>
  </si>
  <si>
    <t>Ud</t>
  </si>
  <si>
    <t>Cartucho de 290 ml de sellador adhesivo monocomponente, neutro, superelástico, a base de polímero MS, color blanco, con resistencia a la intemperie y a los rayos UV y elongación hasta rotura 750%.</t>
  </si>
  <si>
    <t>mt22www050a</t>
  </si>
  <si>
    <t>Material</t>
  </si>
  <si>
    <t>Ud</t>
  </si>
  <si>
    <t>Cartucho de 300 ml de silicona neutra oxímica, de elasticidad permanente y curado rápido, color blanco, rango de temperatura de trabajo de -60 a 150°C, con resistencia a los rayos UV, dureza Shore A aproximada de 22, según UNE-EN ISO 868 y elongación a rotura &gt;= 800%, según UNE-EN ISO 8339.</t>
  </si>
  <si>
    <t>mo018</t>
  </si>
  <si>
    <t>Mà d'obra</t>
  </si>
  <si>
    <t>h</t>
  </si>
  <si>
    <t>Oficial 1ª cerrajero.</t>
  </si>
  <si>
    <t>mo059</t>
  </si>
  <si>
    <t>Mà d'obra</t>
  </si>
  <si>
    <t>h</t>
  </si>
  <si>
    <t>Ayudante cerrajero.</t>
  </si>
  <si>
    <t>%</t>
  </si>
  <si>
    <t>%</t>
  </si>
  <si>
    <t>Costes directos complementarios</t>
  </si>
  <si>
    <t>LCL060b</t>
  </si>
  <si>
    <t>LCL</t>
  </si>
  <si>
    <t>LC</t>
  </si>
  <si>
    <t>LP</t>
  </si>
  <si>
    <t>Capítol</t>
  </si>
  <si>
    <t>Puertas interiores</t>
  </si>
  <si>
    <t>LPM</t>
  </si>
  <si>
    <t>Capítol</t>
  </si>
  <si>
    <t>De madera</t>
  </si>
  <si>
    <t>LPM010b</t>
  </si>
  <si>
    <t>Partida</t>
  </si>
  <si>
    <t>Ud</t>
  </si>
  <si>
    <t>1F Puerta interior abatible, de madera.</t>
  </si>
  <si>
    <t>Puerta interior abatible, ciega, de una hoja de 70 a 90 x 203 x 3,5 cm, de tablero aglomerado, chapada con HPL blanco, precerco de madera de pino, 90x35de 90x35 mm; galces de MDF, con rechapado de HPL de 90x20 mm; tapajuntas de MDF, con rechapado de HPL de 70x10 mm en ambas caras. Incluso, bisagras, herrajes de colgar, de cierre y manivela sobre escudo largo de latón, color negro, acabado brillante, serie básica.
Incluye: Presentación de la puerta. Colocación de los herrajes de colgar. Colocación de la hoja. Colocación de los herrajes de cierre. Colocación de accesorios. Ajuste final. Realización de pruebas de servicio.
Criterio de medición de proyecto: Número de unidades previstas, según documentación gráfica de Proyecto.
Criterio de medición de obra: Se medirá el número de unidades realmente ejecutadas según especificaciones de Proyecto.</t>
  </si>
  <si>
    <t>mt22aap011ja</t>
  </si>
  <si>
    <t>Material</t>
  </si>
  <si>
    <t>Ud</t>
  </si>
  <si>
    <t>Precerco de madera de pino, 90x35 mm, para puerta de una hoja, con elementos de fijación.</t>
  </si>
  <si>
    <t>mt22aga010bbg</t>
  </si>
  <si>
    <t>Material</t>
  </si>
  <si>
    <t>m</t>
  </si>
  <si>
    <t>Galce de MDF, con rechapado HPL, 90x20 mm.</t>
  </si>
  <si>
    <t>mt22pxh020bb</t>
  </si>
  <si>
    <t>Material</t>
  </si>
  <si>
    <t>Ud</t>
  </si>
  <si>
    <t>Puerta interior ciega, de tablero aglomerado, chapada con HPL blanco, de 203x82,5x3,5 cm. Según UNE 56803.</t>
  </si>
  <si>
    <t>mt22ata010abf</t>
  </si>
  <si>
    <t>Material</t>
  </si>
  <si>
    <t>m</t>
  </si>
  <si>
    <t>Tapajuntas de MDF, con rechapado HPL, 70x10 mm.</t>
  </si>
  <si>
    <t>mt23ibl010jb</t>
  </si>
  <si>
    <t>Material</t>
  </si>
  <si>
    <t>Ud</t>
  </si>
  <si>
    <t>Pernio de 100x58 mm, con remate, de latón, acabado brillante, para puerta de paso interior.</t>
  </si>
  <si>
    <t>mt23ppb031</t>
  </si>
  <si>
    <t>Material</t>
  </si>
  <si>
    <t>Ud</t>
  </si>
  <si>
    <t>Tornillo de latón 21/35 mm.</t>
  </si>
  <si>
    <t>mt23ppb200</t>
  </si>
  <si>
    <t>Material</t>
  </si>
  <si>
    <t>Ud</t>
  </si>
  <si>
    <t>Cerradura de embutir, frente, accesorios y tornillos de atado, para puerta de paso interior, según UNE-EN 12209.</t>
  </si>
  <si>
    <t>mt23hbl010aa</t>
  </si>
  <si>
    <t>Material</t>
  </si>
  <si>
    <t>Ud</t>
  </si>
  <si>
    <t>Juego de manivela y escudo largo de latón, color negro, acabado brillante, serie básica, para puerta interior.</t>
  </si>
  <si>
    <t>mo017</t>
  </si>
  <si>
    <t>Mà d'obra</t>
  </si>
  <si>
    <t>h</t>
  </si>
  <si>
    <t>Oficial 1ª carpintero.</t>
  </si>
  <si>
    <t>mo058</t>
  </si>
  <si>
    <t>Mà d'obra</t>
  </si>
  <si>
    <t>h</t>
  </si>
  <si>
    <t>Ayudante carpintero.</t>
  </si>
  <si>
    <t>%</t>
  </si>
  <si>
    <t>%</t>
  </si>
  <si>
    <t>Costes directos complementarios</t>
  </si>
  <si>
    <t>LPM010b</t>
  </si>
  <si>
    <t>LPM010</t>
  </si>
  <si>
    <t>Partida</t>
  </si>
  <si>
    <t>Ud</t>
  </si>
  <si>
    <t>2F Puerta interior abatible, de madera.</t>
  </si>
  <si>
    <t>Puerta interior abatible, ciega, de dos hojas de 70 a 85 x 203 x 3,5 cm, de tablero aglomerado, chapado con HPL blanco, con plafones de forma recta; precerco de pino país de 90x35 mm; galces de MDF, con HPL de 90x20 mm; tapajuntas de MDF, con rechapado HPL, de 70x10 mm en ambas caras. Incluso, bisagras, herrajes de colgar, de cierre y manivela sobre escudo largo de latón, color negro, acabado brillante, serie básica.
Incluye: Presentación de la puerta. Colocación de los herrajes de colgar. Colocación de las hojas. Colocación de los herrajes de cierre. Colocación de accesorios. Ajuste final. Realización de pruebas de servicio.
Criterio de medición de proyecto: Número de unidades previstas, según documentación gráfica de Proyecto.
Criterio de medición de obra: Se medirá el número de unidades realmente ejecutadas según especificaciones de Proyecto.</t>
  </si>
  <si>
    <t>mt22aap011jb</t>
  </si>
  <si>
    <t>Material</t>
  </si>
  <si>
    <t>Ud</t>
  </si>
  <si>
    <t>Precerco de madera de pino, 90x35 mm, para puerta de dos hojas, con elementos de fijación.</t>
  </si>
  <si>
    <t>mt22aga010bbg</t>
  </si>
  <si>
    <t>Material</t>
  </si>
  <si>
    <t>m</t>
  </si>
  <si>
    <t>Galce de MDF, con rechapado HPL, 90x20 mm.</t>
  </si>
  <si>
    <t>mt22pxg020abb</t>
  </si>
  <si>
    <t>Material</t>
  </si>
  <si>
    <t>Ud</t>
  </si>
  <si>
    <t>Puerta interior ciega, de tablero aglomerado, chapado con HPL, con plafones de forma recta, de 203x82,5x3,5 cm. Según UNE 56803.</t>
  </si>
  <si>
    <t>mt22ata010abf</t>
  </si>
  <si>
    <t>Material</t>
  </si>
  <si>
    <t>m</t>
  </si>
  <si>
    <t>Tapajuntas de MDF, con rechapado HPL, 70x10 mm.</t>
  </si>
  <si>
    <t>mt23ibl010jb</t>
  </si>
  <si>
    <t>Material</t>
  </si>
  <si>
    <t>Ud</t>
  </si>
  <si>
    <t>Pernio de 100x58 mm, con remate, de latón, acabado brillante, para puerta de paso interior.</t>
  </si>
  <si>
    <t>mt23ppb031</t>
  </si>
  <si>
    <t>Material</t>
  </si>
  <si>
    <t>Ud</t>
  </si>
  <si>
    <t>Tornillo de latón 21/35 mm.</t>
  </si>
  <si>
    <t>mt23ppb200</t>
  </si>
  <si>
    <t>Material</t>
  </si>
  <si>
    <t>Ud</t>
  </si>
  <si>
    <t>Cerradura de embutir, frente, accesorios y tornillos de atado, para puerta de paso interior, según UNE-EN 12209.</t>
  </si>
  <si>
    <t>mt23hbl010aa</t>
  </si>
  <si>
    <t>Material</t>
  </si>
  <si>
    <t>Ud</t>
  </si>
  <si>
    <t>Juego de manivela y escudo largo de latón, color negro, acabado brillante, serie básica, para puerta interior.</t>
  </si>
  <si>
    <t>mo017</t>
  </si>
  <si>
    <t>Mà d'obra</t>
  </si>
  <si>
    <t>h</t>
  </si>
  <si>
    <t>Oficial 1ª carpintero.</t>
  </si>
  <si>
    <t>mo058</t>
  </si>
  <si>
    <t>Mà d'obra</t>
  </si>
  <si>
    <t>h</t>
  </si>
  <si>
    <t>Ayudante carpintero.</t>
  </si>
  <si>
    <t>%</t>
  </si>
  <si>
    <t>%</t>
  </si>
  <si>
    <t>Costes directos complementarios</t>
  </si>
  <si>
    <t>LPM010</t>
  </si>
  <si>
    <t>LPM010v</t>
  </si>
  <si>
    <t>Partida</t>
  </si>
  <si>
    <t>Ud</t>
  </si>
  <si>
    <t>2F Puerta vaiven, de madera. -</t>
  </si>
  <si>
    <t>Puerta interior de vaiven, abatible, de dos hojas de 65 a 80 x 203 x 3,5 cm, con ventana circular de diametro 400mm, incluso vidrio de seguridad de 4+4mm, de tablero aglomerado, chapado con pino país, barnizada en taller, con plafones de forma recta; instaladas sobre precerco de puertas cortafuegos. Incluso, bisagras de vaiven, de doble acción, con retorna, herrajes de colgar, y placa escudo de acero inoxidable, acabado brillante, para puerta interior. Juego de empuje manual y de zòcalo, para empuje con el pie. 
Incluye: Presentación de la puerta. Colocación de los herrajes de colgar. Colocación de las hojas. Colocación de los herrajes de cierre. Colocación de accesorios. Ajuste final. Realización de pruebas de servicio.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</si>
  <si>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</si>
  <si>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</si>
  <si>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</si>
  <si>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</si>
  <si>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</si>
  <si>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</si>
  <si>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vestibulo de independencia suroeste 1 *</t>
  </si>
  <si>
    <t>vestibulo de independencia suroeste 2 *</t>
  </si>
  <si>
    <t>mt22aap011jb</t>
  </si>
  <si>
    <t>Material</t>
  </si>
  <si>
    <t>Ud</t>
  </si>
  <si>
    <t>Precerco de madera de pino, 90x35 mm, para puerta de dos hojas, con elementos de fijación.</t>
  </si>
  <si>
    <t>mt22aga010bbg</t>
  </si>
  <si>
    <t>Material</t>
  </si>
  <si>
    <t>m</t>
  </si>
  <si>
    <t>Galce de MDF, con rechapado HPL, 90x20 mm.</t>
  </si>
  <si>
    <t>mt22pxg020avv</t>
  </si>
  <si>
    <t>Material</t>
  </si>
  <si>
    <t>Ud</t>
  </si>
  <si>
    <t>Puerta interior con ventana circular de 400mm, incluso vidrio de seguridad de 4+4mm, de tablero aglomerado, chapado con pino país, barnizada en taller, con plafones de forma recta, de 203x82,5x3,5 cm. Según UNE 56803.</t>
  </si>
  <si>
    <t>mt22ata010abf</t>
  </si>
  <si>
    <t>Material</t>
  </si>
  <si>
    <t>m</t>
  </si>
  <si>
    <t>Tapajuntas de MDF, con rechapado HPL, 70x10 mm.</t>
  </si>
  <si>
    <t>mt23ibl010vv</t>
  </si>
  <si>
    <t>Material</t>
  </si>
  <si>
    <t>Ud</t>
  </si>
  <si>
    <t>Bisagra de doble acción, de 100x58 mm, con remate, de inox, acabado brillante, para puerta de paso interior.</t>
  </si>
  <si>
    <t>mt23ppb031</t>
  </si>
  <si>
    <t>Material</t>
  </si>
  <si>
    <t>Ud</t>
  </si>
  <si>
    <t>Tornillo de latón 21/35 mm.</t>
  </si>
  <si>
    <t>mt23hbl010vv</t>
  </si>
  <si>
    <t>Material</t>
  </si>
  <si>
    <t>Ud</t>
  </si>
  <si>
    <t>Placa escudo de acero inoxidable, acabado brillante, para puerta interior. Juego de empuje manual y de zòcalo, para empuje con el pie.</t>
  </si>
  <si>
    <t>mo017</t>
  </si>
  <si>
    <t>Mà d'obra</t>
  </si>
  <si>
    <t>h</t>
  </si>
  <si>
    <t>Oficial 1ª carpintero.</t>
  </si>
  <si>
    <t>mo058</t>
  </si>
  <si>
    <t>Mà d'obra</t>
  </si>
  <si>
    <t>h</t>
  </si>
  <si>
    <t>Ayudante carpintero.</t>
  </si>
  <si>
    <t>%</t>
  </si>
  <si>
    <t>%</t>
  </si>
  <si>
    <t>Costes directos complementarios</t>
  </si>
  <si>
    <t>LPM010v</t>
  </si>
  <si>
    <t>LPM</t>
  </si>
  <si>
    <t>LP</t>
  </si>
  <si>
    <t>LF</t>
  </si>
  <si>
    <t>Capítol</t>
  </si>
  <si>
    <t>Puertas cortafuegos</t>
  </si>
  <si>
    <t>LFA</t>
  </si>
  <si>
    <t>Capítol</t>
  </si>
  <si>
    <t>De acero</t>
  </si>
  <si>
    <t>LFA010</t>
  </si>
  <si>
    <t>Partida</t>
  </si>
  <si>
    <t>Ud</t>
  </si>
  <si>
    <t>Puerta cortafuegos de acero galvanizado</t>
  </si>
  <si>
    <t>Puerta cortafuegos pivotante homologada, EI2 120-C5, de dos hojas de 63 mm de espesor, de 1300 a 1500 x 2000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para uso moderado, selector de cierre para asegurar el adecuado cerrado de las puertas, electroimán, con caja de bornes, pulsador y placa de anclaje articulada. Incluso silicona neutra para el sellado de las juntas perimetrales.
*** Esta partida corresponde tambien a puertas de una hoja, a las que en la medición se les aplica un porcentaje del 70%, por ser de una sola hoja.
Incluye: Marcado de puntos de fijación y aplomado del cerco. Fijación del cerco al paramento. Sellado de juntas perimetrales. Colocación de la hoja. Colocación de herrajes de cierre y accesorios.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</si>
  <si>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</si>
  <si>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</si>
  <si>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</si>
  <si>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</si>
  <si>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</si>
  <si>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</si>
  <si>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vestibulo de independencia suroeste 1</t>
  </si>
  <si>
    <t>vestibulo de independencia suroeste 2 *</t>
  </si>
  <si>
    <t>Uts.</t>
  </si>
  <si>
    <t>Llargada</t>
  </si>
  <si>
    <t>Amplada</t>
  </si>
  <si>
    <t>Alçada</t>
  </si>
  <si>
    <t>Parcial</t>
  </si>
  <si>
    <t>Subtotal</t>
  </si>
  <si>
    <t>vestibulo de independencia suroeste 1 *</t>
  </si>
  <si>
    <t>vestibulo de independencia norte *</t>
  </si>
  <si>
    <t>mt26pca020dr</t>
  </si>
  <si>
    <t>Material</t>
  </si>
  <si>
    <t>Ud</t>
  </si>
  <si>
    <t>Puerta cortafuegos pivotante homologada, EI2 120-C5, según UNE-EN 1634-1, de dos hojas de 63 mm de espesor, 1500x2000 mm de luz y altura de paso, para un hueco de obra de 1600x2050 mm,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seis bisagras de doble pala regulables en altura, soldadas al marco y atornilladas a la hoja, según UNE-EN 1935, cerradura embutida de cierre a un punto, escudos, cilindro, llaves y manivelas antienganche RF de nylon color negro.</t>
  </si>
  <si>
    <t>mt26pca100j</t>
  </si>
  <si>
    <t>Material</t>
  </si>
  <si>
    <t>Ud</t>
  </si>
  <si>
    <t>Cierrapuertas para uso moderado de puerta cortafuegos de dos hojas, según UNE-EN 1154.</t>
  </si>
  <si>
    <t>mt26pca105a</t>
  </si>
  <si>
    <t>Material</t>
  </si>
  <si>
    <t>Ud</t>
  </si>
  <si>
    <t>Selector de cierre para asegurar el adecuado cerrado de las puertas para puerta cortafuegos de dos hojas, según UNE-EN 1158.</t>
  </si>
  <si>
    <t>mt26pca130a</t>
  </si>
  <si>
    <t>Material</t>
  </si>
  <si>
    <t>Ud</t>
  </si>
  <si>
    <t>Electroimán para puerta cortafuegos a 24 V, con caja de bornes, pulsador y placa de anclaje articulada, según UNE-EN 1155.</t>
  </si>
  <si>
    <t>mt22www050b</t>
  </si>
  <si>
    <t>Material</t>
  </si>
  <si>
    <t>Ud</t>
  </si>
  <si>
    <t>Cartucho de 300 ml de silicona neutra oxímica, de elasticidad permanente y curado rápido, color gris, rango de temperatura de trabajo de -60 a 150°C, con resistencia a los rayos UV, dureza Shore A aproximada de 22, según UNE-EN ISO 868 y elongación a rotura &gt;= 800%, según UNE-EN ISO 8339.</t>
  </si>
  <si>
    <t>mo020</t>
  </si>
  <si>
    <t>Mà d'obra</t>
  </si>
  <si>
    <t>h</t>
  </si>
  <si>
    <t>Oficial 1ª construcción.</t>
  </si>
  <si>
    <t>mo077</t>
  </si>
  <si>
    <t>Mà d'obra</t>
  </si>
  <si>
    <t>h</t>
  </si>
  <si>
    <t>Ayudante construcción.</t>
  </si>
  <si>
    <t>mo003</t>
  </si>
  <si>
    <t>Mà d'obra</t>
  </si>
  <si>
    <t>h</t>
  </si>
  <si>
    <t>Oficial 1ª electricista.</t>
  </si>
  <si>
    <t>mo102</t>
  </si>
  <si>
    <t>Mà d'obra</t>
  </si>
  <si>
    <t>h</t>
  </si>
  <si>
    <t>Ayudante electricista.</t>
  </si>
  <si>
    <t>%</t>
  </si>
  <si>
    <t>%</t>
  </si>
  <si>
    <t>Costes directos complementarios</t>
  </si>
  <si>
    <t>LFA010</t>
  </si>
  <si>
    <t>LFA</t>
  </si>
  <si>
    <t>LF</t>
  </si>
  <si>
    <t>L</t>
  </si>
  <si>
    <t>R</t>
  </si>
  <si>
    <t>Capítol</t>
  </si>
  <si>
    <t>Revestimientos y trasdosados</t>
  </si>
  <si>
    <t>RI</t>
  </si>
  <si>
    <t>Capítol</t>
  </si>
  <si>
    <t>Pinturas en paramentos interiores</t>
  </si>
  <si>
    <t>RIP</t>
  </si>
  <si>
    <t>Capítol</t>
  </si>
  <si>
    <t>Plásticas</t>
  </si>
  <si>
    <t>RIP030</t>
  </si>
  <si>
    <t>Partida</t>
  </si>
  <si>
    <t>m²</t>
  </si>
  <si>
    <t>Pintura plástica antibacteriana para uso sanitario, sobre paramento interior de yeso o escayola. -</t>
  </si>
  <si>
    <t>Aplicación manual de dos manos de pintura plástica antibacteriana para uso sanitario, acabado mate, textura lisa, diluidas con un 15% de agua o sin diluir, (rendimiento: 0,1 l/m² cada mano); previa aplicación de una mano de imprimación acrílica reguladora de la absorción, sobre paramento interior de yeso o escayola, vertical u horizontal, de hasta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</si>
  <si>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Uts.</t>
  </si>
  <si>
    <t>Llargada</t>
  </si>
  <si>
    <t>Amplada</t>
  </si>
  <si>
    <t>Alçada</t>
  </si>
  <si>
    <t>Parcial</t>
  </si>
  <si>
    <t>Subtotal</t>
  </si>
  <si>
    <t>falso techo continuo</t>
  </si>
  <si>
    <t>muros (no sandwich)</t>
  </si>
  <si>
    <t>Uts.</t>
  </si>
  <si>
    <t>Llargada</t>
  </si>
  <si>
    <t>Amplada</t>
  </si>
  <si>
    <t>Alçada</t>
  </si>
  <si>
    <t>Parcial</t>
  </si>
  <si>
    <t>Subtotal</t>
  </si>
  <si>
    <t>vestibulo de independencia suroeste 1 *</t>
  </si>
  <si>
    <t>vestibulo de independencia suroeste 2 *</t>
  </si>
  <si>
    <t>vestibulo de independencia norte *</t>
  </si>
  <si>
    <t>descuentos puertas dobles *</t>
  </si>
  <si>
    <t>descuentos puertas simples *</t>
  </si>
  <si>
    <t>mt27pfs010b</t>
  </si>
  <si>
    <t>Material</t>
  </si>
  <si>
    <t>l</t>
  </si>
  <si>
    <t>Imprimación acrílica, reguladora de la absorción, permeable al vapor de agua y resistente a los álcalis, para aplicar con brocha, rodillo o pistola.</t>
  </si>
  <si>
    <t>mt27pii070c</t>
  </si>
  <si>
    <t>Material</t>
  </si>
  <si>
    <t>l</t>
  </si>
  <si>
    <t>Pintura plástica antibacteriana para uso sanitario para interior, a base de polímeros acrílicos, color blanco, acabado mate, textura lisa, de gran resistencia al frote húmedo; para aplicar con brocha, rodillo o pistola.</t>
  </si>
  <si>
    <t>mo038</t>
  </si>
  <si>
    <t>Mà d'obra</t>
  </si>
  <si>
    <t>h</t>
  </si>
  <si>
    <t>Oficial 1ª pintor.</t>
  </si>
  <si>
    <t>mo076</t>
  </si>
  <si>
    <t>Mà d'obra</t>
  </si>
  <si>
    <t>h</t>
  </si>
  <si>
    <t>Ayudante pintor.</t>
  </si>
  <si>
    <t>%</t>
  </si>
  <si>
    <t>%</t>
  </si>
  <si>
    <t>Costes directos complementarios</t>
  </si>
  <si>
    <t>RIP030</t>
  </si>
  <si>
    <t>RIP</t>
  </si>
  <si>
    <t>RI</t>
  </si>
  <si>
    <t>RS</t>
  </si>
  <si>
    <t>Capítol</t>
  </si>
  <si>
    <t>Pavimentos</t>
  </si>
  <si>
    <t>RSS</t>
  </si>
  <si>
    <t>Capítol</t>
  </si>
  <si>
    <t>De caucho, de linóleo y vinílicos</t>
  </si>
  <si>
    <t>RSS036b</t>
  </si>
  <si>
    <t>Partida</t>
  </si>
  <si>
    <t>m²</t>
  </si>
  <si>
    <t>Pavimento vinílico homogéneo, antideslizante, para uso en cuartos húmedos, en rollo. -</t>
  </si>
  <si>
    <t>Pavimento vinílico homogéneo, acústico y antideslizante, para uso en cuartos húmedos, modelo Altro Stronghold 30/K30 "ALTRO", de 3,0 mm de espesor, color a elegir, suministrado en rollos de 200 cm de anchura; peso total: 4000 g/m²; clasificación al uso, según UNE-EN ISO 10874: clase 23 para uso doméstico; clase 34 para uso comercial; clase 43 para uso industrial; con resistencia al deslizamiento 35&lt;Rd&lt;=45 según UNE 41901 EX y resbaladicidad clase 2 según CTE; reducción del ruido de impactos 10 dB, según UNE-EN ISO 10140; Euroclase Bfl-s1 de reacción al fuego, según UNE-EN 13501-1. Colocación en obra: con adhesivo, sobre capa fina de nivelación.
Criterio de valoración económica: El precio no incluye la capa fina de nivelación.
Incluye: Replanteo y recorte del pavimento. Aplicación del adhesivo. Colocación del pavimento. Soldado de unión y juntas entre rollos. Remonta a pared de no menos de 10 cm. Resolución de encuentros y puntos singulares. Eliminación y limpieza del material sobrante. Limpieza final del pavimento.
Criterio de medición de proyecto: Superficie útil, medida según documentación gráfica de Proyecto, deduciendo los huecos de superficie mayor de 1 m².
Criterio de medición de obra: Se medirá la superficie realmente ejecutada según especificaciones de Proyecto, deduciendo los huecos de superficie mayor de 1 m².</t>
  </si>
  <si>
    <t>Uts.</t>
  </si>
  <si>
    <t>Llargada</t>
  </si>
  <si>
    <t>Amplada</t>
  </si>
  <si>
    <t>Alçada</t>
  </si>
  <si>
    <t>Parcial</t>
  </si>
  <si>
    <t>Subtotal</t>
  </si>
  <si>
    <t>interior cocina</t>
  </si>
  <si>
    <t>vestibulo de independencia suroeste 1 *</t>
  </si>
  <si>
    <t>vestibulo de independencia suroeste 2 *</t>
  </si>
  <si>
    <t>mt18adq010d</t>
  </si>
  <si>
    <t>Material</t>
  </si>
  <si>
    <t>kg</t>
  </si>
  <si>
    <t>Adhesivo de poliuretano bicomponente para aplicar en interiores y exteriores, para el encolado de pavimentos de PVC, sin disolventes ni plastificantes, color beige.</t>
  </si>
  <si>
    <t>mt18alo030a</t>
  </si>
  <si>
    <t>Material</t>
  </si>
  <si>
    <t>m²</t>
  </si>
  <si>
    <t>Lámina homogénea de PVC, modelo Altro Stronghold 30/K30 "ALTRO", de 3 mm de espesor, color a elegir; suministrada en rollos de 200 cm de anchura; peso total: 4000 g/m²; clasificación al uso, según UNE-EN ISO 10874: clase 23 para uso doméstico; clase 34 para uso comercial; clase 43 para uso industrial; con resistencia al deslizamiento 35&lt;Rd&lt;=45 según UNE 41901 EX y resbaladicidad clase 2 según CTE; reducción del ruido de impactos 10 dB, según UNE-EN ISO 10140; Euroclase Bfl-s1 de reacción al fuego, según UNE-EN 13501-1.</t>
  </si>
  <si>
    <t>mo026</t>
  </si>
  <si>
    <t>Mà d'obra</t>
  </si>
  <si>
    <t>h</t>
  </si>
  <si>
    <t>Oficial 1ª instalador de revestimientos flexibles.</t>
  </si>
  <si>
    <t>mo064</t>
  </si>
  <si>
    <t>Mà d'obra</t>
  </si>
  <si>
    <t>h</t>
  </si>
  <si>
    <t>Ayudante instalador de revestimientos flexibles.</t>
  </si>
  <si>
    <t>%</t>
  </si>
  <si>
    <t>%</t>
  </si>
  <si>
    <t>Costes directos complementarios</t>
  </si>
  <si>
    <t>RSS036b</t>
  </si>
  <si>
    <t>RSS</t>
  </si>
  <si>
    <t>RSA</t>
  </si>
  <si>
    <t>Capítol</t>
  </si>
  <si>
    <t>Morteros y pastas de nivelación</t>
  </si>
  <si>
    <t>RSA025</t>
  </si>
  <si>
    <t>Partida</t>
  </si>
  <si>
    <t>m²</t>
  </si>
  <si>
    <t>Capa fina de mortero autonivelante de cemento.</t>
  </si>
  <si>
    <t>Capa fina de mortero autonivelante de cemento, Ultraplan "MAPEI SPAIN" o equivalente, CT - C30 - F7, según UNE-EN 13813, de 5 mm de espesor, aplicada mecánicamente, para la regularización y nivelación de la superficie soporte interior de hormigón o mortero, previa aplicación de imprimación a base de resinas sintéticas en dispersión acuosa, Primer G "MAPEI SPAIN", preparada para recibir pavimento cerámico, de corcho, de madera, laminado, flexible o textil. Incluso banda de panel rígido de poliestireno expandido para la preparación de las juntas perimetrales de dilatación.
Criterio de valoración económica: El precio no incluye el soporte de hormigón ni el revestimiento.
Incluye: Replanteo y marcado de niveles de acabado. Preparación de las juntas perimetrales de dilatación. Aplicación de la imprimación. Vertido y extendido de la mezcla. Curado del mortero.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</si>
  <si>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mt28mim040d</t>
  </si>
  <si>
    <t>Material</t>
  </si>
  <si>
    <t>kg</t>
  </si>
  <si>
    <t>Imprimación a base de resinas sintéticas en dispersión acuosa, Primer G "MAPEI SPAIN", color azul, con muy bajo contenido de sustancias orgánicas volátiles (VOC), 0,2 poises de viscosidad Brookfield RVT a 20 °C.</t>
  </si>
  <si>
    <t>mt09map010a</t>
  </si>
  <si>
    <t>Material</t>
  </si>
  <si>
    <t>kg</t>
  </si>
  <si>
    <t>Mortero autonivelante de cemento, Ultraplan "MAPEI SPAIN", CT - C30 - F7, según UNE-EN 13813, con cementos especiales, áridos seleccionados y aditivos, para regularización y nivelación de pavimentos interiores de hormigón.</t>
  </si>
  <si>
    <t>mt16pea020a</t>
  </si>
  <si>
    <t>Material</t>
  </si>
  <si>
    <t>m²</t>
  </si>
  <si>
    <t>Panel rígido de poliestireno expandido, según UNE-EN 13163, mecanizado lateral recto, de 10 mm de espesor, resistencia térmica 0,25 m²K/W, conductividad térmica 0,036 W/(mK), para junta de dilatación.</t>
  </si>
  <si>
    <t>mq06pym020</t>
  </si>
  <si>
    <t>Maquinària</t>
  </si>
  <si>
    <t>h</t>
  </si>
  <si>
    <t>Mezcladora-bombeadora para morteros autonivelantes.</t>
  </si>
  <si>
    <t>mo031</t>
  </si>
  <si>
    <t>Mà d'obra</t>
  </si>
  <si>
    <t>h</t>
  </si>
  <si>
    <t>Oficial 1ª aplicador de mortero autonivelante.</t>
  </si>
  <si>
    <t>mo069</t>
  </si>
  <si>
    <t>Mà d'obra</t>
  </si>
  <si>
    <t>h</t>
  </si>
  <si>
    <t>Ayudante aplicador de mortero autonivelante.</t>
  </si>
  <si>
    <t>%</t>
  </si>
  <si>
    <t>%</t>
  </si>
  <si>
    <t>Costes directos complementarios</t>
  </si>
  <si>
    <t>RSA025</t>
  </si>
  <si>
    <t>RSA</t>
  </si>
  <si>
    <t>RSB</t>
  </si>
  <si>
    <t>Capítol</t>
  </si>
  <si>
    <t>Bases de pavimento y grandes recrecidos</t>
  </si>
  <si>
    <t>RSB017</t>
  </si>
  <si>
    <t>Partida</t>
  </si>
  <si>
    <t>m²</t>
  </si>
  <si>
    <t>Base de mortero autonivelante de cemento.</t>
  </si>
  <si>
    <t>Base para pavimento interior, de 30 mm de espesor, de mortero autonivelante de cemento, CT - C25 - F5 según UNE-EN 13813, vertido con mezcladora-bombeadora, sobre soporte de hormigón, previa aplicación de imprimación reguladora de la absorción; y posterior aplicación de agente filmógeno, (0,15 l/m²). Incluso banda de panel rígido de poliestireno expandido para la preparación de las juntas perimetrales de dilatación. Se deberá aplicar con una consistencia que pèrmita la realización de pendeientes, para lo que se realizaran maestras de mortero previamente.
Incluye la realización de transiciones entre suelo y muro, en quarto de circulo.
Criterio de valoración económica: El precio no incluye el soporte de hormigón.
Incluye: Replanteo y marcado de niveles y pendientes. Preparación de las juntas perimetrales de dilatación. Imprimación de la superficie soporte. Extendido del mortero mediante bombeo. Aplicación del agente filmógeno.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</si>
  <si>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mt16pea020a</t>
  </si>
  <si>
    <t>Material</t>
  </si>
  <si>
    <t>m²</t>
  </si>
  <si>
    <t>Panel rígido de poliestireno expandido, según UNE-EN 13163, mecanizado lateral recto, de 10 mm de espesor, resistencia térmica 0,25 m²K/W, conductividad térmica 0,036 W/(mK), para junta de dilatación.</t>
  </si>
  <si>
    <t>mt09moc005b</t>
  </si>
  <si>
    <t>Material</t>
  </si>
  <si>
    <t>kg</t>
  </si>
  <si>
    <t>Imprimación reguladora de la absorción, para la fijación de soportes disgregables y mejorar la adherencia de los soportes absorbentes.</t>
  </si>
  <si>
    <t>mt09moc030b</t>
  </si>
  <si>
    <t>Material</t>
  </si>
  <si>
    <t>kg</t>
  </si>
  <si>
    <t>Mortero autonivelante de cemento, CT - C25 - F5 según UNE-EN 13813, compuesto por ligantes hidráulicos, resinas poliméricas, áridos silíceos, fibra de vidrio y aditivos orgánicos e inorgánicos, para espesores de 8 a 50 mm, usado en nivelación de pavimentos.</t>
  </si>
  <si>
    <t>mt08cur020a</t>
  </si>
  <si>
    <t>Material</t>
  </si>
  <si>
    <t>l</t>
  </si>
  <si>
    <t>Agente filmógeno, para el curado de hormigones y morteros.</t>
  </si>
  <si>
    <t>mq06pym020</t>
  </si>
  <si>
    <t>Maquinària</t>
  </si>
  <si>
    <t>h</t>
  </si>
  <si>
    <t>Mezcladora-bombeadora para morteros autonivelantes.</t>
  </si>
  <si>
    <t>mo031</t>
  </si>
  <si>
    <t>Mà d'obra</t>
  </si>
  <si>
    <t>h</t>
  </si>
  <si>
    <t>Oficial 1ª aplicador de mortero autonivelante.</t>
  </si>
  <si>
    <t>mo069</t>
  </si>
  <si>
    <t>Mà d'obra</t>
  </si>
  <si>
    <t>h</t>
  </si>
  <si>
    <t>Ayudante aplicador de mortero autonivelante.</t>
  </si>
  <si>
    <t>%</t>
  </si>
  <si>
    <t>%</t>
  </si>
  <si>
    <t>Costes directos complementarios</t>
  </si>
  <si>
    <t>RSB017</t>
  </si>
  <si>
    <t>RSB</t>
  </si>
  <si>
    <t>RS</t>
  </si>
  <si>
    <t>RT</t>
  </si>
  <si>
    <t>Capítol</t>
  </si>
  <si>
    <t>Falsos techos en interiores</t>
  </si>
  <si>
    <t>RTC</t>
  </si>
  <si>
    <t>Capítol</t>
  </si>
  <si>
    <t>Continuos, de placas de yeso laminado</t>
  </si>
  <si>
    <t>RTC015</t>
  </si>
  <si>
    <t>Partida</t>
  </si>
  <si>
    <t>m²</t>
  </si>
  <si>
    <t>Falso techo continuo de placas de yeso laminado. -</t>
  </si>
  <si>
    <t>Falso techo continuo suspendido, liso, 12,5+27+27, situado a una altura menor de 4 m, con nivel de calidad del acabado estándar (Q2), constituido por: ESTRUCTURA: estructura metálica de acero galvanizado de maestras primarias 60/27 mm con una modulación de 1000 mm y suspendidas de la superficie soporte de hormigón con cuelgues combinados cada 900 mm, y maestras secundarias fijadas perpendicularmente a las maestras primarias con conectores tipo caballete con una modulación de 500 mm; PLACAS: una capa de placas de yeso laminado H1 / UNE-EN 520 - 1200 / longitud / 12,5 / con los bordes longitudinales afinados, con alma de yeso hidrofugado, para zonas húmedas. Incluso banda autoadhesiva desolidarizante, fijaciones para el anclaje de los perfiles, tornillería para la fijación de las placas, pasta de juntas, cinta microperforada de papel y accesorios de montaje.
Incluye: Replanteo de los ejes de la estructura metálica. Colocación de la banda acústica. Nivelación y fijación de los perfiles perimetrales. Señalización de los puntos de anclaje al forjado o elemento soporte. Nivelación y suspensión de los perfiles primarios y secundarios de la estructura. Corte de las placas. Fijación de las placas. Resolución de encuentros y puntos singulares. Tratamiento de juntas.
Criterio de medición de proyecto: Superficie medida entre paramentos, según documentación gráfica de Proyecto, sin descontar huecos para instalaciones.
Criterio de medición de obra: Se medirá la superficie realmente ejecutada según especificaciones de Proyecto, siguiendo los criterios de medición expuestos en la norma UNE 92305.</t>
  </si>
  <si>
    <t>Uts.</t>
  </si>
  <si>
    <t>Llargada</t>
  </si>
  <si>
    <t>Amplada</t>
  </si>
  <si>
    <t>Alçada</t>
  </si>
  <si>
    <t>Parcial</t>
  </si>
  <si>
    <t>Subtotal</t>
  </si>
  <si>
    <t>interior cocina</t>
  </si>
  <si>
    <t>vestibulo de independencia suroeste 1 *</t>
  </si>
  <si>
    <t>mt12psg160a</t>
  </si>
  <si>
    <t>Material</t>
  </si>
  <si>
    <t>m</t>
  </si>
  <si>
    <t>Perfil en U, de acero galvanizado, de 30 mm.</t>
  </si>
  <si>
    <t>mt12psg220</t>
  </si>
  <si>
    <t>Material</t>
  </si>
  <si>
    <t>Ud</t>
  </si>
  <si>
    <t>Fijación compuesta por taco y tornillo 5x27.</t>
  </si>
  <si>
    <t>mt12psg210a</t>
  </si>
  <si>
    <t>Material</t>
  </si>
  <si>
    <t>Ud</t>
  </si>
  <si>
    <t>Cuelgue para falsos techos suspendidos.</t>
  </si>
  <si>
    <t>mt12psg210b</t>
  </si>
  <si>
    <t>Material</t>
  </si>
  <si>
    <t>Ud</t>
  </si>
  <si>
    <t>Seguro para la fijación del cuelgue, en falsos techos suspendidos.</t>
  </si>
  <si>
    <t>mt12psg210c</t>
  </si>
  <si>
    <t>Material</t>
  </si>
  <si>
    <t>Ud</t>
  </si>
  <si>
    <t>Conexión superior para fijar la varilla al cuelgue, en falsos techos suspendidos.</t>
  </si>
  <si>
    <t>mt12psg190</t>
  </si>
  <si>
    <t>Material</t>
  </si>
  <si>
    <t>Ud</t>
  </si>
  <si>
    <t>Varilla de cuelgue.</t>
  </si>
  <si>
    <t>mt12psg050c</t>
  </si>
  <si>
    <t>Material</t>
  </si>
  <si>
    <t>m</t>
  </si>
  <si>
    <t>Maestra 60/27 de chapa de acero galvanizado, de ancho 60 mm, según UNE-EN 14195.</t>
  </si>
  <si>
    <t>mt12pek020la</t>
  </si>
  <si>
    <t>Material</t>
  </si>
  <si>
    <t>Ud</t>
  </si>
  <si>
    <t>Conector, para maestra 60/27.</t>
  </si>
  <si>
    <t>mt12pek020da</t>
  </si>
  <si>
    <t>Material</t>
  </si>
  <si>
    <t>Ud</t>
  </si>
  <si>
    <t>Conector tipo caballete, para maestra 60/27.</t>
  </si>
  <si>
    <t>mt12psg010p</t>
  </si>
  <si>
    <t>Material</t>
  </si>
  <si>
    <t>m²</t>
  </si>
  <si>
    <t>Placa de yeso laminado H1 / UNE-EN 520 - 1200 / longitud / 12,5 / con los bordes longitudinales afinados, con alma de yeso hidrofugado, para zonas húmedas.</t>
  </si>
  <si>
    <t>mt12psg081c</t>
  </si>
  <si>
    <t>Material</t>
  </si>
  <si>
    <t>Ud</t>
  </si>
  <si>
    <t>Tornillo autoperforante 3,5x25 mm.</t>
  </si>
  <si>
    <t>mt12psg041b</t>
  </si>
  <si>
    <t>Material</t>
  </si>
  <si>
    <t>m</t>
  </si>
  <si>
    <t>Banda autoadhesiva desolidarizante de espuma de poliuretano de celdas cerradas, de 3,2 mm de espesor y 50 mm de anchura, resistencia térmica 0,10 m²K/W, conductividad térmica 0,032 W/(mK).</t>
  </si>
  <si>
    <t>mt12psg030a</t>
  </si>
  <si>
    <t>Material</t>
  </si>
  <si>
    <t>kg</t>
  </si>
  <si>
    <t>Pasta de juntas, según UNE-EN 13963.</t>
  </si>
  <si>
    <t>mt12psg040a</t>
  </si>
  <si>
    <t>Material</t>
  </si>
  <si>
    <t>m</t>
  </si>
  <si>
    <t>Cinta microperforada de papel, según UNE-EN 13963.</t>
  </si>
  <si>
    <t>mo015</t>
  </si>
  <si>
    <t>Mà d'obra</t>
  </si>
  <si>
    <t>h</t>
  </si>
  <si>
    <t>Oficial 1ª montador de falsos techos.</t>
  </si>
  <si>
    <t>mo082</t>
  </si>
  <si>
    <t>Mà d'obra</t>
  </si>
  <si>
    <t>h</t>
  </si>
  <si>
    <t>Ayudante montador de falsos techos.</t>
  </si>
  <si>
    <t>%</t>
  </si>
  <si>
    <t>%</t>
  </si>
  <si>
    <t>Costes directos complementarios</t>
  </si>
  <si>
    <t>RTC015</t>
  </si>
  <si>
    <t>RTC</t>
  </si>
  <si>
    <t>RTD</t>
  </si>
  <si>
    <t>Capítol</t>
  </si>
  <si>
    <t>Registrables, de placas de yeso laminado</t>
  </si>
  <si>
    <t>RTD032</t>
  </si>
  <si>
    <t>Partida</t>
  </si>
  <si>
    <t>m²</t>
  </si>
  <si>
    <t>Falso techo registrable aséptico, de placas de yeso laminado. -</t>
  </si>
  <si>
    <t>Falso techo registrable suspendido, decorativo, situado a una altura menor de 4 m. Sistema "PLACO", constituido por: ESTRUCTURA: perfilería vista, de acero galvanizado, color blanco, con suela de 24 mm de anchura, comprendiendo perfiles primarios de acero galvanizado, Quick-lock "PLACO", de 3600 mm de longitud y 24x38 mm de sección, perfiles secundarios de acero galvanizado, Quick-lock "PLACO", de 1200 mm de longitud y 24x32 mm de sección y perfiles secundarios de acero galvanizado, Quick-lock "PLACO", de 600 mm de longitud y 24x32 mm de sección, suspendidos del forjado o elemento soporte con varillas y cuelgues; PLACAS: placas de yeso laminado, gama Gyprex modelo Asepta "PLACO", de 600x600 mm y 8 mm de espesor, de superficie lisa, revestidas por su cara vista con una capa de vinilo con un agente biocida, contra bacterias y hongos. Color blanco. Incluso perfiles angulares Quick-lock "PLACO", fijaciones para el anclaje de los perfiles, y accesorios de montaje. El sistema "PLACO" se cita como ejemplo, puede sustituirse por un sistema equivalente.
Incluye: Replanteo de los ejes de la trama modular. Nivelación y fijación de los perfiles perimetrales. Replanteo de los perfiles primarios de la trama. Señalización de los puntos de anclaje al forjado o elemento soporte. Nivelación y suspensión de los perfiles primarios y secundarios de la trama. Corte de las placas. Colocación de las placas.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</si>
  <si>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Uts.</t>
  </si>
  <si>
    <t>Llargada</t>
  </si>
  <si>
    <t>Amplada</t>
  </si>
  <si>
    <t>Alçada</t>
  </si>
  <si>
    <t>Parcial</t>
  </si>
  <si>
    <t>Subtotal</t>
  </si>
  <si>
    <t>inrterior cocina</t>
  </si>
  <si>
    <t>vestibulo de independencia suroeste 1 *</t>
  </si>
  <si>
    <t>vestibulo de independencia suroeste 2 *</t>
  </si>
  <si>
    <t>mt12plp100a</t>
  </si>
  <si>
    <t>Material</t>
  </si>
  <si>
    <t>m</t>
  </si>
  <si>
    <t>Perfil angular de acero galvanizado, Quick-lock "PLACO", color blanco, fabricado mediante laminación en frío, de 3000 mm de longitud, 22x22 mm de sección y 0,5 mm de espesor, para la realización de falsos techos registrables, según UNE-EN 13964.</t>
  </si>
  <si>
    <t>mt12ple100</t>
  </si>
  <si>
    <t>Material</t>
  </si>
  <si>
    <t>Ud</t>
  </si>
  <si>
    <t>Varilla lisa regulable con gancho "PLACO", de 4 mm de diámetro y 1000 mm de longitud.</t>
  </si>
  <si>
    <t>mt12psg220</t>
  </si>
  <si>
    <t>Material</t>
  </si>
  <si>
    <t>Ud</t>
  </si>
  <si>
    <t>Fijación compuesta por taco y tornillo 5x27.</t>
  </si>
  <si>
    <t>mt12ple090</t>
  </si>
  <si>
    <t>Material</t>
  </si>
  <si>
    <t>Ud</t>
  </si>
  <si>
    <t>Pieza de cuelgue rápido Quick-lock "PLACO".</t>
  </si>
  <si>
    <t>mt12plp090a</t>
  </si>
  <si>
    <t>Material</t>
  </si>
  <si>
    <t>m</t>
  </si>
  <si>
    <t>Perfil primario de acero galvanizado Quick-lock "PLACO", color blanco, fabricado mediante laminación en frío, de 3600 mm de longitud y 24x38 mm de sección, para la realización de falsos techos registrables, según UNE-EN 13964.</t>
  </si>
  <si>
    <t>mt12plp090h</t>
  </si>
  <si>
    <t>Material</t>
  </si>
  <si>
    <t>m</t>
  </si>
  <si>
    <t>Perfil secundario de acero galvanizado Quick-lock "PLACO", color blanco, fabricado mediante laminación en frío, de 1200 mm de longitud y 24x32 mm de sección, para la realización de falsos techos registrables, según UNE-EN 13964.</t>
  </si>
  <si>
    <t>mt12plp090k</t>
  </si>
  <si>
    <t>Material</t>
  </si>
  <si>
    <t>m</t>
  </si>
  <si>
    <t>Perfil secundario de acero galvanizado Quick-lock "PLACO", color blanco, fabricado mediante laminación en frío, de 600 mm de longitud y 24x32 mm de sección, para la realización de falsos techos registrables, según UNE-EN 13964.</t>
  </si>
  <si>
    <t>mt12plk030dja</t>
  </si>
  <si>
    <t>Material</t>
  </si>
  <si>
    <t>m²</t>
  </si>
  <si>
    <t>Placa de yeso laminado, gama Gyprex modelo Asepta "PLACO", de 600x600 mm y 8 mm de espesor, de superficie lisa, revestida por su cara vista con una capa de vinilo con un agente biocida, contra bacterias y hongos, para colocar sobre perfilería vista con suela de 24 mm de anchura, según UNE-EN 13964.</t>
  </si>
  <si>
    <t>mo015</t>
  </si>
  <si>
    <t>Mà d'obra</t>
  </si>
  <si>
    <t>h</t>
  </si>
  <si>
    <t>Oficial 1ª montador de falsos techos.</t>
  </si>
  <si>
    <t>mo082</t>
  </si>
  <si>
    <t>Mà d'obra</t>
  </si>
  <si>
    <t>h</t>
  </si>
  <si>
    <t>Ayudante montador de falsos techos.</t>
  </si>
  <si>
    <t>%</t>
  </si>
  <si>
    <t>%</t>
  </si>
  <si>
    <t>Costes directos complementarios</t>
  </si>
  <si>
    <t>RTD032</t>
  </si>
  <si>
    <t>RTD</t>
  </si>
  <si>
    <t>RT</t>
  </si>
  <si>
    <t>RA</t>
  </si>
  <si>
    <t>Capítol</t>
  </si>
  <si>
    <t>De piezas rígidas en paramentos verticales</t>
  </si>
  <si>
    <t>RAG</t>
  </si>
  <si>
    <t>Capítol</t>
  </si>
  <si>
    <t>De azulejo</t>
  </si>
  <si>
    <t>RAG130</t>
  </si>
  <si>
    <t>Partida</t>
  </si>
  <si>
    <t>m²</t>
  </si>
  <si>
    <t>Revestimiento interior con piezas de azulejo. Colocación en capa fina.</t>
  </si>
  <si>
    <t>Revestimiento interior con piezas de azulejo, de 200x200 mm, color blanco, acabado brillante, gama alta, capacidad de absorción de agua E&gt;10%, grupo BIII, según UNE-EN 14411. SOPORTE: paramento de mortero de cemento o placa de yeso laminado, vertical, de hasta 3 m de altura. COLOCACIÓN: en capa fina y mediante encolado simple con adhesivo en dispersión normal, D1, según UNE-EN 12004 o en capa fina y mediante encolado simple con adhesivo cementoso, C1 TE, según UNE-EN 12004, con deslizamiento reducido y tiempo abierto ampliado. REJUNTADO: con mortero de juntas cementoso mejorado, con absorción de agua reducida y resistencia elevada a la abrasión tipo CG 2 W A, color blanco, en juntas de 3 mm de espesor. Incluso crucetas de PVC.
Criterio de valoración económica: El precio incluye las piezas especiales y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sin deducir huecos. No se ha incrementado la medición por roturas y recortes, ya que en la descomposición se ha considerado un 5% más de piezas.
Criterio de medición de obra: Se medirá la superficie realmente ejecutada según especificaciones de Proyecto.</t>
  </si>
  <si>
    <t>Uts.</t>
  </si>
  <si>
    <t>Llargada</t>
  </si>
  <si>
    <t>Amplada</t>
  </si>
  <si>
    <t>Alçada</t>
  </si>
  <si>
    <t>Parcial</t>
  </si>
  <si>
    <t>Subtotal</t>
  </si>
  <si>
    <t>cocina</t>
  </si>
  <si>
    <t>área norte (incluye triangulo lateral escalera)</t>
  </si>
  <si>
    <t>mt09mcp100b</t>
  </si>
  <si>
    <t>Material</t>
  </si>
  <si>
    <t>kg</t>
  </si>
  <si>
    <t>Adhesivo en dispersión normal, D1, según UNE-EN 12004, color blanco, a base de resinas, cargas y aditivos específicos, para la colocación en capa fina de todo tipo de piezas cerámicas en paramentos verticales interiores.</t>
  </si>
  <si>
    <t>mt19aba100co</t>
  </si>
  <si>
    <t>Material</t>
  </si>
  <si>
    <t>m²</t>
  </si>
  <si>
    <t>Piezas de azulejo, de 200x200 mm, color blanco, acabado brillante, gama alta, capacidad de absorción de agua E&gt;10%, grupo BIII, según UNE-EN 14411.</t>
  </si>
  <si>
    <t>mt09mcp020lE</t>
  </si>
  <si>
    <t>Material</t>
  </si>
  <si>
    <t>kg</t>
  </si>
  <si>
    <t>Mortero de juntas cementoso mejorado, con absorción de agua reducida y resistencia elevada a la abrasión, tipo CG2 W A, según UNE-EN 13888, color blanco, para juntas de 2 a 15 mm, a base de cemento de alta resistencia, áridos seleccionados, aditivos especiales y pigmentos, con efecto antimoho, antiverdín y preventivo de las eflorescencias, hidrorrepelente, especial para rejuntado de todo tipo de piezas cerámicas y piedras naturales en zonas de proliferación de microorganismos.</t>
  </si>
  <si>
    <t>mt18acc100a</t>
  </si>
  <si>
    <t>Material</t>
  </si>
  <si>
    <t>Ud</t>
  </si>
  <si>
    <t>Kit de crucetas de PVC para garantizar un espesor de las juntas entre piezas de entre 1 y 20 mm, en revestimientos y pavimentos cerámicos.</t>
  </si>
  <si>
    <t>mo024</t>
  </si>
  <si>
    <t>Mà d'obra</t>
  </si>
  <si>
    <t>h</t>
  </si>
  <si>
    <t>Oficial 1ª alicatador.</t>
  </si>
  <si>
    <t>mo062</t>
  </si>
  <si>
    <t>Mà d'obra</t>
  </si>
  <si>
    <t>h</t>
  </si>
  <si>
    <t>Ayudante alicatador.</t>
  </si>
  <si>
    <t>%</t>
  </si>
  <si>
    <t>%</t>
  </si>
  <si>
    <t>Costes directos complementarios</t>
  </si>
  <si>
    <t>RAG130</t>
  </si>
  <si>
    <t>RAG</t>
  </si>
  <si>
    <t>RA</t>
  </si>
  <si>
    <t>RP</t>
  </si>
  <si>
    <t>Capítol</t>
  </si>
  <si>
    <t>Conglomerados tradicionales</t>
  </si>
  <si>
    <t>RPE</t>
  </si>
  <si>
    <t>Capítol</t>
  </si>
  <si>
    <t>Enfoscados</t>
  </si>
  <si>
    <t>RPE012</t>
  </si>
  <si>
    <t>Partida</t>
  </si>
  <si>
    <t>m²</t>
  </si>
  <si>
    <t>Enfoscado de cemento para base de alicatado.</t>
  </si>
  <si>
    <t>Formación de revestimiento continuo de mortero de cemento, tipo GP CSII W0, maestreado, de 15 mm de espesor, aplicado sobre un paramento vertical interior, acabado superficial rayado, para servir de base a un posterior alicatado. Incluso preparación de la superficie soporte, formación de juntas, rincones, maestras con separación entre ellas no superior a un metro, aristas, mochetas, jambas, dinteles, remates en los encuentros con paramentos, revestimientos u otros elementos recibidos en su superficie.
Incluye: Despiece de paños de trabajo. Colocación de reglones y tendido de lienzas. Colocación de tientos. Realización de maestras. Aplicación del mortero. Realización de juntas y encuentros. Acabado superficial. Curado del mortero.
Criterio de medición de proyecto: Superficie medida según documentación gráfica de Proyecto, sin deducir huecos.
Criterio de medición de obra: Se medirá la superficie realmente ejecutada según especificaciones de Proyecto.</t>
  </si>
  <si>
    <t>Uts.</t>
  </si>
  <si>
    <t>Llargada</t>
  </si>
  <si>
    <t>Amplada</t>
  </si>
  <si>
    <t>Alçada</t>
  </si>
  <si>
    <t>Parcial</t>
  </si>
  <si>
    <t>Subtotal</t>
  </si>
  <si>
    <t>cocina</t>
  </si>
  <si>
    <t>área norte</t>
  </si>
  <si>
    <t>regularización estructura base escalera (acabado a llana)</t>
  </si>
  <si>
    <t>mt08aaa010a</t>
  </si>
  <si>
    <t>Material</t>
  </si>
  <si>
    <t>m³</t>
  </si>
  <si>
    <t>Agua.</t>
  </si>
  <si>
    <t>mt28mif010a</t>
  </si>
  <si>
    <t>Material</t>
  </si>
  <si>
    <t>t</t>
  </si>
  <si>
    <t>Mortero industrial para revoco y enlucido de uso corriente, de cemento, tipo GP CSII W0, suministrado en sacos, según UNE-EN 998-1.</t>
  </si>
  <si>
    <t>mo020</t>
  </si>
  <si>
    <t>Mà d'obra</t>
  </si>
  <si>
    <t>h</t>
  </si>
  <si>
    <t>Oficial 1ª construcción.</t>
  </si>
  <si>
    <t>mo113</t>
  </si>
  <si>
    <t>Mà d'obra</t>
  </si>
  <si>
    <t>h</t>
  </si>
  <si>
    <t>Peón ordinario construcción.</t>
  </si>
  <si>
    <t>%</t>
  </si>
  <si>
    <t>%</t>
  </si>
  <si>
    <t>Costes directos complementarios</t>
  </si>
  <si>
    <t>RPE012</t>
  </si>
  <si>
    <t>RPE</t>
  </si>
  <si>
    <t>RP</t>
  </si>
  <si>
    <t>RE</t>
  </si>
  <si>
    <t>Capítol</t>
  </si>
  <si>
    <t>Escaleras</t>
  </si>
  <si>
    <t>RES</t>
  </si>
  <si>
    <t>Capítol</t>
  </si>
  <si>
    <t>Flexibles</t>
  </si>
  <si>
    <t>RES010</t>
  </si>
  <si>
    <t>Partida</t>
  </si>
  <si>
    <t>Ud</t>
  </si>
  <si>
    <t>Revestimiento continuo de peldaño, con lámina de goma.</t>
  </si>
  <si>
    <t>Revestimiento continuo de huella y tabica de peldaño con arista redondeada de escalera de 90 cm de anchura, con lámina de goma con botones, de 2,7 mm de espesor, color a elegir; colocado con adhesivo de contacto sobre capa de pasta niveladora no incluida en este precio. Incluso adhesivo de contacto, cortes, tratamiento de juntas, eliminación del material sobrante y limpieza final. Desarrollo aproximado 520 mm por unidad.
Incluye: Replanteo y corte del revestimiento. Aplicación de la capa de adhesivo de contacto. Colocación del revestimiento. Eliminación del material sobrante. Limpieza final.
Criterio de medición de proyecto: Longitud medida según documentación gráfica de Proyecto.
Criterio de medición de obra: Se medirá la longitud realmente ejecutada según especificaciones de Proyecto.</t>
  </si>
  <si>
    <t>mt18dsi090h</t>
  </si>
  <si>
    <t>Material</t>
  </si>
  <si>
    <t>m</t>
  </si>
  <si>
    <t>Lámina de goma con botones, de 2,7 mm de espesor, con arista redondeada, color a elegir, para revestimiento continuo de huella y tabica de peldaño de escalera, suministrada en rollos de 520 mm de anchura y 12000 mm de longitud.</t>
  </si>
  <si>
    <t>mt18dww010</t>
  </si>
  <si>
    <t>Material</t>
  </si>
  <si>
    <t>kg</t>
  </si>
  <si>
    <t>Adhesivo de contacto a base de resina acrílica en dispersión acuosa, para pavimento de goma, caucho, linóleo, PVC, moqueta y textil.</t>
  </si>
  <si>
    <t>mo026</t>
  </si>
  <si>
    <t>Mà d'obra</t>
  </si>
  <si>
    <t>h</t>
  </si>
  <si>
    <t>Oficial 1ª instalador de revestimientos flexibles.</t>
  </si>
  <si>
    <t>mo064</t>
  </si>
  <si>
    <t>Mà d'obra</t>
  </si>
  <si>
    <t>h</t>
  </si>
  <si>
    <t>Ayudante instalador de revestimientos flexibles.</t>
  </si>
  <si>
    <t>%</t>
  </si>
  <si>
    <t>%</t>
  </si>
  <si>
    <t>Costes directos complementarios</t>
  </si>
  <si>
    <t>RES010</t>
  </si>
  <si>
    <t>RES</t>
  </si>
  <si>
    <t>RE</t>
  </si>
  <si>
    <t>R</t>
  </si>
  <si>
    <t>I</t>
  </si>
  <si>
    <t>Capítol</t>
  </si>
  <si>
    <t>Instalaciones</t>
  </si>
  <si>
    <t>IC</t>
  </si>
  <si>
    <t>Capítol</t>
  </si>
  <si>
    <t>Calefacción, climatización y A.C.S.</t>
  </si>
  <si>
    <t>ICS</t>
  </si>
  <si>
    <t>Capítol</t>
  </si>
  <si>
    <t>Fontaneria y ACS</t>
  </si>
  <si>
    <t>E1AB0lp</t>
  </si>
  <si>
    <t>Partida</t>
  </si>
  <si>
    <t>ut</t>
  </si>
  <si>
    <t>Desmontaje instalación de fontaneria y ACS existente con carga y transporte</t>
  </si>
  <si>
    <t>Desmontaje de la instalación de fontaneria y ACS existente con carga, transporte y descarga a vertedero autorizado o almacén que indique la Dirección Facultativa o la propiedad.</t>
  </si>
  <si>
    <t>ICS012a</t>
  </si>
  <si>
    <t>Partida</t>
  </si>
  <si>
    <t>m</t>
  </si>
  <si>
    <t>Tubería de distribución de agua, para A.F.S/A.C.S dn16.</t>
  </si>
  <si>
    <t>Suministro e instalación de tubería de distribución de A.F.S/A.C.S formada por tubo de polietileno reticulado (PE-Xa), serie 5, de 16 mm de diámetro exterior, PN=6 atm y 1,8 mm de espesor, suministrado en rollos, colocado superficialmente en el interior del edificio, con aislamiento mediante coquilla flexible de espuma elastomérica. Incluso material auxiliar para montaje y sujeción a la obra, accesorios y piezas especiales.</t>
  </si>
  <si>
    <t>mt37tpu400a</t>
  </si>
  <si>
    <t>Material</t>
  </si>
  <si>
    <t>Ud</t>
  </si>
  <si>
    <t>Material auxiliar para montaje y sujeción a la obra de las tuberías de polietileno reticulado (PE-Xa), serie 5, de 16 mm de diámetro exterior.</t>
  </si>
  <si>
    <t>mt37tpu010ae</t>
  </si>
  <si>
    <t>Material</t>
  </si>
  <si>
    <t>m</t>
  </si>
  <si>
    <t>Tubo de polietileno reticulado (PE-Xa), serie 5, de 16 mm de diámetro exterior, PN=6 atm y 1,8 mm de espesor, suministrado en rollos, según UNE-EN ISO 15875-2, con el precio incrementado el 20% en concepto de accesorios y piezas especiales.</t>
  </si>
  <si>
    <t>mt17coe055cq</t>
  </si>
  <si>
    <t>Material</t>
  </si>
  <si>
    <t>m</t>
  </si>
  <si>
    <t>Coquilla de espuma elastomérica, con un elevado factor de resistencia a la difusión del vapor de agua, de 19 mm de diámetro interior y 32 mm de espesor, a base de caucho sintético flexible, de estructura celular cerrada.</t>
  </si>
  <si>
    <t>mt17coe110</t>
  </si>
  <si>
    <t>Material</t>
  </si>
  <si>
    <t>l</t>
  </si>
  <si>
    <t>Adhesivo para coquilla elastomérica.</t>
  </si>
  <si>
    <t>mo004</t>
  </si>
  <si>
    <t>Mà d'obra</t>
  </si>
  <si>
    <t>h</t>
  </si>
  <si>
    <t>Oficial 1ª calefactor.</t>
  </si>
  <si>
    <t>mo103</t>
  </si>
  <si>
    <t>Mà d'obra</t>
  </si>
  <si>
    <t>h</t>
  </si>
  <si>
    <t>Ayudante calefactor.</t>
  </si>
  <si>
    <t>%</t>
  </si>
  <si>
    <t>%</t>
  </si>
  <si>
    <t>Costes directos complementarios</t>
  </si>
  <si>
    <t>ICS012a</t>
  </si>
  <si>
    <t>ICS012b</t>
  </si>
  <si>
    <t>Partida</t>
  </si>
  <si>
    <t>m</t>
  </si>
  <si>
    <t>Tubería de distribución de agua, para A.F.S/A.C.S dn20.</t>
  </si>
  <si>
    <t>Suministro e instalación de tubería de distribución de A.F.S/A.C.S formada por tubo de polietileno reticulado (PE-Xa), serie 5, de 20 mm de diámetro exterior, PN=6 atm y 1,9 mm de espesor, suministrado en rollos, colocado superficialmente en el interior del edificio, con aislamiento mediante coquilla flexible de espuma elastomérica. Incluso material auxiliar para montaje y sujeción a la obra, accesorios y piezas especiales.</t>
  </si>
  <si>
    <t>mt37tpu400b</t>
  </si>
  <si>
    <t>Material</t>
  </si>
  <si>
    <t>Ud</t>
  </si>
  <si>
    <t>Material auxiliar para montaje y sujeción a la obra de las tuberías de polietileno reticulado (PE-Xa), serie 5, de 20 mm de diámetro exterior.</t>
  </si>
  <si>
    <t>mt37tpu010be</t>
  </si>
  <si>
    <t>Material</t>
  </si>
  <si>
    <t>m</t>
  </si>
  <si>
    <t>Tubo de polietileno reticulado (PE-Xa), serie 5, de 20 mm de diámetro exterior, PN=6 atm y 1,9 mm de espesor, suministrado en rollos, según UNE-EN ISO 15875-2, con el precio incrementado el 20% en concepto de accesorios y piezas especiales.</t>
  </si>
  <si>
    <t>mt17coe055dq</t>
  </si>
  <si>
    <t>Material</t>
  </si>
  <si>
    <t>m</t>
  </si>
  <si>
    <t>Coquilla de espuma elastomérica, con un elevado factor de resistencia a la difusión del vapor de agua, de 23 mm de diámetro interior y 32 mm de espesor, a base de caucho sintético flexible, de estructura celular cerrada.</t>
  </si>
  <si>
    <t>mt17coe110</t>
  </si>
  <si>
    <t>Material</t>
  </si>
  <si>
    <t>l</t>
  </si>
  <si>
    <t>Adhesivo para coquilla elastomérica.</t>
  </si>
  <si>
    <t>mo004</t>
  </si>
  <si>
    <t>Mà d'obra</t>
  </si>
  <si>
    <t>h</t>
  </si>
  <si>
    <t>Oficial 1ª calefactor.</t>
  </si>
  <si>
    <t>mo103</t>
  </si>
  <si>
    <t>Mà d'obra</t>
  </si>
  <si>
    <t>h</t>
  </si>
  <si>
    <t>Ayudante calefactor.</t>
  </si>
  <si>
    <t>%</t>
  </si>
  <si>
    <t>%</t>
  </si>
  <si>
    <t>Costes directos complementarios</t>
  </si>
  <si>
    <t>ICS012b</t>
  </si>
  <si>
    <t>ICS012c</t>
  </si>
  <si>
    <t>Partida</t>
  </si>
  <si>
    <t>m</t>
  </si>
  <si>
    <t>Tubería de distribución de agua, para A.F.S/A.C.S dn25.</t>
  </si>
  <si>
    <t>Suministro e instalación de tubería de distribución de A.F.S/A.C.S formada por tubo de polietileno reticulado (PE-Xa), serie 5, de 25 mm de diámetro exterior, PN=6 atm y 2,3 mm de espesor, suministrado en rollos, colocado superficialmente en el interior del edificio, con aislamiento mediante coquilla flexible de espuma elastomérica. Incluso material auxiliar para montaje y sujeción a la obra, accesorios y piezas especiales.</t>
  </si>
  <si>
    <t>mt37tpu400c</t>
  </si>
  <si>
    <t>Material</t>
  </si>
  <si>
    <t>Ud</t>
  </si>
  <si>
    <t>Material auxiliar para montaje y sujeción a la obra de las tuberías de polietileno reticulado (PE-Xa), serie 5, de 25 mm de diámetro exterior.</t>
  </si>
  <si>
    <t>mt37tpu010ce</t>
  </si>
  <si>
    <t>Material</t>
  </si>
  <si>
    <t>m</t>
  </si>
  <si>
    <t>Tubo de polietileno reticulado (PE-Xa), serie 5, de 25 mm de diámetro exterior, PN=6 atm y 2,3 mm de espesor, suministrado en rollos, según UNE-EN ISO 15875-2, con el precio incrementado el 20% en concepto de accesorios y piezas especiales.</t>
  </si>
  <si>
    <t>mt17coe055er</t>
  </si>
  <si>
    <t>Material</t>
  </si>
  <si>
    <t>m</t>
  </si>
  <si>
    <t>Coquilla de espuma elastomérica, con un elevado factor de resistencia a la difusión del vapor de agua, de 29 mm de diámetro interior y 33,5 mm de espesor, a base de caucho sintético flexible, de estructura celular cerrada.</t>
  </si>
  <si>
    <t>mt17coe110</t>
  </si>
  <si>
    <t>Material</t>
  </si>
  <si>
    <t>l</t>
  </si>
  <si>
    <t>Adhesivo para coquilla elastomérica.</t>
  </si>
  <si>
    <t>mo004</t>
  </si>
  <si>
    <t>Mà d'obra</t>
  </si>
  <si>
    <t>h</t>
  </si>
  <si>
    <t>Oficial 1ª calefactor.</t>
  </si>
  <si>
    <t>mo103</t>
  </si>
  <si>
    <t>Mà d'obra</t>
  </si>
  <si>
    <t>h</t>
  </si>
  <si>
    <t>Ayudante calefactor.</t>
  </si>
  <si>
    <t>%</t>
  </si>
  <si>
    <t>%</t>
  </si>
  <si>
    <t>Costes directos complementarios</t>
  </si>
  <si>
    <t>ICS012c</t>
  </si>
  <si>
    <t>ICS012d</t>
  </si>
  <si>
    <t>Partida</t>
  </si>
  <si>
    <t>m</t>
  </si>
  <si>
    <t>Tubería de distribución de agua, para A.F.S/A.C.S dn32.</t>
  </si>
  <si>
    <t>Suministro e instalación de tubería de distribución de A.F.S/A.C.S formada por tubo de polietileno reticulado (PE-Xa), serie 5, de 32 mm de diámetro exterior, PN=6 atm y 2,9 mm de espesor, suministrado en rollos, colocado superficialmente en el interior del edificio, con aislamiento mediante coquilla flexible de espuma elastomérica. Incluso material auxiliar para montaje y sujeción a la obra, accesorios y piezas especiales.</t>
  </si>
  <si>
    <t>mt37tpu400d</t>
  </si>
  <si>
    <t>Material</t>
  </si>
  <si>
    <t>Ud</t>
  </si>
  <si>
    <t>Material auxiliar para montaje y sujeción a la obra de las tuberías de polietileno reticulado (PE-Xa), serie 5, de 32 mm de diámetro exterior.</t>
  </si>
  <si>
    <t>mt37tpu010de</t>
  </si>
  <si>
    <t>Material</t>
  </si>
  <si>
    <t>m</t>
  </si>
  <si>
    <t>Tubo de polietileno reticulado (PE-Xa), serie 5, de 32 mm de diámetro exterior, PN=6 atm y 2,9 mm de espesor, suministrado en rollos, según UNE-EN ISO 15875-2, con el precio incrementado el 20% en concepto de accesorios y piezas especiales.</t>
  </si>
  <si>
    <t>mt17coe055fs</t>
  </si>
  <si>
    <t>Material</t>
  </si>
  <si>
    <t>m</t>
  </si>
  <si>
    <t>Coquilla de espuma elastomérica, con un elevado factor de resistencia a la difusión del vapor de agua, de 36 mm de diámetro interior y 35 mm de espesor, a base de caucho sintético flexible, de estructura celular cerrada.</t>
  </si>
  <si>
    <t>mt17coe110</t>
  </si>
  <si>
    <t>Material</t>
  </si>
  <si>
    <t>l</t>
  </si>
  <si>
    <t>Adhesivo para coquilla elastomérica.</t>
  </si>
  <si>
    <t>mo004</t>
  </si>
  <si>
    <t>Mà d'obra</t>
  </si>
  <si>
    <t>h</t>
  </si>
  <si>
    <t>Oficial 1ª calefactor.</t>
  </si>
  <si>
    <t>mo103</t>
  </si>
  <si>
    <t>Mà d'obra</t>
  </si>
  <si>
    <t>h</t>
  </si>
  <si>
    <t>Ayudante calefactor.</t>
  </si>
  <si>
    <t>%</t>
  </si>
  <si>
    <t>%</t>
  </si>
  <si>
    <t>Costes directos complementarios</t>
  </si>
  <si>
    <t>ICS012d</t>
  </si>
  <si>
    <t>ICS012e</t>
  </si>
  <si>
    <t>Partida</t>
  </si>
  <si>
    <t>m</t>
  </si>
  <si>
    <t>Tubería de distribución de agua, para A.F.S/A.C.S dn40.</t>
  </si>
  <si>
    <t>Suministro e instalación de tubería de distribución de A.F.S/A.C.S formada por tubo de polietileno reticulado (PE-Xa), serie 5, de 40 mm de diámetro exterior, PN=6 atm y 3,7 mm de espesor, suministrado en rollos, colocado superficialmente en el interior del edificio, con aislamiento mediante coquilla flexible de espuma elastomérica. Incluso material auxiliar para montaje y sujeción a la obra, accesorios y piezas especiales.</t>
  </si>
  <si>
    <t>mt37tpu400e</t>
  </si>
  <si>
    <t>Material</t>
  </si>
  <si>
    <t>Ud</t>
  </si>
  <si>
    <t>Material auxiliar para montaje y sujeción a la obra de las tuberías de polietileno reticulado (PE-Xa), serie 5, de 40 mm de diámetro exterior.</t>
  </si>
  <si>
    <t>mt37tpu010ee</t>
  </si>
  <si>
    <t>Material</t>
  </si>
  <si>
    <t>m</t>
  </si>
  <si>
    <t>Tubo de polietileno reticulado (PE-Xa), serie 5, de 40 mm de diámetro exterior, PN=6 atm y 3,7 mm de espesor, suministrado en rollos, según UNE-EN ISO 15875-2, con el precio incrementado el 20% en concepto de accesorios y piezas especiales.</t>
  </si>
  <si>
    <t>mt17coe055gt</t>
  </si>
  <si>
    <t>Material</t>
  </si>
  <si>
    <t>m</t>
  </si>
  <si>
    <t>Coquilla de espuma elastomérica, con un elevado factor de resistencia a la difusión del vapor de agua, de 43,5 mm de diámetro interior y 36,5 mm de espesor, a base de caucho sintético flexible, de estructura celular cerrada.</t>
  </si>
  <si>
    <t>mt17coe110</t>
  </si>
  <si>
    <t>Material</t>
  </si>
  <si>
    <t>l</t>
  </si>
  <si>
    <t>Adhesivo para coquilla elastomérica.</t>
  </si>
  <si>
    <t>mo004</t>
  </si>
  <si>
    <t>Mà d'obra</t>
  </si>
  <si>
    <t>h</t>
  </si>
  <si>
    <t>Oficial 1ª calefactor.</t>
  </si>
  <si>
    <t>mo103</t>
  </si>
  <si>
    <t>Mà d'obra</t>
  </si>
  <si>
    <t>h</t>
  </si>
  <si>
    <t>Ayudante calefactor.</t>
  </si>
  <si>
    <t>%</t>
  </si>
  <si>
    <t>%</t>
  </si>
  <si>
    <t>Costes directos complementarios</t>
  </si>
  <si>
    <t>ICS012e</t>
  </si>
  <si>
    <t>ICS</t>
  </si>
  <si>
    <t>ICR</t>
  </si>
  <si>
    <t>Capítol</t>
  </si>
  <si>
    <t>Sistemas de conducción de aire</t>
  </si>
  <si>
    <t>E1AB0vr</t>
  </si>
  <si>
    <t>Partida</t>
  </si>
  <si>
    <t>ut</t>
  </si>
  <si>
    <t>Desmontaje instalación de climatización, ventilación y frio industrial con carga y transporte</t>
  </si>
  <si>
    <t>Desmontaje de la instalación de climatización, ventilación y frio industrial existente con carga, transporte y descarga a vertedero autorizado o almacén que indique la Dirección Facultativa o la propiedad. Incluye conductos, maquinaria, compresores, ventiladores y demas elementos.</t>
  </si>
  <si>
    <t>ICR010</t>
  </si>
  <si>
    <t>Partida</t>
  </si>
  <si>
    <t>Ud</t>
  </si>
  <si>
    <t>Caja de ventilación para aportación de aire con filtros F7/F9, con caudal maximo 360m3/h.</t>
  </si>
  <si>
    <t>Suministro e instalación de caja de ventilación para aportación de aire con filtros F7/F9, con caudal maximo 360m3/h., con protección térmica, aislamiento clase F, protección IP 55 y caja de bornes ignífuga. Totalmente montado, conexionado y probado.</t>
  </si>
  <si>
    <t>mt42vsp010b</t>
  </si>
  <si>
    <t>Material</t>
  </si>
  <si>
    <t>Ud</t>
  </si>
  <si>
    <t>Caja de ventilación para aportación de aire con filtros F7/F9, con caudal maximo 360m3/h.</t>
  </si>
  <si>
    <t>mo011</t>
  </si>
  <si>
    <t>Mà d'obra</t>
  </si>
  <si>
    <t>h</t>
  </si>
  <si>
    <t>Oficial 1ª montador.</t>
  </si>
  <si>
    <t>mo080</t>
  </si>
  <si>
    <t>Mà d'obra</t>
  </si>
  <si>
    <t>h</t>
  </si>
  <si>
    <t>Ayudante montador.</t>
  </si>
  <si>
    <t>%</t>
  </si>
  <si>
    <t>%</t>
  </si>
  <si>
    <t>Costes directos complementarios</t>
  </si>
  <si>
    <t>ICR010</t>
  </si>
  <si>
    <t>ICR015</t>
  </si>
  <si>
    <t>Partida</t>
  </si>
  <si>
    <t>m</t>
  </si>
  <si>
    <t>Conducto circular de pared simple helicoidal de acero galvanizado, de 150 mm de diámetro y 0,6 mm de espesor.</t>
  </si>
  <si>
    <t>Suministro e instalación de conducto circular de pared simple helicoidal de acero galvanizado, de 150 mm de diámetro y 0,6 mm de espesor, suministrado en tramos de 3 ó 5 m, para instalaciones de ventilación y climatización. Incluso accesorios de montaje y elementos de fijación. Totalmente montado, conexionado y probado por la empresa instaladora mediante las correspondientes pruebas de servicio (incluidas en este precio).</t>
  </si>
  <si>
    <t>mt42con200db</t>
  </si>
  <si>
    <t>Material</t>
  </si>
  <si>
    <t>m</t>
  </si>
  <si>
    <t>Conducto circular de pared simple helicoidal de acero galvanizado, de 150 mm de diámetro y 0,6 mm de espesor, suministrado en tramos de 3 ó 5 m, para instalaciones de ventilación y climatización.</t>
  </si>
  <si>
    <t>mt42con500e</t>
  </si>
  <si>
    <t>Material</t>
  </si>
  <si>
    <t>Ud</t>
  </si>
  <si>
    <t>Brida de 150 mm de diámetro y soporte de techo con varilla para fijación de conductos circulares de aire en instalaciones de ventilación y climatización.</t>
  </si>
  <si>
    <t>mo013</t>
  </si>
  <si>
    <t>Mà d'obra</t>
  </si>
  <si>
    <t>h</t>
  </si>
  <si>
    <t>Oficial 1ª montador de conductos de chapa metálica.</t>
  </si>
  <si>
    <t>mo084</t>
  </si>
  <si>
    <t>Mà d'obra</t>
  </si>
  <si>
    <t>h</t>
  </si>
  <si>
    <t>Ayudante montador de conductos de chapa metálica.</t>
  </si>
  <si>
    <t>%</t>
  </si>
  <si>
    <t>%</t>
  </si>
  <si>
    <t>Costes directos complementarios</t>
  </si>
  <si>
    <t>ICR015</t>
  </si>
  <si>
    <t>IVM024</t>
  </si>
  <si>
    <t>Partida</t>
  </si>
  <si>
    <t>Ud</t>
  </si>
  <si>
    <t>Rejilla circular de aluminio anodizado, con lamas horizontales fijas, salida de aire con inclinación de 15°, para conducto de admisión o extracción, de 160 mm de diámetro, para ventilación mecánica.</t>
  </si>
  <si>
    <t>Suministro y montaje de rejilla circular de aluminio anodizado, con lamas horizontales fijas, salida de aire con inclinación de 15°, color natural, contra la lluvia, con malla de protección contra la entrada de hojas y pájaros, para conducto de admisión o extracción, de 160 mm de diámetro, para ventilación mecánica. Incluso accesorios de fijación y conexión. Totalmente montada.</t>
  </si>
  <si>
    <t>mt20sva190b</t>
  </si>
  <si>
    <t>Material</t>
  </si>
  <si>
    <t>Ud</t>
  </si>
  <si>
    <t>Rejilla circular de aluminio anodizado, con lamas horizontales fijas, salida de aire con inclinación de 15°, color natural, contra la lluvia, con malla de protección contra la entrada de hojas y pájaros, para conducto de admisión o extracción, de 160 mm de diámetro.</t>
  </si>
  <si>
    <t>mo011</t>
  </si>
  <si>
    <t>Mà d'obra</t>
  </si>
  <si>
    <t>h</t>
  </si>
  <si>
    <t>Oficial 1ª montador.</t>
  </si>
  <si>
    <t>mo080</t>
  </si>
  <si>
    <t>Mà d'obra</t>
  </si>
  <si>
    <t>h</t>
  </si>
  <si>
    <t>Ayudante montador.</t>
  </si>
  <si>
    <t>%</t>
  </si>
  <si>
    <t>%</t>
  </si>
  <si>
    <t>Costes directos complementarios</t>
  </si>
  <si>
    <t>IVM024</t>
  </si>
  <si>
    <t>ICR</t>
  </si>
  <si>
    <t>ICN</t>
  </si>
  <si>
    <t>Capítol</t>
  </si>
  <si>
    <t>Unidades autónomas de climatización</t>
  </si>
  <si>
    <t>ICN010</t>
  </si>
  <si>
    <t>Partida</t>
  </si>
  <si>
    <t>m</t>
  </si>
  <si>
    <t>Línea frigorífica doble realizada con tubería para gas mediante tubo de cobre sin soldadura, de 5/8" de diámetro y 1 mm de espesor con coquilla de espuma elastomérica, de 16 mm de diámetro interior y 25 mm de espesor y tubería para líquido mediante tubo de cobre sin soldadura, de 3/8" de diámetro y 0,8 mm de espesor con coquilla de espuma elastomérica, de 11 mm de diámetro interior y 20 mm de espesor.</t>
  </si>
  <si>
    <t>Suministro e instalación de línea frigorífica doble realizada con tubería para gas mediante tubo de cobre sin soldadura, de 5/8" de diámetro y 1 mm de espesor con coquilla de espuma elastomérica, de 16 mm de diámetro interior y 25 mm de espesor y tubería para líquido mediante tubo de cobre sin soldadura, de 3/8" de diámetro y 0,8 mm de espesor con coquilla de espuma elastomérica, de 11 mm de diámetro interior y 20 mm de espesor. Incluso p/p de cortes, eliminación de rebabas, protección de los extremos con cinta aislante, realización de curvas, abocardado, vaciado del circuito, accesorios, sifones, soportes y fijaciones. Incluso pp. de gas regrigerante. Totalmente montada, conexionada y probada.</t>
  </si>
  <si>
    <t>Uts.</t>
  </si>
  <si>
    <t>Llargada</t>
  </si>
  <si>
    <t>Amplada</t>
  </si>
  <si>
    <t>Alçada</t>
  </si>
  <si>
    <t>Parcial</t>
  </si>
  <si>
    <t>Subtotal</t>
  </si>
  <si>
    <t>mt42lin030b</t>
  </si>
  <si>
    <t>Material</t>
  </si>
  <si>
    <t>m</t>
  </si>
  <si>
    <t>Tubo de cobre sin soldadura, de 3/8" de diámetro y 0,8 mm de espesor, según UNE-EN 12735-1.</t>
  </si>
  <si>
    <t>mt17coe070bc</t>
  </si>
  <si>
    <t>Material</t>
  </si>
  <si>
    <t>m</t>
  </si>
  <si>
    <t>Coquilla de espuma elastomérica, de 11 mm de diámetro interior y 20 mm de espesor, a base de caucho sintético flexible, de estructura celular cerrada.</t>
  </si>
  <si>
    <t>mt17coe110</t>
  </si>
  <si>
    <t>Material</t>
  </si>
  <si>
    <t>l</t>
  </si>
  <si>
    <t>Adhesivo para coquilla elastomérica.</t>
  </si>
  <si>
    <t>mt42lin030d</t>
  </si>
  <si>
    <t>Material</t>
  </si>
  <si>
    <t>m</t>
  </si>
  <si>
    <t>Tubo de cobre sin soldadura, de 5/8" de diámetro y 1 mm de espesor, según UNE-EN 12735-1.</t>
  </si>
  <si>
    <t>mt17coe070dd</t>
  </si>
  <si>
    <t>Material</t>
  </si>
  <si>
    <t>m</t>
  </si>
  <si>
    <t>Coquilla de espuma elastomérica, de 16 mm de diámetro interior y 25 mm de espesor, a base de caucho sintético flexible, de estructura celular cerrada.</t>
  </si>
  <si>
    <t>mo005</t>
  </si>
  <si>
    <t>Mà d'obra</t>
  </si>
  <si>
    <t>h</t>
  </si>
  <si>
    <t>Oficial 1ª instalador de climatización.</t>
  </si>
  <si>
    <t>mo104</t>
  </si>
  <si>
    <t>Mà d'obra</t>
  </si>
  <si>
    <t>h</t>
  </si>
  <si>
    <t>Ayudante instalador de climatización.</t>
  </si>
  <si>
    <t>%</t>
  </si>
  <si>
    <t>%</t>
  </si>
  <si>
    <t>Costes directos complementarios</t>
  </si>
  <si>
    <t>ICN010</t>
  </si>
  <si>
    <t>ICN010b</t>
  </si>
  <si>
    <t>Partida</t>
  </si>
  <si>
    <t>m</t>
  </si>
  <si>
    <t>Línea frigorífica doble realizada con tubería para gas mediante tubo de cobre sin soldadura, de 1/2" de diámetro y 0,8 mm de espesor con coquilla de espuma elastomérica, de 13 mm de diámetro interior y 20 mm de espesor y tubería para líquido mediante tubo de cobre sin soldadura, de 1/4" de diámetro y 0,8 mm de espesor con coquilla de espuma elastomérica, de 7 mm de diámetro interior y 10 mm de espesor.</t>
  </si>
  <si>
    <t>Suministro e instalación de línea frigorífica doble realizada con tubería para gas mediante tubo de cobre sin soldadura, de 1/2" de diámetro y 0,8 mm de espesor con coquilla de espuma elastomérica, de 13 mm de diámetro interior y 20 mm de espesor y tubería para líquido mediante tubo de cobre sin soldadura, de 1/4" de diámetro y 0,8 mm de espesor con coquilla de espuma elastomérica, de 7 mm de diámetro interior y 10 mm de espesor. Incluso p/p de cortes, eliminación de rebabas, protección de los extremos con cinta aislante, realización de curvas, abocardado, vaciado del circuito, accesorios, sifones, soportes y fijaciones. Incluso pp. de gas regrigerante. Totalmente montada, conexionada y probada.</t>
  </si>
  <si>
    <t>Uts.</t>
  </si>
  <si>
    <t>Llargada</t>
  </si>
  <si>
    <t>Amplada</t>
  </si>
  <si>
    <t>Alçada</t>
  </si>
  <si>
    <t>Parcial</t>
  </si>
  <si>
    <t>Subtotal</t>
  </si>
  <si>
    <t>mt42lin030a</t>
  </si>
  <si>
    <t>Material</t>
  </si>
  <si>
    <t>m</t>
  </si>
  <si>
    <t>Tubo de cobre sin soldadura, de 1/4" de diámetro y 0,8 mm de espesor, según UNE-EN 12735-1.</t>
  </si>
  <si>
    <t>mt17coe070aa</t>
  </si>
  <si>
    <t>Material</t>
  </si>
  <si>
    <t>m</t>
  </si>
  <si>
    <t>Coquilla de espuma elastomérica, de 7 mm de diámetro interior y 10 mm de espesor, a base de caucho sintético flexible, de estructura celular cerrada.</t>
  </si>
  <si>
    <t>mt17coe110</t>
  </si>
  <si>
    <t>Material</t>
  </si>
  <si>
    <t>l</t>
  </si>
  <si>
    <t>Adhesivo para coquilla elastomérica.</t>
  </si>
  <si>
    <t>mt42lin030c</t>
  </si>
  <si>
    <t>Material</t>
  </si>
  <si>
    <t>m</t>
  </si>
  <si>
    <t>Tubo de cobre sin soldadura, de 1/2" de diámetro y 0,8 mm de espesor, según UNE-EN 12735-1.</t>
  </si>
  <si>
    <t>mt17coe070cc</t>
  </si>
  <si>
    <t>Material</t>
  </si>
  <si>
    <t>m</t>
  </si>
  <si>
    <t>Coquilla de espuma elastomérica, de 13 mm de diámetro interior y 20 mm de espesor, a base de caucho sintético flexible, de estructura celular cerrada.</t>
  </si>
  <si>
    <t>mo005</t>
  </si>
  <si>
    <t>Mà d'obra</t>
  </si>
  <si>
    <t>h</t>
  </si>
  <si>
    <t>Oficial 1ª instalador de climatización.</t>
  </si>
  <si>
    <t>mo104</t>
  </si>
  <si>
    <t>Mà d'obra</t>
  </si>
  <si>
    <t>h</t>
  </si>
  <si>
    <t>Ayudante instalador de climatización.</t>
  </si>
  <si>
    <t>%</t>
  </si>
  <si>
    <t>%</t>
  </si>
  <si>
    <t>Costes directos complementarios</t>
  </si>
  <si>
    <t>ICN010b</t>
  </si>
  <si>
    <t>ICN017</t>
  </si>
  <si>
    <t>Partida</t>
  </si>
  <si>
    <t>m</t>
  </si>
  <si>
    <t>Cableado de conexión eléctrica de unidad de aire acondicionado formado por cable multipolar RZ1-K (AS), no propagador de la llama, con conductor de cobre clase 5 (-K) de 4G1,5 mm² de sección, con aislamiento de polietileno reticulado (R) y cubierta de compuesto termoplástico a base de poliolefina libre de halógenos con baja emisión de humos y gases corrosivos (Z1), siendo su tensión asignada de 0,6/1 kV.</t>
  </si>
  <si>
    <t>Suministro e instalación de cableado de conexión eléctrica de unidad de aire acondicionado formado por cable multipolar RZ1-K (AS), no propagador de la llama, con conductor de cobre clase 5 (-K) de 4G1,5 mm² de sección, con aislamiento de polietileno reticulado (R) y cubierta de compuesto termoplástico a base de poliolefina libre de halógenos con baja emisión de humos y gases corrosivos (Z1), siendo su tensión asignada de 0,6/1 kV. Incluso regletas de conexión y cuantos accesorios sean necesarios para su correcta instalación. Totalmente montado, conexionado y probado.</t>
  </si>
  <si>
    <t>Uts.</t>
  </si>
  <si>
    <t>Llargada</t>
  </si>
  <si>
    <t>Amplada</t>
  </si>
  <si>
    <t>Alçada</t>
  </si>
  <si>
    <t>Parcial</t>
  </si>
  <si>
    <t>Subtotal</t>
  </si>
  <si>
    <t>mt35cun010K1</t>
  </si>
  <si>
    <t>Material</t>
  </si>
  <si>
    <t>m</t>
  </si>
  <si>
    <t>Cable multipolar RZ1-K (AS), no propagador de la llama, con conductor de cobre clase 5 (-K) de 4G1,5 mm² de sección, con aislamiento de polietileno reticulado (R) y cubierta de compuesto termoplástico a base de poliolefina libre de halógenos con baja emisión de humos y gases corrosivos (Z1), siendo su tensión asignada de 0,6/1 kV. Según UNE 21123-4.</t>
  </si>
  <si>
    <t>mo003</t>
  </si>
  <si>
    <t>Mà d'obra</t>
  </si>
  <si>
    <t>h</t>
  </si>
  <si>
    <t>Oficial 1ª electricista.</t>
  </si>
  <si>
    <t>mo102</t>
  </si>
  <si>
    <t>Mà d'obra</t>
  </si>
  <si>
    <t>h</t>
  </si>
  <si>
    <t>Ayudante electricista.</t>
  </si>
  <si>
    <t>%</t>
  </si>
  <si>
    <t>%</t>
  </si>
  <si>
    <t>Costes directos complementarios</t>
  </si>
  <si>
    <t>ICN017</t>
  </si>
  <si>
    <t>ICN016</t>
  </si>
  <si>
    <t>Partida</t>
  </si>
  <si>
    <t>m</t>
  </si>
  <si>
    <t>Canalización empotrada, formada por tubo de PVC flexible, corrugado, de 25 mm de diámetro nominal, con IP 545.</t>
  </si>
  <si>
    <t>Suministro e instalación de canalización de protección de cableado, empotrada, formada por tubo de PVC flexible, corrugado, de 25 mm de diámetro nominal, con IP 545. Incluso p/p de abrazaderas y elementos de sujeción. Totalmente montada.</t>
  </si>
  <si>
    <t>Uts.</t>
  </si>
  <si>
    <t>Llargada</t>
  </si>
  <si>
    <t>Amplada</t>
  </si>
  <si>
    <t>Alçada</t>
  </si>
  <si>
    <t>Parcial</t>
  </si>
  <si>
    <t>Subtotal</t>
  </si>
  <si>
    <t>mt35aia010c</t>
  </si>
  <si>
    <t>Material</t>
  </si>
  <si>
    <t>m</t>
  </si>
  <si>
    <t>Tubo curvable de PVC, corrugado, de color negro, de 25 mm de diámetro nominal, para canalización empotrada en obra de fábrica (paredes y techos). Resistencia a la compresión 320 N, resistencia al impacto 1 julio, temperatura de trabajo -5°C hasta 60°C, con grado de protección IP 545 según UNE 20324, no propagador de la llama. Según UNE-EN 61386-1 y UNE-EN 61386-22.</t>
  </si>
  <si>
    <t>mo003</t>
  </si>
  <si>
    <t>Mà d'obra</t>
  </si>
  <si>
    <t>h</t>
  </si>
  <si>
    <t>Oficial 1ª electricista.</t>
  </si>
  <si>
    <t>mo102</t>
  </si>
  <si>
    <t>Mà d'obra</t>
  </si>
  <si>
    <t>h</t>
  </si>
  <si>
    <t>Ayudante electricista.</t>
  </si>
  <si>
    <t>%</t>
  </si>
  <si>
    <t>%</t>
  </si>
  <si>
    <t>Costes directos complementarios</t>
  </si>
  <si>
    <t>ICN016</t>
  </si>
  <si>
    <t>ICN020</t>
  </si>
  <si>
    <t>Partida</t>
  </si>
  <si>
    <t>Ud</t>
  </si>
  <si>
    <t>Equipo de aire acondicionado con unidad interior de pared, sistema aire-aire split 1x1.</t>
  </si>
  <si>
    <t>Suministro e instalación de equipo de aire acondicionado, sistema aire-aire split 1x1, bomba de calor, para gas refrigerante R-32, alimentación monofásica (230V/50Hz), potencia frigorífica mínima/nominal/máxima: 1,9/5,3/5,5 kW (temperatura de bulbo seco en el interior 27°C, temperatura de bulbo húmedo en el interior 19°C, temperatura de bulbo seco en el exterior 35°C), potencia calorífica mínima/nominal/máxima: 1,4/5,4/5,6 kW (temperatura de bulbo seco en el interior 20°C, temperatura de bulbo seco en el exterior 7°C, temperatura de bulbo húmedo en el exterior 6°C), consumo eléctrico mínimo/nominal/máximo en refrigeración: 0,21/1,65/1,73 kW, consumo eléctrico mínimo/nominal/máximo en calefacción: 0,31/1,5/2 kW, SEER 6,1 (clase A++), SCOP 4 (clase A+), diámetro de conexión de la tubería de líquido 1/4", diámetro de conexión de la tubería de gas 1/2", formado por una unidad interior de pared, dimensiones 315x970x235 mm, peso 12,5 kg, caudal de aire 1000 m³/h, presión sonora mínima/máxima: 20/48 dBA, potencia sonora 58 dBA, un control remoto por infrarrojos, y una unidad exterior LSGT50-S, dimensiones 535x802x298 mm, peso 35 kg, presión sonora 53 dBA, potencia sonora 62 dBA, longitud máxima de tubería 25 m, diferencia máxima de altura entre la unidad exterior y la unidad interior 15 m. Incluso elementos antivibratorios y soportes de pared para apoyo de la unidad exterior. Incluye conexión a desagüe. Totalmente instalado y en funcionamiento.</t>
  </si>
  <si>
    <t>mt42bax300kc</t>
  </si>
  <si>
    <t>Material</t>
  </si>
  <si>
    <t>Ud</t>
  </si>
  <si>
    <t>Equipo de aire acondicionado, sistema aire-aire split 1x1, bomba de calor, para gas refrigerante R-32, modelo ANORI Mono R32 LSG50 "BAXI", alimentación monofásica (230V/50Hz), potencia frigorífica mínima/nominal/máxima: 1,9/5,3/5,5 kW (temperatura de bulbo seco en el interior 27°C, temperatura de bulbo húmedo en el interior 19°C, temperatura de bulbo seco en el exterior 35°C), potencia calorífica mínima/nominal/máxima: 1,4/5,4/5,6 kW (temperatura de bulbo seco en el interior 20°C, temperatura de bulbo seco en el exterior 7°C, temperatura de bulbo húmedo en el exterior 6°C), consumo eléctrico mínimo/nominal/máximo en refrigeración: 0,21/1,65/1,73 kW, consumo eléctrico mínimo/nominal/máximo en calefacción: 0,31/1,5/2 kW, SEER 6,1 (clase A++), SCOP 4 (clase A+), diámetro de conexión de la tubería de líquido 1/4", diámetro de conexión de la tubería de gas 1/2", formado por una unidad interior de pared LSGNW50, dimensiones 315x970x235 mm, peso 12,5 kg, caudal de aire 1000 m³/h, presión sonora mínima/máxima: 20/48 dBA, potencia sonora 58 dBA, un control remoto por infrarrojos, y una unidad exterior LSGT50-S, dimensiones 535x802x298 mm, peso 35 kg, presión sonora 53 dBA, potencia sonora 62 dBA, longitud máxima de tubería 25 m, diferencia máxima de altura entre la unidad exterior y la unidad interior 15 m.</t>
  </si>
  <si>
    <t>mt42www085</t>
  </si>
  <si>
    <t>Material</t>
  </si>
  <si>
    <t>Ud</t>
  </si>
  <si>
    <t>Kit de soportes de pared, formado por juego de escuadras de 50x45 cm y cuatro amortiguadores de caucho, con sus tacos, tornillos, tuercas y arandelas correspondientes.</t>
  </si>
  <si>
    <t>mo005</t>
  </si>
  <si>
    <t>Mà d'obra</t>
  </si>
  <si>
    <t>h</t>
  </si>
  <si>
    <t>Oficial 1ª instalador de climatización.</t>
  </si>
  <si>
    <t>mo104</t>
  </si>
  <si>
    <t>Mà d'obra</t>
  </si>
  <si>
    <t>h</t>
  </si>
  <si>
    <t>Ayudante instalador de climatización.</t>
  </si>
  <si>
    <t>%</t>
  </si>
  <si>
    <t>%</t>
  </si>
  <si>
    <t>Costes directos complementarios</t>
  </si>
  <si>
    <t>ICN020</t>
  </si>
  <si>
    <t>ICN030</t>
  </si>
  <si>
    <t>Partida</t>
  </si>
  <si>
    <t>Ud</t>
  </si>
  <si>
    <t>Equipo de aire acondicionado con unidad interior de cassette, sistema aire-aire split 1x1.</t>
  </si>
  <si>
    <t>Suministro e instalación de equipo de aire acondicionado, sistema aire-aire split 1x1, bomba de calor, para gas refrigerante R-32, potencia frigorífica mínima/nominal/máxima: 3/10/12 kW (temperatura de bulbo seco en el interior 27°C, temperatura de bulbo húmedo en el interior 19°C, temperatura de bulbo seco en el exterior 35°C), potencia calorífica mínima/nominal/máxima: 2,2/11,2/15,5 kW (temperatura de bulbo seco en el interior 20°C, temperatura de bulbo seco en el exterior 7°C, temperatura de bulbo húmedo en el exterior 6°C), consumo eléctrico nominal en refrigeración 3,2 kW, consumo eléctrico nominal en calefacción 3,2 kW, alimentación monofásica (230V/50Hz), EER 3,08, COP 3,5, SEER 6,8 (clase A++), SCOP 4,3 (clase A+), formado por una unidad interior de cassette de flujo circular (distribución radial uniforme del aire en 360°), con ventilador de 3 velocidades, caudal de aire 72 m³/min, dimensiones 947x365x947 mm, peso 23,5 kg, potencia sonora 61 dBA, con panel rectangular de color blanco , dimensiones 1050x66x1050 mm, bomba para elevación de condensados, y una unidad exterior, peso 75 kg, potencia sonora 69 dBA, longitud máxima de tubería 50 m, diferencia máxima de altura entre la unidad exterior y la unidad interior 30 m, control remoto inalámbrico. Incluso elementos antivibratorios y soportes de pared para apoyo de la unidad exterior y elementos para suspensión del techo para la unidad interior. Incluye conexión a desagüe. Totalmente instalado y en funcionamiento.</t>
  </si>
  <si>
    <t>ICN</t>
  </si>
  <si>
    <t>IC</t>
  </si>
  <si>
    <t>IE</t>
  </si>
  <si>
    <t>Capítol</t>
  </si>
  <si>
    <t>Eléctricas</t>
  </si>
  <si>
    <t>IEI</t>
  </si>
  <si>
    <t>Capítol</t>
  </si>
  <si>
    <t>Instalaciones interiores</t>
  </si>
  <si>
    <t>IEP030</t>
  </si>
  <si>
    <t>Partida</t>
  </si>
  <si>
    <t>Ud</t>
  </si>
  <si>
    <t>Red de equipotencialidad.</t>
  </si>
  <si>
    <t>Suministro e instalación de red de equipotencialidad mediante conductor rígido de cobre de 4 mm² de sección, conectando a tierra todas las canalizaciones metálicas existentes y todos los elementos conductores que resulten accesibles mediante abrazaderas de latón. Incluso p/p de cajas de empalmes y regletas. Totalmente montada, conexionada y probada.</t>
  </si>
  <si>
    <t>E1AB01.7R</t>
  </si>
  <si>
    <t>Partida</t>
  </si>
  <si>
    <t>ut</t>
  </si>
  <si>
    <t>Desmontaje instalación eléctrica con carga y transporte</t>
  </si>
  <si>
    <t>Desmontaje de la instalación eléctrica existente con carga, transporte y descarga a vertedero autorizado o almacén que indique la Dirección Facultativa o la propiedad. Incluye cableado, canalizaciones, mecanismos, luminarias  y todos elementos eléctricos.</t>
  </si>
  <si>
    <t>B1AB1.A</t>
  </si>
  <si>
    <t>Material</t>
  </si>
  <si>
    <t>ut</t>
  </si>
  <si>
    <t>Desmontaje instalación eléctrica con carga y transporte</t>
  </si>
  <si>
    <t>E1AB01.7R</t>
  </si>
  <si>
    <t>ERHG20.43GR</t>
  </si>
  <si>
    <t>Partida</t>
  </si>
  <si>
    <t>ud</t>
  </si>
  <si>
    <t>Alim. punto de connexión voz/datos incluyendo conductor de 4 pares trenzados UTP, de categoria 6A</t>
  </si>
  <si>
    <t>Punto de conexión voz/datos desde Rack principal o secundario, incluyendo conductor de 4 pares trenzados UTP, de categoría 6A según norma ISO/IEC 11801 2.ª edición, cumpliendo cono CPR Clase Cca, s1a, d1, a1, bajo tubo plástico libre de halógenos rígido en ejecución vista en falso techo y tubo flexible empotrado en bajantes y caja, desde caja de derivación a punto y línea hasta distribuidor tendida por bandeja. Completamente instalado. Incluyendo pp. de canalización en bandeja o tubo y cajas de derivación.</t>
  </si>
  <si>
    <t>A0121</t>
  </si>
  <si>
    <t>Mà d'obra</t>
  </si>
  <si>
    <t>h</t>
  </si>
  <si>
    <t>Oficial 1ª electricista</t>
  </si>
  <si>
    <t>A0131</t>
  </si>
  <si>
    <t>Mà d'obra</t>
  </si>
  <si>
    <t>h</t>
  </si>
  <si>
    <t>Ajudant electricista</t>
  </si>
  <si>
    <t>BRHG3.BAA</t>
  </si>
  <si>
    <t>Material</t>
  </si>
  <si>
    <t>ud</t>
  </si>
  <si>
    <t>Punt de connexió veu/dades incloent conductor de 4 parells trenats UTP, de categoria 6A</t>
  </si>
  <si>
    <t>ERHG20.43GR</t>
  </si>
  <si>
    <t>ERDK86.7R</t>
  </si>
  <si>
    <t>Partida</t>
  </si>
  <si>
    <t>ud</t>
  </si>
  <si>
    <t>Alim. punto de luz con cond.07Z1-K, tubo de material aislante, cond. Cu según legislación vigente</t>
  </si>
  <si>
    <t>Alimentación de punto de luz (simple/conmutado/cruce/desde cuadro directo/pulsador o detector de presencia). Cableado y canalización a luminaria y mecanismo/s accionamiento y pp línea y cajas de derivación des de cuadro de zona según especificaciones proyecto. Características:
- Derivación punto de luz/mecanismo: Cable Cu 07Z1-K; tubo aislante flexible/rígido no propagador de la llama, cajas aislantes con tapa atornillada, entradas elásticas/roscades.
- Línea desde cuadro: Cable Cu según legislación vigente; canalización en tubo o bandeja, conductor de cobre desnudo 16 mm2 para puesta a tierra de la canal, incluyendo parte proporcional de accesorios.
- Configuración y sección cables según esquema unifilar proyecto. Piezas especiales, accesorios de montaje y suportación canalizaciones/cables según referencias fabricante. Completamente instalado.</t>
  </si>
  <si>
    <t>ERFP63</t>
  </si>
  <si>
    <t>Partida</t>
  </si>
  <si>
    <t>ud</t>
  </si>
  <si>
    <t>Alim. punto de fuerza con cond. Cu RZ1-K 0,6/1 kV en canal metàl·lica o tubo. Toma de corriente 16A+TT 230V</t>
  </si>
  <si>
    <t>Alimentación a toma de corriente 16A+TT 230V, incluyendo cables y canalización a mecanismo y parte proporcional de linia y cajas de derivación desde cuadro de zona.
Características:
Derivación a mecanismo: Cable de Cu RZ1-K 0,6/1 kV 2x2.5+TT
Linia desde cuadro: Cable de Cu RZ1-K 0,6/1 kV en canalización tubo o canal metálica.
Configuración del cable y sección de los conductores según esquema unifilar del proyecto. Completamente instalado.</t>
  </si>
  <si>
    <t>A0121</t>
  </si>
  <si>
    <t>Mà d'obra</t>
  </si>
  <si>
    <t>h</t>
  </si>
  <si>
    <t>Oficial 1ª electricista</t>
  </si>
  <si>
    <t>A0131</t>
  </si>
  <si>
    <t>Mà d'obra</t>
  </si>
  <si>
    <t>h</t>
  </si>
  <si>
    <t>Ajudant electricista</t>
  </si>
  <si>
    <t>BRFP63</t>
  </si>
  <si>
    <t>Material</t>
  </si>
  <si>
    <t>ut</t>
  </si>
  <si>
    <t>Material punt força amb conductor Cu RZ1-K en canal metàl·lica encastada (no incl.)</t>
  </si>
  <si>
    <t>ERFP63</t>
  </si>
  <si>
    <t>ERFP63ba</t>
  </si>
  <si>
    <t>Partida</t>
  </si>
  <si>
    <t>ud</t>
  </si>
  <si>
    <t>Alim. punto de fuerza con cond. Cu RZ1-K 0,6/1 kV en canal metàl·lica o tubo. Toma de corriente 16A+TT 400V</t>
  </si>
  <si>
    <t>Alimentación a toma de corriente 16A+TT 230V/400V, incluyendo cables y canalización a mecanismo y parte proporcional de linia y cajas de derivación desde cuadro de zona.
Características:
Derivación a mecanismo: Cable de Cu RZ1-K 0,6/1 kV 4x2.5+TT
Linia desde cuadro: Cable de Cu RZ1-K 0,6/1 kV en canalización tubo o canal metálica.
Configuración del cable y sección de los conductores según esquema unifilar del proyecto. Completamente instalado.</t>
  </si>
  <si>
    <t>ERFP63bn</t>
  </si>
  <si>
    <t>Partida</t>
  </si>
  <si>
    <t>ud</t>
  </si>
  <si>
    <t>Alim. punto de fuerza con cond. Cu RZ1-K 0,6/1 kV en canal metàl·lica o tubo. Toma de corriente 25A+TT 400V</t>
  </si>
  <si>
    <t>Alimentación a toma de corriente 16A+TT 400V, incluyendo cables y canalización a mecanismo y parte proporcional de linia y cajas de derivación desde cuadro de zona.
Características:
Derivación a mecanismo: Cable de Cu RZ1-K 0,6/1 kV 4x6+TT
Linia desde cuadro: Cable de Cu RZ1-K 0,6/1 kV en canalización tubo o canal metálica.
Configuración del cable y sección de los conductores según esquema unifilar del proyecto. Completamente instalado.</t>
  </si>
  <si>
    <t>ERFP63bac</t>
  </si>
  <si>
    <t>Partida</t>
  </si>
  <si>
    <t>ud</t>
  </si>
  <si>
    <t>Alim. punto de fuerza con cond. Cu RZ1-K 0,6/1 kV en canal metàl·lica o tubo. Toma de corriente 32A+TT 400V</t>
  </si>
  <si>
    <t>Alimentación a toma de corriente 32A+TT 400V, incluyendo cables y canalización a mecanismo y parte proporcional de linia y cajas de derivación desde cuadro de zona.
Características:
Derivación a mecanismo: Cable de Cu RZ1-K 0,6/1 kV 4x10+TT
Linia desde cuadro: Cable de Cu RZ1-K 0,6/1 kV en canalización tubo o canal metálica.
Configuración del cable y sección de los conductores según esquema unifilar del proyecto. Completamente instalado.</t>
  </si>
  <si>
    <t>ERFP63byt</t>
  </si>
  <si>
    <t>Partida</t>
  </si>
  <si>
    <t>ud</t>
  </si>
  <si>
    <t>Alim. punto de fuerza con cond. Cu RZ1-K 0,6/1 kV en canal metàl·lica o tubo. Toma de corriente 63A+TT 400V</t>
  </si>
  <si>
    <t>Alimentación a toma de corriente 63A+TT 400V, incluyendo cables y canalización a mecanismo y parte proporcional de linia y cajas de derivación desde cuadro de zona.
Características:
Derivación a mecanismo: Cable de Cu RZ1-K 0,6/1 kV 4x25+TT
Linia desde cuadro: Cable de Cu RZ1-K 0,6/1 kV en canalización tubo o canal metálica.
Configuración del cable y sección de los conductores según esquema unifilar del proyecto. Completamente instalado.</t>
  </si>
  <si>
    <t>ERFP63bh</t>
  </si>
  <si>
    <t>Partida</t>
  </si>
  <si>
    <t>ud</t>
  </si>
  <si>
    <t>Alim. punto de fuerza con cond. Cu RZ1-K 0,6/1 kV en canal metàl·lica o tubo. Toma de corriente 100A+TT 400V</t>
  </si>
  <si>
    <t>Alimentación a toma de corriente 100A+TT 400V, incluyendo cables y canalización a mecanismo y parte proporcional de linia y cajas de derivación desde cuadro de zona.
Características:
Derivación a mecanismo: Cable de Cu RZ1-K 0,6/1 kV 4x50+TT
Linia desde cuadro: Cable de Cu RZ1-K 0,6/1 kV en canalización tubo o canal metálica.
Configuración del cable y sección de los conductores según esquema unifilar del proyecto. Completamente instalado.</t>
  </si>
  <si>
    <t>ERFP63bz</t>
  </si>
  <si>
    <t>Partida</t>
  </si>
  <si>
    <t>ud</t>
  </si>
  <si>
    <t>Alim. punto de fuerza con cond. Cu RZ1-K 0,6/1 kV en canal metàl·lica o tubo. Cassete clima</t>
  </si>
  <si>
    <t>Alimentación de sistema de cassete de climatización, incluyendo cableado, canalización y parte proporcional de linia y cajas de derivación desde cuadro de zona.
Características:
Derivación a mecanismo: Cable de Cu RZ1-K 0,6/1 kV 2x4+TT
Linia desde cuadro: Cable de Cu RZ1-K 0,6/1 kV en canalización tubo o canal metálica.
Configuración del cable y sección de los conductores según esquema unifilar del proyecto. Completamente instalado.</t>
  </si>
  <si>
    <t>A0121</t>
  </si>
  <si>
    <t>Mà d'obra</t>
  </si>
  <si>
    <t>h</t>
  </si>
  <si>
    <t>Oficial 1ª electricista</t>
  </si>
  <si>
    <t>A0131</t>
  </si>
  <si>
    <t>Mà d'obra</t>
  </si>
  <si>
    <t>h</t>
  </si>
  <si>
    <t>Ajudant electricista</t>
  </si>
  <si>
    <t>BRFP63</t>
  </si>
  <si>
    <t>Material</t>
  </si>
  <si>
    <t>ut</t>
  </si>
  <si>
    <t>Material punt força amb conductor Cu RZ1-K en canal metàl·lica encastada (no incl.)</t>
  </si>
  <si>
    <t>ERFP63bz</t>
  </si>
  <si>
    <t>ERFP63buy</t>
  </si>
  <si>
    <t>Partida</t>
  </si>
  <si>
    <t>ud</t>
  </si>
  <si>
    <t>Alim. punto de fuerza con cond. Cu RZ1-K 0,6/1 kV en canal metàl·lica o tubo. Split clima</t>
  </si>
  <si>
    <t>Alimentación de sistema de split de climatización, incluyendo cableado, canalización y parte proporcional de linia y cajas de derivación desde cuadro de zona.
Características:
Derivación a mecanismo: Cable de Cu RZ1-K 0,6/1 kV 2x2.5+TT
Linia desde cuadro: Cable de Cu RZ1-K 0,6/1 kV en canalización tubo o canal metálica.
Configuración del cable y sección de los conductores según esquema unifilar del proyecto. Completamente instalado.</t>
  </si>
  <si>
    <t>A0121</t>
  </si>
  <si>
    <t>Mà d'obra</t>
  </si>
  <si>
    <t>h</t>
  </si>
  <si>
    <t>Oficial 1ª electricista</t>
  </si>
  <si>
    <t>A0131</t>
  </si>
  <si>
    <t>Mà d'obra</t>
  </si>
  <si>
    <t>h</t>
  </si>
  <si>
    <t>Ajudant electricista</t>
  </si>
  <si>
    <t>BRFP63</t>
  </si>
  <si>
    <t>Material</t>
  </si>
  <si>
    <t>ut</t>
  </si>
  <si>
    <t>Material punt força amb conductor Cu RZ1-K en canal metàl·lica encastada (no incl.)</t>
  </si>
  <si>
    <t>ERFP63buy</t>
  </si>
  <si>
    <t>ERFP63i</t>
  </si>
  <si>
    <t>Partida</t>
  </si>
  <si>
    <t>ud</t>
  </si>
  <si>
    <t>Alim. punto de fuerza con cond. Cu RZ1-K 0,6/1 kV en canal metàl·lica o tubo. Caja aportación ventilación.</t>
  </si>
  <si>
    <t>Alimentación de sistema de split de caja de aportación de ventilación, incluyendo cableado, canalización y parte proporcional de linia y cajas de derivación desde cuadro de zona.
Características:
Derivación a mecanismo: Cable de Cu RZ1-K 0,6/1 kV 2x2.5+TT
Linia desde cuadro: Cable de Cu RZ1-K 0,6/1 kV en canalización tubo o canal metálica.
Configuración del cable y sección de los conductores según esquema unifilar del proyecto. Completamente instalado.</t>
  </si>
  <si>
    <t>A0121</t>
  </si>
  <si>
    <t>Mà d'obra</t>
  </si>
  <si>
    <t>h</t>
  </si>
  <si>
    <t>Oficial 1ª electricista</t>
  </si>
  <si>
    <t>A0131</t>
  </si>
  <si>
    <t>Mà d'obra</t>
  </si>
  <si>
    <t>h</t>
  </si>
  <si>
    <t>Ajudant electricista</t>
  </si>
  <si>
    <t>BRFP63</t>
  </si>
  <si>
    <t>Material</t>
  </si>
  <si>
    <t>ut</t>
  </si>
  <si>
    <t>Material punt força amb conductor Cu RZ1-K en canal metàl·lica encastada (no incl.)</t>
  </si>
  <si>
    <t>ERFP63i</t>
  </si>
  <si>
    <t>ERFP63ibo</t>
  </si>
  <si>
    <t>Partida</t>
  </si>
  <si>
    <t>ud</t>
  </si>
  <si>
    <t>Alim. punto de fuerza con cond. Cu RZ1-K 0,6/1 kV en canal metàl·lica o tubo. Cámara de regrigeración/congelación monofasica.</t>
  </si>
  <si>
    <t>Alimentación de cámara de regrigeración/congelación/sala fria monofasica, incluyendo cableado, canalización y parte proporcional de linia y cajas de derivación desde cuadro de zona.
Características:
Derivación a mecanismo: Cable de Cu RZ1-K 0,6/1 kV 2x2.5+TT
Linia desde cuadro: Cable de Cu RZ1-K 0,6/1 kV en canalización tubo o canal metálica.
Configuración del cable y sección de los conductores según esquema unifilar del proyecto. Completamente instalado.</t>
  </si>
  <si>
    <t>Uts.</t>
  </si>
  <si>
    <t>Llargada</t>
  </si>
  <si>
    <t>Amplada</t>
  </si>
  <si>
    <t>Alçada</t>
  </si>
  <si>
    <t>Parcial</t>
  </si>
  <si>
    <t>Subtotal</t>
  </si>
  <si>
    <t>Camara congelación 1b</t>
  </si>
  <si>
    <t>Camara regrigeración 1a</t>
  </si>
  <si>
    <t>Camara regrigeración 1b</t>
  </si>
  <si>
    <t>Camara regrigeración 2a</t>
  </si>
  <si>
    <t>Camara regrigeración 2b</t>
  </si>
  <si>
    <t>Camara regrigeración 3a</t>
  </si>
  <si>
    <t>Camara regrigeración 3b</t>
  </si>
  <si>
    <t>Camara sala fria 1a</t>
  </si>
  <si>
    <t>Camara sala fria 1b</t>
  </si>
  <si>
    <t>A0121</t>
  </si>
  <si>
    <t>Mà d'obra</t>
  </si>
  <si>
    <t>h</t>
  </si>
  <si>
    <t>Oficial 1ª electricista</t>
  </si>
  <si>
    <t>A0131</t>
  </si>
  <si>
    <t>Mà d'obra</t>
  </si>
  <si>
    <t>h</t>
  </si>
  <si>
    <t>Ajudant electricista</t>
  </si>
  <si>
    <t>BRFP63</t>
  </si>
  <si>
    <t>Material</t>
  </si>
  <si>
    <t>ut</t>
  </si>
  <si>
    <t>Material punt força amb conductor Cu RZ1-K en canal metàl·lica encastada (no incl.)</t>
  </si>
  <si>
    <t>ERFP63ibo</t>
  </si>
  <si>
    <t>ERFP6uy</t>
  </si>
  <si>
    <t>Partida</t>
  </si>
  <si>
    <t>ud</t>
  </si>
  <si>
    <t>Alim. punto de fuerza con cond. Cu RZ1-K 0,6/1 kV en canal metàl·lica o tubo. Cámara de congelación trifasica/montacargas/extractor campana/Aportación campana</t>
  </si>
  <si>
    <t>Alimentación de cámara de congelación trifasica/montacargas/extractor campana/Aportación campana, incluyendo cableado, canalización y parte proporcional de linia y cajas de derivación desde cuadro de zona.
Características:
Derivación a mecanismo: Cable de Cu RZ1-K 0,6/1 kV 4x2.5+TT
Linia desde cuadro: Cable de Cu RZ1-K 0,6/1 kV en canalización tubo o canal metálica.
Configuración del cable y sección de los conductores según esquema unifilar del proyecto. Completamente instalado.</t>
  </si>
  <si>
    <t>Uts.</t>
  </si>
  <si>
    <t>Llargada</t>
  </si>
  <si>
    <t>Amplada</t>
  </si>
  <si>
    <t>Alçada</t>
  </si>
  <si>
    <t>Parcial</t>
  </si>
  <si>
    <t>Subtotal</t>
  </si>
  <si>
    <t>Camara congelación 1a</t>
  </si>
  <si>
    <t>IEI</t>
  </si>
  <si>
    <t>IEX</t>
  </si>
  <si>
    <t>Capítol</t>
  </si>
  <si>
    <t>Aparamenta</t>
  </si>
  <si>
    <t>E1AB01tt</t>
  </si>
  <si>
    <t>Partida</t>
  </si>
  <si>
    <t>ut</t>
  </si>
  <si>
    <t>Desmontaje instalación eléctrica cuadro eléctrico existente</t>
  </si>
  <si>
    <t>Desmontaje de la instalación eléctrica de los cuadros eléctricos (SQ-cocina y SQ-Túmulo) con carga, transporte y descarga a vertedero autorizado o almacén que indique la Dirección Facultativa o la propiedad.
Incluye posterior montaje del SQ-Tumulo según documentación gráfica.</t>
  </si>
  <si>
    <t>IEX050b</t>
  </si>
  <si>
    <t>Partida</t>
  </si>
  <si>
    <t>Ud</t>
  </si>
  <si>
    <t>Interruptor automático magnetotérmico, bipolar (2P), intensidad nominal 10 A, poder de corte 10 kA, curva C.</t>
  </si>
  <si>
    <t>Suministro e instalación de interruptor automático magnetotérmico, bipolar (2P), intensidad nominal 10 A, poder de corte 10 kA, curva C, "SCHNEIDER ELECTRIC" o de prestaciones equivalentes, de 36x85x78,5 mm, grado de protección IP 20, montaje sobre carril DIN (35 mm). Totalmente montado, conexionado y probado.</t>
  </si>
  <si>
    <t>mt35ase811gg</t>
  </si>
  <si>
    <t>Material</t>
  </si>
  <si>
    <t>Ud</t>
  </si>
  <si>
    <t>Interruptor automático magnetotérmico, bipolar (2P), intensidad nominal 10 A, poder de corte 10 kA, curva C, modelo iC60N A9F79210 "SCHNEIDER ELECTRIC", de 36x85x78,5 mm, grado de protección IP 20, montaje sobre carril DIN (35 mm), según UNE-EN 60947-2.</t>
  </si>
  <si>
    <t>mo003</t>
  </si>
  <si>
    <t>Mà d'obra</t>
  </si>
  <si>
    <t>h</t>
  </si>
  <si>
    <t>Oficial 1ª electricista.</t>
  </si>
  <si>
    <t>%</t>
  </si>
  <si>
    <t>%</t>
  </si>
  <si>
    <t>Costes directos complementarios</t>
  </si>
  <si>
    <t>IEX050b</t>
  </si>
  <si>
    <t>IEX050</t>
  </si>
  <si>
    <t>Partida</t>
  </si>
  <si>
    <t>Ud</t>
  </si>
  <si>
    <t>Interruptor automático magnetotérmico, bipolar (2P), intensidad nominal 16 A, poder de corte 10 kA, curva C.</t>
  </si>
  <si>
    <t>Suministro e instalación de interruptor automático magnetotérmico, bipolar (2P), intensidad nominal 16 A, poder de corte 10 kA, curva C, "SCHNEIDER ELECTRIC" o de prestaciones equivalentes, de 36x85x78,5 mm, grado de protección IP 20, montaje sobre carril DIN (35 mm). Totalmente montado, conexionado y probado.</t>
  </si>
  <si>
    <t>mt35ase811hh</t>
  </si>
  <si>
    <t>Material</t>
  </si>
  <si>
    <t>Ud</t>
  </si>
  <si>
    <t>Interruptor automático magnetotérmico, bipolar (2P), intensidad nominal 16 A, poder de corte 10 kA, curva C, modelo iC60N A9F79216 "SCHNEIDER ELECTRIC", de 36x85x78,5 mm, grado de protección IP 20, montaje sobre carril DIN (35 mm), según UNE-EN 60947-2.</t>
  </si>
  <si>
    <t>mo003</t>
  </si>
  <si>
    <t>Mà d'obra</t>
  </si>
  <si>
    <t>h</t>
  </si>
  <si>
    <t>Oficial 1ª electricista.</t>
  </si>
  <si>
    <t>%</t>
  </si>
  <si>
    <t>%</t>
  </si>
  <si>
    <t>Costes directos complementarios</t>
  </si>
  <si>
    <t>IEX050</t>
  </si>
  <si>
    <t>IEX050c</t>
  </si>
  <si>
    <t>Partida</t>
  </si>
  <si>
    <t>Ud</t>
  </si>
  <si>
    <t>Interruptor automático magnetotérmico, tetrapolar (4P), intensidad nominal 16 A, poder de corte 15 kA, curva C.</t>
  </si>
  <si>
    <t>Suministro e instalación de interruptor automático magnetotérmico, tetrapolar (4P), intensidad nominal 16 A, poder de corte 15 kA, curva C, "SCHNEIDER ELECTRIC" o de prestaciones equivalentes, de 72x85x78,5 mm, grado de protección IP 20, montaje sobre carril DIN (35 mm). Totalmente montado, conexionado y probado.</t>
  </si>
  <si>
    <t>mt35ase815hh</t>
  </si>
  <si>
    <t>Material</t>
  </si>
  <si>
    <t>Ud</t>
  </si>
  <si>
    <t>Interruptor automático magnetotérmico, tetrapolar (4P), intensidad nominal 16 A, poder de corte 10 kA, curva C, modelo iC60N A9F79416 "SCHNEIDER ELECTRIC", de 72x85x78,5 mm, grado de protección IP 20, montaje sobre carril DIN (35 mm), según UNE-EN 60947-2.</t>
  </si>
  <si>
    <t>mo003</t>
  </si>
  <si>
    <t>Mà d'obra</t>
  </si>
  <si>
    <t>h</t>
  </si>
  <si>
    <t>Oficial 1ª electricista.</t>
  </si>
  <si>
    <t>%</t>
  </si>
  <si>
    <t>%</t>
  </si>
  <si>
    <t>Costes directos complementarios</t>
  </si>
  <si>
    <t>IEX050c</t>
  </si>
  <si>
    <t>IEX050d</t>
  </si>
  <si>
    <t>Partida</t>
  </si>
  <si>
    <t>Ud</t>
  </si>
  <si>
    <t>Interruptor automático magnetotérmico, tetrapolar (4P), intensidad nominal 20 A, poder de corte 15 kA, curva C.</t>
  </si>
  <si>
    <t>Suministro e instalación de interruptor automático magnetotérmico, tetrapolar (4P), intensidad nominal 20 A, poder de corte 15 kA, curva C, "SCHNEIDER ELECTRIC" o de prestaciones equivalentes, de 72x85x78,5 mm, grado de protección IP 20, montaje sobre carril DIN (35 mm). Totalmente montado, conexionado y probado.</t>
  </si>
  <si>
    <t>mt35ase815ii</t>
  </si>
  <si>
    <t>Material</t>
  </si>
  <si>
    <t>Ud</t>
  </si>
  <si>
    <t>Interruptor automático magnetotérmico, tetrapolar (4P), intensidad nominal 20 A, poder de corte 10 kA, curva C, modelo iC60N A9F79420 "SCHNEIDER ELECTRIC", de 72x85x78,5 mm, grado de protección IP 20, montaje sobre carril DIN (35 mm), según UNE-EN 60947-2.</t>
  </si>
  <si>
    <t>mo003</t>
  </si>
  <si>
    <t>Mà d'obra</t>
  </si>
  <si>
    <t>h</t>
  </si>
  <si>
    <t>Oficial 1ª electricista.</t>
  </si>
  <si>
    <t>%</t>
  </si>
  <si>
    <t>%</t>
  </si>
  <si>
    <t>Costes directos complementarios</t>
  </si>
  <si>
    <t>IEX050d</t>
  </si>
  <si>
    <t>IEX050e</t>
  </si>
  <si>
    <t>Partida</t>
  </si>
  <si>
    <t>Ud</t>
  </si>
  <si>
    <t>Interruptor automático magnetotérmico, tetrapolar (4P), intensidad nominal 25 A, poder de corte 15 kA, curva C.</t>
  </si>
  <si>
    <t>Suministro e instalación de interruptor automático magnetotérmico, tetrapolar (4P), intensidad nominal 25 A, poder de corte 15 kA, curva C, "SCHNEIDER ELECTRIC" o de prestaciones equivalentes, de 72x85x78,5 mm, grado de protección IP 20, montaje sobre carril DIN (35 mm). Totalmente montado, conexionado y probado.</t>
  </si>
  <si>
    <t>mt35ase815jj</t>
  </si>
  <si>
    <t>Material</t>
  </si>
  <si>
    <t>Ud</t>
  </si>
  <si>
    <t>Interruptor automático magnetotérmico, tetrapolar (4P), intensidad nominal 25 A, poder de corte 10 kA, curva C, modelo iC60N A9F79425 "SCHNEIDER ELECTRIC", de 72x85x78,5 mm, grado de protección IP 20, montaje sobre carril DIN (35 mm), según UNE-EN 60947-2.</t>
  </si>
  <si>
    <t>mo003</t>
  </si>
  <si>
    <t>Mà d'obra</t>
  </si>
  <si>
    <t>h</t>
  </si>
  <si>
    <t>Oficial 1ª electricista.</t>
  </si>
  <si>
    <t>%</t>
  </si>
  <si>
    <t>%</t>
  </si>
  <si>
    <t>Costes directos complementarios</t>
  </si>
  <si>
    <t>IEX050e</t>
  </si>
  <si>
    <t>IEX070</t>
  </si>
  <si>
    <t>Partida</t>
  </si>
  <si>
    <t>Ud</t>
  </si>
  <si>
    <t>Interruptor automático magnetotérmico, tetrapolar (4P), intensidad nominal 63 A, poder de corte 15 kA, curva C, con bloque diferencial instantáneo, tetrapolar (4P), intensidad nominal 125 A, sensibilidad 30 mA, clase AC.</t>
  </si>
  <si>
    <t>Suministro e instalación de interruptor automático magnetotérmico, tetrapolar (4P), intensidad nominal 63 A, poder de corte 15 kA, curva C, modelo C120H A9N18478 "SCHNEIDER ELECTRIC", de 108x81x73 mm, grado de protección IP 20, montaje sobre carril DIN (35 mm), con bloque diferencial instantáneo, tetrapolar (4P), intensidad nominal 125 A, sensibilidad 30 mA, clase AC, modelo Vigi C120 A9N18569. Totalmente montado, conexionado y probado.</t>
  </si>
  <si>
    <t>mt35ase888aa</t>
  </si>
  <si>
    <t>Material</t>
  </si>
  <si>
    <t>Ud</t>
  </si>
  <si>
    <t>Interruptor automático magnetotérmico, tetrapolar (4P), intensidad nominal 63 A, poder de corte 15 kA, curva C, modelo C120H A9N18478 "SCHNEIDER ELECTRIC", de 108x81x73 mm, grado de protección IP 20, montaje sobre carril DIN (35 mm), según UNE-EN 60947-2.</t>
  </si>
  <si>
    <t>mt35ase392a</t>
  </si>
  <si>
    <t>Material</t>
  </si>
  <si>
    <t>Ud</t>
  </si>
  <si>
    <t>Bloque diferencial instantáneo, tetrapolar (4P), intensidad nominal 125 A, sensibilidad 300 mA, clase AC, modelo Vigi C120 A9N18569 "SCHNEIDER ELECTRIC", de 90x87x73 mm, montaje sobre carril DIN, según UNE-EN 61008-1.</t>
  </si>
  <si>
    <t>mo003</t>
  </si>
  <si>
    <t>Mà d'obra</t>
  </si>
  <si>
    <t>h</t>
  </si>
  <si>
    <t>Oficial 1ª electricista.</t>
  </si>
  <si>
    <t>%</t>
  </si>
  <si>
    <t>%</t>
  </si>
  <si>
    <t>Costes directos complementarios</t>
  </si>
  <si>
    <t>IEX070</t>
  </si>
  <si>
    <t>IEX070b</t>
  </si>
  <si>
    <t>Partida</t>
  </si>
  <si>
    <t>Ud</t>
  </si>
  <si>
    <t>Interruptor automático magnetotérmico, tetrapolar (4P), intensidad nominal 100 A, poder de corte 15 kA, curva C, con bloque diferencial instantáneo, tetrapolar (4P), intensidad nominal 125 A, sensibilidad 300 mA, clase AC.</t>
  </si>
  <si>
    <t>Suministro e instalación de interruptor automático magnetotérmico, tetrapolar (4P), intensidad nominal 100 A, poder de corte 15 kA, curva C, modelo C120H A9N18480 "SCHNEIDER ELECTRIC", de 108x81x73 mm, grado de protección IP 20, montaje sobre carril DIN (35 mm), con bloque diferencial instantáneo, tetrapolar (4P), intensidad nominal 125 A, sensibilidad 300 mA, clase AC, modelo Vigi C120 A9N18570. Totalmente montado, conexionado y probado.</t>
  </si>
  <si>
    <t>mt35ase888cc</t>
  </si>
  <si>
    <t>Material</t>
  </si>
  <si>
    <t>Ud</t>
  </si>
  <si>
    <t>Interruptor automático magnetotérmico, tetrapolar (4P), intensidad nominal 100 A, poder de corte 15 kA, curva C, modelo C120H A9N18480 "SCHNEIDER ELECTRIC", de 108x81x73 mm, grado de protección IP 20, montaje sobre carril DIN (35 mm), según UNE-EN 60947-2.</t>
  </si>
  <si>
    <t>mt35ase392h</t>
  </si>
  <si>
    <t>Material</t>
  </si>
  <si>
    <t>Ud</t>
  </si>
  <si>
    <t>Bloque diferencial instantáneo, tetrapolar (4P), intensidad nominal 125 A, sensibilidad 300 mA, clase AC, modelo Vigi C120 A9N18570 "SCHNEIDER ELECTRIC", de 90x87x73 mm, montaje sobre carril DIN, según UNE-EN 61008-1.</t>
  </si>
  <si>
    <t>mo003</t>
  </si>
  <si>
    <t>Mà d'obra</t>
  </si>
  <si>
    <t>h</t>
  </si>
  <si>
    <t>Oficial 1ª electricista.</t>
  </si>
  <si>
    <t>%</t>
  </si>
  <si>
    <t>%</t>
  </si>
  <si>
    <t>Costes directos complementarios</t>
  </si>
  <si>
    <t>IEX070b</t>
  </si>
  <si>
    <t>IEX060</t>
  </si>
  <si>
    <t>Partida</t>
  </si>
  <si>
    <t>Ud</t>
  </si>
  <si>
    <t>Interruptor diferencial instantáneo, bipolar (2P), intensidad nominal 40 A, sensibilidad 30 mA, clase AC.</t>
  </si>
  <si>
    <t>Suministro e instalación de interruptor diferencial instantáneo, bipolar (2P), intensidad nominal 40 A, sensibilidad 30 mA, clase AC, "SCHNEIDER ELECTRIC" o de prestaciones equivalentes, de 36x96x69 mm, montaje sobre carril DIN, con conexión mediante bornes de caja para cables de cobre. Totalmente montado, conexionado y probado.</t>
  </si>
  <si>
    <t>mt35ase310gc</t>
  </si>
  <si>
    <t>Material</t>
  </si>
  <si>
    <t>Ud</t>
  </si>
  <si>
    <t>Interruptor diferencial instantáneo, bipolar (2P), intensidad nominal 40 A, sensibilidad 30 mA, clase AC, modelo iID A9R81240 "SCHNEIDER ELECTRIC", de 36x96x69 mm, montaje sobre carril DIN, con conexión mediante bornes de caja para cables de cobre, según UNE-EN 61008-1.</t>
  </si>
  <si>
    <t>mo003</t>
  </si>
  <si>
    <t>Mà d'obra</t>
  </si>
  <si>
    <t>h</t>
  </si>
  <si>
    <t>Oficial 1ª electricista.</t>
  </si>
  <si>
    <t>%</t>
  </si>
  <si>
    <t>%</t>
  </si>
  <si>
    <t>Costes directos complementarios</t>
  </si>
  <si>
    <t>IEX060</t>
  </si>
  <si>
    <t>IEX060b</t>
  </si>
  <si>
    <t>Partida</t>
  </si>
  <si>
    <t>Ud</t>
  </si>
  <si>
    <t>Interruptor diferencial instantáneo, bipolar (2P), intensidad nominal 40 A, sensibilidad 300 mA, clase AC.</t>
  </si>
  <si>
    <t>Suministro e instalación de interruptor diferencial instantáneo, bipolar (2P), intensidad nominal 40 A, sensibilidad 300 mA, clase AC, "SCHNEIDER ELECTRIC" o de prestaciones equivalentes, de 36x96x69 mm, montaje sobre carril DIN, con conexión mediante bornes de caja para cables de cobre. Totalmente montado, conexionado y probado.</t>
  </si>
  <si>
    <t>mt35ase310lg</t>
  </si>
  <si>
    <t>Material</t>
  </si>
  <si>
    <t>Ud</t>
  </si>
  <si>
    <t>Interruptor diferencial instantáneo, bipolar (2P), intensidad nominal 40 A, sensibilidad 300 mA, clase AC, modelo iID A9R84240 "SCHNEIDER ELECTRIC", de 36x96x69 mm, montaje sobre carril DIN, con conexión mediante bornes de caja para cables de cobre, según UNE-EN 61008-1.</t>
  </si>
  <si>
    <t>mo003</t>
  </si>
  <si>
    <t>Mà d'obra</t>
  </si>
  <si>
    <t>h</t>
  </si>
  <si>
    <t>Oficial 1ª electricista.</t>
  </si>
  <si>
    <t>%</t>
  </si>
  <si>
    <t>%</t>
  </si>
  <si>
    <t>Costes directos complementarios</t>
  </si>
  <si>
    <t>IEX060b</t>
  </si>
  <si>
    <t>IEX060c</t>
  </si>
  <si>
    <t>Partida</t>
  </si>
  <si>
    <t>Ud</t>
  </si>
  <si>
    <t>Interruptor diferencial instantáneo, tetrapolar (4P), intensidad nominal 40 A, sensibilidad 30 mA, clase AC.</t>
  </si>
  <si>
    <t>Suministro e instalación de interruptor diferencial instantáneo, tetrapolar (4P), intensidad nominal 40 A, sensibilidad 30 mA, clase AC, "SCHNEIDER ELECTRIC" o de prestaciones equivalentes, de 72x96x69 mm, montaje sobre carril DIN, con conexión mediante bornes de caja para cables de cobre. Totalmente montado, conexionado y probado.</t>
  </si>
  <si>
    <t>mt35ase315bb</t>
  </si>
  <si>
    <t>Material</t>
  </si>
  <si>
    <t>Ud</t>
  </si>
  <si>
    <t>Interruptor diferencial instantáneo, tetrapolar (4P), intensidad nominal 40 A, sensibilidad 30 mA, clase AC, modelo iID A9R81440 "SCHNEIDER ELECTRIC", de 72x96x69 mm, montaje sobre carril DIN, con conexión mediante bornes de caja para cables de cobre, según UNE-EN 61008-1.</t>
  </si>
  <si>
    <t>mo003</t>
  </si>
  <si>
    <t>Mà d'obra</t>
  </si>
  <si>
    <t>h</t>
  </si>
  <si>
    <t>Oficial 1ª electricista.</t>
  </si>
  <si>
    <t>%</t>
  </si>
  <si>
    <t>%</t>
  </si>
  <si>
    <t>Costes directos complementarios</t>
  </si>
  <si>
    <t>IEX060c</t>
  </si>
  <si>
    <t>IEX060d</t>
  </si>
  <si>
    <t>Partida</t>
  </si>
  <si>
    <t>Ud</t>
  </si>
  <si>
    <t>Interruptor diferencial instantáneo, tetrapolar (4P), intensidad nominal 40 A, sensibilidad 300 mA, clase AC.</t>
  </si>
  <si>
    <t>Suministro e instalación de interruptor diferencial instantáneo, tetrapolar (4P), intensidad nominal 40 A, sensibilidad 300 mA, clase AC, "SCHNEIDER ELECTRIC" o de prestaciones equivalentes, de 72x96x69 mm, montaje sobre carril DIN, con conexión mediante bornes de caja para cables de cobre. Totalmente montado, conexionado y probado.</t>
  </si>
  <si>
    <t>mt35ase315ge</t>
  </si>
  <si>
    <t>Material</t>
  </si>
  <si>
    <t>Ud</t>
  </si>
  <si>
    <t>Interruptor diferencial instantáneo, tetrapolar (4P), intensidad nominal 40 A, sensibilidad 300 mA, clase AC, modelo iID A9R84440 "SCHNEIDER ELECTRIC", de 72x96x69 mm, montaje sobre carril DIN, con conexión mediante bornes de caja para cables de cobre, según UNE-EN 61008-1.</t>
  </si>
  <si>
    <t>mo003</t>
  </si>
  <si>
    <t>Mà d'obra</t>
  </si>
  <si>
    <t>h</t>
  </si>
  <si>
    <t>Oficial 1ª electricista.</t>
  </si>
  <si>
    <t>%</t>
  </si>
  <si>
    <t>%</t>
  </si>
  <si>
    <t>Costes directos complementarios</t>
  </si>
  <si>
    <t>IEX060d</t>
  </si>
  <si>
    <t>IEX060e</t>
  </si>
  <si>
    <t>Partida</t>
  </si>
  <si>
    <t>Ud</t>
  </si>
  <si>
    <t>Interruptor diferencial selectivo, tetrapolar (4P), intensidad nominal 40 A, sensibilidad 300 mA, clase AC.</t>
  </si>
  <si>
    <t>Suministro e instalación de interruptor diferencial selectivo, tetrapolar (4P), intensidad nominal 40 A, sensibilidad 300 mA, clase AC, "SCHNEIDER ELECTRIC" o de prestaciones equivalentes, de 72x96x69 mm, montaje sobre carril DIN, con conexión mediante bornes de caja para cables de cobre. Totalmente montado, conexionado y probado.</t>
  </si>
  <si>
    <t>mt35ase325aa</t>
  </si>
  <si>
    <t>Material</t>
  </si>
  <si>
    <t>Ud</t>
  </si>
  <si>
    <t>Interruptor diferencial selectivo, tetrapolar (4P), intensidad nominal 40 A, sensibilidad 300 mA, clase AC, modelo iID A9R15440 "SCHNEIDER ELECTRIC", de 72x96x69 mm, montaje sobre carril DIN, con conexión mediante bornes de caja para cables de cobre, según UNE-EN 61008-1.</t>
  </si>
  <si>
    <t>mo003</t>
  </si>
  <si>
    <t>Mà d'obra</t>
  </si>
  <si>
    <t>h</t>
  </si>
  <si>
    <t>Oficial 1ª electricista.</t>
  </si>
  <si>
    <t>%</t>
  </si>
  <si>
    <t>%</t>
  </si>
  <si>
    <t>Costes directos complementarios</t>
  </si>
  <si>
    <t>IEX060e</t>
  </si>
  <si>
    <t>IEX202</t>
  </si>
  <si>
    <t>Partida</t>
  </si>
  <si>
    <t>Ud</t>
  </si>
  <si>
    <t>Interruptor automático magnético en caja moldeada, tripolar (3P), intensidad nominal 250 A, poder de corte 36 kA a 400 V, modelo Compact NSX250F LV431160, "SCHNEIDER ELECTRIC", unidad de control electrónica Micrologic 2.2-M, con protección de motor.</t>
  </si>
  <si>
    <t>Suministro e instalación de interruptor automático magnético en caja moldeada, tripolar (3P), intensidad nominal 250 A, poder de corte 36 kA a 400 V, modelo Compact NSX250F LV431160, "SCHNEIDER ELECTRIC" o de prestaciones equivalentes, unidad de control electrónica Micrologic 2.2-M, con protección de motor, de 105x161x86 mm. Totalmente montado, conexionado y probado.</t>
  </si>
  <si>
    <t>mt35ase532h</t>
  </si>
  <si>
    <t>Material</t>
  </si>
  <si>
    <t>Ud</t>
  </si>
  <si>
    <t>Interruptor automático magnético en caja moldeada, tripolar (3P), intensidad nominal 220 A, poder de corte 36 kA a 400 V, modelo Compact NSX250F LV431160, "SCHNEIDER ELECTRIC", unidad de control electrónica Micrologic 2.2-M, con protección de motor, de 105x161x86 mm, según UNE-EN 60947-2.</t>
  </si>
  <si>
    <t>mo003</t>
  </si>
  <si>
    <t>Mà d'obra</t>
  </si>
  <si>
    <t>h</t>
  </si>
  <si>
    <t>Oficial 1ª electricista.</t>
  </si>
  <si>
    <t>%</t>
  </si>
  <si>
    <t>%</t>
  </si>
  <si>
    <t>Costes directos complementarios</t>
  </si>
  <si>
    <t>IEX202</t>
  </si>
  <si>
    <t>IEX405</t>
  </si>
  <si>
    <t>Partida</t>
  </si>
  <si>
    <t>Ud</t>
  </si>
  <si>
    <t>Armario de distribución metálico, de superficie, con puerta ciega, grado de protección IP 40, aislamiento clase II, de 1950x650x250 mm.</t>
  </si>
  <si>
    <t>Suministro y montaje de armario de distribución metálico, de superficie, con puerta ciega, grado de protección IP 40, aislamiento clase II, de 1950x650x250 mm, apilable con otros armarios, "SCHNEIDER ELECTRIC" o de prestaciones equivalentes, con techo, suelo y laterales desmontables por deslizamiento (sin tornillos), cierre de seguridad, escamoteable, con llave, acabado con pintura epoxi, microtexturizado. Totalmente montado.</t>
  </si>
  <si>
    <t>mt35amc950dd</t>
  </si>
  <si>
    <t>Material</t>
  </si>
  <si>
    <t>Ud</t>
  </si>
  <si>
    <t>Armario de distribución metálico, de superficie, con puerta ciega, grado de protección IP 40, aislamiento clase II, de 1950x650x250 mm, apilable con otros armarios, con techo, suelo y laterales desmontables por deslizamiento (sin tornillos), cierre de seguridad, escamoteable, con llave, acabado con pintura epoxi, microtexturizado, según UNE-EN 60670-1.</t>
  </si>
  <si>
    <t>mt35amc953b</t>
  </si>
  <si>
    <t>Material</t>
  </si>
  <si>
    <t>Ud</t>
  </si>
  <si>
    <t>Carril DIN para fijación de aparamenta modular en cuadro eléctrico, de 650 mm de longitud.</t>
  </si>
  <si>
    <t>mt35amc952c</t>
  </si>
  <si>
    <t>Material</t>
  </si>
  <si>
    <t>Ud</t>
  </si>
  <si>
    <t>Placa frontal troquelada para elementos modulares en carril DIN, para armario de distribución, de 650x150 mm.</t>
  </si>
  <si>
    <t>mt35amc958dg</t>
  </si>
  <si>
    <t>Material</t>
  </si>
  <si>
    <t>Ud</t>
  </si>
  <si>
    <t>Placa frontal troquelada y placa soporte interior para montaje vertical de un interruptor en caja moldeada, para armario de distribución, de 650x550 mm de longitud.</t>
  </si>
  <si>
    <t>mt35amc951d</t>
  </si>
  <si>
    <t>Material</t>
  </si>
  <si>
    <t>Ud</t>
  </si>
  <si>
    <t>Placa de montaje interior para armario de distribución metálico de superficie, de 650x300 mm.</t>
  </si>
  <si>
    <t>mt35amc960a</t>
  </si>
  <si>
    <t>Material</t>
  </si>
  <si>
    <t>Ud</t>
  </si>
  <si>
    <t>Zócalo con tapa frontal para armario de distribución, de 650x150 mm.</t>
  </si>
  <si>
    <t>mo003</t>
  </si>
  <si>
    <t>Mà d'obra</t>
  </si>
  <si>
    <t>h</t>
  </si>
  <si>
    <t>Oficial 1ª electricista.</t>
  </si>
  <si>
    <t>%</t>
  </si>
  <si>
    <t>%</t>
  </si>
  <si>
    <t>Costes directos complementarios</t>
  </si>
  <si>
    <t>IEX405</t>
  </si>
  <si>
    <t>IEX</t>
  </si>
  <si>
    <t>IEM</t>
  </si>
  <si>
    <t>Capítol</t>
  </si>
  <si>
    <t>Mecanismos</t>
  </si>
  <si>
    <t>IEM026</t>
  </si>
  <si>
    <t>Partida</t>
  </si>
  <si>
    <t>Ud</t>
  </si>
  <si>
    <t>Interruptor unipolar (1P) estanco, con grado de protección IP 55, monobloc, gama básica, intensidad asignada 10 AX, tensión asignada 250 V, con tecla simple y caja, de color gris, instalado en superficie.</t>
  </si>
  <si>
    <t>Suministro e instalación de interruptor unipolar (1P) estanco, con grado de protección IP 55, monobloc, gama básica, intensidad asignada 10 AX, tensión asignada 250 V, con tecla simple y caja, de color gris, instalado en superficie. Totalmente montado, conexionado y probado.</t>
  </si>
  <si>
    <t>mt33gbg107a</t>
  </si>
  <si>
    <t>Material</t>
  </si>
  <si>
    <t>Ud</t>
  </si>
  <si>
    <t>Interruptor unipolar (1P) estanco, con grado de protección IP 55 según IEC 60439, monobloc, de superficie, gama básica, intensidad asignada 10 AX, tensión asignada 250 V, con tecla simple y caja, de color gris, según EN 60669.</t>
  </si>
  <si>
    <t>mo003</t>
  </si>
  <si>
    <t>Mà d'obra</t>
  </si>
  <si>
    <t>h</t>
  </si>
  <si>
    <t>Oficial 1ª electricista.</t>
  </si>
  <si>
    <t>%</t>
  </si>
  <si>
    <t>%</t>
  </si>
  <si>
    <t>Costes directos complementarios</t>
  </si>
  <si>
    <t>IEM026</t>
  </si>
  <si>
    <t>IEM036</t>
  </si>
  <si>
    <t>Partida</t>
  </si>
  <si>
    <t>Ud</t>
  </si>
  <si>
    <t>Conmutador estanco, con grado de protección IP 55, monobloc, gama básica, intensidad asignada 10 AX, tensión asignada 250 V, con tecla simple y caja, de color gris, instalado en superficie.</t>
  </si>
  <si>
    <t>Suministro e instalación de conmutador estanco, con grado de protección IP 55, monobloc, gama básica, intensidad asignada 10 AX, tensión asignada 250 V, con tecla simple y caja, de color gris, instalado en superficie. Totalmente montado, conexionado y probado.</t>
  </si>
  <si>
    <t>mt33gbg207a</t>
  </si>
  <si>
    <t>Material</t>
  </si>
  <si>
    <t>Ud</t>
  </si>
  <si>
    <t>Conmutador estanco, con grado de protección IP 55 según IEC 60439, monobloc, de superficie, gama básica, intensidad asignada 10 AX, tensión asignada 250 V, con tecla simple y caja, de color gris, según EN 60669.</t>
  </si>
  <si>
    <t>mo003</t>
  </si>
  <si>
    <t>Mà d'obra</t>
  </si>
  <si>
    <t>h</t>
  </si>
  <si>
    <t>Oficial 1ª electricista.</t>
  </si>
  <si>
    <t>%</t>
  </si>
  <si>
    <t>%</t>
  </si>
  <si>
    <t>Costes directos complementarios</t>
  </si>
  <si>
    <t>IEM036</t>
  </si>
  <si>
    <t>IEM066</t>
  </si>
  <si>
    <t>Partida</t>
  </si>
  <si>
    <t>Ud</t>
  </si>
  <si>
    <t>Base de toma de corriente estanca, de superficie, 16A + TT 230V, IP55</t>
  </si>
  <si>
    <t>Suministro e instalación de base de toma de corriente con contacto de tierra (2P+T), estanca, tipo Schuko, con grado de protección IP55, monobloc, gama básica, intensidad asignada 16 A, tensión asignada 230 V, con tapa y caja con tapa. Instalación en superficie.</t>
  </si>
  <si>
    <t>mt33gbg517a</t>
  </si>
  <si>
    <t>Material</t>
  </si>
  <si>
    <t>Ud</t>
  </si>
  <si>
    <t>Base de toma de corriente estanca, de superficie, 100A + TT 400V, IP55</t>
  </si>
  <si>
    <t>mo003</t>
  </si>
  <si>
    <t>Mà d'obra</t>
  </si>
  <si>
    <t>h</t>
  </si>
  <si>
    <t>Oficial 1ª electricista.</t>
  </si>
  <si>
    <t>%</t>
  </si>
  <si>
    <t>%</t>
  </si>
  <si>
    <t>Costes directos complementarios</t>
  </si>
  <si>
    <t>IEM066</t>
  </si>
  <si>
    <t>IEM066ba</t>
  </si>
  <si>
    <t>Partida</t>
  </si>
  <si>
    <t>Ud</t>
  </si>
  <si>
    <t>Base de toma de corriente estanca, de superficie, 16A + TT 400V, IP55</t>
  </si>
  <si>
    <t>Suministro e instalación de base de toma de corriente con contacto de tierra (2P+T), estanca, tipo Cetac, con grado de protección IP55, monobloc, gama básica, intensidad asignada 16 A, tensión asignada 400 V, con tapa y caja con tapa. Instalación en superficie.</t>
  </si>
  <si>
    <t>IEM066bs</t>
  </si>
  <si>
    <t>Partida</t>
  </si>
  <si>
    <t>Ud</t>
  </si>
  <si>
    <t>Base de toma de corriente estanca, de superficie, 25A + TT 400V, IP55</t>
  </si>
  <si>
    <t>Suministro e instalación de base de toma de corriente con contacto de tierra (2P+T), estanca, tipo Cetac, con grado de protección IP55, monobloc, gama básica, intensidad asignada 25 A, tensión asignada 400 V, con tapa y caja con tapa. Instalación en superficie.</t>
  </si>
  <si>
    <t>IEM066o</t>
  </si>
  <si>
    <t>Partida</t>
  </si>
  <si>
    <t>Ud</t>
  </si>
  <si>
    <t>Base de toma de corriente estanca, de superficie, 32A + TT 400V, IP55</t>
  </si>
  <si>
    <t>Suministro e instalación de base de toma de corriente con contacto de tierra (2P+T), estanca, tipo Cetac, con grado de protección IP55, monobloc, gama básica, intensidad asignada 32 A, tensión asignada 400 V, con tapa y caja con tapa. Instalación en superficie.</t>
  </si>
  <si>
    <t>IEM066n</t>
  </si>
  <si>
    <t>Partida</t>
  </si>
  <si>
    <t>Ud</t>
  </si>
  <si>
    <t>Base de toma de corriente estanca, de superficie, 63A + TT 400V, IP55</t>
  </si>
  <si>
    <t>Suministro e instalación de base de toma de corriente con contacto de tierra (2P+T), estanca, tipo Cetac, con grado de protección IP55, monobloc, gama básica, intensidad asignada 63 A, tensión asignada 400 V, con tapa y caja con tapa. Instalación en superficie.</t>
  </si>
  <si>
    <t>IEM066x</t>
  </si>
  <si>
    <t>Partida</t>
  </si>
  <si>
    <t>Ud</t>
  </si>
  <si>
    <t>Base de toma de corriente estanca, de superficie, 100A + TT 400V, IP55</t>
  </si>
  <si>
    <t>Suministro e instalación de base de toma de corriente con contacto de tierra (2P+T), estanca, tipo Cetac, con grado de protección IP55, monobloc, gama básica, intensidad asignada 100 A, tensión asignada 400 V, con tapa y caja con tapa. Instalación en superficie.</t>
  </si>
  <si>
    <t>IEM066b</t>
  </si>
  <si>
    <t>Partida</t>
  </si>
  <si>
    <t>U</t>
  </si>
  <si>
    <t>Cuadro enchufes de trabajo integrado en mobiliario o empotrado, compuesto de 2xBE 16A+TT SAI, 2xBE 16A+TT i 2 tomas de red RJ45</t>
  </si>
  <si>
    <t>Suministro e instalalación de cuadro enchufes de trabajo integrado en mobiliario o empotrado, SIMON K45 o de prestaciones equivalentes, compuesta de 2 enchufes 16A+TT, 2 enchufes 16A+TT SAI y 2 tomas de red RJ45, con tapa y caja. Totalmente montada, connexionada y probada.</t>
  </si>
  <si>
    <t>IEM</t>
  </si>
  <si>
    <t>IE</t>
  </si>
  <si>
    <t>II</t>
  </si>
  <si>
    <t>Capítol</t>
  </si>
  <si>
    <t>Iluminación</t>
  </si>
  <si>
    <t>III</t>
  </si>
  <si>
    <t>Capítol</t>
  </si>
  <si>
    <t>Interior</t>
  </si>
  <si>
    <t>III011</t>
  </si>
  <si>
    <t>Partida</t>
  </si>
  <si>
    <t>Ud</t>
  </si>
  <si>
    <t>Luminaria con lámpara LED 36W IP54 - Instalación superficie</t>
  </si>
  <si>
    <t>Suministro e instalación de luminaria con grado de protección IP54, de 36 W, alimentación a 220/240 V y 50-60 Hz, con 1 lámpara LED, temperatura de color 4000 K, índice de deslumbramiento unificado menor de 19, índice de reproducción cromática mayor de 80, difusor de policarbonato opal, cuerpo de ABS y reflector de chapa de acero, acabado pintado, de color blanco. Instalación en la superficie. Totalmente instalada y en funcionamiento. Incluso accesorios y elementos de fijación.</t>
  </si>
  <si>
    <t>mt34lgg010a</t>
  </si>
  <si>
    <t>Material</t>
  </si>
  <si>
    <t>Ud</t>
  </si>
  <si>
    <t>Luminaria con grados de protección IP65 e IK07, de 664x160x110 mm, de 13 W, alimentación a 220/240 V y 50-60 Hz, con 1 lámpara LED, temperatura de color 3000 K, índice de deslumbramiento unificado menor de 19, índice de reproducción cromática mayor de 80, flujo luminoso 1490 lúmenes, difusor de policarbonato opal, cuerpo de ABS y reflector de chapa de acero, acabado pintado, de color blanco.</t>
  </si>
  <si>
    <t>mo003</t>
  </si>
  <si>
    <t>Mà d'obra</t>
  </si>
  <si>
    <t>h</t>
  </si>
  <si>
    <t>Oficial 1ª electricista.</t>
  </si>
  <si>
    <t>mo102</t>
  </si>
  <si>
    <t>Mà d'obra</t>
  </si>
  <si>
    <t>h</t>
  </si>
  <si>
    <t>Ayudante electricista.</t>
  </si>
  <si>
    <t>%</t>
  </si>
  <si>
    <t>%</t>
  </si>
  <si>
    <t>Costes directos complementarios</t>
  </si>
  <si>
    <t>III011</t>
  </si>
  <si>
    <t>III011ba</t>
  </si>
  <si>
    <t>Partida</t>
  </si>
  <si>
    <t>Ud</t>
  </si>
  <si>
    <t>Luminaria con lámpara LED 36W IP65 - Alta resistencia térmica 0-60ºC - Instalación superficie</t>
  </si>
  <si>
    <t>Suministro e instalación de luminaria con grado de protección IP65, de alta resistencia térmica 0-60ºC para funcionar bajo campana, de 36 W, alimentación a 220/240 V y 50-60 Hz, con 1 lámpara LED, temperatura de color 4000 K, índice de deslumbramiento unificado menor de 19, índice de reproducción cromática mayor de 80, difusor de policarbonato opal, cuerpo de ABS y reflector de chapa de acero, acabado pintado, de color blanco. Instalación en la superficie. Totalmente instalada y en funcionamiento. Incluso accesorios y elementos de fijación.</t>
  </si>
  <si>
    <t>III131</t>
  </si>
  <si>
    <t>Partida</t>
  </si>
  <si>
    <t>Ud</t>
  </si>
  <si>
    <t>Luminaria cuadrada, con lámpara LED 40W, IP44, 60x60cm. Instalación empotrada.</t>
  </si>
  <si>
    <t>Suministro e instalación de pantallada cuadrada, no regulable, de 595x595x34 mm, de 40 W, alimentación a 220/240 V y 50-60 Hz, con lámpara LED no reemplazable, temperatura de color 4000 K, óptica formada por reflector recubierto con aluminio vaporizado, acabado muy brillante, de alto rendimiento, haz de luz extensivo 120°, difusor de polimetilmetacrilato (PMMA), aro embellecedor de aluminio inyectado, acabado termoesmaltado, de color blanco, índice de deslumbramiento unificado menor de 19, índice de reproducción cromática mayor de 80, grado de protección IP44. Instalación empotrada. Totalmente instalada y en funcionamiento. Incluso accesorios y elementos de fijación.</t>
  </si>
  <si>
    <t>mt34plg010d</t>
  </si>
  <si>
    <t>Material</t>
  </si>
  <si>
    <t>Ud</t>
  </si>
  <si>
    <t>Luminaria cuadrada, no regulable, de 595x595x34 mm, de 40 W, alimentación a 220/240 V y 50-60 Hz, con lámpara LED no reemplazable, temperatura de color 4000 K, óptica formada por reflector recubierto con aluminio vaporizado, acabado muy brillante, de alto rendimiento, haz de luz extensivo 120°, difusor de polimetilmetacrilato (PMMA), aro embellecedor de aluminio inyectado, acabado termoesmaltado, de color blanco, índice de deslumbramiento unificado menor de 19, índice de reproducción cromática mayor de 80, flujo luminoso 4054 lúmenes, grado de protección IP44.</t>
  </si>
  <si>
    <t>mo003</t>
  </si>
  <si>
    <t>Mà d'obra</t>
  </si>
  <si>
    <t>h</t>
  </si>
  <si>
    <t>Oficial 1ª electricista.</t>
  </si>
  <si>
    <t>mo102</t>
  </si>
  <si>
    <t>Mà d'obra</t>
  </si>
  <si>
    <t>h</t>
  </si>
  <si>
    <t>Ayudante electricista.</t>
  </si>
  <si>
    <t>%</t>
  </si>
  <si>
    <t>%</t>
  </si>
  <si>
    <t>Costes directos complementarios</t>
  </si>
  <si>
    <t>III131</t>
  </si>
  <si>
    <t>III101</t>
  </si>
  <si>
    <t>Partida</t>
  </si>
  <si>
    <t>Ud</t>
  </si>
  <si>
    <t>Luminaria circular tipo Downlight, con lámpara LED 22W. Instalación empotrada.</t>
  </si>
  <si>
    <t>Suministro e instalación de luminaria circular fija de techo tipo Downlight, no regulable, de 22 W, alimentación a 220/240 V y 50-60 Hz, de 125 mm de diámetro de empotramiento y 110 mm de altura, con lámpara LED no reemplazable, temperatura de color 4000 K, óptica formada por reflector recubierto con aluminio vaporizado, acabado muy brillante, de alto rendimiento, haz de luz extensivo 66°, aro embellecedor de plástico, acabado termoesmaltado, de color blanco, índice de deslumbramiento unificado menor de 19, índice de reproducción cromática mayor de 80, grado de protección IP40, con flejes de fijación. Instalación empotrada. Totalmente instalada y en funcionamiento. Incluso accesorios y elementos de fijación.</t>
  </si>
  <si>
    <t>IOA011</t>
  </si>
  <si>
    <t>Partida</t>
  </si>
  <si>
    <t>Ud</t>
  </si>
  <si>
    <t>Luminaria de emergencia con lámpara LED 190lm - Instalación superficie.</t>
  </si>
  <si>
    <t>Suministro e instalación de luminaria de emergencia, de 2,2 W, con lámpara LED, flujo luminoso 200 lúmenes, carcasa de 280x120x60 mm, aislamiento clase II, grados de protección IP65 e IK07, con baterías de Ni-Cd, autonomía de 1 h, alimentación a 220/240 V y 50-60 Hz y piloto luminoso indicador de carga color verde. Instalación en superficie. Totalmente instalada y en funcionamiento. Incluso accesorios y elementos de fijación.</t>
  </si>
  <si>
    <t>mt34aem121c</t>
  </si>
  <si>
    <t>Material</t>
  </si>
  <si>
    <t>Ud</t>
  </si>
  <si>
    <t>Luminaria de emergencia, de 2,2 W, con lámpara LED, flujo luminoso 200 lúmenes, carcasa de 280x120x60 mm, aislamiento clase II, grados de protección IP65 e IK07, con baterías de Ni-Cd, autonomía de 1 h, alimentación a 220/240 V y 50-60 Hz y piloto luminoso indicador de carga color verde. Incluso accesorios y elementos de fijación.</t>
  </si>
  <si>
    <t>mo003</t>
  </si>
  <si>
    <t>Mà d'obra</t>
  </si>
  <si>
    <t>h</t>
  </si>
  <si>
    <t>Oficial 1ª electricista.</t>
  </si>
  <si>
    <t>mo102</t>
  </si>
  <si>
    <t>Mà d'obra</t>
  </si>
  <si>
    <t>h</t>
  </si>
  <si>
    <t>Ayudante electricista.</t>
  </si>
  <si>
    <t>%</t>
  </si>
  <si>
    <t>%</t>
  </si>
  <si>
    <t>Costes directos complementarios</t>
  </si>
  <si>
    <t>IOA011</t>
  </si>
  <si>
    <t>IOA021</t>
  </si>
  <si>
    <t>Partida</t>
  </si>
  <si>
    <t>Ud</t>
  </si>
  <si>
    <t>Luminaria de emergencia con lámpara LED 190lm IP54 - Instalación empotrada.</t>
  </si>
  <si>
    <t>Suministro e instalación de luminaria de emergencia, de 2,2 W, con lámpara LED no reemplazable, flujo luminoso 200 lúmenes, carcasa de 210x110x41 mm, aislamiento clase II, grados de protección IP42 e IK07, con baterías de Ni-Cd, autonomía de 1 h, alimentación a 220/240 V y 50-60 Hz y piloto luminoso indicador de carga color verde, en zonas comunes. Instalación empotrada. Totalmente instalada y en funcionamiento. Incluso accesorios y elementos de fijación.</t>
  </si>
  <si>
    <t>IIIDM</t>
  </si>
  <si>
    <t>Partida</t>
  </si>
  <si>
    <t>Ud</t>
  </si>
  <si>
    <t>Detector de movimiento por infrarojos, angulo 180º, alcance 10 m</t>
  </si>
  <si>
    <t>Partida alçada que inclou la instal·lació i els materials de tota la xarxa de telecomunicaions interior, modificant la preexistent. Inclou, distribució, cablejats, connexions, proves.</t>
  </si>
  <si>
    <t>III</t>
  </si>
  <si>
    <t>II</t>
  </si>
  <si>
    <t>IO</t>
  </si>
  <si>
    <t>Capítol</t>
  </si>
  <si>
    <t>Contra incendios</t>
  </si>
  <si>
    <t>IOD</t>
  </si>
  <si>
    <t>Capítol</t>
  </si>
  <si>
    <t>Detección y alarma</t>
  </si>
  <si>
    <t>IOD001</t>
  </si>
  <si>
    <t>Partida</t>
  </si>
  <si>
    <t>Ud</t>
  </si>
  <si>
    <t>Trabajos de ampliación de la central de incendios</t>
  </si>
  <si>
    <t>Trabajos de ampliación de la central de incendios existente para añadir 6 electroimanes, 2 sirenas, 2 pulsadores de alarma manual y 7 detectores termovelocimetricos. Incluye material necesario y puesta en marxa.</t>
  </si>
  <si>
    <t>mt41pig010a</t>
  </si>
  <si>
    <t>Material</t>
  </si>
  <si>
    <t>Ud</t>
  </si>
  <si>
    <t>Trabajos de ampliación de la central de incendios</t>
  </si>
  <si>
    <t>mt41rte030c</t>
  </si>
  <si>
    <t>Material</t>
  </si>
  <si>
    <t>Ud</t>
  </si>
  <si>
    <t>Batería de 12 V y 7 Ah.</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</si>
  <si>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</si>
  <si>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</si>
  <si>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</si>
  <si>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</si>
  <si>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</si>
  <si>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</si>
  <si>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</si>
  <si>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</si>
  <si>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</si>
  <si>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</si>
  <si>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</si>
  <si>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IOD001</t>
  </si>
  <si>
    <t>IOD002</t>
  </si>
  <si>
    <t>Partida</t>
  </si>
  <si>
    <t>Ud</t>
  </si>
  <si>
    <t>Detector termovelocimétrico convencional, de ABS color blanco.</t>
  </si>
  <si>
    <t>Suministro e instalación de detector termovelocimétrico convencional, de ABS color blanco, formado por un elemento sensible a el incremento rápido de la temperatura para una temperatura máxima de alarma de 64°C, para alimentación de 12 a 30 Vcc, con doble led de activación e indicador de alarma color rojo, salida para piloto de señalización remota y base universal. Incluso elementos de fijación.</t>
  </si>
  <si>
    <t>mt41pig060</t>
  </si>
  <si>
    <t>Material</t>
  </si>
  <si>
    <t>Ud</t>
  </si>
  <si>
    <t>Detector termovelocimétrico convencional, de ABS color blanco, formado por un elemento sensible a el incremento rápido de la temperatura para una temperatura máxima de alarma de 64°C, para alimentación de 12 a 30 Vcc, con doble led de activación e indicador de alarma color rojo, salida para piloto de señalización remota y base universal, según UNE-EN 54-5. Incluso elementos de fijación.</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</si>
  <si>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</si>
  <si>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</si>
  <si>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</si>
  <si>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</si>
  <si>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</si>
  <si>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</si>
  <si>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</si>
  <si>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</si>
  <si>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</si>
  <si>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</si>
  <si>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</si>
  <si>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IOD002</t>
  </si>
  <si>
    <t>IOD004</t>
  </si>
  <si>
    <t>Partida</t>
  </si>
  <si>
    <t>Ud</t>
  </si>
  <si>
    <t>Pulsador de alarma convencional de rearme manual, con tapa.</t>
  </si>
  <si>
    <t>Suministro e instalación de pulsador de alarma convencional de rearme manual, de ABS color rojo, protección IP 41, con led indicador de alarma color rojo y llave de rearme, con tapa. Incluso elementos de fijación.</t>
  </si>
  <si>
    <t>mt41pig110</t>
  </si>
  <si>
    <t>Material</t>
  </si>
  <si>
    <t>Ud</t>
  </si>
  <si>
    <t>Pulsador de alarma convencional de rearme manual, de ABS color rojo, protección IP 41, con led indicador de alarma color rojo y llave de rearme, según UNE-EN 54-11. Incluso elementos de fijación.</t>
  </si>
  <si>
    <t>mt41pig115</t>
  </si>
  <si>
    <t>Material</t>
  </si>
  <si>
    <t>Ud</t>
  </si>
  <si>
    <t>Tapa de metacrilato.</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</si>
  <si>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</si>
  <si>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</si>
  <si>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</si>
  <si>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</si>
  <si>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</si>
  <si>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</si>
  <si>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</si>
  <si>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</si>
  <si>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</si>
  <si>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</si>
  <si>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</si>
  <si>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IOD004</t>
  </si>
  <si>
    <t>IOD005</t>
  </si>
  <si>
    <t>Partida</t>
  </si>
  <si>
    <t>Ud</t>
  </si>
  <si>
    <t>Sirena electrónica, de color rojo, para montaje interior, con señal óptica y acústica.</t>
  </si>
  <si>
    <t>Suministro e instalación de sirena electrónica, de color rojo, para montaje interior, con señal óptica y acústica, alimentación a 24 Vcc, potencia sonora de 100 dB a 1 m y consumo de 68 mA. Incluso elementos de fijación.</t>
  </si>
  <si>
    <t>mt41pig140</t>
  </si>
  <si>
    <t>Material</t>
  </si>
  <si>
    <t>Ud</t>
  </si>
  <si>
    <t>Sirena electrónica, de color rojo, para montaje interior, con señal óptica y acústica, alimentación a 24 Vcc, potencia sonora de 100 dB a 1 m y consumo de 68 mA, según UNE-EN 54-3. Incluso elementos de fijación.</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</si>
  <si>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</si>
  <si>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</si>
  <si>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</si>
  <si>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</si>
  <si>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</si>
  <si>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</si>
  <si>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</si>
  <si>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</si>
  <si>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</si>
  <si>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</si>
  <si>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</si>
  <si>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IOD005</t>
  </si>
  <si>
    <t>IOD008</t>
  </si>
  <si>
    <t>Partida</t>
  </si>
  <si>
    <t>Ud</t>
  </si>
  <si>
    <t>Electroimán para retención de puerta cortafuegos, de 24 Vcc y 980 N de fuerza máxima de retención.</t>
  </si>
  <si>
    <t>Suministro e instalación de electroimán para retención de puerta cortafuegos, de 24 Vcc y 980 N de fuerza máxima de retención, con caja de bornes de latón niquelado, pulsador de desbloqueo y placa de anclaje articulada. Incluso elementos de fijación.</t>
  </si>
  <si>
    <t>mt41pig260</t>
  </si>
  <si>
    <t>Material</t>
  </si>
  <si>
    <t>Ud</t>
  </si>
  <si>
    <t>Electroimán para retención de puerta cortafuegos, de 24 Vcc y 980 N de fuerza máxima de retención, con caja de bornes de latón niquelado, pulsador de desbloqueo y placa de anclaje articulada, según UNE-EN 1155. Incluso elementos de fijación.</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</si>
  <si>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</si>
  <si>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</si>
  <si>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</si>
  <si>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</si>
  <si>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</si>
  <si>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</si>
  <si>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</si>
  <si>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</si>
  <si>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</si>
  <si>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</si>
  <si>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</si>
  <si>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IOD008</t>
  </si>
  <si>
    <t>IOD020</t>
  </si>
  <si>
    <t>Partida</t>
  </si>
  <si>
    <t>m</t>
  </si>
  <si>
    <t>Canalización empotrada, formada por tubo de poliamida flexible, corrugado, libre de halógenos, de 25 mm de diámetro nominal, con IP 547.</t>
  </si>
  <si>
    <t>Suministro e instalación de canalización de protección de cableado, empotrada, formada por tubo de poliamida flexible, corrugado, libre de halógenos, de 25 mm de diámetro nominal, con IP 547.</t>
  </si>
  <si>
    <t>Uts.</t>
  </si>
  <si>
    <t>Llargada</t>
  </si>
  <si>
    <t>Amplada</t>
  </si>
  <si>
    <t>Alçada</t>
  </si>
  <si>
    <t>Parcial</t>
  </si>
  <si>
    <t>Subtotal</t>
  </si>
  <si>
    <t>mt35aia030c</t>
  </si>
  <si>
    <t>Material</t>
  </si>
  <si>
    <t>m</t>
  </si>
  <si>
    <t>Tubo curvable de poliamida, exento de halógenos, transversalmente elástico, corrugado, de color gris, de 25 mm de diámetro nominal, para instalaciones eléctricas en edificios públicos y para evitar emisiones de humo y gases ácidos. Resistencia a la compresión 320 N, resistencia al impacto 2 julios, temperatura de trabajo -5°C hasta 90°C, con grado de protección IP 547 según UNE 20324, no propagador de la llama. Según UNE-EN 61386-1 y UNE-EN 61386-22.</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</si>
  <si>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</si>
  <si>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</si>
  <si>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</si>
  <si>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</si>
  <si>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</si>
  <si>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</si>
  <si>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</si>
  <si>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</si>
  <si>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</si>
  <si>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</si>
  <si>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</si>
  <si>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IOD020</t>
  </si>
  <si>
    <t>IOD030</t>
  </si>
  <si>
    <t>Partida</t>
  </si>
  <si>
    <t>m</t>
  </si>
  <si>
    <t>Cableado SO2Z1-K (AS+).</t>
  </si>
  <si>
    <t>Suministro e instalación de cableado formado por cable bipolar SO2Z1-K (AS+), reacción al fuego clase Cca-s1b,d1,a1, con conductor multifilar de cobre clase 5 (-K) de 2x1,5 mm² de sección, con aislamiento de compuesto polímero a base de elastómero vulcanizado libre de halógenos con baja emisión de humos y gases corrosivos (S), pantalla de cinta de aluminio y poliéster (O2) con conductor de drenaje de cobre estañado y cubierta externa de compuesto termoplástico a base de poliolefina libre de halógenos con baja emisión de humos y gases corrosivos (Z1), siendo su tensión asignada de 300/500 V. Incluso cuantos accesorios sean necesarios para su correcta instalación.</t>
  </si>
  <si>
    <t>Uts.</t>
  </si>
  <si>
    <t>Llargada</t>
  </si>
  <si>
    <t>Amplada</t>
  </si>
  <si>
    <t>Alçada</t>
  </si>
  <si>
    <t>Parcial</t>
  </si>
  <si>
    <t>Subtotal</t>
  </si>
  <si>
    <t>mt35ccg030a</t>
  </si>
  <si>
    <t>Material</t>
  </si>
  <si>
    <t>m</t>
  </si>
  <si>
    <t>Cable bipolar SO2Z1-K (AS+), siendo su tensión asignada de 300/500 V, reacción al fuego clase Cca-s1b,d1,a1 según UNE-EN 50575, con conductor multifilar de cobre clase 5 (-K) de 2x1,5 mm² de sección, con aislamiento de compuesto polímero a base de elastómero vulcanizado libre de halógenos con baja emisión de humos y gases corrosivos (S), pantalla de cinta de aluminio y poliéster (O2) con conductor de drenaje de cobre estañado y cubierta externa de compuesto termoplástico a base de poliolefina libre de halógenos con baja emisión de humos y gases corrosivos (Z1). Según UNE 211025.</t>
  </si>
  <si>
    <t>mo006</t>
  </si>
  <si>
    <t>Mà d'obra</t>
  </si>
  <si>
    <t>h</t>
  </si>
  <si>
    <t>Oficial 1ª instalador de redes y equipos de detección y seguridad.</t>
  </si>
  <si>
    <t>mo105</t>
  </si>
  <si>
    <t>Mà d'obra</t>
  </si>
  <si>
    <t>h</t>
  </si>
  <si>
    <t>Ayudante instalador de redes y equipos de detección y seguridad.</t>
  </si>
  <si>
    <t>%</t>
  </si>
  <si>
    <t>%</t>
  </si>
  <si>
    <t>Costes directos complementarios</t>
  </si>
  <si>
    <t>IOD030</t>
  </si>
  <si>
    <t>E1AB01nn</t>
  </si>
  <si>
    <t>Partida</t>
  </si>
  <si>
    <t>ut</t>
  </si>
  <si>
    <t>Desmontaje instalación contra incendios con carga y transporte</t>
  </si>
  <si>
    <t>Desmontaje de la instalación contraincendios con carga, transporte y descarga a vertedero autorizado o almacén que indique la Dirección Facultativa o la propiedad. Incluye cableado, canalizaciones, pulsadores, detectores, siernas, tuberias  y todos elementos de prevención de incendios.</t>
  </si>
  <si>
    <t>IOD</t>
  </si>
  <si>
    <t>IOS</t>
  </si>
  <si>
    <t>Capítol</t>
  </si>
  <si>
    <t>Señalización</t>
  </si>
  <si>
    <t>IOS010</t>
  </si>
  <si>
    <t>Partida</t>
  </si>
  <si>
    <t>Ud</t>
  </si>
  <si>
    <t>Señalización de equipos contra incendios, mediante placa de poliestireno fotoluminiscente, de 210x210 mm.</t>
  </si>
  <si>
    <t>Suministro y colocación de placa de señalización de equipos contra incendios, de poliestireno fotoluminiscente, de 210x210 mm. Incluso elementos de fijación.</t>
  </si>
  <si>
    <t>mt41sny020g</t>
  </si>
  <si>
    <t>Material</t>
  </si>
  <si>
    <t>Ud</t>
  </si>
  <si>
    <t>Placa de señalización de equipos contra incendios, de poliestireno fotoluminiscente, de 210x210 mm, según UNE 23033-1. Incluso elementos de fijación.</t>
  </si>
  <si>
    <t>mo113</t>
  </si>
  <si>
    <t>Mà d'obra</t>
  </si>
  <si>
    <t>h</t>
  </si>
  <si>
    <t>Peón ordinario construcción.</t>
  </si>
  <si>
    <t>%</t>
  </si>
  <si>
    <t>%</t>
  </si>
  <si>
    <t>Costes directos complementarios</t>
  </si>
  <si>
    <t>IOS010</t>
  </si>
  <si>
    <t>IOS020</t>
  </si>
  <si>
    <t>Partida</t>
  </si>
  <si>
    <t>Ud</t>
  </si>
  <si>
    <t>Señalización de medios de evacuación, mediante placa de poliestireno fotoluminiscente, de 210x210 mm.</t>
  </si>
  <si>
    <t>Suministro y colocación de placa de señalización de medios de evacuación, de poliestireno fotoluminiscente, de 210x210 mm. Incluso elementos de fijación.</t>
  </si>
  <si>
    <t>mt41sny020s</t>
  </si>
  <si>
    <t>Material</t>
  </si>
  <si>
    <t>Ud</t>
  </si>
  <si>
    <t>Placa de señalización de medios de evacuación, de poliestireno fotoluminiscente, de 210x210 mm, según UNE 23034. Incluso elementos de fijación.</t>
  </si>
  <si>
    <t>mt41sny100</t>
  </si>
  <si>
    <t>Material</t>
  </si>
  <si>
    <t>Ud</t>
  </si>
  <si>
    <t>Material auxiliar para la fijación de placa de señalización.</t>
  </si>
  <si>
    <t>mo113</t>
  </si>
  <si>
    <t>Mà d'obra</t>
  </si>
  <si>
    <t>h</t>
  </si>
  <si>
    <t>Peón ordinario construcción.</t>
  </si>
  <si>
    <t>%</t>
  </si>
  <si>
    <t>%</t>
  </si>
  <si>
    <t>Costes directos complementarios</t>
  </si>
  <si>
    <t>IOS020</t>
  </si>
  <si>
    <t>IOS</t>
  </si>
  <si>
    <t>IOB</t>
  </si>
  <si>
    <t>Capítol</t>
  </si>
  <si>
    <t>Sistemas de abastecimiento de agua</t>
  </si>
  <si>
    <t>IOB030</t>
  </si>
  <si>
    <t>Partida</t>
  </si>
  <si>
    <t>Ud</t>
  </si>
  <si>
    <t>Desmontaje y posterior montaje de boca de incendio equipada (BIE) de 25 mm (1") de superficie, compuesta de: armario de acero, acabado con pintura color rojo y puerta semiciega de acero, acabado con pintura color rojo; devanadera metálica giratoria fija; manguera semirrígida de 20 m de longitud; lanza de tres efectos y válvula de cierre, colocada en paramento.</t>
  </si>
  <si>
    <t>Desmontaje y posterior montaje de boca de incendio equipada (BIE) de 25 mm (1") de superficie según documentación gráfica, compuesta de: armario de acero, acabado con pintura color rojo y puerta semiciega de acero, acabado con pintura color rojo; devanadera metálica giratoria fija; manguera semirrígida de 20 m de longitud; lanza de tres efectos y válvula de cierre, colocada en paramento. Incluye pp. de modificación de tuberia con inox prensado o acero DN32. Totalmente instalado y en funcionamiento.</t>
  </si>
  <si>
    <t>mt41bae010aaa</t>
  </si>
  <si>
    <t>Material</t>
  </si>
  <si>
    <t>Ud</t>
  </si>
  <si>
    <t>Boca de incendio equipada (BIE) de 25 mm (1") de superficie, de 680x480x215 mm, compuesta de: armario construido en acero de 1,2 mm de espesor, acabado con pintura epoxi color rojo RAL 3000 y puerta semiciega con ventana de metacrilato de acero de 1,2 mm de espesor, acabado con pintura epoxi color rojo RAL 3000;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Coeficiente de descarga K de 42 (métrico). Certificada por AENOR según UNE-EN 671-1.</t>
  </si>
  <si>
    <t>mo008</t>
  </si>
  <si>
    <t>Mà d'obra</t>
  </si>
  <si>
    <t>h</t>
  </si>
  <si>
    <t>Oficial 1ª fontanero.</t>
  </si>
  <si>
    <t>mo107</t>
  </si>
  <si>
    <t>Mà d'obra</t>
  </si>
  <si>
    <t>h</t>
  </si>
  <si>
    <t>Ayudante fontanero.</t>
  </si>
  <si>
    <t>%</t>
  </si>
  <si>
    <t>%</t>
  </si>
  <si>
    <t>Costes directos complementarios</t>
  </si>
  <si>
    <t>IOB030</t>
  </si>
  <si>
    <t>IOB</t>
  </si>
  <si>
    <t>IOX</t>
  </si>
  <si>
    <t>Capítol</t>
  </si>
  <si>
    <t>Extintores</t>
  </si>
  <si>
    <t>IOX010</t>
  </si>
  <si>
    <t>Partida</t>
  </si>
  <si>
    <t>Ud</t>
  </si>
  <si>
    <t>Extintor portátil de polvo químico ABC polivalente antibrasa, con presión incorporada, de eficacia 21A-144B-C, con 6 kg de agente extintor.</t>
  </si>
  <si>
    <t>Suministro y colocación de extintor portátil de polvo químico ABC polivalente antibrasa, con presión incorporada, de eficacia 21A-144B-C, con 6 kg de agente extintor, con manómetro y manguera con boquilla difusora. Incluso soporte y accesorios de montaje.</t>
  </si>
  <si>
    <t>mt41ixi010a</t>
  </si>
  <si>
    <t>Material</t>
  </si>
  <si>
    <t>Ud</t>
  </si>
  <si>
    <t>Extintor portátil de polvo químico ABC polivalente antibrasa, con presión incorporada, de eficacia 21A-144B-C, con 6 kg de agente extintor, con manómetro y manguera con boquilla difusora, según UNE-EN 3.</t>
  </si>
  <si>
    <t>mo113</t>
  </si>
  <si>
    <t>Mà d'obra</t>
  </si>
  <si>
    <t>h</t>
  </si>
  <si>
    <t>Peón ordinario construcción.</t>
  </si>
  <si>
    <t>%</t>
  </si>
  <si>
    <t>%</t>
  </si>
  <si>
    <t>Costes directos complementarios</t>
  </si>
  <si>
    <t>IOX010</t>
  </si>
  <si>
    <t>IOX</t>
  </si>
  <si>
    <t>IO</t>
  </si>
  <si>
    <t>IG</t>
  </si>
  <si>
    <t>Capítol</t>
  </si>
  <si>
    <t>Gases combustibles</t>
  </si>
  <si>
    <t>IGM</t>
  </si>
  <si>
    <t>Capítol</t>
  </si>
  <si>
    <t>Instalación existente adaptacion</t>
  </si>
  <si>
    <t>E1AB02.W1AR</t>
  </si>
  <si>
    <t>Partida</t>
  </si>
  <si>
    <t>ut</t>
  </si>
  <si>
    <t>Adaptación de la instalación existente de gas natural para la connexión de los nuevos aparatos</t>
  </si>
  <si>
    <t>Adaptación de la instalación existente de gas natural para la conexión de la nueva red de distribución al armario existente, incluyendo materiales y trabajos necesarios. Completamente instalado.
Connexionado a la instalación existente de gas natural, incluyendo los trabajos y materiales necesarios para realizar estas tareas según especificaciones técnicas y dejar la instalación completamente acabada y en servicio.
Incluye solicitud de punto de conexión a la Compañia Distribuidora hasta la puesta en servicio.</t>
  </si>
  <si>
    <t>B1AB3.AAB</t>
  </si>
  <si>
    <t>Material</t>
  </si>
  <si>
    <t>ut</t>
  </si>
  <si>
    <t>Adaptació de la instal.lació existent de gas natural per a la connexió de la nova xarxa de distribuc</t>
  </si>
  <si>
    <t>E1AB02.W1AR</t>
  </si>
  <si>
    <t>IGM</t>
  </si>
  <si>
    <t>IGI</t>
  </si>
  <si>
    <t>Capítol</t>
  </si>
  <si>
    <t>Instalación interior</t>
  </si>
  <si>
    <t>IGM005</t>
  </si>
  <si>
    <t>Partida</t>
  </si>
  <si>
    <t>m</t>
  </si>
  <si>
    <t>Canalización para instalación de gas enterrada PE32</t>
  </si>
  <si>
    <t>Subministro e instalación de tubería, para instalación de gas, enterrada, formada por tubo de polietileno de alta densidad PE100, SDR11, de 32 mm de diámetro exterior, colocado sobre lecho de arena de 10 cm de espesor, en el fondo de la zanja previamente excavada, debidamente compactada y nivelada con pisón vibrante de guiado manual, relleno lateral compactando hasta los riñones, posterior relleno con la misma arena hasta 10 cm por encima de la generatriz superior de la tubería y reposición del mismo acabado del pavimiento con hormigón o aslfalto. Incluso, accesorios y piezas especiales colocados mediante soldadura por electrofusión por soldador homologado. Totalmente finalizado y en funcionamiento.</t>
  </si>
  <si>
    <t>IGI005s</t>
  </si>
  <si>
    <t>Partida</t>
  </si>
  <si>
    <t>m</t>
  </si>
  <si>
    <t>Tubería para instalación interior de gas D=16/18.</t>
  </si>
  <si>
    <t>Suministro e instalación de tubería con vaina metálica, para instalación interior de gas, formada por tubo de cobre estirado en frío sin soldadura, diámetro D=16/18 mm y 1 mm de espesor. Instalación en superficie. Incluso material auxiliar para montaje y sujeción a la obra, pasta de relleno, accesorios y piezas especiales colocados mediante soldadura fuerte por capilaridad.  Totalmente finalizado y en funcionamiento.</t>
  </si>
  <si>
    <t>mt43tco010cd</t>
  </si>
  <si>
    <t>Material</t>
  </si>
  <si>
    <t>m</t>
  </si>
  <si>
    <t>Tubo de cobre estirado en frío sin soldadura, diámetro D=16/18 mm y 1 mm de espesor, según UNE-EN 1057, con el precio incrementado el 15% en concepto de accesorios y piezas especiales.</t>
  </si>
  <si>
    <t>mt43www020b</t>
  </si>
  <si>
    <t>Material</t>
  </si>
  <si>
    <t>m</t>
  </si>
  <si>
    <t>Tubo metálico de 30 mm de diámetro y 1,5 mm de espesor, incluso abrazaderas, elementos de sujeción y accesorios (curvas, manguitos, tes y codos).</t>
  </si>
  <si>
    <t>mt27tec020</t>
  </si>
  <si>
    <t>Material</t>
  </si>
  <si>
    <t>kg</t>
  </si>
  <si>
    <t>Pasta hidrófuga.</t>
  </si>
  <si>
    <t>mo010</t>
  </si>
  <si>
    <t>Mà d'obra</t>
  </si>
  <si>
    <t>h</t>
  </si>
  <si>
    <t>Oficial 1ª instalador de gas.</t>
  </si>
  <si>
    <t>mo109</t>
  </si>
  <si>
    <t>Mà d'obra</t>
  </si>
  <si>
    <t>h</t>
  </si>
  <si>
    <t>Ayudante instalador de gas.</t>
  </si>
  <si>
    <t>%</t>
  </si>
  <si>
    <t>%</t>
  </si>
  <si>
    <t>Costes directos complementarios</t>
  </si>
  <si>
    <t>IGI005s</t>
  </si>
  <si>
    <t>IGI005</t>
  </si>
  <si>
    <t>Partida</t>
  </si>
  <si>
    <t>m</t>
  </si>
  <si>
    <t>Tubería para instalación interior de gas D=13/15.</t>
  </si>
  <si>
    <t>Suministro e instalación de tubería con vaina metálica, para instalación interior de gas, formada por tubo de cobre estirado en frío sin soldadura, diámetro D=13/15 mm y 1 mm de espesor. Instalación en superficie. Incluso material auxiliar para montaje y sujeción a la obra, pasta de relleno, pasta de relleno, accesorios y piezas especiales colocados mediante soldadura fuerte por capilaridad.  Totalmente finalizado y en funcionamiento.</t>
  </si>
  <si>
    <t>mt43tco010bd</t>
  </si>
  <si>
    <t>Material</t>
  </si>
  <si>
    <t>m</t>
  </si>
  <si>
    <t>Tubo de cobre estirado en frío sin soldadura, diámetro D=13/15 mm y 1 mm de espesor, según UNE-EN 1057, con el precio incrementado el 15% en concepto de accesorios y piezas especiales.</t>
  </si>
  <si>
    <t>mt43www020b</t>
  </si>
  <si>
    <t>Material</t>
  </si>
  <si>
    <t>m</t>
  </si>
  <si>
    <t>Tubo metálico de 30 mm de diámetro y 1,5 mm de espesor, incluso abrazaderas, elementos de sujeción y accesorios (curvas, manguitos, tes y codos).</t>
  </si>
  <si>
    <t>mt27tec020</t>
  </si>
  <si>
    <t>Material</t>
  </si>
  <si>
    <t>kg</t>
  </si>
  <si>
    <t>Pasta hidrófuga.</t>
  </si>
  <si>
    <t>mo010</t>
  </si>
  <si>
    <t>Mà d'obra</t>
  </si>
  <si>
    <t>h</t>
  </si>
  <si>
    <t>Oficial 1ª instalador de gas.</t>
  </si>
  <si>
    <t>mo109</t>
  </si>
  <si>
    <t>Mà d'obra</t>
  </si>
  <si>
    <t>h</t>
  </si>
  <si>
    <t>Ayudante instalador de gas.</t>
  </si>
  <si>
    <t>%</t>
  </si>
  <si>
    <t>%</t>
  </si>
  <si>
    <t>Costes directos complementarios</t>
  </si>
  <si>
    <t>IGI005</t>
  </si>
  <si>
    <t>IGI</t>
  </si>
  <si>
    <t>IGW</t>
  </si>
  <si>
    <t>Capítol</t>
  </si>
  <si>
    <t>Elementos</t>
  </si>
  <si>
    <t>IGW001</t>
  </si>
  <si>
    <t>Partida</t>
  </si>
  <si>
    <t>Ud</t>
  </si>
  <si>
    <t>Tallo normalizado para acometida de gas.</t>
  </si>
  <si>
    <t>Suministro e instalación de tallo normalizado para acometida de gas, con transición de tubo de polietileno de 32 mm a tubo de cobre de 20/22 mm, con enlace monobloc y vaina metálica de protección del enlace rellena de resina de poliuretano como protección antihumedad, vaina de 2 m de acero inoxidable de 35 mm de diámetro, protegida por un tapón de elastómero para evitar la entrada de agua.</t>
  </si>
  <si>
    <t>mt43tal010y</t>
  </si>
  <si>
    <t>Material</t>
  </si>
  <si>
    <t>Ud</t>
  </si>
  <si>
    <t>Tallo normalizado para acometida de gas, con transición de tubo de polietileno de 32 mm a tubo de cobre de 20/22 mm, con enlace monobloc y vaina metálica de protección del enlace rellena de resina de poliuretano como protección antihumedad, vaina de 2 m de acero inoxidable de 35 mm de diámetro, protegida por un tapón de elastómero para evitar la entrada de agua.</t>
  </si>
  <si>
    <t>mo010</t>
  </si>
  <si>
    <t>Mà d'obra</t>
  </si>
  <si>
    <t>h</t>
  </si>
  <si>
    <t>Oficial 1ª instalador de gas.</t>
  </si>
  <si>
    <t>mo109</t>
  </si>
  <si>
    <t>Mà d'obra</t>
  </si>
  <si>
    <t>h</t>
  </si>
  <si>
    <t>Ayudante instalador de gas.</t>
  </si>
  <si>
    <t>%</t>
  </si>
  <si>
    <t>%</t>
  </si>
  <si>
    <t>Costes directos complementarios</t>
  </si>
  <si>
    <t>IGW001</t>
  </si>
  <si>
    <t>IGW005</t>
  </si>
  <si>
    <t>Partida</t>
  </si>
  <si>
    <t>Ud</t>
  </si>
  <si>
    <t>Regulador de gases licuados del petróleo (GLP).</t>
  </si>
  <si>
    <t>Suministro e instalación de regulador de presión con válvula de seguridad por defecto de presión de 25 mbar de presión mínima y rearme automático y válvula de seguridad por exceso de presión de 300 mbar de presión máxima y rearme manual, de 8 kg/h de caudal nominal, de 25 a 400 mbar de presión de entrada y 37 mbar de presión de salida. Totalmente instalado.</t>
  </si>
  <si>
    <t>mt43acr135a</t>
  </si>
  <si>
    <t>Material</t>
  </si>
  <si>
    <t>Ud</t>
  </si>
  <si>
    <t>Regulador de presión con válvula de seguridad por defecto de presión de 25 mbar de presión mínima y rearme automático, de 8 kg/h de caudal nominal, de 25 a 400 mbar de presión de entrada y 37 mbar de presión de salida.</t>
  </si>
  <si>
    <t>mo010</t>
  </si>
  <si>
    <t>Mà d'obra</t>
  </si>
  <si>
    <t>h</t>
  </si>
  <si>
    <t>Oficial 1ª instalador de gas.</t>
  </si>
  <si>
    <t>mo109</t>
  </si>
  <si>
    <t>Mà d'obra</t>
  </si>
  <si>
    <t>h</t>
  </si>
  <si>
    <t>Ayudante instalador de gas.</t>
  </si>
  <si>
    <t>%</t>
  </si>
  <si>
    <t>%</t>
  </si>
  <si>
    <t>Costes directos complementarios</t>
  </si>
  <si>
    <t>IGW005</t>
  </si>
  <si>
    <t>IGW020s</t>
  </si>
  <si>
    <t>Partida</t>
  </si>
  <si>
    <t>Ud</t>
  </si>
  <si>
    <t>Válvula de gas 3/4".</t>
  </si>
  <si>
    <t>Suministro e instalación de llave de esfera de latón con mando de palanca, con rosca cilíndrica GAS macho-macho de 3/4" de diámetro, PN=5 bar.
Incluye: Montaje, conexionado y comprobación de su correcto funcionamiento.</t>
  </si>
  <si>
    <t>mt43acv030b</t>
  </si>
  <si>
    <t>Material</t>
  </si>
  <si>
    <t>Ud</t>
  </si>
  <si>
    <t>Llave de esfera de latón con mando de palanca, con rosca cilíndrica GAS macho-macho de 3/4" de diámetro, PN=5 bar, según UNE 60718.</t>
  </si>
  <si>
    <t>mo010</t>
  </si>
  <si>
    <t>Mà d'obra</t>
  </si>
  <si>
    <t>h</t>
  </si>
  <si>
    <t>Oficial 1ª instalador de gas.</t>
  </si>
  <si>
    <t>mo109</t>
  </si>
  <si>
    <t>Mà d'obra</t>
  </si>
  <si>
    <t>h</t>
  </si>
  <si>
    <t>Ayudante instalador de gas.</t>
  </si>
  <si>
    <t>%</t>
  </si>
  <si>
    <t>%</t>
  </si>
  <si>
    <t>Costes directos complementarios</t>
  </si>
  <si>
    <t>IGW020s</t>
  </si>
  <si>
    <t>IGW020bS</t>
  </si>
  <si>
    <t>Partida</t>
  </si>
  <si>
    <t>Ud</t>
  </si>
  <si>
    <t>Válvula de gas 1".</t>
  </si>
  <si>
    <t>Suministro e instalación de llave de esfera de latón con mando de palanca, con rosca cilíndrica GAS macho-macho de 1" de diámetro, PN=5 bar.
Incluye: Montaje, conexionado y comprobación de su correcto funcionamiento.</t>
  </si>
  <si>
    <t>IGW020</t>
  </si>
  <si>
    <t>Partida</t>
  </si>
  <si>
    <t>Ud</t>
  </si>
  <si>
    <t>Electroválvula de gas 1".</t>
  </si>
  <si>
    <t>Suministro e instalación de electrovalvula de gas con rearme manual,de 8 kg/h de caudal nominal, PN=5 bar. Incluida alimentación eléctrica.
Incluye: Montaje, conexionado y comprobación de su correcto funcionamiento.</t>
  </si>
  <si>
    <t>IGW</t>
  </si>
  <si>
    <t>IG</t>
  </si>
  <si>
    <t>I</t>
  </si>
  <si>
    <t>MOBILIARIO</t>
  </si>
  <si>
    <t>Capítol</t>
  </si>
  <si>
    <t>MOBILIARIO COCINA</t>
  </si>
  <si>
    <t>R100</t>
  </si>
  <si>
    <t>Capítol</t>
  </si>
  <si>
    <t>ZONA RECEPCION, ALMACEN Y CAMARAS</t>
  </si>
  <si>
    <t>ref101</t>
  </si>
  <si>
    <t>Partida</t>
  </si>
  <si>
    <t>U</t>
  </si>
  <si>
    <t>MESA MURAL 3000x600x900 MM</t>
  </si>
  <si>
    <t>ref101 MESA MURAL 3000x600x900 MM, compuesta por:
Construcción en acero inoxidable 18/10 AISI 304. Chapa de 1,5 mm de espesor. Peto posterior protección de 150 mm. Con 1 cubeta de 400x400x250 mm refundida y plafonada frontalmente. Perfil vierteaguas alrededor de la cubeta. Estante inferior. Con patas inox de 40x40 mm regulables. Con chaflán en encimera.</t>
  </si>
  <si>
    <t>ref101.1</t>
  </si>
  <si>
    <t>Partida</t>
  </si>
  <si>
    <t>U</t>
  </si>
  <si>
    <t>GRIFO DE CODO R0020215 DISTFORM</t>
  </si>
  <si>
    <t>ref101.1 GRIFO DE CODO R0020215 DISTFORM. Cromado de alta calidad. Diseñado especialmente para instalaciones de grandes  cocinas.</t>
  </si>
  <si>
    <t>ref102</t>
  </si>
  <si>
    <t>Partida</t>
  </si>
  <si>
    <t>U</t>
  </si>
  <si>
    <t>BASCULA INDAL.</t>
  </si>
  <si>
    <t>ref102 BASCULA INDAL. RZ-6 GRAM Ref. 60797</t>
  </si>
  <si>
    <t>ref102.1</t>
  </si>
  <si>
    <t>Partida</t>
  </si>
  <si>
    <t>U</t>
  </si>
  <si>
    <t>BASCULA XTREM</t>
  </si>
  <si>
    <t>ref102.1 BASCULA XTREM CONDOR 8080 600 GRAM PRECISION
Cap. Max. 300/600kg Resolución 100/200gr Dimensions del plato.800x800mm.
Incluye INDICADOR K3X (1 UT) y SOPORTE EN U (1 UT).</t>
  </si>
  <si>
    <t>ref103</t>
  </si>
  <si>
    <t>Partida</t>
  </si>
  <si>
    <t>U</t>
  </si>
  <si>
    <t>ESTANTERIA RECTA KIT P7197</t>
  </si>
  <si>
    <t>ref103 ESTANTERIA RECTA KIT P7197 PUJADAS.
Con 4 niveles de altura. Medidas: 1705x555x1750 mm</t>
  </si>
  <si>
    <t>ref103.1</t>
  </si>
  <si>
    <t>Partida</t>
  </si>
  <si>
    <t>U</t>
  </si>
  <si>
    <t>ESTANTERIA ANGULAR KIT P7472</t>
  </si>
  <si>
    <t>ref103.1 ESTANTERIA ANGULAR KIT P7472 PUJADAS
Con 4 niveles de altura. Con ganchos de sujección para formar angulos. Medidas: 905x555x1750 mm.</t>
  </si>
  <si>
    <t>ref104</t>
  </si>
  <si>
    <t>Partida</t>
  </si>
  <si>
    <t>U</t>
  </si>
  <si>
    <t>EUROPALET HIGIENICO REFORZADO</t>
  </si>
  <si>
    <t>ref104 EUROPALET HIGIENICO REFORZADO
Superficie superior e inferior completamente lisa para una fácil limpieza. Rebordes perimetrales antideslizantes. Material: Polietileno de alta densidad en calidad alimentaria. Posibilidad de insertar un chip. Carga dinámica: 1500 Kg Carga estática: 7500 Kg Medidas: 1200x800x153 mm.</t>
  </si>
  <si>
    <t>ref105.109.111</t>
  </si>
  <si>
    <t>Partida</t>
  </si>
  <si>
    <t>U</t>
  </si>
  <si>
    <t>Referencias 105+109+111. CAMARA CONGELACION 2900x2080x2500</t>
  </si>
  <si>
    <t>ref105+109+111
- CAMARA CONGELACION 2900x2080x2500 mm. Dimensiones ext.: 2900x2080x2500(h)mm. Construida con panel aislante de unión mecánica. Instaclack®, para adaptar y rematar en obra. Panel ancho 1140mm. Chapa 0,5mm, Lacado/Lacado, acabado LISO. Color blanco pirineo.
Características de la cámara:
*	Vertical y techo de espesor 100mm.
*	Suelo reforzado y antideslizante de panel 100mm
*	Perfíl sanitario de PVC en todo su interior.
*	Puerta pivotante semi-encajada, luz de paso 800x1850(h)mm, con hoja lacada, espesor 75mm. Marco calefactado, a corte de panel para ajuste y remate en obra. Cerradura con llave y sistema de desbloqueo interior.
*	Válvula equilibradora de presiones
- CAMARA POSITIVA - LACTEOS/ FRUTA
Dimensiones ext.: 5730x3600x2500(h)mm. Panel de mismas características que en partida anterior.
Característica del recinto:
*	Vertical y techo de espesor 70mm. adosada a congelación, (medidas según croquis).
*	Sin suelo de panel, para fijar sobre piso acabado, nivel 0.
*	Perfíl sanitario de PVC en todo su interior.
*	2 Puertas pivotante semi-encajada, luz de paso 800x1850(h)mm, con hoja lacada, espesor 75mm. Marco a corte de panel para ajuste y remate en obra. Cerradura con llave y sistema de desbloqueo interior. (1 UT).
- EQUIPO BSF NG 2055 IMPAFRI (1 UT).
- EQUIPO SEMICOMPACTO MSF-NY-11 026 IMPAFRI
Equipo semicompacto SILENCIOSO. A distancia, media temperatura. Condensadora SILENCIOSA. Potencia: 3/4 cv. Voltaje: 230 v - Monofásico Capacidad frigorífica: 1412 w a  0ºC (temperatura ambiente +35ºC)(1 UT).
- EQUIPO SEMI COMPACTO MSF-NY-12 053 INTARCON. Media temperatura. Semicompacto SILENCIOSO. Compressor: 1-1/2 cv. Potencia frigorífica absorvida a 0ºC: 2347 w. Potencia absorvida nominal: 1,42 Kw (1 UT).
- INSTALACIÓN FRIGORÍFICA del equipo de frío a una distancia máxima de 10 metros.
LOS EQUIPOS INCORPORAN: Mando a distancia de 5 mts. Válvula de  expansión termostática. Válvulas de servicio para conexión. Compresor hermético. Desescarche eléctrico. (3 UT).
Transporte, Montaje y Puesta Marcha</t>
  </si>
  <si>
    <t>ref105.1</t>
  </si>
  <si>
    <t>Partida</t>
  </si>
  <si>
    <t>U</t>
  </si>
  <si>
    <t>EQUIPO EMERGENCIA PARA CAMARA DE CONGELACION</t>
  </si>
  <si>
    <t>ref105.1 EQUIPO EMERGENCIA PARA CAMARA DE CONGELACION
Comprende caja con alumbrado de emergéncia, señalización e interruptor con alarma óptica y acústica exteriores (según normativa vigente). Hacha tipo bombero de 1 Kg. (según normativa vigente), y soporte hacha modelo SCH.
Transporte, Montaje y Puesta Marcha</t>
  </si>
  <si>
    <t>ref105.2</t>
  </si>
  <si>
    <t>Partida</t>
  </si>
  <si>
    <t>U</t>
  </si>
  <si>
    <t>EQUIPO EMERGENCIA PARA CAMARA DE REFRIGERACIÓN</t>
  </si>
  <si>
    <t>ref105.2 EQUIPO EMERGENCIA PARA CAMARA DE REFRIGERACIÓN
Comprende caja con alumbrado de emergéncia, señalización e interruptor con alarma óptica y acústica exteriores (según normativa vigente).
Transporte, Montaje y Puesta Marcha</t>
  </si>
  <si>
    <t>ref106.1</t>
  </si>
  <si>
    <t>Partida</t>
  </si>
  <si>
    <t>U</t>
  </si>
  <si>
    <t>ESTANTERIA RECTA KIT P7197</t>
  </si>
  <si>
    <t>ref106.1 ESTANTERIA RECTA KIT P7197 PUJADAS
Con 4 niveles de altura. Medidas: 1705x555x1750 mm</t>
  </si>
  <si>
    <t>ref106.2</t>
  </si>
  <si>
    <t>Partida</t>
  </si>
  <si>
    <t>U</t>
  </si>
  <si>
    <t>ESTANTERIA ANGULAR KIT 7477</t>
  </si>
  <si>
    <t>ref106.2 ESTANTERIA ANGULAR KIT 7477 PUJADAS
Con 4 niveles de altura. Con ganchos de sujección para formar angulos. Medidas: 1450x555x1750 mm.</t>
  </si>
  <si>
    <t>ref107.1</t>
  </si>
  <si>
    <t>Partida</t>
  </si>
  <si>
    <t>U</t>
  </si>
  <si>
    <t>CAMARA POSITIVA VERDURAS</t>
  </si>
  <si>
    <t>ref107.1 CAMARA POSITIVA VERDURAS
Dimensiones ext.: 3340x1940x2500(h)mm. Panel de mismas características que en partida anterior.
Característica del recinto:
*	Vertical y techo de espesor 70mm.
*	Sin suelo de panel, para fijar sobre piso acabado, nivel 0.
*	Perfíl sanitario de PVC en todo su interior.
*	Puerta pivotante semi-encajada, luz de paso 800x1850(h)mm, con hoja lacada, espesor 75mm. Marco a corte de panel para ajuste y remate en obra. Cerradura con llave y sistema de desbloqueo interior.
- EQUIPO SEMICOMPACTO MSF-NY-11 026 IMPAFRI
Equipo semicompacto SILENCIOSO.  A distancia, media temperatura. Condensadora SILENCIOSA. Potencia: 3/4 cv. Voltaje: 230 v - Monofásico Capacidad frigorífica: 1412 w a 0ºC
(temperatura ambiente +35ºC) (1 UT).
- INSTALACIÓN FRIGORÍFICA del equipo de frío a una distancia máxima de 10 metros.
LOS EQUIPOS INCORPORAN: Mando a distancia de 5 mts. Válvula de expansión termostática. Válvulas de servicio para conexión. Compresor hermético. Desescarche eléctrico.</t>
  </si>
  <si>
    <t>ref107.2</t>
  </si>
  <si>
    <t>Partida</t>
  </si>
  <si>
    <t>U</t>
  </si>
  <si>
    <t>EQUIPO EMERGENCIA PARA CAMARA DE REFRIGERACIÓN</t>
  </si>
  <si>
    <t>ref107.2 EQUIPO EMERGENCIA PARA CAMARA DE REFRIGERACIÓN
Comprende caja con alumbrado de emergéncia, señalización e interruptor con alarma óptica y acústica exteriores (según normativa vigente).
Transporte, Montaje y Puesta Marcha</t>
  </si>
  <si>
    <t>ref108</t>
  </si>
  <si>
    <t>Partida</t>
  </si>
  <si>
    <t>U</t>
  </si>
  <si>
    <t>ESTANTERIA RECTA KIT 7198</t>
  </si>
  <si>
    <t>ref108 ESTANTERIA RECTA KIT 7198 PUJADAS
Con 4 niveles de altura. Medidas: 1840x555x1750 mm.</t>
  </si>
  <si>
    <t>ref108.1</t>
  </si>
  <si>
    <t>Partida</t>
  </si>
  <si>
    <t>U</t>
  </si>
  <si>
    <t>ESTANTERIA RECTA KIT P7200</t>
  </si>
  <si>
    <t>ref108.1 ESTANTERIA RECTA KIT P7200 PUJADAS
Con 4 niveles de altura. Medidas: 2060x555x1750 mm.</t>
  </si>
  <si>
    <t>ref110</t>
  </si>
  <si>
    <t>Partida</t>
  </si>
  <si>
    <t>U</t>
  </si>
  <si>
    <t>ESTANTERIA RECTA KIT P7193</t>
  </si>
  <si>
    <t>ref110 ESTANTERIA RECTA KIT P7193 PUJADAS
Con 4 niveles de altura. Medidas: 1263x555x1750 mm.</t>
  </si>
  <si>
    <t>ref110.1</t>
  </si>
  <si>
    <t>Partida</t>
  </si>
  <si>
    <t>U</t>
  </si>
  <si>
    <t>ESTANTERIA ANGULAR KIT P7481</t>
  </si>
  <si>
    <t>ref110.1 ESTANTERIA ANGULAR KIT P7481 PUJADAS
Con 4 niveles de altura. Con ganchos de sujección para formar angulos. Medidas: 1920x555x1750 mm.</t>
  </si>
  <si>
    <t>ref110.2</t>
  </si>
  <si>
    <t>Partida</t>
  </si>
  <si>
    <t>U</t>
  </si>
  <si>
    <t>ESTANTERIA RECTA KIT 7058</t>
  </si>
  <si>
    <t>ref110.2 ESTANTERIA RECTA KIT 7058 PUJADAS
Con 4 niveles de altura. Medidas: 1950x385x1750 mm.</t>
  </si>
  <si>
    <t>ref112</t>
  </si>
  <si>
    <t>Partida</t>
  </si>
  <si>
    <t>U</t>
  </si>
  <si>
    <t>ESTANTERIA ANGULAR KIT 7484</t>
  </si>
  <si>
    <t>ref112 ESTANTERIA ANGULAR KIT 7484 PUJADAS
Con 4 niveles de altura. Con ganchos de sujección para formar angulos. Medidas: 2250x555x1750 mm.</t>
  </si>
  <si>
    <t>ref112.1</t>
  </si>
  <si>
    <t>Partida</t>
  </si>
  <si>
    <t>U</t>
  </si>
  <si>
    <t>ESTANTERIA RECTA KIT 7207</t>
  </si>
  <si>
    <t>ref112.1 ESTANTERIA RECTA KIT 7207 PUJADAS
4 niveles de altura. Medidas: 2825x555x1750 mm.</t>
  </si>
  <si>
    <t>R100</t>
  </si>
  <si>
    <t>R200</t>
  </si>
  <si>
    <t>Capítol</t>
  </si>
  <si>
    <t>ZONA SALA FRIA</t>
  </si>
  <si>
    <t>ref201</t>
  </si>
  <si>
    <t>Partida</t>
  </si>
  <si>
    <t>U</t>
  </si>
  <si>
    <t>SALA FRIA 3150x3340x2500 MM</t>
  </si>
  <si>
    <t>ref201 SALA FRIA 3150x3340x2500 MM
- VENTANA DE GUILLOTINA 1750X1500 MM
con sistema de apertura con contrapesos, zona fija superior de 800mm el resto ventana elevable (1 UT).
COMPUESTA POR:
Característica del recinto:
*	Vertical y techo de espesor 70mm.
*	Sin suelo de panel, para fijar sobre piso acabado, nivel 0.
*	Perfíl sanitario de PVC en todo el interior de las paredes de panel.
*	Puerta rápida enrollable, luz de paso 1000x2100h
Guías en aluminio anodizado con perfiles ajustados. Dintel en aluminio anodizado.  Eje y consolas de apoyo en acero inoxidable. Lona de PVC de 950 g/m2, ignífugo clase M2. Incluye un ventano transparente 400x1200mm. Paro de emergencia en botonera exterior e interior. Velocidad apertura y cierre: 1 m/s Cuadro monofásico de control con variador de
frecuencia. Incluye cubremotor Ventano de guillotina (NO INCLUIDO).
- EQUIPO ASF-DY-11026 IMPAFRI SIGILUS
Compresor: 3/4	cv Tensión: 230 V. Potencia frigorífica: 2678 12ºC. Caudal evaporativo: 1100 M3/h. (1 UT).
- INSTALACIÓN FRIGORÍFICA del equipo de frío a una distancia máxima de 10 metros.
LOS EQUIPOS INCORPORAN: Mando a distancia de 5 mts. Válvula de  expansión termostática. Válvulas de servicio para conexión. Compresor hermético. Desescarche eléctrico.</t>
  </si>
  <si>
    <t>ref202</t>
  </si>
  <si>
    <t>Partida</t>
  </si>
  <si>
    <t>U</t>
  </si>
  <si>
    <t>MESA MURAL 3050/3250x700x900 MM</t>
  </si>
  <si>
    <t>ref202 MESA MURAL 3050/3250x700x900 MM
COMPUEST: Construcción en acero inoxidable 18/10 AISI 304 en forma de L. Chapa de 1,5 mm de espesor. Peto posterior protección de 150 mm. Peto lateral de protección. Con 2 cubetas de 450x450x250 mm refundidas y plafonadas frontalmente. Perfil vierteaguas alrededor de las cubetas. Encimera para alojar bajomostrador. Con mueble para desperdicios con trampilla basculante. Con 1 buc de cajones. Estante inferior. Con patas inox de 40x40 mm regulables.</t>
  </si>
  <si>
    <t>ref202.1</t>
  </si>
  <si>
    <t>Partida</t>
  </si>
  <si>
    <t>U</t>
  </si>
  <si>
    <t>GRIFO DE CODO R0020215 DISTFORM</t>
  </si>
  <si>
    <t>ref202.1 
GRIFO DE CODO R0020215 DISTFORM. Cromado de alta calidad. Diseñado especialmente para instalaciones de grandes  cocinas.</t>
  </si>
  <si>
    <t>ref203</t>
  </si>
  <si>
    <t>Partida</t>
  </si>
  <si>
    <t>U</t>
  </si>
  <si>
    <t>TRITURADOR XM-52 SAMMIC</t>
  </si>
  <si>
    <t>ref203 TRITURADOR XM-52 SAMMIC</t>
  </si>
  <si>
    <t>ref204</t>
  </si>
  <si>
    <t>Partida</t>
  </si>
  <si>
    <t>U</t>
  </si>
  <si>
    <t>ENVASADORA AL VACIO TIM6K1E2</t>
  </si>
  <si>
    <t>ref204 ENVASADORA AL VACIO TIM6K1E2 ISENSOR M DISTFORM
Longitud barra de sellado: 405 mm Bomba de vacío Busch (m3/h)(Made in Germany): 16. Potencia: 0,85 Kw Voltaje: 230/L+N/50-60. Medidas cámara: 412 x 453 x 200 mm. Medidas: 475 x 616 x 438 mm.</t>
  </si>
  <si>
    <t>ref205</t>
  </si>
  <si>
    <t>Partida</t>
  </si>
  <si>
    <t>U</t>
  </si>
  <si>
    <t>CORTADORA FIAMBRES F-250 I INTECNO</t>
  </si>
  <si>
    <t>ref205 CORTADORA FIAMBRES F-250 I INTECNO
Diametro cuchilla: 250 mm Espesor corte: 0-15 mm Corte útil: 260x190 mm Medidas: 630x480x445 mm.</t>
  </si>
  <si>
    <t>ref206</t>
  </si>
  <si>
    <t>Partida</t>
  </si>
  <si>
    <t>U</t>
  </si>
  <si>
    <t>MESA REFRIGERADA BMGN 1960</t>
  </si>
  <si>
    <t>ref206 MESA REFRIGERADA BMGN 1960 II S/E *** SIN ENCIMERA *** SERIE 700 INFRICO
Exterior y interior en acero inoxidable AISI 304 18/10. Con 3 puertas. Capacidad: 460 litros. Potencia: 690 w. Voltaje: 220 v/50. Medidas: 1960x700x850 mm.</t>
  </si>
  <si>
    <t>ref207</t>
  </si>
  <si>
    <t>Partida</t>
  </si>
  <si>
    <t>U</t>
  </si>
  <si>
    <t>PASE INOX 1700x300 MM</t>
  </si>
  <si>
    <t>ref207 PASE INOX 1700x300 MM
Construcción en acero inoxidable.</t>
  </si>
  <si>
    <t>R200</t>
  </si>
  <si>
    <t>R300</t>
  </si>
  <si>
    <t>Capítol</t>
  </si>
  <si>
    <t>ZONA COCCION</t>
  </si>
  <si>
    <t>ref301.302</t>
  </si>
  <si>
    <t>Partida</t>
  </si>
  <si>
    <t>U</t>
  </si>
  <si>
    <t>MESA CENTRAL 2600x1400X900 MM</t>
  </si>
  <si>
    <t>ref301.302 MESA CENTRAL 2600x1400X900 MM
Compuesta por: Construcción en acero inoxidable 18/10 AISI 304. Chapa de 1,5 mm de espesor. Estante inferior. Con patas inox de 40x40 mm regulables. Con 2 cajones.
Transporte, Montaje</t>
  </si>
  <si>
    <t>ref303</t>
  </si>
  <si>
    <t>Partida</t>
  </si>
  <si>
    <t>U</t>
  </si>
  <si>
    <t>CARRO ACR-1</t>
  </si>
  <si>
    <t>ref303 CARRO ACR-1 DISTFORM
Potencia: 3000 W Distancia entre guias: 55. Capacidad: 22 gn 2/1 o 44 GN 1/1 Medidas: 700x805x1740 mm
Transporte, Montaje</t>
  </si>
  <si>
    <t>ref304</t>
  </si>
  <si>
    <t>Partida</t>
  </si>
  <si>
    <t>U</t>
  </si>
  <si>
    <t>MESA MURAL 3095x700x900x900 MM</t>
  </si>
  <si>
    <t>ref304 MESA MURAL 3095x700x900x900 MM
Compuesta por: Construcción en acero inoxidable 18/10 AISI 304. Chapa de 1,5 mm de espesor. Peto posterior protección de 150 mm. Encimera para alojar bajomostrador. Con mueble para desperdicios con trampilla basculante. 1 buc de cajones. Con patas inox de 40x40 mm regulables.
Transporte, Montaje</t>
  </si>
  <si>
    <t>ref304.1</t>
  </si>
  <si>
    <t>Partida</t>
  </si>
  <si>
    <t>U</t>
  </si>
  <si>
    <t>GRIFO DE CODO R0020215 DISTFORM</t>
  </si>
  <si>
    <t>ref304.1 GRIFO DE CODO R0020215 DISTFORM. Cromado de alta calidad. Diseñado especialmente para instalaciones de grandes cocinas.
Transporte, Montaje y Puesta Marcha</t>
  </si>
  <si>
    <t>ref305</t>
  </si>
  <si>
    <t>Partida</t>
  </si>
  <si>
    <t>U</t>
  </si>
  <si>
    <t>MESA REFRIGERADA BMGN 1960</t>
  </si>
  <si>
    <t>ref305 MESA REFRIGERADA BMGN 1960 II S/E *** SIN ENCIMERA *** SERIE 700 INFRICO
Exterior y interior en acero inoxidable AISI 304 18/10. Con 3 puertas. Capacidad: 460 litros. Potencia: 690 w. Voltaje: 220 v/50. Medidas: 1960x700x850 mm.
Transporte, Montaje y Puesta Marcha</t>
  </si>
  <si>
    <t>ref306.322</t>
  </si>
  <si>
    <t>Partida</t>
  </si>
  <si>
    <t>U</t>
  </si>
  <si>
    <t>EXTRACCIÓN DE HUMOS COMPUESTA</t>
  </si>
  <si>
    <t>ref306.322Suministro y montaje de sistema de extracción de humos de la cocina central, tren de lavado y hornos compuesto por campanas, conductos y figuras necesarias, caja de extracción y aportación, resistencia aportación aire, regulación y control y demas elementos necesarios para la correcta evacuación hasta cubierta. Totalmente instalada, certificada y puesta en marxa. Incluido medios de elevación necesarios.
Compuesta por:
- CAMPANA CENTRAL C.3300x2300x800 R+P SOLDAD AEN DOS PIEZAS, CON
PLENUM DE EXTRACCION, PLENUM DE APORTACION, PARTES VISTAS EN INOXYFILTROS DE PLACAS INOX. 
- HORNO 50 P.P.2850x1350x800 R+P SOLDADA EN UNA SOLA PIEZA, CON PLENUM DE EXTRACCION, PARTES VISTAS EN INOX Y FILTROS DE PLACAS INOX
- TREN LAVADO P.P.2850x1350x800 R+P SOLDADA EN UNA SOLA PIEZA, CON PLENUM DE EXTRACCION, PARTES VISTAS EN INOX Y FILTROS DE PLACAS INOX
- *EXTRACCION*
UNIC-25/13 7'5cv.T 400º/2h RD0 P3 TOLVA INOX25/13-700 (415x800) SOMBRERO JET INOX710 H BRILLO ABRAZ.PARAVIENTOS INOX710 H B BRIDAMANGUITO CORONA550 MC BRIDAMANGUITO CORONA400 MC
- *TUBERIA EI30*
2 M.RECTO 700/760 L960 EI30 INS
16 M.RECTO 700/760 L960 EI30
2 M.EX.LAR.700/760(550-900)EI30
3 CODO 90º 700/760 EI30
2 M.EX.COR.700/760(370-550)EI30
1 ADAP.SIM-DOB 700-(700/760)EI30
2 ADAP.DOB-SIM700/760-710 EI30
1 TE 90º 700/760 EI30
28 ABRAZ.UNION 700/760 EI30
7 ANCLAJE INTERM.700/760 EI30
1 ANCLAJE CARGA700/760 EI30
1 REDUCC.700/760 A550/610 EI30
1 REDUCC.700/760 A400/460 EI30
1 ADAP.SIM-DOB 400-400/460 EI30
1 M.RECTO 400/460 L960 EI30 INSP
2 M.RECTO 400/460 L960 EI30
1 CODO 90º 400/460 EI30
1 CODO 45º 400/460 EI30
1 M.EX.LAR.400/460(550-900)EI30
8 ABRAZ.UNION 400/460 EI30
2 ANCLAJE INTERM.400/460 EI30 PL 1 ADAP.SIM-DOB 550-(550/610)EI30 1 M.RECTO 550/610 L960 EI30 INS  1 CODO 90º 550/610 EI30
1 M.EX.LAR.550/610(550-900)EI30
5 ABRAZ.UNION 550/610 EI30
2 ANCLAJE INTERM.550/610 EI30 PL
- *APORTACION*
1 BASIC-15/15 3cv.T H
1 CAJA RESISTENCIAS 22kW 
1 F.ZIG-ZAG 15/15 BASIC
1 TOLVA15/15 A560(505X430)CP25
3 TUBO GALVA560 / 0'7mm. PVP/M  2 CODO 45º 560
1 FLAUTACON REJILLA560
1 TOLVA710x655 AØ 560 S/P
3 ABRAZ.TUERCAM8 560 UVLNT
1 TE CONICARED.45º 560/400/400
1 TOLVA25/13 A400(415X800)CP25
6 TUBO GALVA400 / 0'7mm. PVP/M
1	MANGUITO UNION TUBO 400 NP 2 CODO 45º 400
2	CODO 90º 400 BF
3	ABRAZ.TUERCAM8 400 UVLNT
- *REGULACION*
VARIADOR 5.5KW380T-380T IP66 VARIADOR 2.2KW380T-380T IP66
2 POTEN.VARIADOR FREC. ANALOGICO
- *VARIOS*
INT.TRIPOLAR 16 AMP IP65
4 AMORT.METAL.TECHO 10-100KGS
4 AMORT.METAL.TECHO 5-50KGS
10 PERFIL SOP. P/TUBO CP-4020 M/
10 MASILLAP/ COND.300 GR MAXX
5 CINTAAL.BUTIL-BAND 10Mx50mm
24 METROS CABLE 4 MM
4 TENSORES M12
4 TACOS METAL M8 CANCAMO
16 PERRILLOS
4 ESCUADRASOPORTE 50/20
MONTAJE E INSTALACION</t>
  </si>
  <si>
    <t>ref306.1</t>
  </si>
  <si>
    <t>Partida</t>
  </si>
  <si>
    <t>U</t>
  </si>
  <si>
    <t>SISTEMA EXTINCION INCENDIOS</t>
  </si>
  <si>
    <t>ref306.1 SISTEMA EXTINCION INCENDIOS PARA CAMPANA CON TUBERIAS, SALIDAS Y EXTINTOR INSTALADAS. PUESTA EN MARXA DEL SISTEMA
TOTALMENTE HOMOLOGADO Y CERTIFICADO</t>
  </si>
  <si>
    <t>ref307...</t>
  </si>
  <si>
    <t>Partida</t>
  </si>
  <si>
    <t>U</t>
  </si>
  <si>
    <t>COCINA MODULAR MARCA GR</t>
  </si>
  <si>
    <t>ref307 COCINA MODULAR MARCA GR
Compuesta por:
- MESA NEUTRA MODULAR
Construido en acero inoxidable, armazon, encimera y estante. Patas regulables. Medidas: 400x900x850
- BAÑO MARIA MODULAR ELÉCTRICO. Exterior construido en acero inoxidable calidad 18/8.
Capacidad para 2 cubetas 2/3 GN.( o submultipllos.). Juego de resistencia blindadas. Regulación de temperatura del agua mediante termostato. Interruptor general de corte de corriente. Pilotos de control. Potencia:3kw-II. Medidas exteriores: 400x900x850 mm
- FREIDORA ELECTRICA MODULAR Construida en acero inoxidable de 18/8.
Compuesta de 1 cubas. Dimension cesta: 200x400x210. (1 UT) Grifo de 3/4". Capacidad de aceite 20 litros. Capacidad cuba 35 litros. Termostato  de  seguridad. Temperatura regulación 100-190º. Limpieza facil por ser desmontables sus elementos. Potencia. 12.600 w. Medidas exteriores: 400x900x850 Voltaje: 380V-III+N
- COCINA MODULAR SIN HORNO Exterior totalmente en acero inox. 
Encimera en acero inox. 18/8, de gran robustez por estar construida en espesores adecuados a su función.
Compuesto de: 4 FUEGOS ABIERTOS de 120mm con baño de agua 1 SOPORTE CON ENTREPAÑO INFERIOR.
FUEGOS ABIERTOS:
Quemadores totalmente desmontable de fundición, dotados de piloto de
encendido independiente en cada quemador y valvula de seguridad.
Desmontables para facilitar su limpieza. Con parrillas de fuego abierto de ACERO INOX CUADRADILLO.
Dimensiones de parrilla 400x375, Bandeja recogegrasas de AGUA con llenado y rebosadero.
SOPORTE MUEBLE: Acero inox. Estante inferior de 580x800 Medidas exteriores: 800x900x850
- MESA NEUTRA
Construido en acero inoxidable, armazon, encimera y estante. Patas regulables. Medidas: 400x900x850.
-  FRY-TOP GAS. SOBRE MUEBLE
Exterior en acero inoxidable de 18/8. Placa de cromo duro 400x750 Acabado de la superficie liso.
Bandeja recogegrasas en la parte inferior.
Dimensiones de la placa 400x750 Potencia gas: 9kw Con carril perimertal de agua, con carga y desagüe.
Medidas exteriores: 400x900x850 Peso 73kg
- COCINA MODULAR SIN HORNO
Exterior totalmente en acero inox.
Encimera en acero inox. 18/8, de
gran robustez por estar construida
en
espesores adecuados a su función.
Compuesto de: 2 FUEGOS ABIERTOS de
120mm con baño de agua
1 SOPORTE CON ENTREPAÑO INFERIOR.
FUEGOS ABIERTOS:
Quemadores totalmente desmontable
de fundición, dotados de piloto de
encendido independiente en cada
quemador y valvula de seguridad.
Desmontables para facilitar su
limpieza.
Con parrillas de fuego abierto de
ACERO INOX CUADRADILLO.
Dimensiones de parrilla 400x375
Bandeja recogegrasas de AGUA con
llenado y rebosadero.
SOPORTE MUEBLE:
Acero inox.
Estante inferior de 200x800
Medidas exteriores: 400x900x850
- MESA NEUTRA
Construido en acero inoxidable, armazon, encimera y estante. Patas regulables. Medidas: 400x900x850
- MARMITA A GAS
Exterior e interior totalmente en
acero inoxidable de 18/8.
Máquina equipada con grifo de 2?,
desmontable, con tapón en el frente
facilitando la limpieza del mismo y
la salida de su contenido.
Capacidad: 100 litros.
Quemador doble corona.
Pies regulables de material
inoxidable.
Tapa basculante de acero
inoxidable.
Válvula de seguridad en cada
elemento
Potencia: 22kw.
Medidas exteriores: 800x900x850
NOTA:
CUBA CON AGUA, DESAGÜE, REJILLAS CON CUADRADILLO, MACIZO DE 20X20 INOX TOTALEMTE ENRADASO.
Transporte, Montaje y Puesta Marcha incluidos.</t>
  </si>
  <si>
    <t>ref308</t>
  </si>
  <si>
    <t>Partida</t>
  </si>
  <si>
    <t>U</t>
  </si>
  <si>
    <t>ESTANTERIA RECTA KIT 7210</t>
  </si>
  <si>
    <t>ref308 ESTANTERIA RECTA KIT 7210 PUJADAS
Con 4 niveles de altura. Medidas: 3150x555x1750 mm.
Transporte, Montaje y Puesta Marcha</t>
  </si>
  <si>
    <t>ref318</t>
  </si>
  <si>
    <t>Partida</t>
  </si>
  <si>
    <t>U</t>
  </si>
  <si>
    <t>COCINA IVARIO PRO L RATIONAL</t>
  </si>
  <si>
    <t>ref318 COCINA IVARIO PRO L RATIONAL
Capacidad: 100 l. Potencia: 27 kw. Medidas: 1030x894x1078 mm. Tensión 400 V (1 UT).
- KIT DE CONEXION 87.00.746 
- EQUIPAMIENTO BASICO L 87.00.743
1 × 60.77.042 Espátula 33 1 × 60.75.909 Brazo para elevación y descenso automáticos, tipo L.
2 × 60.74.983 Cesta de cocción,tipo L, XL 1 × 60.75.975. Escurridor, tipo L.
2 × 60.74.663 Parrilla de fondo de cuba, tipo L, XL.
1 × 60.73.927  Estropajo de limpieza.
Transporte, Montaje y Puesta Marcha</t>
  </si>
  <si>
    <t>ref320</t>
  </si>
  <si>
    <t>Partida</t>
  </si>
  <si>
    <t>U</t>
  </si>
  <si>
    <t>MESA REFRIGERADA BMGN 1960</t>
  </si>
  <si>
    <t>ref320 
MESA REFRIGERADA BMGN 1960 II S/E *** SIN ENCIMERA *** SERIE 700 INFRICO
Exterior y interior en acero inoxidable AISI 304 18/10. Con 3 puertas. Capacidad: 460 litros. Potencia: 690 w. Voltaje: 220 v/50. Medidas: 1960x700x850 mm.
Transporte, Montaje y Puesta Marcha</t>
  </si>
  <si>
    <t>ref321</t>
  </si>
  <si>
    <t>Partida</t>
  </si>
  <si>
    <t>U</t>
  </si>
  <si>
    <t>MESA MURAL 4400x700x900 MM</t>
  </si>
  <si>
    <t>ref321 MESA MURAL 4400x700x900 MM
Compuesta por: Construcción en acero inoxidable 18/10 AISI 304. Chapa de 1,5 mm de espesor. Peto posterior protección de 150 mm. Con 1 cubeta de 450x450x250 mm refundida y plafonada frontalmente. Perfil vierteaguas alrededor de la cubeta. Encimera para alojar bajomostrador. Mueble desperdicios con trampilla basculante. Zona central con estante y cantos redondeados. Con patas inox de 40x40 mm regulables.
Transporte, Montaje y Puesta Marcha</t>
  </si>
  <si>
    <t>ref321.1</t>
  </si>
  <si>
    <t>Partida</t>
  </si>
  <si>
    <t>U</t>
  </si>
  <si>
    <t>GRIFO DE CODO R0020215 DISTFORM</t>
  </si>
  <si>
    <t>ref321.1 GRIFO DE CODO R0020215 DISTFORM. Cromado de alta calidad. Diseñado especialmente para instalaciones de grandes  cocinas.
Transporte, Montaje y Puesta Marcha</t>
  </si>
  <si>
    <t>ref323</t>
  </si>
  <si>
    <t>Partida</t>
  </si>
  <si>
    <t>U</t>
  </si>
  <si>
    <t>MESA MURAL 1700x1000x900 MM</t>
  </si>
  <si>
    <t>ref323 MESA MURAL 1700x1000x900 MM
Incluye 1 cuerpo de guias. Construcción en acero inoxidable 18/10 AISI 304. Chapa de 1,5 mm de espesor. Peto posterior protección de 150 mm. Con patas inox de 40x40 mm regulables.
Transporte, Montaje y Puesta Marcha</t>
  </si>
  <si>
    <t>ref324</t>
  </si>
  <si>
    <t>Partida</t>
  </si>
  <si>
    <t>U</t>
  </si>
  <si>
    <t>HORNO 6 2/1 ELECTRICO ---------PROPIEDAD DEL CLIENTE NO SE OFERTA</t>
  </si>
  <si>
    <t>ref324 HORNO 6 2/1 ELECTRICO (PROPIEDAD DEL CLIENTE, NO SE INCLUYE EL MATERIAL)
Desmontaje y posterior montaje y Puesta Marcha</t>
  </si>
  <si>
    <t>ref325</t>
  </si>
  <si>
    <t>Partida</t>
  </si>
  <si>
    <t>U</t>
  </si>
  <si>
    <t>HORNO ELECTRICO ICOMBIPRO 6-2/1 RATIONAL</t>
  </si>
  <si>
    <t>ref325 HORNO ELECTRICO ICOMBIPRO 6-2/1 RATIONAL
Potencia: 22.4 kw. Tensión: 400 V. Capacidad: 6 x 2/1 GN / 12 x 1/1 GN Medidas: 1072x1042x754 mm.
- KIT DE CONEXION 60.70.464 RATIONAL. Modelo XS 6-2/3, modelo 61 - 202. Compuesto de tubo de alimentación de agua (2 m) y tubo de desagüe DN 50. (1 UT).
- PASTILLA DETERGENTE ACTIVE GREEN RATIONAL. Pastillas de detergente Active Green para iCombi Pro y iCombi Classic. 150 unidades. (1 UT).
- PASTILLA ABRILLANTADOR RATIONAL 150 unidades. (1 UT).
Transporte, Montaje y Puesta Marcha</t>
  </si>
  <si>
    <t>ref325.1</t>
  </si>
  <si>
    <t>Partida</t>
  </si>
  <si>
    <t>U</t>
  </si>
  <si>
    <t>SOPORTE II 60.31.087 RATIONAL</t>
  </si>
  <si>
    <t>ref325.1 SOPORTE II 60.31.087 RATIONAL
Transporte, Montaje y Puesta Marcha</t>
  </si>
  <si>
    <t>ref326</t>
  </si>
  <si>
    <t>Partida</t>
  </si>
  <si>
    <t>U</t>
  </si>
  <si>
    <t>ABATIDOR-CONGELADOR ABT 10 1L INFRICO</t>
  </si>
  <si>
    <t>ref326 ABATIDOR-CONGELADOR ABT 10 1L INFRICO
Unidad refrigerante incorporada. Sistema de condensación ventilada. Capacidad: 10 bandejas GN-1/1. Rendimiento: (1) Abatimiento: 40 kg / (2) Congelación: 25 kg. Potencia: 2 Hp. Medidas: 837x870x1760 mm.
Transporte, Montaje y Puesta Marcha</t>
  </si>
  <si>
    <t>ref327</t>
  </si>
  <si>
    <t>Partida</t>
  </si>
  <si>
    <t>U</t>
  </si>
  <si>
    <t>MESA PLONGE 1600x700x900 MM</t>
  </si>
  <si>
    <t>ref327 MESA PLONGE 1600x700x900 MM
Construcción en acero inoxidable 18/10 AISI 304. Chapa de 1,5 mm de espesor. Peto posterior protección de 150 mm. Peto lateral de protección con perfil sanitario. Con 2 cubetas de 700X500x350 mm refundidas y plafonadas frontalmente. Perfil vierteaguas perimetral. Estante inferior. Con patas inox de 40x40 mm regulables.
Transporte, Montaje y Puesta Marcha</t>
  </si>
  <si>
    <t>ref327.1</t>
  </si>
  <si>
    <t>Partida</t>
  </si>
  <si>
    <t>U</t>
  </si>
  <si>
    <t>GRIFO DUCHA R0020216 DISTFORM</t>
  </si>
  <si>
    <t>ref327.1 GRIFO DUCHA R0020216 DISTFORM
Grifo ducha gerontológico y grifo de codo gerontológico.
Transporte, Montaje y Puesta Marcha</t>
  </si>
  <si>
    <t>ref328</t>
  </si>
  <si>
    <t>Partida</t>
  </si>
  <si>
    <t>U</t>
  </si>
  <si>
    <t>ESTANTE MURAL TUBULAR 1400x400 MM</t>
  </si>
  <si>
    <t>ref328 ESTANTE MURAL TUBULAR 1400x400 MM
Construccioón en acero inoxidable 18/10 AISI 304. Con cartelas de sujección a pared.
Transporte, Montaje y Puesta Marcha</t>
  </si>
  <si>
    <t>R300</t>
  </si>
  <si>
    <t>R500</t>
  </si>
  <si>
    <t>Capítol</t>
  </si>
  <si>
    <t>ZONA LAVADO</t>
  </si>
  <si>
    <t>ref501</t>
  </si>
  <si>
    <t>Partida</t>
  </si>
  <si>
    <t>U</t>
  </si>
  <si>
    <t>MESA ENTRADA LAVADO CENTRAL/MURAL 1900/1650x700/850x900 MM</t>
  </si>
  <si>
    <t>ref501 MESA ENTRADA LAVADO CENTRAL/MURAL 1900/1650x700/850x900 MM
Compuesta por: Construcción en acero inoxidable 18/10 AISI 304 en forma de L. Chapa de 1,5 mm de espesor. Peto posterior protección de 150 mm. Peto lateral de protección con perfil sanitario. Con 1 cubeta de 450x450x250 mm refundida y plafonada frontalmente. Perfil vierteaguas perimetral. Aro de goma de desbarazado. Estante inferior. Con patas inox de 40x40 mm regulables.
Transporte, Montaje y Puesta Marcha</t>
  </si>
  <si>
    <t>ref501.1</t>
  </si>
  <si>
    <t>Partida</t>
  </si>
  <si>
    <t>U</t>
  </si>
  <si>
    <t>GRIFO DUCHA R0020216 DISTFORM</t>
  </si>
  <si>
    <t>ref501.1 GRIFO DUCHA R0020216 DISTFORM
Grifo ducha gerontológico y grifo de codo gerontológico.
Transporte, Montaje y Puesta Marcha</t>
  </si>
  <si>
    <t>ref502</t>
  </si>
  <si>
    <t>Partida</t>
  </si>
  <si>
    <t>U</t>
  </si>
  <si>
    <t>TUNEL ARRASTRE DE CESTAS AR 2420 T</t>
  </si>
  <si>
    <t>ref502 TUNEL ARRASTRE DE CESTAS AR 2420 T 400 V III JEMI CON SECADO SOBRE CURVA 90º
Formada por:
- ZONA LAVADO. Un módulo de 1.120mm con una zona de lavado de agua jabonosa, a una temperatura de 50-55°C con 3 (tres) brazos de lavado superiores y 3 (tres) inferiores. Gracias al sistema de toberas se crea una proyección en forma de intensa lluvia, en abanico, contra los elementos a lavar, con una circulación de agua equivalente a un caudal de 950 litros por minuto. Motor-bomba de gran potencia.
- ZONA DE ACLARADO. Garantizamos un aclarado perfecto de los elementos a lavar gracias al doble aclarado final, alcance de 360º, superior, inferior y lateral, con agua fresca proveniente de la red. Temperatura de 85ºC, garantizando una perfecta desinfección. Sistema automático de detección de cestas, aclarando únicamente cuando es necesario, con el consecuente ahorro en consumo. Consumo de agua a pleno rendimiento de 280 l/hora de agua, preferiblemente
descalcificada, a 2 bars de presión de red.
- ZONA DE SECADO CURVA DE 90º. Una zona de secado por aire caliente, consiguiendo una temperatura controlada en todo momento de 55-60ºC en la parte final con un caudal de aire en cada uno de los secados de 990 m3/h de una potencia de 9Kw. Con curva mecanizada de 90º. 2 velocidades Producción: Velocidad lenta: 0,7 m/min; 85 cestas/h. Velocidad rápida: 1,4 m/min; 170 cestas/h Dimensiones: 2.420 mm largo, 830 mm fondo y 1715 mm alto Voltaje: 400 V / III / 50 Hz(estándar). Consumo: 280 L/h + 80 L/h a 2 bar de presión. Altura útil máquina: 400 mm Sentido de trabajo: Derecha a izquierda.
Display de temperatura digital
Incluido corte de maquina partida si necesario.
Transporte, Montaje y Puesta Marcha</t>
  </si>
  <si>
    <t>ref502.1</t>
  </si>
  <si>
    <t>Partida</t>
  </si>
  <si>
    <t>U</t>
  </si>
  <si>
    <t>EPS ADVANCE JEMI</t>
  </si>
  <si>
    <t>ref502.1 EPS ADVANCE JEMI
Condensador de vahos con recuperador energetico tunel arrastre (CV+R) modelos 1 módulo.
Transporte, Montaje y Puesta Marcha</t>
  </si>
  <si>
    <t>ref503</t>
  </si>
  <si>
    <t>Partida</t>
  </si>
  <si>
    <t>U</t>
  </si>
  <si>
    <t>MESA RODILLOS 1600 MM JEMI</t>
  </si>
  <si>
    <t>ref503 MESA RODILLOS 1600 MM JEMI. Con final de carrera.
Transporte, Montaje y Puesta Marcha</t>
  </si>
  <si>
    <t>R500</t>
  </si>
  <si>
    <t>PANELES</t>
  </si>
  <si>
    <t>Capítol</t>
  </si>
  <si>
    <t>PANELES</t>
  </si>
  <si>
    <t>sinref</t>
  </si>
  <si>
    <t>Partida</t>
  </si>
  <si>
    <t>U</t>
  </si>
  <si>
    <t>PANELES</t>
  </si>
  <si>
    <t>sinref
Suministro y montaje de sistema de paneles para camaras de congelación, refrigeración y sala fria según documentación gráfica. Incluye puertas, ventanas y demas elementos según documentación gráfica. Totalmente instalado y verificado.
Incluye los siguientes elementos:
- (1 UT) PANELES SALA LAVADO. Dimensiones ext.: 1700/5780x2500(h)mm
Característica del recinto:
*	Vertical de espesor 70mm.
*	Sin suelo de panel, para fijar sobre piso acabado, nivel 0.
*	Sin techo de panel.
*	Perfíl sanitario de PVC en todo el interior de las paredes de panel.
*	Puerta rápida enrollable, luz de paso 1000x2100h. Guías en aluminio anodizado con perfiles ajustados. Dintel en aluminio anodizado. Eje y consolas de apoyo en acero inoxidable. Lona de PVC de 950 g/m2, ignífugo clase M2
Incluye un ventano transparente 400x1200mm. Paro de emergencia en botonera exterior e interior. Velocidad apertura y cierre: 1 m/s Cuadro monofásico de control con variador de frecuencia. Incluye cubremotor.
*	Ventano fijo 900x800(h)mm
*	Ventano fijo 2000x800(h)mm
- (1 UT) PANELES ALMACEN , QUIMICOS, VESTUARIO Y PASILLOS. Dim.: 5550+3510+3290/3760+1500+2450X2500(h)mm
Panel de mismas características que en partida anterior.
Característica del recinto:
*	Vertical de espesor 70mm.
*	Sin suelo de panel, para fijar sobre piso acabado, nivel 0.
*	Sin techo de panel.
*	Perfíl sanitario de PVC en todo el interior de las paredes de panel
EN VESTUARIO:
*	Puerta de servicio 1 hoja luz de paso 800x2100h. Puerta industrial pivotante de servicios. Hoja de chapa lacado blanco pirineo, de 40mm de espesor, de poliuretano inyectado Marco lacado blanco. Bisagra en acero inox. Cerradura con llave.
Muletilla EN QUIMICOS: Puerta de servicio 1 hoja luz de paso 800x2100h. Puerta industrial pivotante de servicios. Hoja de chapa lacado blanco pirineo, de 40mm de espesor, de poliuretano inyectado Marco lacado blanco.Bisagra en acero inox.
Cerradura con llave.
EN ALMACEN Y PASILLO:
*	Puerta servicio 2 hojas luz de paso 1200x2100hmm.Hoja de chapa lacado blanco pirineo, de 40mm de espesor, de poliuretano inyectado Marco lacado blanco. Bisagra en acero inox. Cerradura con llave.
- (1 UT) PANELES CONTROL. Dimensiones ext.: 2680/1550x2500(h)mm
Panel de mismas características que en partida anterior.
Característica del recinto:
*	Vertical de espesor 70mm.
*	Sin suelo de panel, para fijar sobre piso acabado, nivel 0.
*	Sin techo de panel.
*	Perfíl sanitario de PVC en todo el interior de las paredes de panel.
*	Puerta de servicio 1 hoja luz de paso 700x2100h Puerta industrial pivotante de servicios.Hoja de chapa lacado blanco pirineo, de 40mm de espesor, de poliuretano inyectado Marco lacado blanco. Bisagra en acero inox. Mirilla de 400x600mm en metacrilato con junta de color gris.
*	Ventano fijo de dim.: 1500x800(h)mm
*	Ventano fijo de dim.: 900x800(h)mm
Cristal laminar 3+3/12/3+3.
- (5 UT) VENTANA FIJA CON ACERO INOX, marco de "U", inoxidable y junquillo de 20x20x uno fijo y otro desmontable, cristal laminar de  5+5 transparente.</t>
  </si>
  <si>
    <t>PANELES</t>
  </si>
  <si>
    <t>MOBILIARIO</t>
  </si>
  <si>
    <t>IT</t>
  </si>
  <si>
    <t>Capítol</t>
  </si>
  <si>
    <t>Transporte</t>
  </si>
  <si>
    <t>ITS</t>
  </si>
  <si>
    <t>Capítol</t>
  </si>
  <si>
    <t>Salvaescaleras</t>
  </si>
  <si>
    <t>ITS020</t>
  </si>
  <si>
    <t>Partida</t>
  </si>
  <si>
    <t>Ud</t>
  </si>
  <si>
    <t>Elevador vertical.</t>
  </si>
  <si>
    <t>Suministro e instalación completa de elevador vertical de 965x1550 mm (medidas a comprovar en obra), uso interior, para salvar desniveles de altura máxima 0,9 m, con una capacidad máxima de carga de 300 kg, una velocidad de 0,1 m/s y una potencia de 4,5 kW a 400 V y 50 Hz, con unidad de control, suelo de la plataforma antideslizante, borde perimetral de seguridad, rampa de acceso automática. Incluso botoneras, guías de acero y fijaciones a paramento o suelo mediante postes de sujeción, pulsador de emergencia y llave de seguridad en el elevador, cuadro eléctrico y dobles circuitos eléctricos de protección, limitadores de velocidad, freno motor electromagnético y demás dispositivos de seguridad según normativa vigente. Totalmente montado, conexionado y probado.</t>
  </si>
  <si>
    <t>mt39ses100a</t>
  </si>
  <si>
    <t>Material</t>
  </si>
  <si>
    <t>Ud</t>
  </si>
  <si>
    <t>Elevador vertical de 965x1550 mm, uso interior, para salvar desniveles de altura máxima 0,9 m, con una capacidad máxima de carga de 300 kg, una velocidad de 0,1 m/s y una potencia de 1,5 kW a 230 V y 50 Hz, con unidad de control...</t>
  </si>
  <si>
    <t>mo016</t>
  </si>
  <si>
    <t>Mà d'obra</t>
  </si>
  <si>
    <t>h</t>
  </si>
  <si>
    <t>Oficial 1ª instalador de aparatos elevadores.</t>
  </si>
  <si>
    <t>mo085</t>
  </si>
  <si>
    <t>Mà d'obra</t>
  </si>
  <si>
    <t>h</t>
  </si>
  <si>
    <t>Ayudante instalador de aparatos elevadores.</t>
  </si>
  <si>
    <t>%</t>
  </si>
  <si>
    <t>%</t>
  </si>
  <si>
    <t>Costes directos complementarios</t>
  </si>
  <si>
    <t>ITS020</t>
  </si>
  <si>
    <t>ITS</t>
  </si>
  <si>
    <t>IT</t>
  </si>
  <si>
    <t>01.08.05</t>
  </si>
  <si>
    <t>Capítol</t>
  </si>
  <si>
    <t>VARIOS</t>
  </si>
  <si>
    <t>E1KA10.7R</t>
  </si>
  <si>
    <t>Partida</t>
  </si>
  <si>
    <t>ut</t>
  </si>
  <si>
    <t>Conjunto de ayudas de obra civil para dejar las instalaciones completamente acabadas</t>
  </si>
  <si>
    <t>Conjunto de ayudas de obra civil para dejar las instalaciones completamente acabadas, incluyendo:
Apertura y tapado de regatas.
Apertura de agujeros en menajes tanto horizontales como verticales.
Colocación de boteras.
Fijación de apoyos.
Construcción de bancadas y hornacinas.
Colocación y recibo de cajas para elementos empotrados.
Apertura de agujeros en falsos techos de todo tipos y material.
Descarga y elevación de materiales (si no precisan transportes especiales).
Sellado de agujeros y huecos de de instalaciones.
Tapas para registros a montantes y falsos techos de todo tipo y material para instalaciones.
Tapas de pericones en todo tipos de suelos.
En general, todo aquello necesario (material y mano de obra) para el montaje de la instalación y coordinación con obra civil y arquitectura, de acuerdo con las instrucciones de la dirección facultativa de obra.</t>
  </si>
  <si>
    <t>Uts.</t>
  </si>
  <si>
    <t>Llargada</t>
  </si>
  <si>
    <t>Amplada</t>
  </si>
  <si>
    <t>Alçada</t>
  </si>
  <si>
    <t>Parcial</t>
  </si>
  <si>
    <t>Subtotal</t>
  </si>
  <si>
    <t>PLANTA BAIXA</t>
  </si>
  <si>
    <t>E1KA20.7R</t>
  </si>
  <si>
    <t>Partida</t>
  </si>
  <si>
    <t>ut</t>
  </si>
  <si>
    <t>Colmatado y sellado de agujeros abiertos para instalaciones entre sectores de incendio</t>
  </si>
  <si>
    <t>Colmatado y sellado de todos los agujeros abiertos de instalaciones entre sectores de incendios, a base de productos adecuados para conseguir el grado de resistencia al fuego exigido al elemento compartimentador; según las instalaciones se usarán los siguientes productos:
Bandejas y cables: passamuros con estanqueidad al fuego (EI 240) homologado según norma UNE-EN 1366-3, formados por módulos compuestos por tubos de acero galvanizado que disponen de material intumescente en su interior y fijados mediante placas sellantes de acero con material ignífugo.
Cañerías y tubos combustibles, mediante collarinos de material intumescente según norma UNE-EN 1366-3 con la resistencia al fuego requerida en cada sector.
Cañerías y conductos: mortero para sellado ignífugo de alta densidad, resinas termoplásticas y/o masillas a base de siliconas intumescentes.
Para agujeros de grandes dimensiones se emplearán como sellado bolsas de fibras minerales de alta estabilidad térmica como materiales intumescentes para el sellado de penetraciones.
Incluyendo todo aquello necesario para el montaje e instalación, completamente realizado según Especificaciones Técnicas del fabricante del producto y aplicado en cada caso según coordinación de la Dirección Faculativa.</t>
  </si>
  <si>
    <t>Uts.</t>
  </si>
  <si>
    <t>Llargada</t>
  </si>
  <si>
    <t>Amplada</t>
  </si>
  <si>
    <t>Alçada</t>
  </si>
  <si>
    <t>Parcial</t>
  </si>
  <si>
    <t>Subtotal</t>
  </si>
  <si>
    <t>PLANTA BAIXA</t>
  </si>
  <si>
    <t>E2AA01.7R</t>
  </si>
  <si>
    <t>Partida</t>
  </si>
  <si>
    <t>ut</t>
  </si>
  <si>
    <t>Preparación de planos ASBUILT y documentación varia</t>
  </si>
  <si>
    <t>Preparación de toda la documentación de obra e instalaciones según pliego de condiciones generales e instrucciones de la D.F., comprendiendo:
- Planos de detalle y de montaje en apoyo informático (AUTOCAD) según indicaciones de la D.F.
- Planos final de obra y las instalaciones realmente ejecutadas (3 copias aprobadas por la D.F.).
- Memorias, bases de cálculo y cálculos, especificaciones técnicas, estado de mediciones finales y presupuesto final actualizados según el realmente ejecutado (3 copias aprobadas por la D.F.).
- Documentación final de obra: pruebas realizadas, instrucciones de operación y mantenimiento, relación de suministradores, etc. (3 copias aprobadas por la D.F.).
Esta partida se tendrá que respetar con el importe indicado, no pudiendo estar repartida en el conjunto de las partidas del ppt. ni verse disminuida por la baja que en su caso pueda afectar en el presupuesto.</t>
  </si>
  <si>
    <t>Uts.</t>
  </si>
  <si>
    <t>Llargada</t>
  </si>
  <si>
    <t>Amplada</t>
  </si>
  <si>
    <t>Alçada</t>
  </si>
  <si>
    <t>Parcial</t>
  </si>
  <si>
    <t>Subtotal</t>
  </si>
  <si>
    <t>PLANTA BAIXA</t>
  </si>
  <si>
    <t>E2AA02.7R</t>
  </si>
  <si>
    <t>Partida</t>
  </si>
  <si>
    <t>ut</t>
  </si>
  <si>
    <t>Legalitzación de todas las instalaciones de climatización, PCI y electricidad</t>
  </si>
  <si>
    <t>Legalización de todas las instalaciones de climatización, prevención incendios activa, gas natural y electricidad que se vean afectadas en este capítulo de los presupuestos, incluyendo la preparación y visados de proyectos en el Colegio Profesional correspondiente y la presentación y seguimiento hasta buen fin de los expedientes ante los Servicios Territoriales de Industria y Entidades Colaboradoras, incluso el abono de las tasas correspondientes. Se incluyen todos los trámites administrativos habituales que se tenga que realizar con los organismos oficiales para llevar a buen término las instalaciones de este capítulo, así como el contrato de mantenimiento preceptivo y obligatorio que marque el servicio de Industria ante la presentación del expediente.</t>
  </si>
  <si>
    <t>Uts.</t>
  </si>
  <si>
    <t>Llargada</t>
  </si>
  <si>
    <t>Amplada</t>
  </si>
  <si>
    <t>Alçada</t>
  </si>
  <si>
    <t>Parcial</t>
  </si>
  <si>
    <t>Subtotal</t>
  </si>
  <si>
    <t>PLANTA BAIXA</t>
  </si>
  <si>
    <t>01.08.05</t>
  </si>
  <si>
    <t>01.09</t>
  </si>
  <si>
    <t>Capítol</t>
  </si>
  <si>
    <t>SEGURIDAD Y SALUD</t>
  </si>
  <si>
    <t>H10</t>
  </si>
  <si>
    <t>Partida</t>
  </si>
  <si>
    <t>u</t>
  </si>
  <si>
    <t>Seguridad y Salud según Estudio de Seguridad i Salud anejo.</t>
  </si>
  <si>
    <t>Partida a justificar según Estudio de Seguridad y Salud, contemplando todos los equipos de protección individual, sistemas de protección colectiva, implantación provisional de obra con todos los servicios sanitarios y confort del personal, formación de seguridad y Salud del personal de obra, brigada de seguridad para el mantenimiento y reposición de protecciones de seguridad, presencia de técnico de prevención y recurso preventivo durante la ejecución de la obra, cumpliendo con las obligaciones que se desprenden de la Ley 31 / 1995 y del RD 1627/1997.</t>
  </si>
  <si>
    <t>Uts.</t>
  </si>
  <si>
    <t>Llargada</t>
  </si>
  <si>
    <t>Amplada</t>
  </si>
  <si>
    <t>Alçada</t>
  </si>
  <si>
    <t>Parcial</t>
  </si>
  <si>
    <t>Subtotal</t>
  </si>
  <si>
    <t>01.09</t>
  </si>
  <si>
    <t>G</t>
  </si>
  <si>
    <t>Capítol</t>
  </si>
  <si>
    <t>Gestión de residuos</t>
  </si>
  <si>
    <t>GR</t>
  </si>
  <si>
    <t>Capítol</t>
  </si>
  <si>
    <t>Gestión de residuos inertes</t>
  </si>
  <si>
    <t>GRA</t>
  </si>
  <si>
    <t>Capítol</t>
  </si>
  <si>
    <t>Transporte de residuos inertes</t>
  </si>
  <si>
    <t>GRA010</t>
  </si>
  <si>
    <t>Partida</t>
  </si>
  <si>
    <t>Ud</t>
  </si>
  <si>
    <t>Transporte de residuos inertes con contenedor.</t>
  </si>
  <si>
    <t>Transporte de residuos inertes de ladrillos, tejas y materiales cerámicos,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</si>
  <si>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mq04res010cpa</t>
  </si>
  <si>
    <t>Maquinària</t>
  </si>
  <si>
    <t>Ud</t>
  </si>
  <si>
    <t>Carga y cambio de contenedor de 7 m³, para recogida de residuos inertes de ladrillos, tejas y materiales cerámicos, producidos en obras de construcción y/o demolición, colocado en obra a pie de carga, incluso servicio de entrega y alquiler.</t>
  </si>
  <si>
    <t>%</t>
  </si>
  <si>
    <t>%</t>
  </si>
  <si>
    <t>Costes directos complementarios</t>
  </si>
  <si>
    <t>GRA010</t>
  </si>
  <si>
    <t>GRA010b</t>
  </si>
  <si>
    <t>Partida</t>
  </si>
  <si>
    <t>Ud</t>
  </si>
  <si>
    <t>Transporte de residuos inertes con contenedor.</t>
  </si>
  <si>
    <t>Transporte de residuos inertes de hormigones, morteros y prefabricados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</si>
  <si>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mq04res010bpa</t>
  </si>
  <si>
    <t>Maquinària</t>
  </si>
  <si>
    <t>Ud</t>
  </si>
  <si>
    <t>Carga y cambio de contenedor de 7 m³, para recogida de residuos inertes de hormigones, morteros y prefabricados, producidos en obras de construcción y/o demolición, colocado en obra a pie de carga, incluso servicio de entrega y alquiler.</t>
  </si>
  <si>
    <t>%</t>
  </si>
  <si>
    <t>%</t>
  </si>
  <si>
    <t>Costes directos complementarios</t>
  </si>
  <si>
    <t>GRA010b</t>
  </si>
  <si>
    <t>GRA</t>
  </si>
  <si>
    <t>GRB</t>
  </si>
  <si>
    <t>Capítol</t>
  </si>
  <si>
    <t>Entrega de residuos inertes a gestor autorizado</t>
  </si>
  <si>
    <t>GRB010</t>
  </si>
  <si>
    <t>Partida</t>
  </si>
  <si>
    <t>Ud</t>
  </si>
  <si>
    <t>Canon de vertido por entrega de contenedor con residuos inertes a gestor autorizado.</t>
  </si>
  <si>
    <t>Canon de vertido por entrega de contenedor de 7 m³ con residuos inertes de ladrillos, tejas y materiales cerámicos,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servicio de entrega, el alquiler, la recogida en obra del contenedor ni el transporte.
Criterio de medición de proyecto: Número de unidades previstas, según documentación gráfica de Proyecto.
Criterio de medición de obra: Se medirá el número de unidades realmente entregadas según especificaciones de Proyecto.</t>
  </si>
  <si>
    <t>mq04res020bK</t>
  </si>
  <si>
    <t>Maquinària</t>
  </si>
  <si>
    <t>Ud</t>
  </si>
  <si>
    <t>Canon de vertido por entrega de contenedor de 7 m³ con residuos inertes de ladrillos, tejas y materiales cerámicos, producidos en obras de construcción y/o demolición, en vertedero específico, instalación de tratamiento de residuos de construcción y demolición externa a la obra o centro de valorización o eliminación de residuos.</t>
  </si>
  <si>
    <t>%</t>
  </si>
  <si>
    <t>%</t>
  </si>
  <si>
    <t>Costes directos complementarios</t>
  </si>
  <si>
    <t>GRB010</t>
  </si>
  <si>
    <t>GRB010b</t>
  </si>
  <si>
    <t>Partida</t>
  </si>
  <si>
    <t>Ud</t>
  </si>
  <si>
    <t>Canon de vertido por entrega de contenedor con residuos inertes a gestor autorizado.</t>
  </si>
  <si>
    <t>Canon de vertido por entrega de contenedor de 7 m³ con residuos inertes de hormigones, morteros y prefabricados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servicio de entrega, el alquiler, la recogida en obra del contenedor ni el transporte.
Criterio de medición de proyecto: Número de unidades previstas, según documentación gráfica de Proyecto.
Criterio de medición de obra: Se medirá el número de unidades realmente entregadas según especificaciones de Proyecto.</t>
  </si>
  <si>
    <t>mq04res020aK</t>
  </si>
  <si>
    <t>Maquinària</t>
  </si>
  <si>
    <t>Ud</t>
  </si>
  <si>
    <t>Canon de vertido por entrega de contenedor de 7 m³ con residuos inertes de hormigones, morteros y prefabricados, producidos en obras de construcción y/o demolición, en vertedero específico, instalación de tratamiento de residuos de construcción y demolición externa a la obra o centro de valorización o eliminación de residuos.</t>
  </si>
  <si>
    <t>%</t>
  </si>
  <si>
    <t>%</t>
  </si>
  <si>
    <t>Costes directos complementarios</t>
  </si>
  <si>
    <t>GRB010b</t>
  </si>
  <si>
    <t>GRB</t>
  </si>
  <si>
    <t>GR</t>
  </si>
  <si>
    <t>G</t>
  </si>
  <si>
    <t>01.11</t>
  </si>
  <si>
    <t>Capítol</t>
  </si>
  <si>
    <t>OBSERVACIONES</t>
  </si>
  <si>
    <t>1ZZZZZ001</t>
  </si>
  <si>
    <t>Partida</t>
  </si>
  <si>
    <t>PA</t>
  </si>
  <si>
    <t>OBSERVACIONES</t>
  </si>
  <si>
    <t>OBSERVACIONES:
1. Para la ejecución de los trabajos será aplicable: lo que establece el Código Técnico de la Edificación (CTE), así como las instrucciones y/o recomendaciones del fabricante. Para este propósito y antes de empezar la obra correspondiente, el contratista tendrá que presentar a la dirección de obra esta información por escrito. Además, los trabajos como revestimientos, falsos techos, pavimentos, divisorias de paneles, carpinterías, elementos de instalaciones y aquellos otros que considere necessaria Dirección de obra, se tendran que realizar por industriales autorizados por el fabricante de los materiales a instalar.
El Contratista tiene que obtener de la Dirección de obra la aprobación de los industriales que proponga para intervenir en la ejecución de la obra. Se habran de ejecutar las partidas con las marcas indicadas en el proyecto, no siendo autorizados a su modificación sin autorización previa de la Dirección de obra.
2. En el caso de materiales acústicos y resistentes al fuego (paneles, puertas, sellados etc.), se exigirán los correspondientes certificados emitidos por laboratorios debidamente homologados, así como las características de los materiales o sistemas, sin el cual requerimiento no serán considerados aprobados.
3. Los precios unitarios incluiran:
- El suministro, transporte, medios de elevación, colocación y montaje de todos los materiales especificados y los accesorios necesarios por ejecutar la partida.
- Todos los trabajos y medios auxiliares necesarios por su ejecución, así como la limpieza periódica de la obra por mantenerla en todo momento limpia de escombros.
- La presentación y montaje de las muestras precisas que solicite la D.F. para su aprobació previa.
- El precio de materiales o equipos de las marcas indicadas, siendo la Dirección de obra o en su caso la Propiedad quien juzgará la equivalencia con otras marcas que pueda presentar el Contratista.
- Todos los medios de elevación y costes de grua.
4. Todas las unidades presupuestados se entiende que se entregarán perfectamente acabadas, limpias y preparadas para ser utilizadas. En el caso de demoliciones, se incluyen la carga, transporte y descarga en un vertedero autorizado, a pesar de que no esté explícitamente detallado en cada partida. Antes del inicio de las demoliciones, en su caso, se desmontaran los elementos que se tenga que acopiar para evitar el deterioro, dejándolos en el lugar indicado por la propiedad y/o DF.
5. Los precios del presupuesto, en el caso de no especificar criterios específicos, se consideran aplicados a las dimensiones realmente ejecutadas, por lo que significa que las certificaciones se realizarán aplicando este criterio, es decir, se descontaran todos los vacíos.
En cuanto a la estructura metálica, si no se indica lo contrario, se certificará en base a los elementos montados en obra y a los pesos teóricos, teniendo en cuenta que los precios unitarios incluyen las mermas
En el caso de hormigones las mediciones se realitzaràn según las dimensiones teóricas del proyecto, teniendo en cuenta que los precios incluyen las posibles mermas.
Los plafones, mamparas y paneles se certificarán según las superficies visibles, teniendo en cuenta que los precios unitarios incluyen la parte proporcional de la estructura para llegar a los puntos de sujeción del forjado.
6. Los trabajos relativos a la preparación de documentación “As Built” se consideran incluidos en la oferta aunque no figure un coste por esta partida.
7. La suportación de las instalaciones: en falso techos RF no se admite el apoyo de la misma ni la realización de agujeros.
8. Las dimensiones de todos los elementos condicionadas por la obra tiene que ser verificado ´in situ´ por el Contratista o el industrial adjudicatario del mismo.
9. La aceptación de estas observaciones: el Contratista adjudicatario de la obra acepta estas observaciones, excepto acuerdo contrario escrito y aprobado.</t>
  </si>
  <si>
    <t>Uts.</t>
  </si>
  <si>
    <t>Llargada</t>
  </si>
  <si>
    <t>Amplada</t>
  </si>
  <si>
    <t>Alçada</t>
  </si>
  <si>
    <t>Parcial</t>
  </si>
  <si>
    <t>Subtotal</t>
  </si>
  <si>
    <t>01.11</t>
  </si>
  <si>
    <t>2867_COCINA_ESPITAU_MAYO2026</t>
  </si>
  <si>
    <t>REVISIO PRESSUPOST REFORMA INTEGRAL CUINA ESPITAU VAL D'ARAN</t>
  </si>
  <si>
    <t>Total Pto Inicial</t>
  </si>
  <si>
    <t>Nº1 Demolicions</t>
  </si>
  <si>
    <t>Total pressupost parcial nº 1 Demoliciones :</t>
  </si>
  <si>
    <t>1.1.- Revestimientos y trasdosados</t>
  </si>
  <si>
    <t>Total subcapítol 1.1.1.- Suelos y pavimentos:</t>
  </si>
  <si>
    <t>Total subcapítol 1.1.2.- Falsos techos:</t>
  </si>
  <si>
    <t>Total subcapítol 1.1.3.- Alicatados:</t>
  </si>
  <si>
    <t>1.2.- Fachadas</t>
  </si>
  <si>
    <t>Total subcapítol 1.2.1.- Fábricas:</t>
  </si>
  <si>
    <t>1.3.- Particiones</t>
  </si>
  <si>
    <t>Total subcapítol 1.3.1.- Tabiquería de fábrica:</t>
  </si>
  <si>
    <t>1.4.- Carpintería, vidrios y protecciones solares</t>
  </si>
  <si>
    <t>Total subcapítol 1.4.1.- Carpintería:</t>
  </si>
  <si>
    <t>Total subcapítol 1.4.2.- Puertas:</t>
  </si>
  <si>
    <t>1.5.- Equipamiento</t>
  </si>
  <si>
    <t>Total subcapítol 1.5.1.- Cocinas:</t>
  </si>
  <si>
    <t>1.6.- Firmes y pavimentos</t>
  </si>
  <si>
    <t>Total subcapítol 1.6.1.- Cortes:</t>
  </si>
  <si>
    <t>Nº2 Acondicionamiento del terreno</t>
  </si>
  <si>
    <t>Total pressupost parcial nº 2 Acondicionamiento del terreno :</t>
  </si>
  <si>
    <t>2.1.- Movimiento de tierras en edificación</t>
  </si>
  <si>
    <t>Total subcapítol 2.1.1.- Excavaciones:</t>
  </si>
  <si>
    <t>Total subcapítol 2.1.2.- Rellenos y compactaciones:</t>
  </si>
  <si>
    <t>2.2.- Red de saneamiento horizontal</t>
  </si>
  <si>
    <t>Total subcapítol 2.2.1.- Arquetas:</t>
  </si>
  <si>
    <t>Total subcapítol 2.2.2.- Acometidas:</t>
  </si>
  <si>
    <t>Total subcapítol 2.2.3.- Colectores:</t>
  </si>
  <si>
    <t>2.3.- Nivelación</t>
  </si>
  <si>
    <t>Total subcapítol 2.3.1.- Encachados:</t>
  </si>
  <si>
    <t>Total subcapítol 2.3.2.- Soleras:</t>
  </si>
  <si>
    <t>Total subcapítol 2.3.3.- Base recrecido:</t>
  </si>
  <si>
    <t>Nº3 Fachadas y Particiones</t>
  </si>
  <si>
    <t>Total pressupost parcial nº 3 Fachadas y Particiones</t>
  </si>
  <si>
    <t>3.1.- Fábrica no estructural</t>
  </si>
  <si>
    <t>Total subcapítol 3.1.1.- Hoja exterior para revestir en fachada de dos hojas:</t>
  </si>
  <si>
    <t>Total subcapítol 3.1.2.- Hoja interior para revestir en fachada de dos hojas:</t>
  </si>
  <si>
    <t>3.2.- Tabiquería de entramado autoportante</t>
  </si>
  <si>
    <t>Total subcapítol 3.2.1.- De placas de yeso laminado:</t>
  </si>
  <si>
    <t>3.3.- Defensas</t>
  </si>
  <si>
    <t>Total subcapítol 3.3.1.- Rejas metálicas:</t>
  </si>
  <si>
    <t>Total subcapítol 3.3.2.- Barandillas y pasamanos:</t>
  </si>
  <si>
    <t>Nº 4 Carpintería, cerrajería, vidrios y protecciones solares</t>
  </si>
  <si>
    <t>Total pressupost parcial nº 4 Carpintería, cerrajería, vidrios y protecciones solares</t>
  </si>
  <si>
    <t>4.1.- Carpintería</t>
  </si>
  <si>
    <t>Total subcapítol 4.1.1.- De aluminio:</t>
  </si>
  <si>
    <t>4.2.- Puertas interiores</t>
  </si>
  <si>
    <t>Total subcapítol 4.2.1.- De madera:</t>
  </si>
  <si>
    <t>4.3.- Puertas cortafuegos</t>
  </si>
  <si>
    <t>Total subcapítol 4.3.1.- De acero:</t>
  </si>
  <si>
    <t>Nº 5 Revestimientos y Trasdosados</t>
  </si>
  <si>
    <t>Total pressupost parcial nº 5 Revestimientos y Trasdosados</t>
  </si>
  <si>
    <t>5.1.- Pinturas en paramentos interiores</t>
  </si>
  <si>
    <t>Total subcapítol 5.1.1.- Plásticas</t>
  </si>
  <si>
    <t>5.2.1.- De caucho, de linóleo y vinílicos</t>
  </si>
  <si>
    <t>Total subcapítol 5.2.1.- De caucho, de linóleo y vinílicos:</t>
  </si>
  <si>
    <t>Total subcapítol 5.2.2.- Morteros y pastas de nivelación:</t>
  </si>
  <si>
    <t>Total subcapítol 5.2.3.- Bases de pavimento y grandes recrecidos:</t>
  </si>
  <si>
    <t>5.3.- Falsos techos en interiores</t>
  </si>
  <si>
    <t>Total subcapítol 5.3.1.- Continuos, de placas de yeso laminado:</t>
  </si>
  <si>
    <t>Total subcapítol 5.3.2.- Registrables, de placas de yeso laminado:</t>
  </si>
  <si>
    <t>5.4.- De piezas rígidas en paramentos verticales</t>
  </si>
  <si>
    <t>Total subcapítol 5.4.1.- De azulejo:</t>
  </si>
  <si>
    <t>5.5.- Conglomerados tradicionales</t>
  </si>
  <si>
    <t>Total subcapítol 5.5.1.- Enfoscados:</t>
  </si>
  <si>
    <t>5.6.- Escaleras</t>
  </si>
  <si>
    <t>Total subcapítol 5.6.1.- Flexibles:</t>
  </si>
  <si>
    <t>Nº 6 Instalaciones</t>
  </si>
  <si>
    <t>Total pressupost parcial nº 6 Instalaciones</t>
  </si>
  <si>
    <t>6.1.- Calefacción, climatización y A.C.S.</t>
  </si>
  <si>
    <t>Total subcapítol 6.1.1.- Fontaneria y ACS:</t>
  </si>
  <si>
    <t>Total subcapítol 6.1.2.- Sistemas de conducción de aire:</t>
  </si>
  <si>
    <t>Total subcapítol 6.1.3.- Unidades autónomas de climatización:</t>
  </si>
  <si>
    <t>6.2.- Eléctricas</t>
  </si>
  <si>
    <t>Total subcapítol 6.2.1.- Instalaciones interiores:</t>
  </si>
  <si>
    <t>Total subcapítol 6.2.2.- Aparamenta:</t>
  </si>
  <si>
    <t>Total subcapítol 6.2.3.- Mecanismos:</t>
  </si>
  <si>
    <t>6.3.- Iluminación</t>
  </si>
  <si>
    <t>Total subcapítol 6.3.1.- Interior:</t>
  </si>
  <si>
    <t>6.4.- Contra incendios</t>
  </si>
  <si>
    <t>Total subcapítol 6.4.1.- Detección y alarma:</t>
  </si>
  <si>
    <t>Total subcapítol 6.4.2.- Señalización:</t>
  </si>
  <si>
    <t>Total subcapítol 6.4.3.- Sistemas de abastecimiento de agua:</t>
  </si>
  <si>
    <t>Total subcapítol 6.4.4.- Extintores:</t>
  </si>
  <si>
    <t>6.5.- Gases combustibles</t>
  </si>
  <si>
    <t>Total subcapítol 6.5.1.- Instalación existente adaptacion:</t>
  </si>
  <si>
    <t>Total subcapítol 6.5.2.- Instalación interior:</t>
  </si>
  <si>
    <t>Total subcapítol 6.5.3.- Elementos:</t>
  </si>
  <si>
    <t>Nº 7 Mobiliario de cocina</t>
  </si>
  <si>
    <t>Total pressupost parcial nº 7 Mobiliario de cocina</t>
  </si>
  <si>
    <t>7.1.- ZONA RECEPCION, ALMACEN Y CAMARAS</t>
  </si>
  <si>
    <t>Total subcapítol 7.1.- ZONA RECEPCION, ALMACEN Y CAMARAS:</t>
  </si>
  <si>
    <t>Total subcapítol 7.2.- ZONA SALA FRIA:</t>
  </si>
  <si>
    <t>Total subcapítol 7.3.- ZONA COCCION ----------------:</t>
  </si>
  <si>
    <t>Total subcapítol 7.4.- ZONA LAVADO:</t>
  </si>
  <si>
    <t>Total subcapítol 7.5.- PANELES:</t>
  </si>
  <si>
    <t>Nº 8 Transporte</t>
  </si>
  <si>
    <t>Total pressupost parcial nº 8 Transporte</t>
  </si>
  <si>
    <t>Total subcapítol 8.1.- Salvaescaleras:</t>
  </si>
  <si>
    <t>Nº 9 Varios</t>
  </si>
  <si>
    <t>Total pressupost parcial nº 9 Varios</t>
  </si>
  <si>
    <t>Nº 10 Seguridad y Salud</t>
  </si>
  <si>
    <t>Total pressupost parcial nº 10 Seguridad y Salud</t>
  </si>
  <si>
    <t>Nº 11 Gestión de Residuos</t>
  </si>
  <si>
    <t>Total pressupost parcial nº 11 Gestión de Residuos</t>
  </si>
  <si>
    <t>Total subcapítol 11.1.1.- Transporte de residuos inertes:</t>
  </si>
  <si>
    <t>Total subcapítol 11.1.2.- Entrega de residuos inertes a gestor autorizado:</t>
  </si>
  <si>
    <t>TOTAL PRESUPUESTO EJECUCION MATERIAL ( PEM )</t>
  </si>
  <si>
    <t>Gastos Generales ( 6% )</t>
  </si>
  <si>
    <t>Beneficio Industrial ( 13% )</t>
  </si>
  <si>
    <t>TOTAL PRESUPUESTO EJECUCION POR CONTRATA ( PEC )</t>
  </si>
  <si>
    <t>IVA ( 21% )</t>
  </si>
  <si>
    <t>TOTAL PRESUPUESTO EJECUCION POR CONTRATA ( PEC + 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</si>
</sst>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15" x14ac:knownFonts="1">
    <font>
      <sz val="12"/>
      <color rgb="FF000000"/>
      <name val="Verdana"/>
      <family val="2"/>
    </font>
    <font>
      <b/>
      <sz val="10"/>
      <color rgb="FF000000"/>
      <name val="Arial"/>
      <family val="2"/>
    </font>
    <font>
      <sz val="7.95"/>
      <color rgb="FF000000"/>
      <name val="Arial"/>
      <family val="2"/>
    </font>
    <font>
      <b/>
      <sz val="9"/>
      <color rgb="FF000000"/>
      <name val="Arial"/>
      <family val="2"/>
    </font>
    <font>
      <b/>
      <sz val="7.95"/>
      <color rgb="FF000000"/>
      <name val="Arial"/>
      <family val="2"/>
    </font>
    <font>
      <sz val="7.95"/>
      <color rgb="FF808080"/>
      <name val="Arial"/>
      <family val="2"/>
    </font>
    <font>
      <sz val="7.95"/>
      <color rgb="FF101010"/>
      <name val="Arial"/>
      <family val="2"/>
    </font>
    <font>
      <sz val="11"/>
      <color theme="1"/>
      <name val="Calibri"/>
      <family val="2"/>
      <scheme val="minor"/>
    </font>
    <font>
      <b/>
      <sz val="14"/>
      <name val="Calibri"/>
      <family val="2"/>
    </font>
    <font>
      <b/>
      <sz val="12"/>
      <name val="Calibri"/>
      <family val="2"/>
    </font>
    <font>
      <b/>
      <sz val="11"/>
      <color theme="1"/>
      <name val="Calibri"/>
      <family val="2"/>
      <scheme val="minor"/>
    </font>
    <font>
      <b/>
      <sz val="11"/>
      <name val="Calibri"/>
      <family val="2"/>
    </font>
    <font>
      <sz val="11"/>
      <name val="Calibri"/>
      <family val="2"/>
    </font>
    <font>
      <i/>
      <sz val="11"/>
      <color theme="1"/>
      <name val="Calibri"/>
      <family val="2"/>
      <scheme val="minor"/>
    </font>
    <font>
      <sz val="11"/>
      <color rgb="FF000000"/>
      <name val="Calibri"/>
      <family val="2"/>
    </font>
  </fonts>
  <fills count="10">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
      <patternFill patternType="solid">
        <fgColor rgb="FFD9EAF7"/>
      </patternFill>
    </fill>
    <fill>
      <patternFill patternType="solid">
        <fgColor theme="0" tint="-0.14999847407452621"/>
        <bgColor indexed="64"/>
      </patternFill>
    </fill>
    <fill>
      <patternFill patternType="solid">
        <fgColor theme="4" tint="0.79998168889431442"/>
        <bgColor indexed="64"/>
      </patternFill>
    </fill>
  </fills>
  <borders count="3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808080"/>
      </bottom>
      <diagonal/>
    </border>
    <border>
      <left/>
      <right/>
      <top style="thin">
        <color rgb="FF808080"/>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A6A6A6"/>
      </bottom>
      <diagonal/>
    </border>
    <border>
      <left/>
      <right/>
      <top/>
      <bottom style="medium">
        <color rgb="FFA6A6A6"/>
      </bottom>
      <diagonal/>
    </border>
    <border>
      <left/>
      <right style="medium">
        <color indexed="64"/>
      </right>
      <top/>
      <bottom style="medium">
        <color rgb="FFA6A6A6"/>
      </bottom>
      <diagonal/>
    </border>
    <border>
      <left style="medium">
        <color indexed="64"/>
      </left>
      <right/>
      <top/>
      <bottom/>
      <diagonal/>
    </border>
    <border>
      <left/>
      <right style="medium">
        <color indexed="64"/>
      </right>
      <top/>
      <bottom/>
      <diagonal/>
    </border>
    <border>
      <left style="medium">
        <color indexed="64"/>
      </left>
      <right/>
      <top style="medium">
        <color rgb="FFA6A6A6"/>
      </top>
      <bottom style="medium">
        <color rgb="FFA6A6A6"/>
      </bottom>
      <diagonal/>
    </border>
    <border>
      <left/>
      <right/>
      <top style="medium">
        <color rgb="FFA6A6A6"/>
      </top>
      <bottom style="medium">
        <color rgb="FFA6A6A6"/>
      </bottom>
      <diagonal/>
    </border>
    <border>
      <left/>
      <right style="medium">
        <color indexed="64"/>
      </right>
      <top style="medium">
        <color rgb="FFA6A6A6"/>
      </top>
      <bottom style="medium">
        <color rgb="FFA6A6A6"/>
      </bottom>
      <diagonal/>
    </border>
    <border>
      <left style="medium">
        <color indexed="64"/>
      </left>
      <right/>
      <top style="medium">
        <color rgb="FFA6A6A6"/>
      </top>
      <bottom style="thin">
        <color rgb="FFD9D9D9"/>
      </bottom>
      <diagonal/>
    </border>
    <border>
      <left/>
      <right/>
      <top style="medium">
        <color rgb="FFA6A6A6"/>
      </top>
      <bottom style="thin">
        <color rgb="FFD9D9D9"/>
      </bottom>
      <diagonal/>
    </border>
    <border>
      <left/>
      <right style="medium">
        <color indexed="64"/>
      </right>
      <top style="medium">
        <color rgb="FFA6A6A6"/>
      </top>
      <bottom style="thin">
        <color rgb="FFD9D9D9"/>
      </bottom>
      <diagonal/>
    </border>
    <border>
      <left style="medium">
        <color indexed="64"/>
      </left>
      <right/>
      <top style="medium">
        <color rgb="FFA6A6A6"/>
      </top>
      <bottom/>
      <diagonal/>
    </border>
    <border>
      <left/>
      <right/>
      <top style="medium">
        <color rgb="FFA6A6A6"/>
      </top>
      <bottom/>
      <diagonal/>
    </border>
    <border>
      <left/>
      <right style="medium">
        <color indexed="64"/>
      </right>
      <top style="medium">
        <color rgb="FFA6A6A6"/>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145">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6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0" fillId="0" borderId="3" xfId="0" applyBorder="1" applyAlignment="1">
      <alignment horizontal="center" vertical="center" wrapText="1"/>
    </xf>
    <xf numFmtId="0" fontId="4" fillId="6" borderId="3" xfId="0" applyFont="1" applyFill="1" applyBorder="1" applyAlignment="1">
      <alignment horizontal="left" vertical="top" wrapText="1"/>
    </xf>
    <xf numFmtId="0" fontId="0" fillId="6" borderId="3" xfId="0" applyFill="1" applyBorder="1" applyAlignment="1">
      <alignment horizontal="left" vertical="top" wrapText="1"/>
    </xf>
    <xf numFmtId="4" fontId="4" fillId="6" borderId="3" xfId="0" applyNumberFormat="1" applyFont="1" applyFill="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5" fillId="0" borderId="4" xfId="0" applyFont="1" applyBorder="1" applyAlignment="1">
      <alignment horizontal="left" vertical="top" wrapText="1"/>
    </xf>
    <xf numFmtId="0" fontId="5" fillId="0" borderId="0" xfId="0" applyFont="1" applyAlignment="1">
      <alignment horizontal="right" vertical="top" wrapText="1"/>
    </xf>
    <xf numFmtId="0" fontId="5" fillId="0" borderId="4" xfId="0" applyFont="1" applyBorder="1" applyAlignment="1">
      <alignment horizontal="right" vertical="top" wrapText="1"/>
    </xf>
    <xf numFmtId="0" fontId="5" fillId="0" borderId="0" xfId="0" applyFont="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164" fontId="2" fillId="0" borderId="5"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5" xfId="0" applyNumberFormat="1" applyFont="1" applyBorder="1" applyAlignment="1">
      <alignment horizontal="right" vertical="top" wrapText="1"/>
    </xf>
    <xf numFmtId="0" fontId="0" fillId="0" borderId="5" xfId="0" applyBorder="1" applyAlignment="1">
      <alignment horizontal="center" vertical="center" wrapText="1"/>
    </xf>
    <xf numFmtId="164" fontId="6" fillId="0" borderId="0" xfId="0" applyNumberFormat="1" applyFont="1" applyAlignment="1">
      <alignment horizontal="right" vertical="top" wrapText="1"/>
    </xf>
    <xf numFmtId="0" fontId="4" fillId="5" borderId="3" xfId="0" applyFont="1" applyFill="1" applyBorder="1" applyAlignment="1">
      <alignment horizontal="left" vertical="top" wrapText="1"/>
    </xf>
    <xf numFmtId="0" fontId="0" fillId="5" borderId="3" xfId="0" applyFill="1" applyBorder="1" applyAlignment="1">
      <alignment horizontal="left" vertical="top" wrapText="1"/>
    </xf>
    <xf numFmtId="4" fontId="4" fillId="5" borderId="3"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164" fontId="6" fillId="0" borderId="5" xfId="0" applyNumberFormat="1" applyFont="1" applyBorder="1" applyAlignment="1">
      <alignment horizontal="right" vertical="top" wrapText="1"/>
    </xf>
    <xf numFmtId="0" fontId="4" fillId="4" borderId="3" xfId="0" applyFont="1" applyFill="1" applyBorder="1" applyAlignment="1">
      <alignment horizontal="left" vertical="top" wrapText="1"/>
    </xf>
    <xf numFmtId="0" fontId="0" fillId="4" borderId="3" xfId="0" applyFill="1" applyBorder="1" applyAlignment="1">
      <alignment horizontal="left" vertical="top" wrapText="1"/>
    </xf>
    <xf numFmtId="4" fontId="4" fillId="4" borderId="3"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4" fontId="4" fillId="6" borderId="1" xfId="0" applyNumberFormat="1" applyFont="1" applyFill="1" applyBorder="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0" fillId="3" borderId="3" xfId="0" applyFill="1" applyBorder="1" applyAlignment="1">
      <alignment horizontal="left" vertical="top" wrapText="1"/>
    </xf>
    <xf numFmtId="4" fontId="4" fillId="3" borderId="3"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4" fillId="6" borderId="0" xfId="0" applyFont="1" applyFill="1" applyAlignment="1">
      <alignment horizontal="justify" vertical="top" wrapText="1"/>
    </xf>
    <xf numFmtId="0" fontId="2" fillId="0" borderId="0" xfId="0" applyFont="1" applyAlignment="1">
      <alignment horizontal="justify" vertical="top" wrapText="1"/>
    </xf>
    <xf numFmtId="0" fontId="2" fillId="0" borderId="2" xfId="0" applyFont="1" applyBorder="1" applyAlignment="1">
      <alignment horizontal="justify" vertical="top" wrapText="1"/>
    </xf>
    <xf numFmtId="0" fontId="4" fillId="6" borderId="2" xfId="0" applyFont="1" applyFill="1" applyBorder="1" applyAlignment="1">
      <alignment horizontal="justify" vertical="top" wrapText="1"/>
    </xf>
    <xf numFmtId="0" fontId="4" fillId="5" borderId="2" xfId="0" applyFont="1" applyFill="1" applyBorder="1" applyAlignment="1">
      <alignment horizontal="justify" vertical="top" wrapText="1"/>
    </xf>
    <xf numFmtId="0" fontId="4" fillId="4" borderId="2" xfId="0" applyFont="1" applyFill="1" applyBorder="1" applyAlignment="1">
      <alignment horizontal="justify" vertical="top" wrapText="1"/>
    </xf>
    <xf numFmtId="0" fontId="9" fillId="7" borderId="8" xfId="1" applyFont="1" applyFill="1" applyBorder="1" applyAlignment="1">
      <alignment vertical="top" wrapText="1"/>
    </xf>
    <xf numFmtId="0" fontId="7" fillId="0" borderId="0" xfId="1"/>
    <xf numFmtId="0" fontId="11" fillId="7" borderId="9" xfId="1" applyFont="1" applyFill="1" applyBorder="1" applyAlignment="1">
      <alignment horizontal="left" vertical="top" wrapText="1"/>
    </xf>
    <xf numFmtId="0" fontId="11" fillId="7" borderId="10" xfId="1" applyFont="1" applyFill="1" applyBorder="1" applyAlignment="1">
      <alignment horizontal="left" vertical="top" wrapText="1"/>
    </xf>
    <xf numFmtId="0" fontId="11" fillId="7" borderId="11" xfId="1" applyFont="1" applyFill="1" applyBorder="1" applyAlignment="1">
      <alignment horizontal="left" vertical="top" wrapText="1"/>
    </xf>
    <xf numFmtId="0" fontId="11" fillId="7" borderId="14" xfId="1" applyFont="1" applyFill="1" applyBorder="1" applyAlignment="1">
      <alignment horizontal="left" vertical="top" wrapText="1"/>
    </xf>
    <xf numFmtId="0" fontId="11" fillId="7" borderId="15" xfId="1" applyFont="1" applyFill="1" applyBorder="1" applyAlignment="1">
      <alignment horizontal="left" vertical="top" wrapText="1"/>
    </xf>
    <xf numFmtId="0" fontId="11" fillId="7" borderId="16" xfId="1" applyFont="1" applyFill="1" applyBorder="1" applyAlignment="1">
      <alignment horizontal="left" vertical="top" wrapText="1"/>
    </xf>
    <xf numFmtId="165" fontId="7" fillId="0" borderId="0" xfId="1" applyNumberFormat="1"/>
    <xf numFmtId="0" fontId="11" fillId="8" borderId="19" xfId="1" applyFont="1" applyFill="1" applyBorder="1" applyAlignment="1">
      <alignment horizontal="left" vertical="top" wrapText="1"/>
    </xf>
    <xf numFmtId="0" fontId="11" fillId="8" borderId="20" xfId="1" applyFont="1" applyFill="1" applyBorder="1" applyAlignment="1">
      <alignment horizontal="left" vertical="top" wrapText="1"/>
    </xf>
    <xf numFmtId="0" fontId="11" fillId="8" borderId="21" xfId="1" applyFont="1" applyFill="1" applyBorder="1" applyAlignment="1">
      <alignment horizontal="left" vertical="top" wrapText="1"/>
    </xf>
    <xf numFmtId="0" fontId="11" fillId="0" borderId="22" xfId="1" applyFont="1" applyBorder="1" applyAlignment="1">
      <alignment vertical="top" wrapText="1"/>
    </xf>
    <xf numFmtId="0" fontId="11" fillId="0" borderId="23" xfId="1" applyFont="1" applyBorder="1" applyAlignment="1">
      <alignment vertical="top" wrapText="1"/>
    </xf>
    <xf numFmtId="0" fontId="11" fillId="0" borderId="24" xfId="1" applyFont="1" applyBorder="1" applyAlignment="1">
      <alignment vertical="top" wrapText="1"/>
    </xf>
    <xf numFmtId="0" fontId="7" fillId="0" borderId="17" xfId="1" applyBorder="1"/>
    <xf numFmtId="0" fontId="7" fillId="0" borderId="18" xfId="1" applyBorder="1"/>
    <xf numFmtId="0" fontId="11" fillId="7" borderId="19"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21" xfId="1" applyFont="1" applyFill="1" applyBorder="1" applyAlignment="1">
      <alignment horizontal="left" vertical="top" wrapText="1"/>
    </xf>
    <xf numFmtId="0" fontId="11" fillId="8" borderId="25" xfId="1" applyFont="1" applyFill="1" applyBorder="1" applyAlignment="1">
      <alignment horizontal="left" vertical="top" wrapText="1"/>
    </xf>
    <xf numFmtId="0" fontId="11" fillId="8" borderId="26" xfId="1" applyFont="1" applyFill="1" applyBorder="1" applyAlignment="1">
      <alignment horizontal="left" vertical="top" wrapText="1"/>
    </xf>
    <xf numFmtId="0" fontId="11" fillId="8" borderId="27" xfId="1" applyFont="1" applyFill="1" applyBorder="1" applyAlignment="1">
      <alignment horizontal="left" vertical="top" wrapText="1"/>
    </xf>
    <xf numFmtId="0" fontId="11" fillId="0" borderId="17" xfId="1" applyFont="1" applyBorder="1" applyAlignment="1">
      <alignment horizontal="left" vertical="top" wrapText="1"/>
    </xf>
    <xf numFmtId="0" fontId="11" fillId="0" borderId="0" xfId="1" applyFont="1" applyAlignment="1">
      <alignment horizontal="left" vertical="top" wrapText="1"/>
    </xf>
    <xf numFmtId="0" fontId="11" fillId="0" borderId="18" xfId="1" applyFont="1" applyBorder="1" applyAlignment="1">
      <alignment horizontal="left" vertical="top" wrapText="1"/>
    </xf>
    <xf numFmtId="0" fontId="11" fillId="8" borderId="17" xfId="1" applyFont="1" applyFill="1" applyBorder="1" applyAlignment="1">
      <alignment horizontal="left" vertical="top" wrapText="1"/>
    </xf>
    <xf numFmtId="0" fontId="11" fillId="8" borderId="0" xfId="1" applyFont="1" applyFill="1" applyAlignment="1">
      <alignment horizontal="left" vertical="top" wrapText="1"/>
    </xf>
    <xf numFmtId="0" fontId="11" fillId="8" borderId="18" xfId="1" applyFont="1" applyFill="1" applyBorder="1" applyAlignment="1">
      <alignment horizontal="left" vertical="top" wrapText="1"/>
    </xf>
    <xf numFmtId="4" fontId="7" fillId="0" borderId="18" xfId="1" applyNumberFormat="1" applyBorder="1"/>
    <xf numFmtId="0" fontId="7" fillId="0" borderId="28" xfId="1" applyBorder="1"/>
    <xf numFmtId="0" fontId="7" fillId="0" borderId="6" xfId="1" applyBorder="1"/>
    <xf numFmtId="0" fontId="7" fillId="0" borderId="7" xfId="1" applyBorder="1"/>
    <xf numFmtId="0" fontId="10" fillId="0" borderId="9" xfId="1" applyFont="1" applyBorder="1" applyAlignment="1">
      <alignment horizontal="center"/>
    </xf>
    <xf numFmtId="0" fontId="10" fillId="0" borderId="12" xfId="1" applyFont="1" applyBorder="1" applyAlignment="1">
      <alignment horizontal="center"/>
    </xf>
    <xf numFmtId="0" fontId="10" fillId="0" borderId="13" xfId="1" applyFont="1" applyBorder="1" applyAlignment="1">
      <alignment horizontal="center"/>
    </xf>
    <xf numFmtId="165" fontId="10" fillId="0" borderId="8" xfId="1" applyNumberFormat="1" applyFont="1" applyBorder="1"/>
    <xf numFmtId="0" fontId="13" fillId="0" borderId="29" xfId="1" applyFont="1" applyBorder="1" applyAlignment="1">
      <alignment horizontal="center"/>
    </xf>
    <xf numFmtId="165" fontId="7" fillId="0" borderId="30" xfId="1" applyNumberFormat="1" applyBorder="1"/>
    <xf numFmtId="0" fontId="13" fillId="0" borderId="31" xfId="1" applyFont="1" applyBorder="1" applyAlignment="1">
      <alignment horizontal="center"/>
    </xf>
    <xf numFmtId="165" fontId="7" fillId="0" borderId="31" xfId="1" applyNumberFormat="1" applyBorder="1"/>
    <xf numFmtId="0" fontId="10" fillId="0" borderId="10" xfId="1" applyFont="1" applyBorder="1" applyAlignment="1">
      <alignment horizontal="center"/>
    </xf>
    <xf numFmtId="0" fontId="10" fillId="0" borderId="11" xfId="1" applyFont="1" applyBorder="1" applyAlignment="1">
      <alignment horizontal="center"/>
    </xf>
    <xf numFmtId="0" fontId="13" fillId="0" borderId="0" xfId="1" applyFont="1" applyAlignment="1">
      <alignment horizontal="center"/>
    </xf>
    <xf numFmtId="0" fontId="11" fillId="0" borderId="32" xfId="1" applyFont="1" applyBorder="1" applyAlignment="1">
      <alignment vertical="top" wrapText="1"/>
    </xf>
    <xf numFmtId="165" fontId="11" fillId="7" borderId="33" xfId="1" applyNumberFormat="1" applyFont="1" applyFill="1" applyBorder="1" applyAlignment="1">
      <alignment vertical="top" wrapText="1"/>
    </xf>
    <xf numFmtId="165" fontId="10" fillId="8" borderId="33" xfId="1" applyNumberFormat="1" applyFont="1" applyFill="1" applyBorder="1" applyAlignment="1">
      <alignment vertical="top" wrapText="1"/>
    </xf>
    <xf numFmtId="165" fontId="12" fillId="0" borderId="33" xfId="1" applyNumberFormat="1" applyFont="1" applyBorder="1" applyAlignment="1">
      <alignment vertical="top" wrapText="1"/>
    </xf>
    <xf numFmtId="165" fontId="7" fillId="0" borderId="33" xfId="1" applyNumberFormat="1" applyBorder="1"/>
    <xf numFmtId="165" fontId="7" fillId="0" borderId="33" xfId="1" applyNumberFormat="1" applyBorder="1" applyAlignment="1">
      <alignment vertical="top" wrapText="1"/>
    </xf>
    <xf numFmtId="165" fontId="10" fillId="9" borderId="33" xfId="1" applyNumberFormat="1" applyFont="1" applyFill="1" applyBorder="1"/>
    <xf numFmtId="165" fontId="10" fillId="8" borderId="33" xfId="1" applyNumberFormat="1" applyFont="1" applyFill="1" applyBorder="1"/>
    <xf numFmtId="165" fontId="11" fillId="8" borderId="33" xfId="1" applyNumberFormat="1" applyFont="1" applyFill="1" applyBorder="1" applyAlignment="1">
      <alignment vertical="top" wrapText="1"/>
    </xf>
    <xf numFmtId="165" fontId="7" fillId="9" borderId="33" xfId="1" applyNumberFormat="1" applyFill="1" applyBorder="1"/>
    <xf numFmtId="165" fontId="7" fillId="0" borderId="34" xfId="1" applyNumberFormat="1" applyBorder="1"/>
    <xf numFmtId="0" fontId="8" fillId="7" borderId="9" xfId="1" applyFont="1" applyFill="1" applyBorder="1" applyAlignment="1">
      <alignment horizontal="center" vertical="center" wrapText="1"/>
    </xf>
    <xf numFmtId="0" fontId="8" fillId="7" borderId="10" xfId="1" applyFont="1" applyFill="1" applyBorder="1" applyAlignment="1">
      <alignment horizontal="center" vertical="center" wrapText="1"/>
    </xf>
    <xf numFmtId="0" fontId="8" fillId="7" borderId="11" xfId="1" applyFont="1" applyFill="1" applyBorder="1" applyAlignment="1">
      <alignment horizontal="center" vertical="center" wrapText="1"/>
    </xf>
  </cellXfs>
  <cellStyles count="2">
    <cellStyle name="Normal" xfId="0" builtinId="0"/>
    <cellStyle name="Normal 2" xfId="1" xr:uid="{EE147CB1-6B1E-D54C-9D64-5E2DE9D72D4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8"/>
  <sheetViews>
    <sheetView topLeftCell="A1404" zoomScale="125" zoomScaleNormal="125" workbookViewId="0">
      <selection activeCell="L5" sqref="L5"/>
    </sheetView>
  </sheetViews>
  <sheetFormatPr baseColWidth="10" defaultRowHeight="16" x14ac:dyDescent="0.2"/>
  <cols>
    <col min="1" max="1" width="7.5" customWidth="1"/>
    <col min="2" max="2" width="6.625" customWidth="1"/>
    <col min="3" max="3" width="3.125" customWidth="1"/>
    <col min="4" max="4" width="17.875" customWidth="1"/>
    <col min="5" max="5" width="10.375" customWidth="1"/>
    <col min="6" max="7" width="5.625" customWidth="1"/>
    <col min="8" max="8" width="5.75" customWidth="1"/>
    <col min="9" max="9" width="5" customWidth="1"/>
    <col min="10" max="10" width="6.25" customWidth="1"/>
    <col min="11" max="11" width="8.25" customWidth="1"/>
    <col min="12" max="12" width="8.125" customWidth="1"/>
    <col min="13" max="13" width="8.25" customWidth="1"/>
  </cols>
  <sheetData>
    <row r="1" spans="1:13" ht="17.5" customHeight="1" thickBot="1" x14ac:dyDescent="0.25">
      <c r="A1" s="1" t="s">
        <v>0</v>
      </c>
      <c r="B1" s="77" t="s">
        <v>1</v>
      </c>
      <c r="C1" s="77"/>
      <c r="D1" s="77"/>
      <c r="E1" s="77"/>
      <c r="F1" s="77"/>
      <c r="G1" s="77"/>
      <c r="H1" s="77"/>
      <c r="I1" s="77"/>
      <c r="J1" s="77"/>
      <c r="K1" s="77"/>
      <c r="L1" s="77"/>
      <c r="M1" s="77"/>
    </row>
    <row r="2" spans="1:13" ht="17.5" customHeight="1" thickBot="1" x14ac:dyDescent="0.25">
      <c r="A2" s="77" t="s">
        <v>2</v>
      </c>
      <c r="B2" s="77"/>
      <c r="C2" s="77"/>
      <c r="D2" s="2"/>
      <c r="E2" s="2"/>
      <c r="F2" s="2"/>
      <c r="G2" s="2"/>
      <c r="H2" s="2"/>
      <c r="I2" s="2"/>
      <c r="J2" s="2"/>
      <c r="K2" s="2"/>
      <c r="L2" s="4" t="s">
        <v>3</v>
      </c>
      <c r="M2" s="6">
        <v>3</v>
      </c>
    </row>
    <row r="3" spans="1:13" ht="16.5" customHeight="1" thickBot="1" x14ac:dyDescent="0.25">
      <c r="A3" s="7" t="s">
        <v>4</v>
      </c>
      <c r="B3" s="7" t="s">
        <v>5</v>
      </c>
      <c r="C3" s="7" t="s">
        <v>6</v>
      </c>
      <c r="D3" s="7" t="s">
        <v>7</v>
      </c>
      <c r="E3" s="8"/>
      <c r="F3" s="8"/>
      <c r="G3" s="8"/>
      <c r="H3" s="8"/>
      <c r="I3" s="8"/>
      <c r="J3" s="8"/>
      <c r="K3" s="9" t="s">
        <v>8</v>
      </c>
      <c r="L3" s="9" t="s">
        <v>9</v>
      </c>
      <c r="M3" s="9" t="s">
        <v>10</v>
      </c>
    </row>
    <row r="4" spans="1:13" ht="34" customHeight="1" thickBot="1" x14ac:dyDescent="0.25">
      <c r="A4" s="11" t="s">
        <v>11</v>
      </c>
      <c r="B4" s="11" t="s">
        <v>12</v>
      </c>
      <c r="C4" s="12"/>
      <c r="D4" s="78"/>
      <c r="E4" s="78"/>
      <c r="F4" s="78"/>
      <c r="G4" s="78"/>
      <c r="H4" s="78"/>
      <c r="I4" s="78"/>
      <c r="J4" s="78"/>
      <c r="K4" s="12"/>
      <c r="L4" s="13">
        <f>L1408</f>
        <v>419025.33999999997</v>
      </c>
      <c r="M4" s="13">
        <f>ROUND(L4,2)</f>
        <v>419025.34</v>
      </c>
    </row>
    <row r="5" spans="1:13" ht="15.25" customHeight="1" thickBot="1" x14ac:dyDescent="0.25">
      <c r="A5" s="14" t="s">
        <v>13</v>
      </c>
      <c r="B5" s="14" t="s">
        <v>14</v>
      </c>
      <c r="C5" s="15"/>
      <c r="D5" s="79" t="s">
        <v>15</v>
      </c>
      <c r="E5" s="79"/>
      <c r="F5" s="79"/>
      <c r="G5" s="79"/>
      <c r="H5" s="79"/>
      <c r="I5" s="79"/>
      <c r="J5" s="79"/>
      <c r="K5" s="15"/>
      <c r="L5" s="16">
        <f>L128</f>
        <v>8543.7999999999993</v>
      </c>
      <c r="M5" s="16">
        <f>ROUND(L5,2)</f>
        <v>8543.7999999999993</v>
      </c>
    </row>
    <row r="6" spans="1:13" ht="15.25" customHeight="1" thickBot="1" x14ac:dyDescent="0.25">
      <c r="A6" s="17" t="s">
        <v>16</v>
      </c>
      <c r="B6" s="17" t="s">
        <v>17</v>
      </c>
      <c r="C6" s="18"/>
      <c r="D6" s="80" t="s">
        <v>18</v>
      </c>
      <c r="E6" s="80"/>
      <c r="F6" s="80"/>
      <c r="G6" s="80"/>
      <c r="H6" s="80"/>
      <c r="I6" s="80"/>
      <c r="J6" s="80"/>
      <c r="K6" s="18"/>
      <c r="L6" s="19">
        <f>L50</f>
        <v>3927.2799999999997</v>
      </c>
      <c r="M6" s="19">
        <f>ROUND(L6,2)</f>
        <v>3927.28</v>
      </c>
    </row>
    <row r="7" spans="1:13" ht="15.25" customHeight="1" thickBot="1" x14ac:dyDescent="0.25">
      <c r="A7" s="20" t="s">
        <v>19</v>
      </c>
      <c r="B7" s="20" t="s">
        <v>20</v>
      </c>
      <c r="C7" s="21"/>
      <c r="D7" s="81" t="s">
        <v>21</v>
      </c>
      <c r="E7" s="81"/>
      <c r="F7" s="81"/>
      <c r="G7" s="81"/>
      <c r="H7" s="81"/>
      <c r="I7" s="81"/>
      <c r="J7" s="81"/>
      <c r="K7" s="21"/>
      <c r="L7" s="22">
        <f>L32</f>
        <v>2062.9300000000003</v>
      </c>
      <c r="M7" s="22">
        <f>ROUND(L7,2)</f>
        <v>2062.9299999999998</v>
      </c>
    </row>
    <row r="8" spans="1:13" ht="15.25" customHeight="1" thickBot="1" x14ac:dyDescent="0.25">
      <c r="A8" s="10" t="s">
        <v>22</v>
      </c>
      <c r="B8" s="5" t="s">
        <v>23</v>
      </c>
      <c r="C8" s="5" t="s">
        <v>24</v>
      </c>
      <c r="D8" s="82" t="s">
        <v>25</v>
      </c>
      <c r="E8" s="82"/>
      <c r="F8" s="82"/>
      <c r="G8" s="82"/>
      <c r="H8" s="82"/>
      <c r="I8" s="82"/>
      <c r="J8" s="82"/>
      <c r="K8" s="23">
        <f>ROUND(172.4,2)</f>
        <v>172.4</v>
      </c>
      <c r="L8" s="24">
        <f>L15</f>
        <v>6.42</v>
      </c>
      <c r="M8" s="24">
        <f>ROUND(K8*L8,2)</f>
        <v>1106.81</v>
      </c>
    </row>
    <row r="9" spans="1:13" ht="67" customHeight="1" thickBot="1" x14ac:dyDescent="0.25">
      <c r="A9" s="25"/>
      <c r="B9" s="25"/>
      <c r="C9" s="25"/>
      <c r="D9" s="82" t="s">
        <v>26</v>
      </c>
      <c r="E9" s="82"/>
      <c r="F9" s="82"/>
      <c r="G9" s="82"/>
      <c r="H9" s="82"/>
      <c r="I9" s="82"/>
      <c r="J9" s="82"/>
      <c r="K9" s="82"/>
      <c r="L9" s="82"/>
      <c r="M9" s="82"/>
    </row>
    <row r="10" spans="1:13" ht="15" customHeight="1" thickBot="1" x14ac:dyDescent="0.25">
      <c r="A10" s="5" t="s">
        <v>27</v>
      </c>
      <c r="B10" s="5" t="s">
        <v>28</v>
      </c>
      <c r="C10" s="5" t="s">
        <v>29</v>
      </c>
      <c r="D10" s="82" t="s">
        <v>30</v>
      </c>
      <c r="E10" s="82"/>
      <c r="F10" s="82"/>
      <c r="G10" s="82"/>
      <c r="H10" s="82"/>
      <c r="I10" s="82"/>
      <c r="J10" s="82"/>
      <c r="K10" s="23">
        <v>0.13500000000000001</v>
      </c>
      <c r="L10" s="23">
        <f>ROUND(4.181,3)</f>
        <v>4.181</v>
      </c>
      <c r="M10" s="24">
        <f>ROUND(K10*L10,2)</f>
        <v>0.56000000000000005</v>
      </c>
    </row>
    <row r="11" spans="1:13" ht="15" customHeight="1" thickBot="1" x14ac:dyDescent="0.25">
      <c r="A11" s="5" t="s">
        <v>31</v>
      </c>
      <c r="B11" s="5" t="s">
        <v>32</v>
      </c>
      <c r="C11" s="5" t="s">
        <v>33</v>
      </c>
      <c r="D11" s="82" t="s">
        <v>34</v>
      </c>
      <c r="E11" s="82"/>
      <c r="F11" s="82"/>
      <c r="G11" s="82"/>
      <c r="H11" s="82"/>
      <c r="I11" s="82"/>
      <c r="J11" s="82"/>
      <c r="K11" s="23">
        <v>0.13500000000000001</v>
      </c>
      <c r="L11" s="23">
        <f>ROUND(7.088,3)</f>
        <v>7.0880000000000001</v>
      </c>
      <c r="M11" s="24">
        <f>ROUND(K11*L11,2)</f>
        <v>0.96</v>
      </c>
    </row>
    <row r="12" spans="1:13" ht="15" customHeight="1" thickBot="1" x14ac:dyDescent="0.25">
      <c r="A12" s="5" t="s">
        <v>35</v>
      </c>
      <c r="B12" s="5" t="s">
        <v>36</v>
      </c>
      <c r="C12" s="5" t="s">
        <v>37</v>
      </c>
      <c r="D12" s="82" t="s">
        <v>38</v>
      </c>
      <c r="E12" s="82"/>
      <c r="F12" s="82"/>
      <c r="G12" s="82"/>
      <c r="H12" s="82"/>
      <c r="I12" s="82"/>
      <c r="J12" s="82"/>
      <c r="K12" s="23">
        <v>9.0999999999999998E-2</v>
      </c>
      <c r="L12" s="23">
        <f>ROUND(26.43,3)</f>
        <v>26.43</v>
      </c>
      <c r="M12" s="24">
        <f>ROUND(K12*L12,2)</f>
        <v>2.41</v>
      </c>
    </row>
    <row r="13" spans="1:13" ht="15" customHeight="1" thickBot="1" x14ac:dyDescent="0.25">
      <c r="A13" s="5" t="s">
        <v>39</v>
      </c>
      <c r="B13" s="5" t="s">
        <v>40</v>
      </c>
      <c r="C13" s="5" t="s">
        <v>41</v>
      </c>
      <c r="D13" s="82" t="s">
        <v>42</v>
      </c>
      <c r="E13" s="82"/>
      <c r="F13" s="82"/>
      <c r="G13" s="82"/>
      <c r="H13" s="82"/>
      <c r="I13" s="82"/>
      <c r="J13" s="82"/>
      <c r="K13" s="23">
        <v>9.0999999999999998E-2</v>
      </c>
      <c r="L13" s="23">
        <f>ROUND(23.97,3)</f>
        <v>23.97</v>
      </c>
      <c r="M13" s="24">
        <f>ROUND(K13*L13,2)</f>
        <v>2.1800000000000002</v>
      </c>
    </row>
    <row r="14" spans="1:13" ht="15" customHeight="1" thickBot="1" x14ac:dyDescent="0.25">
      <c r="A14" s="5" t="s">
        <v>43</v>
      </c>
      <c r="B14" s="5"/>
      <c r="C14" s="5" t="s">
        <v>44</v>
      </c>
      <c r="D14" s="82" t="s">
        <v>45</v>
      </c>
      <c r="E14" s="82"/>
      <c r="F14" s="82"/>
      <c r="G14" s="82"/>
      <c r="H14" s="82"/>
      <c r="I14" s="82"/>
      <c r="J14" s="82"/>
      <c r="K14" s="23">
        <v>2</v>
      </c>
      <c r="L14" s="23">
        <f>ROUND(6.11,3)</f>
        <v>6.11</v>
      </c>
      <c r="M14" s="24">
        <f>ROUND((K14*L14)/100,2)</f>
        <v>0.12</v>
      </c>
    </row>
    <row r="15" spans="1:13" ht="15.25" customHeight="1" thickBot="1" x14ac:dyDescent="0.25">
      <c r="A15" s="26"/>
      <c r="B15" s="26"/>
      <c r="C15" s="26"/>
      <c r="D15" s="27" t="s">
        <v>46</v>
      </c>
      <c r="E15" s="26"/>
      <c r="F15" s="26"/>
      <c r="G15" s="26"/>
      <c r="H15" s="26"/>
      <c r="I15" s="26"/>
      <c r="J15" s="26"/>
      <c r="K15" s="28">
        <v>172.4</v>
      </c>
      <c r="L15" s="29">
        <f>ROUND((M10+M11+M12+M13+M14)*(1+M2/100),2)</f>
        <v>6.42</v>
      </c>
      <c r="M15" s="29">
        <f>ROUND(K15*L15,2)</f>
        <v>1106.81</v>
      </c>
    </row>
    <row r="16" spans="1:13" ht="15.25" customHeight="1" thickBot="1" x14ac:dyDescent="0.25">
      <c r="A16" s="30" t="s">
        <v>47</v>
      </c>
      <c r="B16" s="31" t="s">
        <v>48</v>
      </c>
      <c r="C16" s="31" t="s">
        <v>49</v>
      </c>
      <c r="D16" s="83" t="s">
        <v>50</v>
      </c>
      <c r="E16" s="83"/>
      <c r="F16" s="83"/>
      <c r="G16" s="83"/>
      <c r="H16" s="83"/>
      <c r="I16" s="83"/>
      <c r="J16" s="83"/>
      <c r="K16" s="32">
        <f>ROUND(17.36,2)</f>
        <v>17.36</v>
      </c>
      <c r="L16" s="33">
        <f>L21</f>
        <v>7.67</v>
      </c>
      <c r="M16" s="33">
        <f>ROUND(K16*L16,2)</f>
        <v>133.15</v>
      </c>
    </row>
    <row r="17" spans="1:13" ht="67" customHeight="1" thickBot="1" x14ac:dyDescent="0.25">
      <c r="A17" s="25"/>
      <c r="B17" s="25"/>
      <c r="C17" s="25"/>
      <c r="D17" s="82" t="s">
        <v>51</v>
      </c>
      <c r="E17" s="82"/>
      <c r="F17" s="82"/>
      <c r="G17" s="82"/>
      <c r="H17" s="82"/>
      <c r="I17" s="82"/>
      <c r="J17" s="82"/>
      <c r="K17" s="82"/>
      <c r="L17" s="82"/>
      <c r="M17" s="82"/>
    </row>
    <row r="18" spans="1:13" ht="15" customHeight="1" thickBot="1" x14ac:dyDescent="0.25">
      <c r="A18" s="5" t="s">
        <v>52</v>
      </c>
      <c r="B18" s="5" t="s">
        <v>53</v>
      </c>
      <c r="C18" s="5" t="s">
        <v>54</v>
      </c>
      <c r="D18" s="82" t="s">
        <v>55</v>
      </c>
      <c r="E18" s="82"/>
      <c r="F18" s="82"/>
      <c r="G18" s="82"/>
      <c r="H18" s="82"/>
      <c r="I18" s="82"/>
      <c r="J18" s="82"/>
      <c r="K18" s="23">
        <v>0.11</v>
      </c>
      <c r="L18" s="23">
        <f>ROUND(26.43,3)</f>
        <v>26.43</v>
      </c>
      <c r="M18" s="24">
        <f>ROUND(K18*L18,2)</f>
        <v>2.91</v>
      </c>
    </row>
    <row r="19" spans="1:13" ht="15" customHeight="1" thickBot="1" x14ac:dyDescent="0.25">
      <c r="A19" s="5" t="s">
        <v>56</v>
      </c>
      <c r="B19" s="5" t="s">
        <v>57</v>
      </c>
      <c r="C19" s="5" t="s">
        <v>58</v>
      </c>
      <c r="D19" s="82" t="s">
        <v>59</v>
      </c>
      <c r="E19" s="82"/>
      <c r="F19" s="82"/>
      <c r="G19" s="82"/>
      <c r="H19" s="82"/>
      <c r="I19" s="82"/>
      <c r="J19" s="82"/>
      <c r="K19" s="23">
        <v>0.183</v>
      </c>
      <c r="L19" s="23">
        <f>ROUND(23.97,3)</f>
        <v>23.97</v>
      </c>
      <c r="M19" s="24">
        <f>ROUND(K19*L19,2)</f>
        <v>4.3899999999999997</v>
      </c>
    </row>
    <row r="20" spans="1:13" ht="15" customHeight="1" thickBot="1" x14ac:dyDescent="0.25">
      <c r="A20" s="5" t="s">
        <v>60</v>
      </c>
      <c r="B20" s="5"/>
      <c r="C20" s="5" t="s">
        <v>61</v>
      </c>
      <c r="D20" s="82" t="s">
        <v>62</v>
      </c>
      <c r="E20" s="82"/>
      <c r="F20" s="82"/>
      <c r="G20" s="82"/>
      <c r="H20" s="82"/>
      <c r="I20" s="82"/>
      <c r="J20" s="82"/>
      <c r="K20" s="23">
        <v>2</v>
      </c>
      <c r="L20" s="23">
        <f>ROUND(7.3,3)</f>
        <v>7.3</v>
      </c>
      <c r="M20" s="24">
        <f>ROUND((K20*L20)/100,2)</f>
        <v>0.15</v>
      </c>
    </row>
    <row r="21" spans="1:13" ht="15.25" customHeight="1" thickBot="1" x14ac:dyDescent="0.25">
      <c r="A21" s="26"/>
      <c r="B21" s="26"/>
      <c r="C21" s="26"/>
      <c r="D21" s="27" t="s">
        <v>63</v>
      </c>
      <c r="E21" s="26"/>
      <c r="F21" s="26"/>
      <c r="G21" s="26"/>
      <c r="H21" s="26"/>
      <c r="I21" s="26"/>
      <c r="J21" s="26"/>
      <c r="K21" s="28">
        <v>17.36</v>
      </c>
      <c r="L21" s="29">
        <f>ROUND((M18+M19+M20)*(1+M2/100),2)</f>
        <v>7.67</v>
      </c>
      <c r="M21" s="29">
        <f>ROUND(K21*L21,2)</f>
        <v>133.15</v>
      </c>
    </row>
    <row r="22" spans="1:13" ht="15.25" customHeight="1" thickBot="1" x14ac:dyDescent="0.25">
      <c r="A22" s="30" t="s">
        <v>64</v>
      </c>
      <c r="B22" s="31" t="s">
        <v>65</v>
      </c>
      <c r="C22" s="31" t="s">
        <v>66</v>
      </c>
      <c r="D22" s="83" t="s">
        <v>67</v>
      </c>
      <c r="E22" s="83"/>
      <c r="F22" s="83"/>
      <c r="G22" s="83"/>
      <c r="H22" s="83"/>
      <c r="I22" s="83"/>
      <c r="J22" s="83"/>
      <c r="K22" s="32">
        <f>ROUND(57.47,2)</f>
        <v>57.47</v>
      </c>
      <c r="L22" s="33">
        <f>L31</f>
        <v>14.32</v>
      </c>
      <c r="M22" s="33">
        <f>ROUND(K22*L22,2)</f>
        <v>822.97</v>
      </c>
    </row>
    <row r="23" spans="1:13" ht="67" customHeight="1" thickBot="1" x14ac:dyDescent="0.25">
      <c r="A23" s="25"/>
      <c r="B23" s="25"/>
      <c r="C23" s="25"/>
      <c r="D23" s="82" t="s">
        <v>68</v>
      </c>
      <c r="E23" s="82"/>
      <c r="F23" s="82"/>
      <c r="G23" s="82"/>
      <c r="H23" s="82"/>
      <c r="I23" s="82"/>
      <c r="J23" s="82"/>
      <c r="K23" s="82"/>
      <c r="L23" s="82"/>
      <c r="M23" s="82"/>
    </row>
    <row r="24" spans="1:13" ht="15" customHeight="1" thickBot="1" x14ac:dyDescent="0.25">
      <c r="A24" s="5" t="s">
        <v>69</v>
      </c>
      <c r="B24" s="5" t="s">
        <v>70</v>
      </c>
      <c r="C24" s="5" t="s">
        <v>71</v>
      </c>
      <c r="D24" s="82" t="s">
        <v>72</v>
      </c>
      <c r="E24" s="82"/>
      <c r="F24" s="82"/>
      <c r="G24" s="82"/>
      <c r="H24" s="82"/>
      <c r="I24" s="82"/>
      <c r="J24" s="82"/>
      <c r="K24" s="23">
        <v>0.26900000000000002</v>
      </c>
      <c r="L24" s="23">
        <f>ROUND(4.181,3)</f>
        <v>4.181</v>
      </c>
      <c r="M24" s="24">
        <f t="shared" ref="M24:M29" si="0">ROUND(K24*L24,2)</f>
        <v>1.1200000000000001</v>
      </c>
    </row>
    <row r="25" spans="1:13" ht="15" customHeight="1" thickBot="1" x14ac:dyDescent="0.25">
      <c r="A25" s="5" t="s">
        <v>73</v>
      </c>
      <c r="B25" s="5" t="s">
        <v>74</v>
      </c>
      <c r="C25" s="5" t="s">
        <v>75</v>
      </c>
      <c r="D25" s="82" t="s">
        <v>76</v>
      </c>
      <c r="E25" s="82"/>
      <c r="F25" s="82"/>
      <c r="G25" s="82"/>
      <c r="H25" s="82"/>
      <c r="I25" s="82"/>
      <c r="J25" s="82"/>
      <c r="K25" s="23">
        <v>0.13400000000000001</v>
      </c>
      <c r="L25" s="23">
        <f>ROUND(3.906,3)</f>
        <v>3.9060000000000001</v>
      </c>
      <c r="M25" s="24">
        <f t="shared" si="0"/>
        <v>0.52</v>
      </c>
    </row>
    <row r="26" spans="1:13" ht="15" customHeight="1" thickBot="1" x14ac:dyDescent="0.25">
      <c r="A26" s="5" t="s">
        <v>77</v>
      </c>
      <c r="B26" s="5" t="s">
        <v>78</v>
      </c>
      <c r="C26" s="5" t="s">
        <v>79</v>
      </c>
      <c r="D26" s="82" t="s">
        <v>80</v>
      </c>
      <c r="E26" s="82"/>
      <c r="F26" s="82"/>
      <c r="G26" s="82"/>
      <c r="H26" s="82"/>
      <c r="I26" s="82"/>
      <c r="J26" s="82"/>
      <c r="K26" s="23">
        <v>0.10100000000000001</v>
      </c>
      <c r="L26" s="23">
        <f>ROUND(7.546,3)</f>
        <v>7.5460000000000003</v>
      </c>
      <c r="M26" s="24">
        <f t="shared" si="0"/>
        <v>0.76</v>
      </c>
    </row>
    <row r="27" spans="1:13" ht="15" customHeight="1" thickBot="1" x14ac:dyDescent="0.25">
      <c r="A27" s="5" t="s">
        <v>81</v>
      </c>
      <c r="B27" s="5" t="s">
        <v>82</v>
      </c>
      <c r="C27" s="5" t="s">
        <v>83</v>
      </c>
      <c r="D27" s="82" t="s">
        <v>84</v>
      </c>
      <c r="E27" s="82"/>
      <c r="F27" s="82"/>
      <c r="G27" s="82"/>
      <c r="H27" s="82"/>
      <c r="I27" s="82"/>
      <c r="J27" s="82"/>
      <c r="K27" s="23">
        <v>9.1999999999999998E-2</v>
      </c>
      <c r="L27" s="23">
        <f>ROUND(21.69,3)</f>
        <v>21.69</v>
      </c>
      <c r="M27" s="24">
        <f t="shared" si="0"/>
        <v>2</v>
      </c>
    </row>
    <row r="28" spans="1:13" ht="15" customHeight="1" thickBot="1" x14ac:dyDescent="0.25">
      <c r="A28" s="5" t="s">
        <v>85</v>
      </c>
      <c r="B28" s="5" t="s">
        <v>86</v>
      </c>
      <c r="C28" s="5" t="s">
        <v>87</v>
      </c>
      <c r="D28" s="82" t="s">
        <v>88</v>
      </c>
      <c r="E28" s="82"/>
      <c r="F28" s="82"/>
      <c r="G28" s="82"/>
      <c r="H28" s="82"/>
      <c r="I28" s="82"/>
      <c r="J28" s="82"/>
      <c r="K28" s="23">
        <v>0.129</v>
      </c>
      <c r="L28" s="23">
        <f>ROUND(26.43,3)</f>
        <v>26.43</v>
      </c>
      <c r="M28" s="24">
        <f t="shared" si="0"/>
        <v>3.41</v>
      </c>
    </row>
    <row r="29" spans="1:13" ht="15" customHeight="1" thickBot="1" x14ac:dyDescent="0.25">
      <c r="A29" s="5" t="s">
        <v>89</v>
      </c>
      <c r="B29" s="5" t="s">
        <v>90</v>
      </c>
      <c r="C29" s="5" t="s">
        <v>91</v>
      </c>
      <c r="D29" s="82" t="s">
        <v>92</v>
      </c>
      <c r="E29" s="82"/>
      <c r="F29" s="82"/>
      <c r="G29" s="82"/>
      <c r="H29" s="82"/>
      <c r="I29" s="82"/>
      <c r="J29" s="82"/>
      <c r="K29" s="23">
        <v>0.24299999999999999</v>
      </c>
      <c r="L29" s="23">
        <f>ROUND(23.97,3)</f>
        <v>23.97</v>
      </c>
      <c r="M29" s="24">
        <f t="shared" si="0"/>
        <v>5.82</v>
      </c>
    </row>
    <row r="30" spans="1:13" ht="15" customHeight="1" thickBot="1" x14ac:dyDescent="0.25">
      <c r="A30" s="5" t="s">
        <v>93</v>
      </c>
      <c r="B30" s="5"/>
      <c r="C30" s="5" t="s">
        <v>94</v>
      </c>
      <c r="D30" s="82" t="s">
        <v>95</v>
      </c>
      <c r="E30" s="82"/>
      <c r="F30" s="82"/>
      <c r="G30" s="82"/>
      <c r="H30" s="82"/>
      <c r="I30" s="82"/>
      <c r="J30" s="82"/>
      <c r="K30" s="23">
        <v>2</v>
      </c>
      <c r="L30" s="23">
        <f>ROUND(13.63,3)</f>
        <v>13.63</v>
      </c>
      <c r="M30" s="24">
        <f>ROUND((K30*L30)/100,2)</f>
        <v>0.27</v>
      </c>
    </row>
    <row r="31" spans="1:13" ht="15.25" customHeight="1" thickBot="1" x14ac:dyDescent="0.25">
      <c r="A31" s="26"/>
      <c r="B31" s="26"/>
      <c r="C31" s="26"/>
      <c r="D31" s="27" t="s">
        <v>96</v>
      </c>
      <c r="E31" s="26"/>
      <c r="F31" s="26"/>
      <c r="G31" s="26"/>
      <c r="H31" s="26"/>
      <c r="I31" s="26"/>
      <c r="J31" s="26"/>
      <c r="K31" s="28">
        <v>57.47</v>
      </c>
      <c r="L31" s="29">
        <f>ROUND((M24+M25+M26+M27+M28+M29+M30)*(1+M2/100),2)</f>
        <v>14.32</v>
      </c>
      <c r="M31" s="29">
        <f>ROUND(K31*L31,2)</f>
        <v>822.97</v>
      </c>
    </row>
    <row r="32" spans="1:13" ht="15.25" customHeight="1" thickBot="1" x14ac:dyDescent="0.25">
      <c r="A32" s="34"/>
      <c r="B32" s="34"/>
      <c r="C32" s="34"/>
      <c r="D32" s="35" t="s">
        <v>97</v>
      </c>
      <c r="E32" s="36"/>
      <c r="F32" s="36"/>
      <c r="G32" s="36"/>
      <c r="H32" s="36"/>
      <c r="I32" s="36"/>
      <c r="J32" s="36"/>
      <c r="K32" s="36"/>
      <c r="L32" s="37">
        <f>M8+M16+M22</f>
        <v>2062.9300000000003</v>
      </c>
      <c r="M32" s="37">
        <f>ROUND(L32,2)</f>
        <v>2062.9299999999998</v>
      </c>
    </row>
    <row r="33" spans="1:13" ht="15.25" customHeight="1" thickBot="1" x14ac:dyDescent="0.25">
      <c r="A33" s="38" t="s">
        <v>98</v>
      </c>
      <c r="B33" s="38" t="s">
        <v>99</v>
      </c>
      <c r="C33" s="39"/>
      <c r="D33" s="84" t="s">
        <v>100</v>
      </c>
      <c r="E33" s="84"/>
      <c r="F33" s="84"/>
      <c r="G33" s="84"/>
      <c r="H33" s="84"/>
      <c r="I33" s="84"/>
      <c r="J33" s="84"/>
      <c r="K33" s="39"/>
      <c r="L33" s="40">
        <f>L39</f>
        <v>1152.3699999999999</v>
      </c>
      <c r="M33" s="40">
        <f>ROUND(L33,2)</f>
        <v>1152.3699999999999</v>
      </c>
    </row>
    <row r="34" spans="1:13" ht="15.25" customHeight="1" thickBot="1" x14ac:dyDescent="0.25">
      <c r="A34" s="10" t="s">
        <v>101</v>
      </c>
      <c r="B34" s="5" t="s">
        <v>102</v>
      </c>
      <c r="C34" s="5" t="s">
        <v>103</v>
      </c>
      <c r="D34" s="82" t="s">
        <v>104</v>
      </c>
      <c r="E34" s="82"/>
      <c r="F34" s="82"/>
      <c r="G34" s="82"/>
      <c r="H34" s="82"/>
      <c r="I34" s="82"/>
      <c r="J34" s="82"/>
      <c r="K34" s="23">
        <f>ROUND(156.36,2)</f>
        <v>156.36000000000001</v>
      </c>
      <c r="L34" s="24">
        <f>L38</f>
        <v>7.37</v>
      </c>
      <c r="M34" s="24">
        <f>ROUND(K34*L34,2)</f>
        <v>1152.3699999999999</v>
      </c>
    </row>
    <row r="35" spans="1:13" ht="67" customHeight="1" thickBot="1" x14ac:dyDescent="0.25">
      <c r="A35" s="25"/>
      <c r="B35" s="25"/>
      <c r="C35" s="25"/>
      <c r="D35" s="82" t="s">
        <v>105</v>
      </c>
      <c r="E35" s="82"/>
      <c r="F35" s="82"/>
      <c r="G35" s="82"/>
      <c r="H35" s="82"/>
      <c r="I35" s="82"/>
      <c r="J35" s="82"/>
      <c r="K35" s="82"/>
      <c r="L35" s="82"/>
      <c r="M35" s="82"/>
    </row>
    <row r="36" spans="1:13" ht="15" customHeight="1" thickBot="1" x14ac:dyDescent="0.25">
      <c r="A36" s="5" t="s">
        <v>106</v>
      </c>
      <c r="B36" s="5" t="s">
        <v>107</v>
      </c>
      <c r="C36" s="5" t="s">
        <v>108</v>
      </c>
      <c r="D36" s="82" t="s">
        <v>109</v>
      </c>
      <c r="E36" s="82"/>
      <c r="F36" s="82"/>
      <c r="G36" s="82"/>
      <c r="H36" s="82"/>
      <c r="I36" s="82"/>
      <c r="J36" s="82"/>
      <c r="K36" s="23">
        <v>0.29299999999999998</v>
      </c>
      <c r="L36" s="23">
        <f>ROUND(23.97,3)</f>
        <v>23.97</v>
      </c>
      <c r="M36" s="24">
        <f>ROUND(K36*L36,2)</f>
        <v>7.02</v>
      </c>
    </row>
    <row r="37" spans="1:13" ht="15" customHeight="1" thickBot="1" x14ac:dyDescent="0.25">
      <c r="A37" s="5" t="s">
        <v>110</v>
      </c>
      <c r="B37" s="5"/>
      <c r="C37" s="5" t="s">
        <v>111</v>
      </c>
      <c r="D37" s="82" t="s">
        <v>112</v>
      </c>
      <c r="E37" s="82"/>
      <c r="F37" s="82"/>
      <c r="G37" s="82"/>
      <c r="H37" s="82"/>
      <c r="I37" s="82"/>
      <c r="J37" s="82"/>
      <c r="K37" s="23">
        <v>2</v>
      </c>
      <c r="L37" s="23">
        <f>ROUND(7.02,3)</f>
        <v>7.02</v>
      </c>
      <c r="M37" s="24">
        <f>ROUND((K37*L37)/100,2)</f>
        <v>0.14000000000000001</v>
      </c>
    </row>
    <row r="38" spans="1:13" ht="15.25" customHeight="1" thickBot="1" x14ac:dyDescent="0.25">
      <c r="A38" s="26"/>
      <c r="B38" s="26"/>
      <c r="C38" s="26"/>
      <c r="D38" s="27" t="s">
        <v>113</v>
      </c>
      <c r="E38" s="26"/>
      <c r="F38" s="26"/>
      <c r="G38" s="26"/>
      <c r="H38" s="26"/>
      <c r="I38" s="26"/>
      <c r="J38" s="26"/>
      <c r="K38" s="28">
        <v>156.36000000000001</v>
      </c>
      <c r="L38" s="29">
        <f>ROUND((M36+M37)*(1+M2/100),2)</f>
        <v>7.37</v>
      </c>
      <c r="M38" s="29">
        <f>ROUND(K38*L38,2)</f>
        <v>1152.3699999999999</v>
      </c>
    </row>
    <row r="39" spans="1:13" ht="15.25" customHeight="1" thickBot="1" x14ac:dyDescent="0.25">
      <c r="A39" s="34"/>
      <c r="B39" s="34"/>
      <c r="C39" s="34"/>
      <c r="D39" s="35" t="s">
        <v>114</v>
      </c>
      <c r="E39" s="36"/>
      <c r="F39" s="36"/>
      <c r="G39" s="36"/>
      <c r="H39" s="36"/>
      <c r="I39" s="36"/>
      <c r="J39" s="36"/>
      <c r="K39" s="36"/>
      <c r="L39" s="37">
        <f>M34</f>
        <v>1152.3699999999999</v>
      </c>
      <c r="M39" s="37">
        <f>ROUND(L39,2)</f>
        <v>1152.3699999999999</v>
      </c>
    </row>
    <row r="40" spans="1:13" ht="15.25" customHeight="1" thickBot="1" x14ac:dyDescent="0.25">
      <c r="A40" s="38" t="s">
        <v>115</v>
      </c>
      <c r="B40" s="38" t="s">
        <v>116</v>
      </c>
      <c r="C40" s="39"/>
      <c r="D40" s="84" t="s">
        <v>117</v>
      </c>
      <c r="E40" s="84"/>
      <c r="F40" s="84"/>
      <c r="G40" s="84"/>
      <c r="H40" s="84"/>
      <c r="I40" s="84"/>
      <c r="J40" s="84"/>
      <c r="K40" s="39"/>
      <c r="L40" s="40">
        <f>L49</f>
        <v>711.98</v>
      </c>
      <c r="M40" s="40">
        <f>ROUND(L40,2)</f>
        <v>711.98</v>
      </c>
    </row>
    <row r="41" spans="1:13" ht="15.25" customHeight="1" thickBot="1" x14ac:dyDescent="0.25">
      <c r="A41" s="10" t="s">
        <v>118</v>
      </c>
      <c r="B41" s="5" t="s">
        <v>119</v>
      </c>
      <c r="C41" s="5" t="s">
        <v>120</v>
      </c>
      <c r="D41" s="82" t="s">
        <v>121</v>
      </c>
      <c r="E41" s="82"/>
      <c r="F41" s="82"/>
      <c r="G41" s="82"/>
      <c r="H41" s="82"/>
      <c r="I41" s="82"/>
      <c r="J41" s="82"/>
      <c r="K41" s="23">
        <f>SUM(K44:K45)</f>
        <v>73.475999999999999</v>
      </c>
      <c r="L41" s="24">
        <f>L48</f>
        <v>9.69</v>
      </c>
      <c r="M41" s="24">
        <f>ROUND(K41*L41,2)</f>
        <v>711.98</v>
      </c>
    </row>
    <row r="42" spans="1:13" ht="58" customHeight="1" thickBot="1" x14ac:dyDescent="0.25">
      <c r="A42" s="25"/>
      <c r="B42" s="25"/>
      <c r="C42" s="25"/>
      <c r="D42" s="82" t="s">
        <v>122</v>
      </c>
      <c r="E42" s="82"/>
      <c r="F42" s="82"/>
      <c r="G42" s="82"/>
      <c r="H42" s="82"/>
      <c r="I42" s="82"/>
      <c r="J42" s="82"/>
      <c r="K42" s="82"/>
      <c r="L42" s="82"/>
      <c r="M42" s="82"/>
    </row>
    <row r="43" spans="1:13" ht="15" customHeight="1" thickBot="1" x14ac:dyDescent="0.25">
      <c r="A43" s="25"/>
      <c r="B43" s="25"/>
      <c r="C43" s="25"/>
      <c r="D43" s="25"/>
      <c r="E43" s="41"/>
      <c r="F43" s="43" t="s">
        <v>123</v>
      </c>
      <c r="G43" s="43" t="s">
        <v>124</v>
      </c>
      <c r="H43" s="43" t="s">
        <v>125</v>
      </c>
      <c r="I43" s="43" t="s">
        <v>126</v>
      </c>
      <c r="J43" s="43" t="s">
        <v>127</v>
      </c>
      <c r="K43" s="43" t="s">
        <v>128</v>
      </c>
      <c r="L43" s="25"/>
      <c r="M43" s="25"/>
    </row>
    <row r="44" spans="1:13" ht="15" customHeight="1" thickBot="1" x14ac:dyDescent="0.25">
      <c r="A44" s="25"/>
      <c r="B44" s="25"/>
      <c r="C44" s="25"/>
      <c r="D44" s="44"/>
      <c r="E44" s="45" t="s">
        <v>129</v>
      </c>
      <c r="F44" s="46">
        <v>1</v>
      </c>
      <c r="G44" s="47">
        <v>22.76</v>
      </c>
      <c r="H44" s="47"/>
      <c r="I44" s="47">
        <v>2.6</v>
      </c>
      <c r="J44" s="49">
        <f>ROUND(F44*G44*I44,3)</f>
        <v>59.176000000000002</v>
      </c>
      <c r="K44" s="50"/>
      <c r="L44" s="25"/>
      <c r="M44" s="25"/>
    </row>
    <row r="45" spans="1:13" ht="15" customHeight="1" thickBot="1" x14ac:dyDescent="0.25">
      <c r="A45" s="25"/>
      <c r="B45" s="25"/>
      <c r="C45" s="25"/>
      <c r="D45" s="44"/>
      <c r="E45" s="5" t="s">
        <v>130</v>
      </c>
      <c r="F45" s="3">
        <v>1</v>
      </c>
      <c r="G45" s="23">
        <v>5.5</v>
      </c>
      <c r="H45" s="23"/>
      <c r="I45" s="23">
        <v>2.6</v>
      </c>
      <c r="J45" s="48">
        <f>ROUND(F45*G45*I45,3)</f>
        <v>14.3</v>
      </c>
      <c r="K45" s="51">
        <f>SUM(J44:J45)</f>
        <v>73.475999999999999</v>
      </c>
      <c r="L45" s="25"/>
      <c r="M45" s="25"/>
    </row>
    <row r="46" spans="1:13" ht="15" customHeight="1" thickBot="1" x14ac:dyDescent="0.25">
      <c r="A46" s="5" t="s">
        <v>131</v>
      </c>
      <c r="B46" s="5" t="s">
        <v>132</v>
      </c>
      <c r="C46" s="5" t="s">
        <v>133</v>
      </c>
      <c r="D46" s="82" t="s">
        <v>134</v>
      </c>
      <c r="E46" s="82"/>
      <c r="F46" s="82"/>
      <c r="G46" s="82"/>
      <c r="H46" s="82"/>
      <c r="I46" s="82"/>
      <c r="J46" s="82"/>
      <c r="K46" s="23">
        <v>0.38500000000000001</v>
      </c>
      <c r="L46" s="23">
        <f>ROUND(23.97,3)</f>
        <v>23.97</v>
      </c>
      <c r="M46" s="24">
        <f>ROUND(K46*L46,2)</f>
        <v>9.23</v>
      </c>
    </row>
    <row r="47" spans="1:13" ht="15" customHeight="1" thickBot="1" x14ac:dyDescent="0.25">
      <c r="A47" s="5" t="s">
        <v>135</v>
      </c>
      <c r="B47" s="5"/>
      <c r="C47" s="5" t="s">
        <v>136</v>
      </c>
      <c r="D47" s="82" t="s">
        <v>137</v>
      </c>
      <c r="E47" s="82"/>
      <c r="F47" s="82"/>
      <c r="G47" s="82"/>
      <c r="H47" s="82"/>
      <c r="I47" s="82"/>
      <c r="J47" s="82"/>
      <c r="K47" s="23">
        <v>2</v>
      </c>
      <c r="L47" s="23">
        <f>ROUND(9.23,3)</f>
        <v>9.23</v>
      </c>
      <c r="M47" s="24">
        <f>ROUND((K47*L47)/100,2)</f>
        <v>0.18</v>
      </c>
    </row>
    <row r="48" spans="1:13" ht="15.25" customHeight="1" thickBot="1" x14ac:dyDescent="0.25">
      <c r="A48" s="26"/>
      <c r="B48" s="26"/>
      <c r="C48" s="26"/>
      <c r="D48" s="27" t="s">
        <v>138</v>
      </c>
      <c r="E48" s="26"/>
      <c r="F48" s="26"/>
      <c r="G48" s="26"/>
      <c r="H48" s="26"/>
      <c r="I48" s="26"/>
      <c r="J48" s="26"/>
      <c r="K48" s="28">
        <v>73.475999999999999</v>
      </c>
      <c r="L48" s="29">
        <f>ROUND((M46+M47)*(1+M2/100),2)</f>
        <v>9.69</v>
      </c>
      <c r="M48" s="29">
        <f>ROUND(K48*L48,2)</f>
        <v>711.98</v>
      </c>
    </row>
    <row r="49" spans="1:13" ht="15.25" customHeight="1" thickBot="1" x14ac:dyDescent="0.25">
      <c r="A49" s="34"/>
      <c r="B49" s="34"/>
      <c r="C49" s="34"/>
      <c r="D49" s="35" t="s">
        <v>139</v>
      </c>
      <c r="E49" s="36"/>
      <c r="F49" s="36"/>
      <c r="G49" s="36"/>
      <c r="H49" s="36"/>
      <c r="I49" s="36"/>
      <c r="J49" s="36"/>
      <c r="K49" s="36"/>
      <c r="L49" s="37">
        <f>M41</f>
        <v>711.98</v>
      </c>
      <c r="M49" s="37">
        <f>ROUND(L49,2)</f>
        <v>711.98</v>
      </c>
    </row>
    <row r="50" spans="1:13" ht="15.25" customHeight="1" thickBot="1" x14ac:dyDescent="0.25">
      <c r="A50" s="34"/>
      <c r="B50" s="34"/>
      <c r="C50" s="34"/>
      <c r="D50" s="52" t="s">
        <v>140</v>
      </c>
      <c r="E50" s="53"/>
      <c r="F50" s="53"/>
      <c r="G50" s="53"/>
      <c r="H50" s="53"/>
      <c r="I50" s="53"/>
      <c r="J50" s="53"/>
      <c r="K50" s="53"/>
      <c r="L50" s="54">
        <f>M32+M39+M49</f>
        <v>3927.2799999999997</v>
      </c>
      <c r="M50" s="54">
        <f>ROUND(L50,2)</f>
        <v>3927.28</v>
      </c>
    </row>
    <row r="51" spans="1:13" ht="15.25" customHeight="1" thickBot="1" x14ac:dyDescent="0.25">
      <c r="A51" s="55" t="s">
        <v>141</v>
      </c>
      <c r="B51" s="55" t="s">
        <v>142</v>
      </c>
      <c r="C51" s="56"/>
      <c r="D51" s="85" t="s">
        <v>143</v>
      </c>
      <c r="E51" s="85"/>
      <c r="F51" s="85"/>
      <c r="G51" s="85"/>
      <c r="H51" s="85"/>
      <c r="I51" s="85"/>
      <c r="J51" s="85"/>
      <c r="K51" s="56"/>
      <c r="L51" s="57">
        <f>L73</f>
        <v>73.95</v>
      </c>
      <c r="M51" s="57">
        <f>ROUND(L51,2)</f>
        <v>73.95</v>
      </c>
    </row>
    <row r="52" spans="1:13" ht="15.25" customHeight="1" thickBot="1" x14ac:dyDescent="0.25">
      <c r="A52" s="20" t="s">
        <v>144</v>
      </c>
      <c r="B52" s="20" t="s">
        <v>145</v>
      </c>
      <c r="C52" s="21"/>
      <c r="D52" s="81" t="s">
        <v>146</v>
      </c>
      <c r="E52" s="81"/>
      <c r="F52" s="81"/>
      <c r="G52" s="81"/>
      <c r="H52" s="81"/>
      <c r="I52" s="81"/>
      <c r="J52" s="81"/>
      <c r="K52" s="21"/>
      <c r="L52" s="22">
        <f>L72</f>
        <v>73.95</v>
      </c>
      <c r="M52" s="22">
        <f>ROUND(L52,2)</f>
        <v>73.95</v>
      </c>
    </row>
    <row r="53" spans="1:13" ht="15.25" customHeight="1" thickBot="1" x14ac:dyDescent="0.25">
      <c r="A53" s="10" t="s">
        <v>147</v>
      </c>
      <c r="B53" s="5" t="s">
        <v>148</v>
      </c>
      <c r="C53" s="5" t="s">
        <v>149</v>
      </c>
      <c r="D53" s="82" t="s">
        <v>150</v>
      </c>
      <c r="E53" s="82"/>
      <c r="F53" s="82"/>
      <c r="G53" s="82"/>
      <c r="H53" s="82"/>
      <c r="I53" s="82"/>
      <c r="J53" s="82"/>
      <c r="K53" s="23">
        <f>SUM(K56:K57)</f>
        <v>5.16</v>
      </c>
      <c r="L53" s="24">
        <f>L63</f>
        <v>8.92</v>
      </c>
      <c r="M53" s="24">
        <f>ROUND(K53*L53,2)</f>
        <v>46.03</v>
      </c>
    </row>
    <row r="54" spans="1:13" ht="85.5" customHeight="1" thickBot="1" x14ac:dyDescent="0.25">
      <c r="A54" s="25"/>
      <c r="B54" s="25"/>
      <c r="C54" s="25"/>
      <c r="D54" s="82" t="s">
        <v>151</v>
      </c>
      <c r="E54" s="82"/>
      <c r="F54" s="82"/>
      <c r="G54" s="82"/>
      <c r="H54" s="82"/>
      <c r="I54" s="82"/>
      <c r="J54" s="82"/>
      <c r="K54" s="82"/>
      <c r="L54" s="82"/>
      <c r="M54" s="82"/>
    </row>
    <row r="55" spans="1:13" ht="15" customHeight="1" thickBot="1" x14ac:dyDescent="0.25">
      <c r="A55" s="25"/>
      <c r="B55" s="25"/>
      <c r="C55" s="25"/>
      <c r="D55" s="25"/>
      <c r="E55" s="41"/>
      <c r="F55" s="43" t="s">
        <v>152</v>
      </c>
      <c r="G55" s="43" t="s">
        <v>153</v>
      </c>
      <c r="H55" s="43" t="s">
        <v>154</v>
      </c>
      <c r="I55" s="43" t="s">
        <v>155</v>
      </c>
      <c r="J55" s="43" t="s">
        <v>156</v>
      </c>
      <c r="K55" s="43" t="s">
        <v>157</v>
      </c>
      <c r="L55" s="25"/>
      <c r="M55" s="25"/>
    </row>
    <row r="56" spans="1:13" ht="21.25" customHeight="1" thickBot="1" x14ac:dyDescent="0.25">
      <c r="A56" s="25"/>
      <c r="B56" s="25"/>
      <c r="C56" s="25"/>
      <c r="D56" s="44"/>
      <c r="E56" s="45" t="s">
        <v>158</v>
      </c>
      <c r="F56" s="46">
        <v>1</v>
      </c>
      <c r="G56" s="47">
        <v>0.9</v>
      </c>
      <c r="H56" s="47"/>
      <c r="I56" s="47">
        <v>2.4</v>
      </c>
      <c r="J56" s="49">
        <f>ROUND(F56*G56*I56,3)</f>
        <v>2.16</v>
      </c>
      <c r="K56" s="50"/>
      <c r="L56" s="25"/>
      <c r="M56" s="25"/>
    </row>
    <row r="57" spans="1:13" ht="30.5" customHeight="1" thickBot="1" x14ac:dyDescent="0.25">
      <c r="A57" s="25"/>
      <c r="B57" s="25"/>
      <c r="C57" s="25"/>
      <c r="D57" s="44"/>
      <c r="E57" s="5" t="s">
        <v>159</v>
      </c>
      <c r="F57" s="3">
        <v>3</v>
      </c>
      <c r="G57" s="23"/>
      <c r="H57" s="23"/>
      <c r="I57" s="23"/>
      <c r="J57" s="48">
        <f>ROUND(F57,3)</f>
        <v>3</v>
      </c>
      <c r="K57" s="51">
        <f>SUM(J56:J57)</f>
        <v>5.16</v>
      </c>
      <c r="L57" s="25"/>
      <c r="M57" s="25"/>
    </row>
    <row r="58" spans="1:13" ht="15" customHeight="1" thickBot="1" x14ac:dyDescent="0.25">
      <c r="A58" s="5" t="s">
        <v>160</v>
      </c>
      <c r="B58" s="5" t="s">
        <v>161</v>
      </c>
      <c r="C58" s="5" t="s">
        <v>162</v>
      </c>
      <c r="D58" s="82" t="s">
        <v>163</v>
      </c>
      <c r="E58" s="82"/>
      <c r="F58" s="82"/>
      <c r="G58" s="82"/>
      <c r="H58" s="82"/>
      <c r="I58" s="82"/>
      <c r="J58" s="82"/>
      <c r="K58" s="23">
        <v>0.11600000000000001</v>
      </c>
      <c r="L58" s="23">
        <f>ROUND(4.181,3)</f>
        <v>4.181</v>
      </c>
      <c r="M58" s="24">
        <f>ROUND(K58*L58,2)</f>
        <v>0.48</v>
      </c>
    </row>
    <row r="59" spans="1:13" ht="15" customHeight="1" thickBot="1" x14ac:dyDescent="0.25">
      <c r="A59" s="5" t="s">
        <v>164</v>
      </c>
      <c r="B59" s="5" t="s">
        <v>165</v>
      </c>
      <c r="C59" s="5" t="s">
        <v>166</v>
      </c>
      <c r="D59" s="82" t="s">
        <v>167</v>
      </c>
      <c r="E59" s="82"/>
      <c r="F59" s="82"/>
      <c r="G59" s="82"/>
      <c r="H59" s="82"/>
      <c r="I59" s="82"/>
      <c r="J59" s="82"/>
      <c r="K59" s="23">
        <v>0.11600000000000001</v>
      </c>
      <c r="L59" s="23">
        <f>ROUND(7.088,3)</f>
        <v>7.0880000000000001</v>
      </c>
      <c r="M59" s="24">
        <f>ROUND(K59*L59,2)</f>
        <v>0.82</v>
      </c>
    </row>
    <row r="60" spans="1:13" ht="15" customHeight="1" thickBot="1" x14ac:dyDescent="0.25">
      <c r="A60" s="5" t="s">
        <v>168</v>
      </c>
      <c r="B60" s="5" t="s">
        <v>169</v>
      </c>
      <c r="C60" s="5" t="s">
        <v>170</v>
      </c>
      <c r="D60" s="82" t="s">
        <v>171</v>
      </c>
      <c r="E60" s="82"/>
      <c r="F60" s="82"/>
      <c r="G60" s="82"/>
      <c r="H60" s="82"/>
      <c r="I60" s="82"/>
      <c r="J60" s="82"/>
      <c r="K60" s="23">
        <v>0.106</v>
      </c>
      <c r="L60" s="23">
        <f>ROUND(26.43,3)</f>
        <v>26.43</v>
      </c>
      <c r="M60" s="24">
        <f>ROUND(K60*L60,2)</f>
        <v>2.8</v>
      </c>
    </row>
    <row r="61" spans="1:13" ht="15" customHeight="1" thickBot="1" x14ac:dyDescent="0.25">
      <c r="A61" s="5" t="s">
        <v>172</v>
      </c>
      <c r="B61" s="5" t="s">
        <v>173</v>
      </c>
      <c r="C61" s="5" t="s">
        <v>174</v>
      </c>
      <c r="D61" s="82" t="s">
        <v>175</v>
      </c>
      <c r="E61" s="82"/>
      <c r="F61" s="82"/>
      <c r="G61" s="82"/>
      <c r="H61" s="82"/>
      <c r="I61" s="82"/>
      <c r="J61" s="82"/>
      <c r="K61" s="23">
        <v>0.183</v>
      </c>
      <c r="L61" s="23">
        <f>ROUND(23.97,3)</f>
        <v>23.97</v>
      </c>
      <c r="M61" s="24">
        <f>ROUND(K61*L61,2)</f>
        <v>4.3899999999999997</v>
      </c>
    </row>
    <row r="62" spans="1:13" ht="15" customHeight="1" thickBot="1" x14ac:dyDescent="0.25">
      <c r="A62" s="5" t="s">
        <v>176</v>
      </c>
      <c r="B62" s="5"/>
      <c r="C62" s="5" t="s">
        <v>177</v>
      </c>
      <c r="D62" s="82" t="s">
        <v>178</v>
      </c>
      <c r="E62" s="82"/>
      <c r="F62" s="82"/>
      <c r="G62" s="82"/>
      <c r="H62" s="82"/>
      <c r="I62" s="82"/>
      <c r="J62" s="82"/>
      <c r="K62" s="23">
        <v>2</v>
      </c>
      <c r="L62" s="23">
        <f>ROUND(8.49,3)</f>
        <v>8.49</v>
      </c>
      <c r="M62" s="24">
        <f>ROUND((K62*L62)/100,2)</f>
        <v>0.17</v>
      </c>
    </row>
    <row r="63" spans="1:13" ht="15.25" customHeight="1" thickBot="1" x14ac:dyDescent="0.25">
      <c r="A63" s="26"/>
      <c r="B63" s="26"/>
      <c r="C63" s="26"/>
      <c r="D63" s="27" t="s">
        <v>179</v>
      </c>
      <c r="E63" s="26"/>
      <c r="F63" s="26"/>
      <c r="G63" s="26"/>
      <c r="H63" s="26"/>
      <c r="I63" s="26"/>
      <c r="J63" s="26"/>
      <c r="K63" s="28">
        <v>5.16</v>
      </c>
      <c r="L63" s="29">
        <f>ROUND((M58+M59+M60+M61+M62)*(1+M2/100),2)</f>
        <v>8.92</v>
      </c>
      <c r="M63" s="29">
        <f>ROUND(K63*L63,2)</f>
        <v>46.03</v>
      </c>
    </row>
    <row r="64" spans="1:13" ht="15.25" customHeight="1" thickBot="1" x14ac:dyDescent="0.25">
      <c r="A64" s="30" t="s">
        <v>180</v>
      </c>
      <c r="B64" s="31" t="s">
        <v>181</v>
      </c>
      <c r="C64" s="31" t="s">
        <v>182</v>
      </c>
      <c r="D64" s="83" t="s">
        <v>183</v>
      </c>
      <c r="E64" s="83"/>
      <c r="F64" s="83"/>
      <c r="G64" s="83"/>
      <c r="H64" s="83"/>
      <c r="I64" s="83"/>
      <c r="J64" s="83"/>
      <c r="K64" s="32">
        <f>SUM(K67:K68)</f>
        <v>5.16</v>
      </c>
      <c r="L64" s="33">
        <f>L71</f>
        <v>5.41</v>
      </c>
      <c r="M64" s="33">
        <f>ROUND(K64*L64,2)</f>
        <v>27.92</v>
      </c>
    </row>
    <row r="65" spans="1:13" ht="67" customHeight="1" thickBot="1" x14ac:dyDescent="0.25">
      <c r="A65" s="25"/>
      <c r="B65" s="25"/>
      <c r="C65" s="25"/>
      <c r="D65" s="82" t="s">
        <v>184</v>
      </c>
      <c r="E65" s="82"/>
      <c r="F65" s="82"/>
      <c r="G65" s="82"/>
      <c r="H65" s="82"/>
      <c r="I65" s="82"/>
      <c r="J65" s="82"/>
      <c r="K65" s="82"/>
      <c r="L65" s="82"/>
      <c r="M65" s="82"/>
    </row>
    <row r="66" spans="1:13" ht="15" customHeight="1" thickBot="1" x14ac:dyDescent="0.25">
      <c r="A66" s="25"/>
      <c r="B66" s="25"/>
      <c r="C66" s="25"/>
      <c r="D66" s="25"/>
      <c r="E66" s="41"/>
      <c r="F66" s="43" t="s">
        <v>185</v>
      </c>
      <c r="G66" s="43" t="s">
        <v>186</v>
      </c>
      <c r="H66" s="43" t="s">
        <v>187</v>
      </c>
      <c r="I66" s="43" t="s">
        <v>188</v>
      </c>
      <c r="J66" s="43" t="s">
        <v>189</v>
      </c>
      <c r="K66" s="43" t="s">
        <v>190</v>
      </c>
      <c r="L66" s="25"/>
      <c r="M66" s="25"/>
    </row>
    <row r="67" spans="1:13" ht="21.25" customHeight="1" thickBot="1" x14ac:dyDescent="0.25">
      <c r="A67" s="25"/>
      <c r="B67" s="25"/>
      <c r="C67" s="25"/>
      <c r="D67" s="44"/>
      <c r="E67" s="45" t="s">
        <v>191</v>
      </c>
      <c r="F67" s="46">
        <v>1</v>
      </c>
      <c r="G67" s="47">
        <v>0.9</v>
      </c>
      <c r="H67" s="47"/>
      <c r="I67" s="47">
        <v>2.4</v>
      </c>
      <c r="J67" s="49">
        <f>ROUND(F67*G67*I67,3)</f>
        <v>2.16</v>
      </c>
      <c r="K67" s="50"/>
      <c r="L67" s="25"/>
      <c r="M67" s="25"/>
    </row>
    <row r="68" spans="1:13" ht="30.5" customHeight="1" thickBot="1" x14ac:dyDescent="0.25">
      <c r="A68" s="25"/>
      <c r="B68" s="25"/>
      <c r="C68" s="25"/>
      <c r="D68" s="44"/>
      <c r="E68" s="5" t="s">
        <v>192</v>
      </c>
      <c r="F68" s="3">
        <v>3</v>
      </c>
      <c r="G68" s="23"/>
      <c r="H68" s="23"/>
      <c r="I68" s="23"/>
      <c r="J68" s="48">
        <f>ROUND(F68,3)</f>
        <v>3</v>
      </c>
      <c r="K68" s="51">
        <f>SUM(J67:J68)</f>
        <v>5.16</v>
      </c>
      <c r="L68" s="25"/>
      <c r="M68" s="25"/>
    </row>
    <row r="69" spans="1:13" ht="15" customHeight="1" thickBot="1" x14ac:dyDescent="0.25">
      <c r="A69" s="5" t="s">
        <v>193</v>
      </c>
      <c r="B69" s="5" t="s">
        <v>194</v>
      </c>
      <c r="C69" s="5" t="s">
        <v>195</v>
      </c>
      <c r="D69" s="82" t="s">
        <v>196</v>
      </c>
      <c r="E69" s="82"/>
      <c r="F69" s="82"/>
      <c r="G69" s="82"/>
      <c r="H69" s="82"/>
      <c r="I69" s="82"/>
      <c r="J69" s="82"/>
      <c r="K69" s="23">
        <v>0.215</v>
      </c>
      <c r="L69" s="23">
        <f>ROUND(23.97,3)</f>
        <v>23.97</v>
      </c>
      <c r="M69" s="24">
        <f>ROUND(K69*L69,2)</f>
        <v>5.15</v>
      </c>
    </row>
    <row r="70" spans="1:13" ht="15" customHeight="1" thickBot="1" x14ac:dyDescent="0.25">
      <c r="A70" s="5" t="s">
        <v>197</v>
      </c>
      <c r="B70" s="5"/>
      <c r="C70" s="5" t="s">
        <v>198</v>
      </c>
      <c r="D70" s="82" t="s">
        <v>199</v>
      </c>
      <c r="E70" s="82"/>
      <c r="F70" s="82"/>
      <c r="G70" s="82"/>
      <c r="H70" s="82"/>
      <c r="I70" s="82"/>
      <c r="J70" s="82"/>
      <c r="K70" s="23">
        <v>2</v>
      </c>
      <c r="L70" s="23">
        <f>ROUND(5.15,3)</f>
        <v>5.15</v>
      </c>
      <c r="M70" s="24">
        <f>ROUND((K70*L70)/100,2)</f>
        <v>0.1</v>
      </c>
    </row>
    <row r="71" spans="1:13" ht="15.25" customHeight="1" thickBot="1" x14ac:dyDescent="0.25">
      <c r="A71" s="26"/>
      <c r="B71" s="26"/>
      <c r="C71" s="26"/>
      <c r="D71" s="27" t="s">
        <v>200</v>
      </c>
      <c r="E71" s="26"/>
      <c r="F71" s="26"/>
      <c r="G71" s="26"/>
      <c r="H71" s="26"/>
      <c r="I71" s="26"/>
      <c r="J71" s="26"/>
      <c r="K71" s="28">
        <v>5.16</v>
      </c>
      <c r="L71" s="29">
        <f>ROUND((M69+M70)*(1+M2/100),2)</f>
        <v>5.41</v>
      </c>
      <c r="M71" s="29">
        <f>ROUND(K71*L71,2)</f>
        <v>27.92</v>
      </c>
    </row>
    <row r="72" spans="1:13" ht="15.25" customHeight="1" thickBot="1" x14ac:dyDescent="0.25">
      <c r="A72" s="34"/>
      <c r="B72" s="34"/>
      <c r="C72" s="34"/>
      <c r="D72" s="35" t="s">
        <v>201</v>
      </c>
      <c r="E72" s="36"/>
      <c r="F72" s="36"/>
      <c r="G72" s="36"/>
      <c r="H72" s="36"/>
      <c r="I72" s="36"/>
      <c r="J72" s="36"/>
      <c r="K72" s="36"/>
      <c r="L72" s="37">
        <f>M53+M64</f>
        <v>73.95</v>
      </c>
      <c r="M72" s="37">
        <f>ROUND(L72,2)</f>
        <v>73.95</v>
      </c>
    </row>
    <row r="73" spans="1:13" ht="15.25" customHeight="1" thickBot="1" x14ac:dyDescent="0.25">
      <c r="A73" s="34"/>
      <c r="B73" s="34"/>
      <c r="C73" s="34"/>
      <c r="D73" s="52" t="s">
        <v>202</v>
      </c>
      <c r="E73" s="53"/>
      <c r="F73" s="53"/>
      <c r="G73" s="53"/>
      <c r="H73" s="53"/>
      <c r="I73" s="53"/>
      <c r="J73" s="53"/>
      <c r="K73" s="53"/>
      <c r="L73" s="54">
        <f>M72</f>
        <v>73.95</v>
      </c>
      <c r="M73" s="54">
        <f>ROUND(L73,2)</f>
        <v>73.95</v>
      </c>
    </row>
    <row r="74" spans="1:13" ht="15.25" customHeight="1" thickBot="1" x14ac:dyDescent="0.25">
      <c r="A74" s="55" t="s">
        <v>203</v>
      </c>
      <c r="B74" s="55" t="s">
        <v>204</v>
      </c>
      <c r="C74" s="56"/>
      <c r="D74" s="85" t="s">
        <v>205</v>
      </c>
      <c r="E74" s="85"/>
      <c r="F74" s="85"/>
      <c r="G74" s="85"/>
      <c r="H74" s="85"/>
      <c r="I74" s="85"/>
      <c r="J74" s="85"/>
      <c r="K74" s="56"/>
      <c r="L74" s="57">
        <f>L84</f>
        <v>1246.95</v>
      </c>
      <c r="M74" s="57">
        <f>ROUND(L74,2)</f>
        <v>1246.95</v>
      </c>
    </row>
    <row r="75" spans="1:13" ht="15.25" customHeight="1" thickBot="1" x14ac:dyDescent="0.25">
      <c r="A75" s="20" t="s">
        <v>206</v>
      </c>
      <c r="B75" s="20" t="s">
        <v>207</v>
      </c>
      <c r="C75" s="21"/>
      <c r="D75" s="81" t="s">
        <v>208</v>
      </c>
      <c r="E75" s="81"/>
      <c r="F75" s="81"/>
      <c r="G75" s="81"/>
      <c r="H75" s="81"/>
      <c r="I75" s="81"/>
      <c r="J75" s="81"/>
      <c r="K75" s="21"/>
      <c r="L75" s="22">
        <f>L83</f>
        <v>1246.95</v>
      </c>
      <c r="M75" s="22">
        <f>ROUND(L75,2)</f>
        <v>1246.95</v>
      </c>
    </row>
    <row r="76" spans="1:13" ht="15.25" customHeight="1" thickBot="1" x14ac:dyDescent="0.25">
      <c r="A76" s="10" t="s">
        <v>209</v>
      </c>
      <c r="B76" s="5" t="s">
        <v>210</v>
      </c>
      <c r="C76" s="5" t="s">
        <v>211</v>
      </c>
      <c r="D76" s="82" t="s">
        <v>212</v>
      </c>
      <c r="E76" s="82"/>
      <c r="F76" s="82"/>
      <c r="G76" s="82"/>
      <c r="H76" s="82"/>
      <c r="I76" s="82"/>
      <c r="J76" s="82"/>
      <c r="K76" s="23">
        <f>SUM(K79:K79)</f>
        <v>243.54499999999999</v>
      </c>
      <c r="L76" s="24">
        <f>L82</f>
        <v>5.12</v>
      </c>
      <c r="M76" s="24">
        <f>ROUND(K76*L76,2)</f>
        <v>1246.95</v>
      </c>
    </row>
    <row r="77" spans="1:13" ht="76.25" customHeight="1" thickBot="1" x14ac:dyDescent="0.25">
      <c r="A77" s="25"/>
      <c r="B77" s="25"/>
      <c r="C77" s="25"/>
      <c r="D77" s="82" t="s">
        <v>213</v>
      </c>
      <c r="E77" s="82"/>
      <c r="F77" s="82"/>
      <c r="G77" s="82"/>
      <c r="H77" s="82"/>
      <c r="I77" s="82"/>
      <c r="J77" s="82"/>
      <c r="K77" s="82"/>
      <c r="L77" s="82"/>
      <c r="M77" s="82"/>
    </row>
    <row r="78" spans="1:13" ht="15" customHeight="1" thickBot="1" x14ac:dyDescent="0.25">
      <c r="A78" s="25"/>
      <c r="B78" s="25"/>
      <c r="C78" s="25"/>
      <c r="D78" s="25"/>
      <c r="E78" s="41"/>
      <c r="F78" s="43" t="s">
        <v>214</v>
      </c>
      <c r="G78" s="43" t="s">
        <v>215</v>
      </c>
      <c r="H78" s="43" t="s">
        <v>216</v>
      </c>
      <c r="I78" s="43" t="s">
        <v>217</v>
      </c>
      <c r="J78" s="43" t="s">
        <v>218</v>
      </c>
      <c r="K78" s="43" t="s">
        <v>219</v>
      </c>
      <c r="L78" s="25"/>
      <c r="M78" s="25"/>
    </row>
    <row r="79" spans="1:13" ht="15" customHeight="1" thickBot="1" x14ac:dyDescent="0.25">
      <c r="A79" s="25"/>
      <c r="B79" s="25"/>
      <c r="C79" s="25"/>
      <c r="D79" s="44"/>
      <c r="E79" s="45" t="s">
        <v>220</v>
      </c>
      <c r="F79" s="46">
        <v>1</v>
      </c>
      <c r="G79" s="47">
        <v>72.7</v>
      </c>
      <c r="H79" s="47"/>
      <c r="I79" s="47">
        <v>3.35</v>
      </c>
      <c r="J79" s="49">
        <f>ROUND(F79*G79*I79,3)</f>
        <v>243.54499999999999</v>
      </c>
      <c r="K79" s="58">
        <f>SUM(J79:J79)</f>
        <v>243.54499999999999</v>
      </c>
      <c r="L79" s="25"/>
      <c r="M79" s="25"/>
    </row>
    <row r="80" spans="1:13" ht="15" customHeight="1" thickBot="1" x14ac:dyDescent="0.25">
      <c r="A80" s="5" t="s">
        <v>221</v>
      </c>
      <c r="B80" s="5" t="s">
        <v>222</v>
      </c>
      <c r="C80" s="5" t="s">
        <v>223</v>
      </c>
      <c r="D80" s="82" t="s">
        <v>224</v>
      </c>
      <c r="E80" s="82"/>
      <c r="F80" s="82"/>
      <c r="G80" s="82"/>
      <c r="H80" s="82"/>
      <c r="I80" s="82"/>
      <c r="J80" s="82"/>
      <c r="K80" s="23">
        <v>0.20300000000000001</v>
      </c>
      <c r="L80" s="23">
        <f>ROUND(23.97,3)</f>
        <v>23.97</v>
      </c>
      <c r="M80" s="24">
        <f>ROUND(K80*L80,2)</f>
        <v>4.87</v>
      </c>
    </row>
    <row r="81" spans="1:13" ht="15" customHeight="1" thickBot="1" x14ac:dyDescent="0.25">
      <c r="A81" s="5" t="s">
        <v>225</v>
      </c>
      <c r="B81" s="5"/>
      <c r="C81" s="5" t="s">
        <v>226</v>
      </c>
      <c r="D81" s="82" t="s">
        <v>227</v>
      </c>
      <c r="E81" s="82"/>
      <c r="F81" s="82"/>
      <c r="G81" s="82"/>
      <c r="H81" s="82"/>
      <c r="I81" s="82"/>
      <c r="J81" s="82"/>
      <c r="K81" s="23">
        <v>2</v>
      </c>
      <c r="L81" s="23">
        <f>ROUND(4.87,3)</f>
        <v>4.87</v>
      </c>
      <c r="M81" s="24">
        <f>ROUND((K81*L81)/100,2)</f>
        <v>0.1</v>
      </c>
    </row>
    <row r="82" spans="1:13" ht="15.25" customHeight="1" thickBot="1" x14ac:dyDescent="0.25">
      <c r="A82" s="26"/>
      <c r="B82" s="26"/>
      <c r="C82" s="26"/>
      <c r="D82" s="27" t="s">
        <v>228</v>
      </c>
      <c r="E82" s="26"/>
      <c r="F82" s="26"/>
      <c r="G82" s="26"/>
      <c r="H82" s="26"/>
      <c r="I82" s="26"/>
      <c r="J82" s="26"/>
      <c r="K82" s="28">
        <v>243.54499999999999</v>
      </c>
      <c r="L82" s="29">
        <f>ROUND((M80+M81)*(1+M2/100),2)</f>
        <v>5.12</v>
      </c>
      <c r="M82" s="29">
        <f>ROUND(K82*L82,2)</f>
        <v>1246.95</v>
      </c>
    </row>
    <row r="83" spans="1:13" ht="15.25" customHeight="1" thickBot="1" x14ac:dyDescent="0.25">
      <c r="A83" s="34"/>
      <c r="B83" s="34"/>
      <c r="C83" s="34"/>
      <c r="D83" s="35" t="s">
        <v>229</v>
      </c>
      <c r="E83" s="36"/>
      <c r="F83" s="36"/>
      <c r="G83" s="36"/>
      <c r="H83" s="36"/>
      <c r="I83" s="36"/>
      <c r="J83" s="36"/>
      <c r="K83" s="36"/>
      <c r="L83" s="37">
        <f>M76</f>
        <v>1246.95</v>
      </c>
      <c r="M83" s="37">
        <f>ROUND(L83,2)</f>
        <v>1246.95</v>
      </c>
    </row>
    <row r="84" spans="1:13" ht="15.25" customHeight="1" thickBot="1" x14ac:dyDescent="0.25">
      <c r="A84" s="34"/>
      <c r="B84" s="34"/>
      <c r="C84" s="34"/>
      <c r="D84" s="52" t="s">
        <v>230</v>
      </c>
      <c r="E84" s="53"/>
      <c r="F84" s="53"/>
      <c r="G84" s="53"/>
      <c r="H84" s="53"/>
      <c r="I84" s="53"/>
      <c r="J84" s="53"/>
      <c r="K84" s="53"/>
      <c r="L84" s="54">
        <f>M83</f>
        <v>1246.95</v>
      </c>
      <c r="M84" s="54">
        <f>ROUND(L84,2)</f>
        <v>1246.95</v>
      </c>
    </row>
    <row r="85" spans="1:13" ht="15.25" customHeight="1" thickBot="1" x14ac:dyDescent="0.25">
      <c r="A85" s="55" t="s">
        <v>231</v>
      </c>
      <c r="B85" s="55" t="s">
        <v>232</v>
      </c>
      <c r="C85" s="56"/>
      <c r="D85" s="85" t="s">
        <v>233</v>
      </c>
      <c r="E85" s="85"/>
      <c r="F85" s="85"/>
      <c r="G85" s="85"/>
      <c r="H85" s="85"/>
      <c r="I85" s="85"/>
      <c r="J85" s="85"/>
      <c r="K85" s="56"/>
      <c r="L85" s="57">
        <f>L106</f>
        <v>132.63999999999999</v>
      </c>
      <c r="M85" s="57">
        <f>ROUND(L85,2)</f>
        <v>132.63999999999999</v>
      </c>
    </row>
    <row r="86" spans="1:13" ht="15.25" customHeight="1" thickBot="1" x14ac:dyDescent="0.25">
      <c r="A86" s="20" t="s">
        <v>234</v>
      </c>
      <c r="B86" s="20" t="s">
        <v>235</v>
      </c>
      <c r="C86" s="21"/>
      <c r="D86" s="81" t="s">
        <v>236</v>
      </c>
      <c r="E86" s="81"/>
      <c r="F86" s="81"/>
      <c r="G86" s="81"/>
      <c r="H86" s="81"/>
      <c r="I86" s="81"/>
      <c r="J86" s="81"/>
      <c r="K86" s="21"/>
      <c r="L86" s="22">
        <f>L95</f>
        <v>41.92</v>
      </c>
      <c r="M86" s="22">
        <f>ROUND(L86,2)</f>
        <v>41.92</v>
      </c>
    </row>
    <row r="87" spans="1:13" ht="15.25" customHeight="1" thickBot="1" x14ac:dyDescent="0.25">
      <c r="A87" s="10" t="s">
        <v>237</v>
      </c>
      <c r="B87" s="5" t="s">
        <v>238</v>
      </c>
      <c r="C87" s="5" t="s">
        <v>239</v>
      </c>
      <c r="D87" s="82" t="s">
        <v>240</v>
      </c>
      <c r="E87" s="82"/>
      <c r="F87" s="82"/>
      <c r="G87" s="82"/>
      <c r="H87" s="82"/>
      <c r="I87" s="82"/>
      <c r="J87" s="82"/>
      <c r="K87" s="23">
        <f>SUM(K90:K91)</f>
        <v>4</v>
      </c>
      <c r="L87" s="24">
        <f>L94</f>
        <v>10.48</v>
      </c>
      <c r="M87" s="24">
        <f>ROUND(K87*L87,2)</f>
        <v>41.92</v>
      </c>
    </row>
    <row r="88" spans="1:13" ht="58" customHeight="1" thickBot="1" x14ac:dyDescent="0.25">
      <c r="A88" s="25"/>
      <c r="B88" s="25"/>
      <c r="C88" s="25"/>
      <c r="D88" s="82" t="s">
        <v>241</v>
      </c>
      <c r="E88" s="82"/>
      <c r="F88" s="82"/>
      <c r="G88" s="82"/>
      <c r="H88" s="82"/>
      <c r="I88" s="82"/>
      <c r="J88" s="82"/>
      <c r="K88" s="82"/>
      <c r="L88" s="82"/>
      <c r="M88" s="82"/>
    </row>
    <row r="89" spans="1:13" ht="15" customHeight="1" thickBot="1" x14ac:dyDescent="0.25">
      <c r="A89" s="25"/>
      <c r="B89" s="25"/>
      <c r="C89" s="25"/>
      <c r="D89" s="25"/>
      <c r="E89" s="41"/>
      <c r="F89" s="43" t="s">
        <v>242</v>
      </c>
      <c r="G89" s="43" t="s">
        <v>243</v>
      </c>
      <c r="H89" s="43" t="s">
        <v>244</v>
      </c>
      <c r="I89" s="43" t="s">
        <v>245</v>
      </c>
      <c r="J89" s="43" t="s">
        <v>246</v>
      </c>
      <c r="K89" s="43" t="s">
        <v>247</v>
      </c>
      <c r="L89" s="25"/>
      <c r="M89" s="25"/>
    </row>
    <row r="90" spans="1:13" ht="15" customHeight="1" thickBot="1" x14ac:dyDescent="0.25">
      <c r="A90" s="25"/>
      <c r="B90" s="25"/>
      <c r="C90" s="25"/>
      <c r="D90" s="44"/>
      <c r="E90" s="45" t="s">
        <v>248</v>
      </c>
      <c r="F90" s="46">
        <v>3</v>
      </c>
      <c r="G90" s="47"/>
      <c r="H90" s="47"/>
      <c r="I90" s="47"/>
      <c r="J90" s="49">
        <f>ROUND(F90,3)</f>
        <v>3</v>
      </c>
      <c r="K90" s="50"/>
      <c r="L90" s="25"/>
      <c r="M90" s="25"/>
    </row>
    <row r="91" spans="1:13" ht="15" customHeight="1" thickBot="1" x14ac:dyDescent="0.25">
      <c r="A91" s="25"/>
      <c r="B91" s="25"/>
      <c r="C91" s="25"/>
      <c r="D91" s="44"/>
      <c r="E91" s="5" t="s">
        <v>249</v>
      </c>
      <c r="F91" s="3">
        <v>1</v>
      </c>
      <c r="G91" s="23"/>
      <c r="H91" s="23"/>
      <c r="I91" s="23"/>
      <c r="J91" s="48">
        <f>ROUND(F91,3)</f>
        <v>1</v>
      </c>
      <c r="K91" s="51">
        <f>SUM(J90:J91)</f>
        <v>4</v>
      </c>
      <c r="L91" s="25"/>
      <c r="M91" s="25"/>
    </row>
    <row r="92" spans="1:13" ht="15" customHeight="1" thickBot="1" x14ac:dyDescent="0.25">
      <c r="A92" s="5" t="s">
        <v>250</v>
      </c>
      <c r="B92" s="5" t="s">
        <v>251</v>
      </c>
      <c r="C92" s="5" t="s">
        <v>252</v>
      </c>
      <c r="D92" s="82" t="s">
        <v>253</v>
      </c>
      <c r="E92" s="82"/>
      <c r="F92" s="82"/>
      <c r="G92" s="82"/>
      <c r="H92" s="82"/>
      <c r="I92" s="82"/>
      <c r="J92" s="82"/>
      <c r="K92" s="23">
        <v>0.41599999999999998</v>
      </c>
      <c r="L92" s="23">
        <f>ROUND(23.97,3)</f>
        <v>23.97</v>
      </c>
      <c r="M92" s="24">
        <f>ROUND(K92*L92,2)</f>
        <v>9.9700000000000006</v>
      </c>
    </row>
    <row r="93" spans="1:13" ht="15" customHeight="1" thickBot="1" x14ac:dyDescent="0.25">
      <c r="A93" s="5" t="s">
        <v>254</v>
      </c>
      <c r="B93" s="5"/>
      <c r="C93" s="5" t="s">
        <v>255</v>
      </c>
      <c r="D93" s="82" t="s">
        <v>256</v>
      </c>
      <c r="E93" s="82"/>
      <c r="F93" s="82"/>
      <c r="G93" s="82"/>
      <c r="H93" s="82"/>
      <c r="I93" s="82"/>
      <c r="J93" s="82"/>
      <c r="K93" s="23">
        <v>2</v>
      </c>
      <c r="L93" s="23">
        <f>ROUND(9.97,3)</f>
        <v>9.9700000000000006</v>
      </c>
      <c r="M93" s="24">
        <f>ROUND((K93*L93)/100,2)</f>
        <v>0.2</v>
      </c>
    </row>
    <row r="94" spans="1:13" ht="15.25" customHeight="1" thickBot="1" x14ac:dyDescent="0.25">
      <c r="A94" s="26"/>
      <c r="B94" s="26"/>
      <c r="C94" s="26"/>
      <c r="D94" s="27" t="s">
        <v>257</v>
      </c>
      <c r="E94" s="26"/>
      <c r="F94" s="26"/>
      <c r="G94" s="26"/>
      <c r="H94" s="26"/>
      <c r="I94" s="26"/>
      <c r="J94" s="26"/>
      <c r="K94" s="28">
        <v>4</v>
      </c>
      <c r="L94" s="29">
        <f>ROUND((M92+M93)*(1+M2/100),2)</f>
        <v>10.48</v>
      </c>
      <c r="M94" s="29">
        <f>ROUND(K94*L94,2)</f>
        <v>41.92</v>
      </c>
    </row>
    <row r="95" spans="1:13" ht="15.25" customHeight="1" thickBot="1" x14ac:dyDescent="0.25">
      <c r="A95" s="34"/>
      <c r="B95" s="34"/>
      <c r="C95" s="34"/>
      <c r="D95" s="35" t="s">
        <v>258</v>
      </c>
      <c r="E95" s="36"/>
      <c r="F95" s="36"/>
      <c r="G95" s="36"/>
      <c r="H95" s="36"/>
      <c r="I95" s="36"/>
      <c r="J95" s="36"/>
      <c r="K95" s="36"/>
      <c r="L95" s="37">
        <f>M87</f>
        <v>41.92</v>
      </c>
      <c r="M95" s="37">
        <f>ROUND(L95,2)</f>
        <v>41.92</v>
      </c>
    </row>
    <row r="96" spans="1:13" ht="15.25" customHeight="1" thickBot="1" x14ac:dyDescent="0.25">
      <c r="A96" s="38" t="s">
        <v>259</v>
      </c>
      <c r="B96" s="38" t="s">
        <v>260</v>
      </c>
      <c r="C96" s="39"/>
      <c r="D96" s="84" t="s">
        <v>261</v>
      </c>
      <c r="E96" s="84"/>
      <c r="F96" s="84"/>
      <c r="G96" s="84"/>
      <c r="H96" s="84"/>
      <c r="I96" s="84"/>
      <c r="J96" s="84"/>
      <c r="K96" s="39"/>
      <c r="L96" s="40">
        <f>L105</f>
        <v>90.72</v>
      </c>
      <c r="M96" s="40">
        <f>ROUND(L96,2)</f>
        <v>90.72</v>
      </c>
    </row>
    <row r="97" spans="1:13" ht="15.25" customHeight="1" thickBot="1" x14ac:dyDescent="0.25">
      <c r="A97" s="10" t="s">
        <v>262</v>
      </c>
      <c r="B97" s="5" t="s">
        <v>263</v>
      </c>
      <c r="C97" s="5" t="s">
        <v>264</v>
      </c>
      <c r="D97" s="82" t="s">
        <v>265</v>
      </c>
      <c r="E97" s="82"/>
      <c r="F97" s="82"/>
      <c r="G97" s="82"/>
      <c r="H97" s="82"/>
      <c r="I97" s="82"/>
      <c r="J97" s="82"/>
      <c r="K97" s="23">
        <f>SUM(K100:K101)</f>
        <v>14</v>
      </c>
      <c r="L97" s="24">
        <f>L104</f>
        <v>6.48</v>
      </c>
      <c r="M97" s="24">
        <f>ROUND(K97*L97,2)</f>
        <v>90.72</v>
      </c>
    </row>
    <row r="98" spans="1:13" ht="58" customHeight="1" thickBot="1" x14ac:dyDescent="0.25">
      <c r="A98" s="25"/>
      <c r="B98" s="25"/>
      <c r="C98" s="25"/>
      <c r="D98" s="82" t="s">
        <v>266</v>
      </c>
      <c r="E98" s="82"/>
      <c r="F98" s="82"/>
      <c r="G98" s="82"/>
      <c r="H98" s="82"/>
      <c r="I98" s="82"/>
      <c r="J98" s="82"/>
      <c r="K98" s="82"/>
      <c r="L98" s="82"/>
      <c r="M98" s="82"/>
    </row>
    <row r="99" spans="1:13" ht="15" customHeight="1" thickBot="1" x14ac:dyDescent="0.25">
      <c r="A99" s="25"/>
      <c r="B99" s="25"/>
      <c r="C99" s="25"/>
      <c r="D99" s="25"/>
      <c r="E99" s="41"/>
      <c r="F99" s="43" t="s">
        <v>267</v>
      </c>
      <c r="G99" s="43" t="s">
        <v>268</v>
      </c>
      <c r="H99" s="43" t="s">
        <v>269</v>
      </c>
      <c r="I99" s="43" t="s">
        <v>270</v>
      </c>
      <c r="J99" s="43" t="s">
        <v>271</v>
      </c>
      <c r="K99" s="43" t="s">
        <v>272</v>
      </c>
      <c r="L99" s="25"/>
      <c r="M99" s="25"/>
    </row>
    <row r="100" spans="1:13" ht="15" customHeight="1" thickBot="1" x14ac:dyDescent="0.25">
      <c r="A100" s="25"/>
      <c r="B100" s="25"/>
      <c r="C100" s="25"/>
      <c r="D100" s="44"/>
      <c r="E100" s="45" t="s">
        <v>273</v>
      </c>
      <c r="F100" s="46">
        <v>4</v>
      </c>
      <c r="G100" s="47">
        <v>1</v>
      </c>
      <c r="H100" s="47"/>
      <c r="I100" s="47"/>
      <c r="J100" s="49">
        <f>ROUND(F100*G100,3)</f>
        <v>4</v>
      </c>
      <c r="K100" s="50"/>
      <c r="L100" s="25"/>
      <c r="M100" s="25"/>
    </row>
    <row r="101" spans="1:13" ht="15" customHeight="1" thickBot="1" x14ac:dyDescent="0.25">
      <c r="A101" s="25"/>
      <c r="B101" s="25"/>
      <c r="C101" s="25"/>
      <c r="D101" s="44"/>
      <c r="E101" s="5" t="s">
        <v>274</v>
      </c>
      <c r="F101" s="3">
        <v>5</v>
      </c>
      <c r="G101" s="23">
        <v>2</v>
      </c>
      <c r="H101" s="23"/>
      <c r="I101" s="23"/>
      <c r="J101" s="48">
        <f>ROUND(F101*G101,3)</f>
        <v>10</v>
      </c>
      <c r="K101" s="51">
        <f>SUM(J100:J101)</f>
        <v>14</v>
      </c>
      <c r="L101" s="25"/>
      <c r="M101" s="25"/>
    </row>
    <row r="102" spans="1:13" ht="15" customHeight="1" thickBot="1" x14ac:dyDescent="0.25">
      <c r="A102" s="5" t="s">
        <v>275</v>
      </c>
      <c r="B102" s="5" t="s">
        <v>276</v>
      </c>
      <c r="C102" s="5" t="s">
        <v>277</v>
      </c>
      <c r="D102" s="82" t="s">
        <v>278</v>
      </c>
      <c r="E102" s="82"/>
      <c r="F102" s="82"/>
      <c r="G102" s="82"/>
      <c r="H102" s="82"/>
      <c r="I102" s="82"/>
      <c r="J102" s="82"/>
      <c r="K102" s="23">
        <v>0.26300000000000001</v>
      </c>
      <c r="L102" s="23">
        <f>ROUND(23.46,3)</f>
        <v>23.46</v>
      </c>
      <c r="M102" s="24">
        <f>ROUND(K102*L102,2)</f>
        <v>6.17</v>
      </c>
    </row>
    <row r="103" spans="1:13" ht="15" customHeight="1" thickBot="1" x14ac:dyDescent="0.25">
      <c r="A103" s="5" t="s">
        <v>279</v>
      </c>
      <c r="B103" s="5"/>
      <c r="C103" s="5" t="s">
        <v>280</v>
      </c>
      <c r="D103" s="82" t="s">
        <v>281</v>
      </c>
      <c r="E103" s="82"/>
      <c r="F103" s="82"/>
      <c r="G103" s="82"/>
      <c r="H103" s="82"/>
      <c r="I103" s="82"/>
      <c r="J103" s="82"/>
      <c r="K103" s="23">
        <v>2</v>
      </c>
      <c r="L103" s="23">
        <f>ROUND(6.17,3)</f>
        <v>6.17</v>
      </c>
      <c r="M103" s="24">
        <f>ROUND((K103*L103)/100,2)</f>
        <v>0.12</v>
      </c>
    </row>
    <row r="104" spans="1:13" ht="15.25" customHeight="1" thickBot="1" x14ac:dyDescent="0.25">
      <c r="A104" s="26"/>
      <c r="B104" s="26"/>
      <c r="C104" s="26"/>
      <c r="D104" s="27" t="s">
        <v>282</v>
      </c>
      <c r="E104" s="26"/>
      <c r="F104" s="26"/>
      <c r="G104" s="26"/>
      <c r="H104" s="26"/>
      <c r="I104" s="26"/>
      <c r="J104" s="26"/>
      <c r="K104" s="28">
        <v>14</v>
      </c>
      <c r="L104" s="29">
        <f>ROUND((M102+M103)*(1+M2/100),2)</f>
        <v>6.48</v>
      </c>
      <c r="M104" s="29">
        <f>ROUND(K104*L104,2)</f>
        <v>90.72</v>
      </c>
    </row>
    <row r="105" spans="1:13" ht="15.25" customHeight="1" thickBot="1" x14ac:dyDescent="0.25">
      <c r="A105" s="34"/>
      <c r="B105" s="34"/>
      <c r="C105" s="34"/>
      <c r="D105" s="35" t="s">
        <v>283</v>
      </c>
      <c r="E105" s="36"/>
      <c r="F105" s="36"/>
      <c r="G105" s="36"/>
      <c r="H105" s="36"/>
      <c r="I105" s="36"/>
      <c r="J105" s="36"/>
      <c r="K105" s="36"/>
      <c r="L105" s="37">
        <f>M97</f>
        <v>90.72</v>
      </c>
      <c r="M105" s="37">
        <f>ROUND(L105,2)</f>
        <v>90.72</v>
      </c>
    </row>
    <row r="106" spans="1:13" ht="15.25" customHeight="1" thickBot="1" x14ac:dyDescent="0.25">
      <c r="A106" s="34"/>
      <c r="B106" s="34"/>
      <c r="C106" s="34"/>
      <c r="D106" s="52" t="s">
        <v>284</v>
      </c>
      <c r="E106" s="53"/>
      <c r="F106" s="53"/>
      <c r="G106" s="53"/>
      <c r="H106" s="53"/>
      <c r="I106" s="53"/>
      <c r="J106" s="53"/>
      <c r="K106" s="53"/>
      <c r="L106" s="54">
        <f>M95+M105</f>
        <v>132.63999999999999</v>
      </c>
      <c r="M106" s="54">
        <f>ROUND(L106,2)</f>
        <v>132.63999999999999</v>
      </c>
    </row>
    <row r="107" spans="1:13" ht="15.25" customHeight="1" thickBot="1" x14ac:dyDescent="0.25">
      <c r="A107" s="55" t="s">
        <v>285</v>
      </c>
      <c r="B107" s="55" t="s">
        <v>286</v>
      </c>
      <c r="C107" s="56"/>
      <c r="D107" s="85" t="s">
        <v>287</v>
      </c>
      <c r="E107" s="85"/>
      <c r="F107" s="85"/>
      <c r="G107" s="85"/>
      <c r="H107" s="85"/>
      <c r="I107" s="85"/>
      <c r="J107" s="85"/>
      <c r="K107" s="56"/>
      <c r="L107" s="57">
        <f>L117</f>
        <v>2675.85</v>
      </c>
      <c r="M107" s="57">
        <f>ROUND(L107,2)</f>
        <v>2675.85</v>
      </c>
    </row>
    <row r="108" spans="1:13" ht="15.25" customHeight="1" thickBot="1" x14ac:dyDescent="0.25">
      <c r="A108" s="20" t="s">
        <v>288</v>
      </c>
      <c r="B108" s="20" t="s">
        <v>289</v>
      </c>
      <c r="C108" s="21"/>
      <c r="D108" s="81" t="s">
        <v>290</v>
      </c>
      <c r="E108" s="81"/>
      <c r="F108" s="81"/>
      <c r="G108" s="81"/>
      <c r="H108" s="81"/>
      <c r="I108" s="81"/>
      <c r="J108" s="81"/>
      <c r="K108" s="21"/>
      <c r="L108" s="22">
        <f>L116</f>
        <v>2675.85</v>
      </c>
      <c r="M108" s="22">
        <f>ROUND(L108,2)</f>
        <v>2675.85</v>
      </c>
    </row>
    <row r="109" spans="1:13" ht="15.25" customHeight="1" thickBot="1" x14ac:dyDescent="0.25">
      <c r="A109" s="10" t="s">
        <v>291</v>
      </c>
      <c r="B109" s="5" t="s">
        <v>292</v>
      </c>
      <c r="C109" s="5" t="s">
        <v>293</v>
      </c>
      <c r="D109" s="82" t="s">
        <v>294</v>
      </c>
      <c r="E109" s="82"/>
      <c r="F109" s="82"/>
      <c r="G109" s="82"/>
      <c r="H109" s="82"/>
      <c r="I109" s="82"/>
      <c r="J109" s="82"/>
      <c r="K109" s="23">
        <f>ROUND(105.39,2)</f>
        <v>105.39</v>
      </c>
      <c r="L109" s="24">
        <f>L115</f>
        <v>25.39</v>
      </c>
      <c r="M109" s="24">
        <f>ROUND(K109*L109,2)</f>
        <v>2675.85</v>
      </c>
    </row>
    <row r="110" spans="1:13" ht="67" customHeight="1" thickBot="1" x14ac:dyDescent="0.25">
      <c r="A110" s="25"/>
      <c r="B110" s="25"/>
      <c r="C110" s="25"/>
      <c r="D110" s="82" t="s">
        <v>295</v>
      </c>
      <c r="E110" s="82"/>
      <c r="F110" s="82"/>
      <c r="G110" s="82"/>
      <c r="H110" s="82"/>
      <c r="I110" s="82"/>
      <c r="J110" s="82"/>
      <c r="K110" s="82"/>
      <c r="L110" s="82"/>
      <c r="M110" s="82"/>
    </row>
    <row r="111" spans="1:13" ht="15" customHeight="1" thickBot="1" x14ac:dyDescent="0.25">
      <c r="A111" s="5" t="s">
        <v>296</v>
      </c>
      <c r="B111" s="5" t="s">
        <v>297</v>
      </c>
      <c r="C111" s="5" t="s">
        <v>298</v>
      </c>
      <c r="D111" s="82" t="s">
        <v>299</v>
      </c>
      <c r="E111" s="82"/>
      <c r="F111" s="82"/>
      <c r="G111" s="82"/>
      <c r="H111" s="82"/>
      <c r="I111" s="82"/>
      <c r="J111" s="82"/>
      <c r="K111" s="23">
        <v>0.183</v>
      </c>
      <c r="L111" s="23">
        <f>ROUND(21.41,3)</f>
        <v>21.41</v>
      </c>
      <c r="M111" s="24">
        <f>ROUND(K111*L111,2)</f>
        <v>3.92</v>
      </c>
    </row>
    <row r="112" spans="1:13" ht="15" customHeight="1" thickBot="1" x14ac:dyDescent="0.25">
      <c r="A112" s="5" t="s">
        <v>300</v>
      </c>
      <c r="B112" s="5" t="s">
        <v>301</v>
      </c>
      <c r="C112" s="5" t="s">
        <v>302</v>
      </c>
      <c r="D112" s="82" t="s">
        <v>303</v>
      </c>
      <c r="E112" s="82"/>
      <c r="F112" s="82"/>
      <c r="G112" s="82"/>
      <c r="H112" s="82"/>
      <c r="I112" s="82"/>
      <c r="J112" s="82"/>
      <c r="K112" s="23">
        <v>0.45700000000000002</v>
      </c>
      <c r="L112" s="23">
        <f>ROUND(20.34,3)</f>
        <v>20.34</v>
      </c>
      <c r="M112" s="24">
        <f>ROUND(K112*L112,2)</f>
        <v>9.3000000000000007</v>
      </c>
    </row>
    <row r="113" spans="1:13" ht="15" customHeight="1" thickBot="1" x14ac:dyDescent="0.25">
      <c r="A113" s="5" t="s">
        <v>304</v>
      </c>
      <c r="B113" s="5" t="s">
        <v>305</v>
      </c>
      <c r="C113" s="5" t="s">
        <v>306</v>
      </c>
      <c r="D113" s="82" t="s">
        <v>307</v>
      </c>
      <c r="E113" s="82"/>
      <c r="F113" s="82"/>
      <c r="G113" s="82"/>
      <c r="H113" s="82"/>
      <c r="I113" s="82"/>
      <c r="J113" s="82"/>
      <c r="K113" s="23">
        <v>0.45700000000000002</v>
      </c>
      <c r="L113" s="23">
        <f>ROUND(23.97,3)</f>
        <v>23.97</v>
      </c>
      <c r="M113" s="24">
        <f>ROUND(K113*L113,2)</f>
        <v>10.95</v>
      </c>
    </row>
    <row r="114" spans="1:13" ht="15" customHeight="1" thickBot="1" x14ac:dyDescent="0.25">
      <c r="A114" s="5" t="s">
        <v>308</v>
      </c>
      <c r="B114" s="5"/>
      <c r="C114" s="5" t="s">
        <v>309</v>
      </c>
      <c r="D114" s="82" t="s">
        <v>310</v>
      </c>
      <c r="E114" s="82"/>
      <c r="F114" s="82"/>
      <c r="G114" s="82"/>
      <c r="H114" s="82"/>
      <c r="I114" s="82"/>
      <c r="J114" s="82"/>
      <c r="K114" s="23">
        <v>2</v>
      </c>
      <c r="L114" s="23">
        <f>ROUND(24.17,3)</f>
        <v>24.17</v>
      </c>
      <c r="M114" s="24">
        <f>ROUND((K114*L114)/100,2)</f>
        <v>0.48</v>
      </c>
    </row>
    <row r="115" spans="1:13" ht="15.25" customHeight="1" thickBot="1" x14ac:dyDescent="0.25">
      <c r="A115" s="26"/>
      <c r="B115" s="26"/>
      <c r="C115" s="26"/>
      <c r="D115" s="27" t="s">
        <v>311</v>
      </c>
      <c r="E115" s="26"/>
      <c r="F115" s="26"/>
      <c r="G115" s="26"/>
      <c r="H115" s="26"/>
      <c r="I115" s="26"/>
      <c r="J115" s="26"/>
      <c r="K115" s="28">
        <v>105.39</v>
      </c>
      <c r="L115" s="29">
        <f>ROUND((M111+M112+M113+M114)*(1+M2/100),2)</f>
        <v>25.39</v>
      </c>
      <c r="M115" s="29">
        <f>ROUND(K115*L115,2)</f>
        <v>2675.85</v>
      </c>
    </row>
    <row r="116" spans="1:13" ht="15.25" customHeight="1" thickBot="1" x14ac:dyDescent="0.25">
      <c r="A116" s="34"/>
      <c r="B116" s="34"/>
      <c r="C116" s="34"/>
      <c r="D116" s="35" t="s">
        <v>312</v>
      </c>
      <c r="E116" s="36"/>
      <c r="F116" s="36"/>
      <c r="G116" s="36"/>
      <c r="H116" s="36"/>
      <c r="I116" s="36"/>
      <c r="J116" s="36"/>
      <c r="K116" s="36"/>
      <c r="L116" s="37">
        <f>M109</f>
        <v>2675.85</v>
      </c>
      <c r="M116" s="37">
        <f>ROUND(L116,2)</f>
        <v>2675.85</v>
      </c>
    </row>
    <row r="117" spans="1:13" ht="15.25" customHeight="1" thickBot="1" x14ac:dyDescent="0.25">
      <c r="A117" s="34"/>
      <c r="B117" s="34"/>
      <c r="C117" s="34"/>
      <c r="D117" s="52" t="s">
        <v>313</v>
      </c>
      <c r="E117" s="53"/>
      <c r="F117" s="53"/>
      <c r="G117" s="53"/>
      <c r="H117" s="53"/>
      <c r="I117" s="53"/>
      <c r="J117" s="53"/>
      <c r="K117" s="53"/>
      <c r="L117" s="54">
        <f>M116</f>
        <v>2675.85</v>
      </c>
      <c r="M117" s="54">
        <f>ROUND(L117,2)</f>
        <v>2675.85</v>
      </c>
    </row>
    <row r="118" spans="1:13" ht="15.25" customHeight="1" thickBot="1" x14ac:dyDescent="0.25">
      <c r="A118" s="55" t="s">
        <v>314</v>
      </c>
      <c r="B118" s="55" t="s">
        <v>315</v>
      </c>
      <c r="C118" s="56"/>
      <c r="D118" s="85" t="s">
        <v>316</v>
      </c>
      <c r="E118" s="85"/>
      <c r="F118" s="85"/>
      <c r="G118" s="85"/>
      <c r="H118" s="85"/>
      <c r="I118" s="85"/>
      <c r="J118" s="85"/>
      <c r="K118" s="56"/>
      <c r="L118" s="57">
        <f>L127</f>
        <v>487.13</v>
      </c>
      <c r="M118" s="57">
        <f>ROUND(L118,2)</f>
        <v>487.13</v>
      </c>
    </row>
    <row r="119" spans="1:13" ht="15.25" customHeight="1" thickBot="1" x14ac:dyDescent="0.25">
      <c r="A119" s="20" t="s">
        <v>317</v>
      </c>
      <c r="B119" s="20" t="s">
        <v>318</v>
      </c>
      <c r="C119" s="21"/>
      <c r="D119" s="81" t="s">
        <v>319</v>
      </c>
      <c r="E119" s="81"/>
      <c r="F119" s="81"/>
      <c r="G119" s="81"/>
      <c r="H119" s="81"/>
      <c r="I119" s="81"/>
      <c r="J119" s="81"/>
      <c r="K119" s="21"/>
      <c r="L119" s="22">
        <f>L126</f>
        <v>487.13</v>
      </c>
      <c r="M119" s="22">
        <f>ROUND(L119,2)</f>
        <v>487.13</v>
      </c>
    </row>
    <row r="120" spans="1:13" ht="15.25" customHeight="1" thickBot="1" x14ac:dyDescent="0.25">
      <c r="A120" s="10" t="s">
        <v>320</v>
      </c>
      <c r="B120" s="5" t="s">
        <v>321</v>
      </c>
      <c r="C120" s="5" t="s">
        <v>322</v>
      </c>
      <c r="D120" s="82" t="s">
        <v>323</v>
      </c>
      <c r="E120" s="82"/>
      <c r="F120" s="82"/>
      <c r="G120" s="82"/>
      <c r="H120" s="82"/>
      <c r="I120" s="82"/>
      <c r="J120" s="82"/>
      <c r="K120" s="23">
        <f>ROUND(112.5,2)</f>
        <v>112.5</v>
      </c>
      <c r="L120" s="24">
        <f>L125</f>
        <v>4.33</v>
      </c>
      <c r="M120" s="24">
        <f>ROUND(K120*L120,2)</f>
        <v>487.13</v>
      </c>
    </row>
    <row r="121" spans="1:13" ht="39.5" customHeight="1" thickBot="1" x14ac:dyDescent="0.25">
      <c r="A121" s="25"/>
      <c r="B121" s="25"/>
      <c r="C121" s="25"/>
      <c r="D121" s="82" t="s">
        <v>324</v>
      </c>
      <c r="E121" s="82"/>
      <c r="F121" s="82"/>
      <c r="G121" s="82"/>
      <c r="H121" s="82"/>
      <c r="I121" s="82"/>
      <c r="J121" s="82"/>
      <c r="K121" s="82"/>
      <c r="L121" s="82"/>
      <c r="M121" s="82"/>
    </row>
    <row r="122" spans="1:13" ht="15" customHeight="1" thickBot="1" x14ac:dyDescent="0.25">
      <c r="A122" s="5" t="s">
        <v>325</v>
      </c>
      <c r="B122" s="5" t="s">
        <v>326</v>
      </c>
      <c r="C122" s="5" t="s">
        <v>327</v>
      </c>
      <c r="D122" s="82" t="s">
        <v>328</v>
      </c>
      <c r="E122" s="82"/>
      <c r="F122" s="82"/>
      <c r="G122" s="82"/>
      <c r="H122" s="82"/>
      <c r="I122" s="82"/>
      <c r="J122" s="82"/>
      <c r="K122" s="23">
        <v>7.1999999999999995E-2</v>
      </c>
      <c r="L122" s="23">
        <f>ROUND(38.554,3)</f>
        <v>38.554000000000002</v>
      </c>
      <c r="M122" s="24">
        <f>ROUND(K122*L122,2)</f>
        <v>2.78</v>
      </c>
    </row>
    <row r="123" spans="1:13" ht="15" customHeight="1" thickBot="1" x14ac:dyDescent="0.25">
      <c r="A123" s="5" t="s">
        <v>329</v>
      </c>
      <c r="B123" s="5" t="s">
        <v>330</v>
      </c>
      <c r="C123" s="5" t="s">
        <v>331</v>
      </c>
      <c r="D123" s="82" t="s">
        <v>332</v>
      </c>
      <c r="E123" s="82"/>
      <c r="F123" s="82"/>
      <c r="G123" s="82"/>
      <c r="H123" s="82"/>
      <c r="I123" s="82"/>
      <c r="J123" s="82"/>
      <c r="K123" s="23">
        <v>6.6000000000000003E-2</v>
      </c>
      <c r="L123" s="23">
        <f>ROUND(20.34,3)</f>
        <v>20.34</v>
      </c>
      <c r="M123" s="24">
        <f>ROUND(K123*L123,2)</f>
        <v>1.34</v>
      </c>
    </row>
    <row r="124" spans="1:13" ht="15" customHeight="1" thickBot="1" x14ac:dyDescent="0.25">
      <c r="A124" s="5" t="s">
        <v>333</v>
      </c>
      <c r="B124" s="5"/>
      <c r="C124" s="5" t="s">
        <v>334</v>
      </c>
      <c r="D124" s="82" t="s">
        <v>335</v>
      </c>
      <c r="E124" s="82"/>
      <c r="F124" s="82"/>
      <c r="G124" s="82"/>
      <c r="H124" s="82"/>
      <c r="I124" s="82"/>
      <c r="J124" s="82"/>
      <c r="K124" s="23">
        <v>2</v>
      </c>
      <c r="L124" s="23">
        <f>ROUND(4.12,3)</f>
        <v>4.12</v>
      </c>
      <c r="M124" s="24">
        <f>ROUND((K124*L124)/100,2)</f>
        <v>0.08</v>
      </c>
    </row>
    <row r="125" spans="1:13" ht="15.25" customHeight="1" thickBot="1" x14ac:dyDescent="0.25">
      <c r="A125" s="26"/>
      <c r="B125" s="26"/>
      <c r="C125" s="26"/>
      <c r="D125" s="27" t="s">
        <v>336</v>
      </c>
      <c r="E125" s="26"/>
      <c r="F125" s="26"/>
      <c r="G125" s="26"/>
      <c r="H125" s="26"/>
      <c r="I125" s="26"/>
      <c r="J125" s="26"/>
      <c r="K125" s="28">
        <v>112.5</v>
      </c>
      <c r="L125" s="29">
        <f>ROUND((M122+M123+M124)*(1+M2/100),2)</f>
        <v>4.33</v>
      </c>
      <c r="M125" s="29">
        <f>ROUND(K125*L125,2)</f>
        <v>487.13</v>
      </c>
    </row>
    <row r="126" spans="1:13" ht="15.25" customHeight="1" thickBot="1" x14ac:dyDescent="0.25">
      <c r="A126" s="34"/>
      <c r="B126" s="34"/>
      <c r="C126" s="34"/>
      <c r="D126" s="35" t="s">
        <v>337</v>
      </c>
      <c r="E126" s="36"/>
      <c r="F126" s="36"/>
      <c r="G126" s="36"/>
      <c r="H126" s="36"/>
      <c r="I126" s="36"/>
      <c r="J126" s="36"/>
      <c r="K126" s="36"/>
      <c r="L126" s="37">
        <f>M120</f>
        <v>487.13</v>
      </c>
      <c r="M126" s="37">
        <f t="shared" ref="M126:M131" si="1">ROUND(L126,2)</f>
        <v>487.13</v>
      </c>
    </row>
    <row r="127" spans="1:13" ht="15.25" customHeight="1" thickBot="1" x14ac:dyDescent="0.25">
      <c r="A127" s="34"/>
      <c r="B127" s="34"/>
      <c r="C127" s="34"/>
      <c r="D127" s="52" t="s">
        <v>338</v>
      </c>
      <c r="E127" s="53"/>
      <c r="F127" s="53"/>
      <c r="G127" s="53"/>
      <c r="H127" s="53"/>
      <c r="I127" s="53"/>
      <c r="J127" s="53"/>
      <c r="K127" s="53"/>
      <c r="L127" s="54">
        <f>M126</f>
        <v>487.13</v>
      </c>
      <c r="M127" s="54">
        <f t="shared" si="1"/>
        <v>487.13</v>
      </c>
    </row>
    <row r="128" spans="1:13" ht="15.25" customHeight="1" thickBot="1" x14ac:dyDescent="0.25">
      <c r="A128" s="34"/>
      <c r="B128" s="34"/>
      <c r="C128" s="34"/>
      <c r="D128" s="59" t="s">
        <v>339</v>
      </c>
      <c r="E128" s="60"/>
      <c r="F128" s="60"/>
      <c r="G128" s="60"/>
      <c r="H128" s="60"/>
      <c r="I128" s="60"/>
      <c r="J128" s="60"/>
      <c r="K128" s="60"/>
      <c r="L128" s="61">
        <f>M50+M73+M84+M106+M117+M127</f>
        <v>8543.7999999999993</v>
      </c>
      <c r="M128" s="61">
        <f t="shared" si="1"/>
        <v>8543.7999999999993</v>
      </c>
    </row>
    <row r="129" spans="1:13" ht="15.25" customHeight="1" thickBot="1" x14ac:dyDescent="0.25">
      <c r="A129" s="62" t="s">
        <v>340</v>
      </c>
      <c r="B129" s="62" t="s">
        <v>341</v>
      </c>
      <c r="C129" s="63"/>
      <c r="D129" s="86" t="s">
        <v>342</v>
      </c>
      <c r="E129" s="86"/>
      <c r="F129" s="86"/>
      <c r="G129" s="86"/>
      <c r="H129" s="86"/>
      <c r="I129" s="86"/>
      <c r="J129" s="86"/>
      <c r="K129" s="63"/>
      <c r="L129" s="64">
        <f>L319</f>
        <v>15443.420000000002</v>
      </c>
      <c r="M129" s="64">
        <f t="shared" si="1"/>
        <v>15443.42</v>
      </c>
    </row>
    <row r="130" spans="1:13" ht="15.25" customHeight="1" thickBot="1" x14ac:dyDescent="0.25">
      <c r="A130" s="17" t="s">
        <v>343</v>
      </c>
      <c r="B130" s="17" t="s">
        <v>344</v>
      </c>
      <c r="C130" s="18"/>
      <c r="D130" s="80" t="s">
        <v>345</v>
      </c>
      <c r="E130" s="80"/>
      <c r="F130" s="80"/>
      <c r="G130" s="80"/>
      <c r="H130" s="80"/>
      <c r="I130" s="80"/>
      <c r="J130" s="80"/>
      <c r="K130" s="18"/>
      <c r="L130" s="19">
        <f>L154</f>
        <v>2461.9900000000002</v>
      </c>
      <c r="M130" s="19">
        <f t="shared" si="1"/>
        <v>2461.9899999999998</v>
      </c>
    </row>
    <row r="131" spans="1:13" ht="15.25" customHeight="1" thickBot="1" x14ac:dyDescent="0.25">
      <c r="A131" s="20" t="s">
        <v>346</v>
      </c>
      <c r="B131" s="20" t="s">
        <v>347</v>
      </c>
      <c r="C131" s="21"/>
      <c r="D131" s="81" t="s">
        <v>348</v>
      </c>
      <c r="E131" s="81"/>
      <c r="F131" s="81"/>
      <c r="G131" s="81"/>
      <c r="H131" s="81"/>
      <c r="I131" s="81"/>
      <c r="J131" s="81"/>
      <c r="K131" s="21"/>
      <c r="L131" s="22">
        <f>L139</f>
        <v>1525.16</v>
      </c>
      <c r="M131" s="22">
        <f t="shared" si="1"/>
        <v>1525.16</v>
      </c>
    </row>
    <row r="132" spans="1:13" ht="15.25" customHeight="1" thickBot="1" x14ac:dyDescent="0.25">
      <c r="A132" s="10" t="s">
        <v>349</v>
      </c>
      <c r="B132" s="5" t="s">
        <v>350</v>
      </c>
      <c r="C132" s="5" t="s">
        <v>351</v>
      </c>
      <c r="D132" s="82" t="s">
        <v>352</v>
      </c>
      <c r="E132" s="82"/>
      <c r="F132" s="82"/>
      <c r="G132" s="82"/>
      <c r="H132" s="82"/>
      <c r="I132" s="82"/>
      <c r="J132" s="82"/>
      <c r="K132" s="23">
        <f>SUM(K135:K135)</f>
        <v>54.47</v>
      </c>
      <c r="L132" s="24">
        <f>L138</f>
        <v>28</v>
      </c>
      <c r="M132" s="24">
        <f>ROUND(K132*L132,2)</f>
        <v>1525.16</v>
      </c>
    </row>
    <row r="133" spans="1:13" ht="113" customHeight="1" thickBot="1" x14ac:dyDescent="0.25">
      <c r="A133" s="25"/>
      <c r="B133" s="25"/>
      <c r="C133" s="25"/>
      <c r="D133" s="82" t="s">
        <v>353</v>
      </c>
      <c r="E133" s="82"/>
      <c r="F133" s="82"/>
      <c r="G133" s="82"/>
      <c r="H133" s="82"/>
      <c r="I133" s="82"/>
      <c r="J133" s="82"/>
      <c r="K133" s="82"/>
      <c r="L133" s="82"/>
      <c r="M133" s="82"/>
    </row>
    <row r="134" spans="1:13" ht="15" customHeight="1" thickBot="1" x14ac:dyDescent="0.25">
      <c r="A134" s="25"/>
      <c r="B134" s="25"/>
      <c r="C134" s="25"/>
      <c r="D134" s="25"/>
      <c r="E134" s="41"/>
      <c r="F134" s="43" t="s">
        <v>354</v>
      </c>
      <c r="G134" s="43" t="s">
        <v>355</v>
      </c>
      <c r="H134" s="43" t="s">
        <v>356</v>
      </c>
      <c r="I134" s="43" t="s">
        <v>357</v>
      </c>
      <c r="J134" s="43" t="s">
        <v>358</v>
      </c>
      <c r="K134" s="43" t="s">
        <v>359</v>
      </c>
      <c r="L134" s="25"/>
      <c r="M134" s="25"/>
    </row>
    <row r="135" spans="1:13" ht="30.5" customHeight="1" thickBot="1" x14ac:dyDescent="0.25">
      <c r="A135" s="25"/>
      <c r="B135" s="25"/>
      <c r="C135" s="25"/>
      <c r="D135" s="44"/>
      <c r="E135" s="45" t="s">
        <v>360</v>
      </c>
      <c r="F135" s="46">
        <v>1</v>
      </c>
      <c r="G135" s="47">
        <v>54.47</v>
      </c>
      <c r="H135" s="47"/>
      <c r="I135" s="47">
        <v>1</v>
      </c>
      <c r="J135" s="49">
        <f>ROUND(F135*G135*I135,3)</f>
        <v>54.47</v>
      </c>
      <c r="K135" s="58">
        <f>SUM(J135:J135)</f>
        <v>54.47</v>
      </c>
      <c r="L135" s="25"/>
      <c r="M135" s="25"/>
    </row>
    <row r="136" spans="1:13" ht="15" customHeight="1" thickBot="1" x14ac:dyDescent="0.25">
      <c r="A136" s="5" t="s">
        <v>361</v>
      </c>
      <c r="B136" s="5" t="s">
        <v>362</v>
      </c>
      <c r="C136" s="5" t="s">
        <v>363</v>
      </c>
      <c r="D136" s="82" t="s">
        <v>364</v>
      </c>
      <c r="E136" s="82"/>
      <c r="F136" s="82"/>
      <c r="G136" s="82"/>
      <c r="H136" s="82"/>
      <c r="I136" s="82"/>
      <c r="J136" s="82"/>
      <c r="K136" s="23">
        <v>1.1120000000000001</v>
      </c>
      <c r="L136" s="23">
        <f>ROUND(23.97,3)</f>
        <v>23.97</v>
      </c>
      <c r="M136" s="24">
        <f>ROUND(K136*L136,2)</f>
        <v>26.65</v>
      </c>
    </row>
    <row r="137" spans="1:13" ht="15" customHeight="1" thickBot="1" x14ac:dyDescent="0.25">
      <c r="A137" s="5" t="s">
        <v>365</v>
      </c>
      <c r="B137" s="5"/>
      <c r="C137" s="5" t="s">
        <v>366</v>
      </c>
      <c r="D137" s="82" t="s">
        <v>367</v>
      </c>
      <c r="E137" s="82"/>
      <c r="F137" s="82"/>
      <c r="G137" s="82"/>
      <c r="H137" s="82"/>
      <c r="I137" s="82"/>
      <c r="J137" s="82"/>
      <c r="K137" s="23">
        <v>2</v>
      </c>
      <c r="L137" s="23">
        <f>ROUND(26.65,3)</f>
        <v>26.65</v>
      </c>
      <c r="M137" s="24">
        <f>ROUND((K137*L137)/100,2)</f>
        <v>0.53</v>
      </c>
    </row>
    <row r="138" spans="1:13" ht="15.25" customHeight="1" thickBot="1" x14ac:dyDescent="0.25">
      <c r="A138" s="26"/>
      <c r="B138" s="26"/>
      <c r="C138" s="26"/>
      <c r="D138" s="27" t="s">
        <v>368</v>
      </c>
      <c r="E138" s="26"/>
      <c r="F138" s="26"/>
      <c r="G138" s="26"/>
      <c r="H138" s="26"/>
      <c r="I138" s="26"/>
      <c r="J138" s="26"/>
      <c r="K138" s="28">
        <v>54.47</v>
      </c>
      <c r="L138" s="29">
        <f>ROUND((M136+M137)*(1+M2/100),2)</f>
        <v>28</v>
      </c>
      <c r="M138" s="29">
        <f>ROUND(K138*L138,2)</f>
        <v>1525.16</v>
      </c>
    </row>
    <row r="139" spans="1:13" ht="15.25" customHeight="1" thickBot="1" x14ac:dyDescent="0.25">
      <c r="A139" s="34"/>
      <c r="B139" s="34"/>
      <c r="C139" s="34"/>
      <c r="D139" s="35" t="s">
        <v>369</v>
      </c>
      <c r="E139" s="36"/>
      <c r="F139" s="36"/>
      <c r="G139" s="36"/>
      <c r="H139" s="36"/>
      <c r="I139" s="36"/>
      <c r="J139" s="36"/>
      <c r="K139" s="36"/>
      <c r="L139" s="37">
        <f>M132</f>
        <v>1525.16</v>
      </c>
      <c r="M139" s="37">
        <f>ROUND(L139,2)</f>
        <v>1525.16</v>
      </c>
    </row>
    <row r="140" spans="1:13" ht="15.25" customHeight="1" thickBot="1" x14ac:dyDescent="0.25">
      <c r="A140" s="38" t="s">
        <v>370</v>
      </c>
      <c r="B140" s="38" t="s">
        <v>371</v>
      </c>
      <c r="C140" s="39"/>
      <c r="D140" s="84" t="s">
        <v>372</v>
      </c>
      <c r="E140" s="84"/>
      <c r="F140" s="84"/>
      <c r="G140" s="84"/>
      <c r="H140" s="84"/>
      <c r="I140" s="84"/>
      <c r="J140" s="84"/>
      <c r="K140" s="39"/>
      <c r="L140" s="40">
        <f>L153</f>
        <v>936.83</v>
      </c>
      <c r="M140" s="40">
        <f>ROUND(L140,2)</f>
        <v>936.83</v>
      </c>
    </row>
    <row r="141" spans="1:13" ht="15.25" customHeight="1" thickBot="1" x14ac:dyDescent="0.25">
      <c r="A141" s="10" t="s">
        <v>373</v>
      </c>
      <c r="B141" s="5" t="s">
        <v>374</v>
      </c>
      <c r="C141" s="5" t="s">
        <v>375</v>
      </c>
      <c r="D141" s="82" t="s">
        <v>376</v>
      </c>
      <c r="E141" s="82"/>
      <c r="F141" s="82"/>
      <c r="G141" s="82"/>
      <c r="H141" s="82"/>
      <c r="I141" s="82"/>
      <c r="J141" s="82"/>
      <c r="K141" s="23">
        <f>SUM(K144:K144)</f>
        <v>38.128999999999998</v>
      </c>
      <c r="L141" s="24">
        <f>L152</f>
        <v>24.57</v>
      </c>
      <c r="M141" s="24">
        <f>ROUND(K141*L141,2)</f>
        <v>936.83</v>
      </c>
    </row>
    <row r="142" spans="1:13" ht="85.5" customHeight="1" thickBot="1" x14ac:dyDescent="0.25">
      <c r="A142" s="25"/>
      <c r="B142" s="25"/>
      <c r="C142" s="25"/>
      <c r="D142" s="82" t="s">
        <v>377</v>
      </c>
      <c r="E142" s="82"/>
      <c r="F142" s="82"/>
      <c r="G142" s="82"/>
      <c r="H142" s="82"/>
      <c r="I142" s="82"/>
      <c r="J142" s="82"/>
      <c r="K142" s="82"/>
      <c r="L142" s="82"/>
      <c r="M142" s="82"/>
    </row>
    <row r="143" spans="1:13" ht="15" customHeight="1" thickBot="1" x14ac:dyDescent="0.25">
      <c r="A143" s="25"/>
      <c r="B143" s="25"/>
      <c r="C143" s="25"/>
      <c r="D143" s="25"/>
      <c r="E143" s="41"/>
      <c r="F143" s="43" t="s">
        <v>378</v>
      </c>
      <c r="G143" s="43" t="s">
        <v>379</v>
      </c>
      <c r="H143" s="43" t="s">
        <v>380</v>
      </c>
      <c r="I143" s="43" t="s">
        <v>381</v>
      </c>
      <c r="J143" s="43" t="s">
        <v>382</v>
      </c>
      <c r="K143" s="43" t="s">
        <v>383</v>
      </c>
      <c r="L143" s="25"/>
      <c r="M143" s="25"/>
    </row>
    <row r="144" spans="1:13" ht="30.5" customHeight="1" thickBot="1" x14ac:dyDescent="0.25">
      <c r="A144" s="25"/>
      <c r="B144" s="25"/>
      <c r="C144" s="25"/>
      <c r="D144" s="44"/>
      <c r="E144" s="45" t="s">
        <v>384</v>
      </c>
      <c r="F144" s="46">
        <v>1</v>
      </c>
      <c r="G144" s="47">
        <v>54.47</v>
      </c>
      <c r="H144" s="47"/>
      <c r="I144" s="47">
        <v>0.7</v>
      </c>
      <c r="J144" s="49">
        <f>ROUND(F144*G144*I144,3)</f>
        <v>38.128999999999998</v>
      </c>
      <c r="K144" s="58">
        <f>SUM(J144:J144)</f>
        <v>38.128999999999998</v>
      </c>
      <c r="L144" s="25"/>
      <c r="M144" s="25"/>
    </row>
    <row r="145" spans="1:13" ht="15" customHeight="1" thickBot="1" x14ac:dyDescent="0.25">
      <c r="A145" s="5" t="s">
        <v>385</v>
      </c>
      <c r="B145" s="5" t="s">
        <v>386</v>
      </c>
      <c r="C145" s="5" t="s">
        <v>387</v>
      </c>
      <c r="D145" s="82" t="s">
        <v>388</v>
      </c>
      <c r="E145" s="82"/>
      <c r="F145" s="82"/>
      <c r="G145" s="82"/>
      <c r="H145" s="82"/>
      <c r="I145" s="82"/>
      <c r="J145" s="82"/>
      <c r="K145" s="23">
        <v>1.1000000000000001</v>
      </c>
      <c r="L145" s="23">
        <f>ROUND(0.274,3)</f>
        <v>0.27400000000000002</v>
      </c>
      <c r="M145" s="24">
        <f t="shared" ref="M145:M150" si="2">ROUND(K145*L145,2)</f>
        <v>0.3</v>
      </c>
    </row>
    <row r="146" spans="1:13" ht="15" customHeight="1" thickBot="1" x14ac:dyDescent="0.25">
      <c r="A146" s="5" t="s">
        <v>389</v>
      </c>
      <c r="B146" s="5" t="s">
        <v>390</v>
      </c>
      <c r="C146" s="5" t="s">
        <v>391</v>
      </c>
      <c r="D146" s="82" t="s">
        <v>392</v>
      </c>
      <c r="E146" s="82"/>
      <c r="F146" s="82"/>
      <c r="G146" s="82"/>
      <c r="H146" s="82"/>
      <c r="I146" s="82"/>
      <c r="J146" s="82"/>
      <c r="K146" s="23">
        <v>1.8</v>
      </c>
      <c r="L146" s="23">
        <f>ROUND(8.187,3)</f>
        <v>8.1869999999999994</v>
      </c>
      <c r="M146" s="24">
        <f t="shared" si="2"/>
        <v>14.74</v>
      </c>
    </row>
    <row r="147" spans="1:13" ht="15" customHeight="1" thickBot="1" x14ac:dyDescent="0.25">
      <c r="A147" s="5" t="s">
        <v>393</v>
      </c>
      <c r="B147" s="5" t="s">
        <v>394</v>
      </c>
      <c r="C147" s="5" t="s">
        <v>395</v>
      </c>
      <c r="D147" s="82" t="s">
        <v>396</v>
      </c>
      <c r="E147" s="82"/>
      <c r="F147" s="82"/>
      <c r="G147" s="82"/>
      <c r="H147" s="82"/>
      <c r="I147" s="82"/>
      <c r="J147" s="82"/>
      <c r="K147" s="23">
        <v>0.11600000000000001</v>
      </c>
      <c r="L147" s="23">
        <f>ROUND(9.494,3)</f>
        <v>9.4939999999999998</v>
      </c>
      <c r="M147" s="24">
        <f t="shared" si="2"/>
        <v>1.1000000000000001</v>
      </c>
    </row>
    <row r="148" spans="1:13" ht="15" customHeight="1" thickBot="1" x14ac:dyDescent="0.25">
      <c r="A148" s="5" t="s">
        <v>397</v>
      </c>
      <c r="B148" s="5" t="s">
        <v>398</v>
      </c>
      <c r="C148" s="5" t="s">
        <v>399</v>
      </c>
      <c r="D148" s="82" t="s">
        <v>400</v>
      </c>
      <c r="E148" s="82"/>
      <c r="F148" s="82"/>
      <c r="G148" s="82"/>
      <c r="H148" s="82"/>
      <c r="I148" s="82"/>
      <c r="J148" s="82"/>
      <c r="K148" s="23">
        <v>0.17399999999999999</v>
      </c>
      <c r="L148" s="23">
        <f>ROUND(6.549,3)</f>
        <v>6.5490000000000004</v>
      </c>
      <c r="M148" s="24">
        <f t="shared" si="2"/>
        <v>1.1399999999999999</v>
      </c>
    </row>
    <row r="149" spans="1:13" ht="15" customHeight="1" thickBot="1" x14ac:dyDescent="0.25">
      <c r="A149" s="5" t="s">
        <v>401</v>
      </c>
      <c r="B149" s="5" t="s">
        <v>402</v>
      </c>
      <c r="C149" s="5" t="s">
        <v>403</v>
      </c>
      <c r="D149" s="82" t="s">
        <v>404</v>
      </c>
      <c r="E149" s="82"/>
      <c r="F149" s="82"/>
      <c r="G149" s="82"/>
      <c r="H149" s="82"/>
      <c r="I149" s="82"/>
      <c r="J149" s="82"/>
      <c r="K149" s="23">
        <v>1.2E-2</v>
      </c>
      <c r="L149" s="23">
        <f>ROUND(108.757,3)</f>
        <v>108.75700000000001</v>
      </c>
      <c r="M149" s="24">
        <f t="shared" si="2"/>
        <v>1.31</v>
      </c>
    </row>
    <row r="150" spans="1:13" ht="15" customHeight="1" thickBot="1" x14ac:dyDescent="0.25">
      <c r="A150" s="5" t="s">
        <v>405</v>
      </c>
      <c r="B150" s="5" t="s">
        <v>406</v>
      </c>
      <c r="C150" s="5" t="s">
        <v>407</v>
      </c>
      <c r="D150" s="82" t="s">
        <v>408</v>
      </c>
      <c r="E150" s="82"/>
      <c r="F150" s="82"/>
      <c r="G150" s="82"/>
      <c r="H150" s="82"/>
      <c r="I150" s="82"/>
      <c r="J150" s="82"/>
      <c r="K150" s="23">
        <v>0.2</v>
      </c>
      <c r="L150" s="23">
        <f>ROUND(23.97,3)</f>
        <v>23.97</v>
      </c>
      <c r="M150" s="24">
        <f t="shared" si="2"/>
        <v>4.79</v>
      </c>
    </row>
    <row r="151" spans="1:13" ht="15" customHeight="1" thickBot="1" x14ac:dyDescent="0.25">
      <c r="A151" s="5" t="s">
        <v>409</v>
      </c>
      <c r="B151" s="5"/>
      <c r="C151" s="5" t="s">
        <v>410</v>
      </c>
      <c r="D151" s="82" t="s">
        <v>411</v>
      </c>
      <c r="E151" s="82"/>
      <c r="F151" s="82"/>
      <c r="G151" s="82"/>
      <c r="H151" s="82"/>
      <c r="I151" s="82"/>
      <c r="J151" s="82"/>
      <c r="K151" s="23">
        <v>2</v>
      </c>
      <c r="L151" s="23">
        <f>ROUND(23.38,3)</f>
        <v>23.38</v>
      </c>
      <c r="M151" s="24">
        <f>ROUND((K151*L151)/100,2)</f>
        <v>0.47</v>
      </c>
    </row>
    <row r="152" spans="1:13" ht="15.25" customHeight="1" thickBot="1" x14ac:dyDescent="0.25">
      <c r="A152" s="26"/>
      <c r="B152" s="26"/>
      <c r="C152" s="26"/>
      <c r="D152" s="27" t="s">
        <v>412</v>
      </c>
      <c r="E152" s="26"/>
      <c r="F152" s="26"/>
      <c r="G152" s="26"/>
      <c r="H152" s="26"/>
      <c r="I152" s="26"/>
      <c r="J152" s="26"/>
      <c r="K152" s="28">
        <v>38.128999999999998</v>
      </c>
      <c r="L152" s="29">
        <f>ROUND((M145+M146+M147+M148+M149+M150+M151)*(1+M2/100),2)</f>
        <v>24.57</v>
      </c>
      <c r="M152" s="29">
        <f>ROUND(K152*L152,2)</f>
        <v>936.83</v>
      </c>
    </row>
    <row r="153" spans="1:13" ht="15.25" customHeight="1" thickBot="1" x14ac:dyDescent="0.25">
      <c r="A153" s="34"/>
      <c r="B153" s="34"/>
      <c r="C153" s="34"/>
      <c r="D153" s="35" t="s">
        <v>413</v>
      </c>
      <c r="E153" s="36"/>
      <c r="F153" s="36"/>
      <c r="G153" s="36"/>
      <c r="H153" s="36"/>
      <c r="I153" s="36"/>
      <c r="J153" s="36"/>
      <c r="K153" s="36"/>
      <c r="L153" s="37">
        <f>M141</f>
        <v>936.83</v>
      </c>
      <c r="M153" s="37">
        <f>ROUND(L153,2)</f>
        <v>936.83</v>
      </c>
    </row>
    <row r="154" spans="1:13" ht="15.25" customHeight="1" thickBot="1" x14ac:dyDescent="0.25">
      <c r="A154" s="34"/>
      <c r="B154" s="34"/>
      <c r="C154" s="34"/>
      <c r="D154" s="52" t="s">
        <v>414</v>
      </c>
      <c r="E154" s="53"/>
      <c r="F154" s="53"/>
      <c r="G154" s="53"/>
      <c r="H154" s="53"/>
      <c r="I154" s="53"/>
      <c r="J154" s="53"/>
      <c r="K154" s="53"/>
      <c r="L154" s="54">
        <f>M139+M153</f>
        <v>2461.9900000000002</v>
      </c>
      <c r="M154" s="54">
        <f>ROUND(L154,2)</f>
        <v>2461.9899999999998</v>
      </c>
    </row>
    <row r="155" spans="1:13" ht="15.25" customHeight="1" thickBot="1" x14ac:dyDescent="0.25">
      <c r="A155" s="55" t="s">
        <v>415</v>
      </c>
      <c r="B155" s="55" t="s">
        <v>416</v>
      </c>
      <c r="C155" s="56"/>
      <c r="D155" s="85" t="s">
        <v>417</v>
      </c>
      <c r="E155" s="85"/>
      <c r="F155" s="85"/>
      <c r="G155" s="85"/>
      <c r="H155" s="85"/>
      <c r="I155" s="85"/>
      <c r="J155" s="85"/>
      <c r="K155" s="56"/>
      <c r="L155" s="57">
        <f>L240</f>
        <v>7187.8899999999994</v>
      </c>
      <c r="M155" s="57">
        <f>ROUND(L155,2)</f>
        <v>7187.89</v>
      </c>
    </row>
    <row r="156" spans="1:13" ht="15.25" customHeight="1" thickBot="1" x14ac:dyDescent="0.25">
      <c r="A156" s="20" t="s">
        <v>418</v>
      </c>
      <c r="B156" s="20" t="s">
        <v>419</v>
      </c>
      <c r="C156" s="21"/>
      <c r="D156" s="81" t="s">
        <v>420</v>
      </c>
      <c r="E156" s="81"/>
      <c r="F156" s="81"/>
      <c r="G156" s="81"/>
      <c r="H156" s="81"/>
      <c r="I156" s="81"/>
      <c r="J156" s="81"/>
      <c r="K156" s="21"/>
      <c r="L156" s="22">
        <f>L174</f>
        <v>4256.74</v>
      </c>
      <c r="M156" s="22">
        <f>ROUND(L156,2)</f>
        <v>4256.74</v>
      </c>
    </row>
    <row r="157" spans="1:13" ht="15.25" customHeight="1" thickBot="1" x14ac:dyDescent="0.25">
      <c r="A157" s="10" t="s">
        <v>421</v>
      </c>
      <c r="B157" s="5" t="s">
        <v>422</v>
      </c>
      <c r="C157" s="5" t="s">
        <v>423</v>
      </c>
      <c r="D157" s="82" t="s">
        <v>424</v>
      </c>
      <c r="E157" s="82"/>
      <c r="F157" s="82"/>
      <c r="G157" s="82"/>
      <c r="H157" s="82"/>
      <c r="I157" s="82"/>
      <c r="J157" s="82"/>
      <c r="K157" s="23">
        <f>ROUND(6,2)</f>
        <v>6</v>
      </c>
      <c r="L157" s="24">
        <f>L165</f>
        <v>105.79</v>
      </c>
      <c r="M157" s="24">
        <f>ROUND(K157*L157,2)</f>
        <v>634.74</v>
      </c>
    </row>
    <row r="158" spans="1:13" ht="76.25" customHeight="1" thickBot="1" x14ac:dyDescent="0.25">
      <c r="A158" s="25"/>
      <c r="B158" s="25"/>
      <c r="C158" s="25"/>
      <c r="D158" s="82" t="s">
        <v>425</v>
      </c>
      <c r="E158" s="82"/>
      <c r="F158" s="82"/>
      <c r="G158" s="82"/>
      <c r="H158" s="82"/>
      <c r="I158" s="82"/>
      <c r="J158" s="82"/>
      <c r="K158" s="82"/>
      <c r="L158" s="82"/>
      <c r="M158" s="82"/>
    </row>
    <row r="159" spans="1:13" ht="24.25" customHeight="1" thickBot="1" x14ac:dyDescent="0.25">
      <c r="A159" s="5" t="s">
        <v>426</v>
      </c>
      <c r="B159" s="5" t="s">
        <v>427</v>
      </c>
      <c r="C159" s="5" t="s">
        <v>428</v>
      </c>
      <c r="D159" s="82" t="s">
        <v>429</v>
      </c>
      <c r="E159" s="82"/>
      <c r="F159" s="82"/>
      <c r="G159" s="82"/>
      <c r="H159" s="82"/>
      <c r="I159" s="82"/>
      <c r="J159" s="82"/>
      <c r="K159" s="23">
        <v>7.1999999999999995E-2</v>
      </c>
      <c r="L159" s="23">
        <f>ROUND(78.481,3)</f>
        <v>78.480999999999995</v>
      </c>
      <c r="M159" s="24">
        <f>ROUND(K159*L159,2)</f>
        <v>5.65</v>
      </c>
    </row>
    <row r="160" spans="1:13" ht="15" customHeight="1" thickBot="1" x14ac:dyDescent="0.25">
      <c r="A160" s="5" t="s">
        <v>430</v>
      </c>
      <c r="B160" s="5" t="s">
        <v>431</v>
      </c>
      <c r="C160" s="5" t="s">
        <v>432</v>
      </c>
      <c r="D160" s="82" t="s">
        <v>433</v>
      </c>
      <c r="E160" s="82"/>
      <c r="F160" s="82"/>
      <c r="G160" s="82"/>
      <c r="H160" s="82"/>
      <c r="I160" s="82"/>
      <c r="J160" s="82"/>
      <c r="K160" s="23">
        <v>1</v>
      </c>
      <c r="L160" s="23">
        <f>ROUND(46.1,3)</f>
        <v>46.1</v>
      </c>
      <c r="M160" s="24">
        <f>ROUND(K160*L160,2)</f>
        <v>46.1</v>
      </c>
    </row>
    <row r="161" spans="1:13" ht="15" customHeight="1" thickBot="1" x14ac:dyDescent="0.25">
      <c r="A161" s="5" t="s">
        <v>434</v>
      </c>
      <c r="B161" s="5" t="s">
        <v>435</v>
      </c>
      <c r="C161" s="5" t="s">
        <v>436</v>
      </c>
      <c r="D161" s="82" t="s">
        <v>437</v>
      </c>
      <c r="E161" s="82"/>
      <c r="F161" s="82"/>
      <c r="G161" s="82"/>
      <c r="H161" s="82"/>
      <c r="I161" s="82"/>
      <c r="J161" s="82"/>
      <c r="K161" s="23">
        <v>1</v>
      </c>
      <c r="L161" s="23">
        <f>ROUND(28.2,3)</f>
        <v>28.2</v>
      </c>
      <c r="M161" s="24">
        <f>ROUND(K161*L161,2)</f>
        <v>28.2</v>
      </c>
    </row>
    <row r="162" spans="1:13" ht="15" customHeight="1" thickBot="1" x14ac:dyDescent="0.25">
      <c r="A162" s="5" t="s">
        <v>438</v>
      </c>
      <c r="B162" s="5" t="s">
        <v>439</v>
      </c>
      <c r="C162" s="5" t="s">
        <v>440</v>
      </c>
      <c r="D162" s="82" t="s">
        <v>441</v>
      </c>
      <c r="E162" s="82"/>
      <c r="F162" s="82"/>
      <c r="G162" s="82"/>
      <c r="H162" s="82"/>
      <c r="I162" s="82"/>
      <c r="J162" s="82"/>
      <c r="K162" s="23">
        <v>0.53</v>
      </c>
      <c r="L162" s="23">
        <f>ROUND(21.41,3)</f>
        <v>21.41</v>
      </c>
      <c r="M162" s="24">
        <f>ROUND(K162*L162,2)</f>
        <v>11.35</v>
      </c>
    </row>
    <row r="163" spans="1:13" ht="15" customHeight="1" thickBot="1" x14ac:dyDescent="0.25">
      <c r="A163" s="5" t="s">
        <v>442</v>
      </c>
      <c r="B163" s="5" t="s">
        <v>443</v>
      </c>
      <c r="C163" s="5" t="s">
        <v>444</v>
      </c>
      <c r="D163" s="82" t="s">
        <v>445</v>
      </c>
      <c r="E163" s="82"/>
      <c r="F163" s="82"/>
      <c r="G163" s="82"/>
      <c r="H163" s="82"/>
      <c r="I163" s="82"/>
      <c r="J163" s="82"/>
      <c r="K163" s="23">
        <v>0.39200000000000002</v>
      </c>
      <c r="L163" s="23">
        <f>ROUND(23.97,3)</f>
        <v>23.97</v>
      </c>
      <c r="M163" s="24">
        <f>ROUND(K163*L163,2)</f>
        <v>9.4</v>
      </c>
    </row>
    <row r="164" spans="1:13" ht="15" customHeight="1" thickBot="1" x14ac:dyDescent="0.25">
      <c r="A164" s="5" t="s">
        <v>446</v>
      </c>
      <c r="B164" s="5"/>
      <c r="C164" s="5" t="s">
        <v>447</v>
      </c>
      <c r="D164" s="82" t="s">
        <v>448</v>
      </c>
      <c r="E164" s="82"/>
      <c r="F164" s="82"/>
      <c r="G164" s="82"/>
      <c r="H164" s="82"/>
      <c r="I164" s="82"/>
      <c r="J164" s="82"/>
      <c r="K164" s="23">
        <v>2</v>
      </c>
      <c r="L164" s="23">
        <f>ROUND(100.7,3)</f>
        <v>100.7</v>
      </c>
      <c r="M164" s="24">
        <f>ROUND((K164*L164)/100,2)</f>
        <v>2.0099999999999998</v>
      </c>
    </row>
    <row r="165" spans="1:13" ht="15.25" customHeight="1" thickBot="1" x14ac:dyDescent="0.25">
      <c r="A165" s="26"/>
      <c r="B165" s="26"/>
      <c r="C165" s="26"/>
      <c r="D165" s="27" t="s">
        <v>449</v>
      </c>
      <c r="E165" s="26"/>
      <c r="F165" s="26"/>
      <c r="G165" s="26"/>
      <c r="H165" s="26"/>
      <c r="I165" s="26"/>
      <c r="J165" s="26"/>
      <c r="K165" s="28">
        <v>6</v>
      </c>
      <c r="L165" s="29">
        <f>ROUND((M159+M160+M161+M162+M163+M164)*(1+M2/100),2)</f>
        <v>105.79</v>
      </c>
      <c r="M165" s="29">
        <f>ROUND(K165*L165,2)</f>
        <v>634.74</v>
      </c>
    </row>
    <row r="166" spans="1:13" ht="15.25" customHeight="1" thickBot="1" x14ac:dyDescent="0.25">
      <c r="A166" s="30" t="s">
        <v>450</v>
      </c>
      <c r="B166" s="31" t="s">
        <v>451</v>
      </c>
      <c r="C166" s="31" t="s">
        <v>452</v>
      </c>
      <c r="D166" s="83" t="s">
        <v>453</v>
      </c>
      <c r="E166" s="83"/>
      <c r="F166" s="83"/>
      <c r="G166" s="83"/>
      <c r="H166" s="83"/>
      <c r="I166" s="83"/>
      <c r="J166" s="83"/>
      <c r="K166" s="32">
        <f>ROUND(1,2)</f>
        <v>1</v>
      </c>
      <c r="L166" s="33">
        <f>L173</f>
        <v>3622</v>
      </c>
      <c r="M166" s="33">
        <f>ROUND(K166*L166,2)</f>
        <v>3622</v>
      </c>
    </row>
    <row r="167" spans="1:13" ht="76.25" customHeight="1" thickBot="1" x14ac:dyDescent="0.25">
      <c r="A167" s="25"/>
      <c r="B167" s="25"/>
      <c r="C167" s="25"/>
      <c r="D167" s="82" t="s">
        <v>454</v>
      </c>
      <c r="E167" s="82"/>
      <c r="F167" s="82"/>
      <c r="G167" s="82"/>
      <c r="H167" s="82"/>
      <c r="I167" s="82"/>
      <c r="J167" s="82"/>
      <c r="K167" s="82"/>
      <c r="L167" s="82"/>
      <c r="M167" s="82"/>
    </row>
    <row r="168" spans="1:13" ht="24.25" customHeight="1" thickBot="1" x14ac:dyDescent="0.25">
      <c r="A168" s="5" t="s">
        <v>455</v>
      </c>
      <c r="B168" s="5" t="s">
        <v>456</v>
      </c>
      <c r="C168" s="5" t="s">
        <v>457</v>
      </c>
      <c r="D168" s="82" t="s">
        <v>458</v>
      </c>
      <c r="E168" s="82"/>
      <c r="F168" s="82"/>
      <c r="G168" s="82"/>
      <c r="H168" s="82"/>
      <c r="I168" s="82"/>
      <c r="J168" s="82"/>
      <c r="K168" s="23">
        <v>6.0999999999999999E-2</v>
      </c>
      <c r="L168" s="23">
        <f>ROUND(78.481,3)</f>
        <v>78.480999999999995</v>
      </c>
      <c r="M168" s="24">
        <f>ROUND(K168*L168,2)</f>
        <v>4.79</v>
      </c>
    </row>
    <row r="169" spans="1:13" ht="15" customHeight="1" thickBot="1" x14ac:dyDescent="0.25">
      <c r="A169" s="5" t="s">
        <v>459</v>
      </c>
      <c r="B169" s="5" t="s">
        <v>460</v>
      </c>
      <c r="C169" s="5" t="s">
        <v>461</v>
      </c>
      <c r="D169" s="82" t="s">
        <v>462</v>
      </c>
      <c r="E169" s="82"/>
      <c r="F169" s="82"/>
      <c r="G169" s="82"/>
      <c r="H169" s="82"/>
      <c r="I169" s="82"/>
      <c r="J169" s="82"/>
      <c r="K169" s="23">
        <v>1</v>
      </c>
      <c r="L169" s="23">
        <f>ROUND(3414.317,3)</f>
        <v>3414.317</v>
      </c>
      <c r="M169" s="24">
        <f>ROUND(K169*L169,2)</f>
        <v>3414.32</v>
      </c>
    </row>
    <row r="170" spans="1:13" ht="15" customHeight="1" thickBot="1" x14ac:dyDescent="0.25">
      <c r="A170" s="5" t="s">
        <v>463</v>
      </c>
      <c r="B170" s="5" t="s">
        <v>464</v>
      </c>
      <c r="C170" s="5" t="s">
        <v>465</v>
      </c>
      <c r="D170" s="82" t="s">
        <v>466</v>
      </c>
      <c r="E170" s="82"/>
      <c r="F170" s="82"/>
      <c r="G170" s="82"/>
      <c r="H170" s="82"/>
      <c r="I170" s="82"/>
      <c r="J170" s="82"/>
      <c r="K170" s="23">
        <v>0.53</v>
      </c>
      <c r="L170" s="23">
        <f>ROUND(21.41,3)</f>
        <v>21.41</v>
      </c>
      <c r="M170" s="24">
        <f>ROUND(K170*L170,2)</f>
        <v>11.35</v>
      </c>
    </row>
    <row r="171" spans="1:13" ht="15" customHeight="1" thickBot="1" x14ac:dyDescent="0.25">
      <c r="A171" s="5" t="s">
        <v>467</v>
      </c>
      <c r="B171" s="5" t="s">
        <v>468</v>
      </c>
      <c r="C171" s="5" t="s">
        <v>469</v>
      </c>
      <c r="D171" s="82" t="s">
        <v>470</v>
      </c>
      <c r="E171" s="82"/>
      <c r="F171" s="82"/>
      <c r="G171" s="82"/>
      <c r="H171" s="82"/>
      <c r="I171" s="82"/>
      <c r="J171" s="82"/>
      <c r="K171" s="23">
        <v>0.71299999999999997</v>
      </c>
      <c r="L171" s="23">
        <f>ROUND(23.97,3)</f>
        <v>23.97</v>
      </c>
      <c r="M171" s="24">
        <f>ROUND(K171*L171,2)</f>
        <v>17.09</v>
      </c>
    </row>
    <row r="172" spans="1:13" ht="15" customHeight="1" thickBot="1" x14ac:dyDescent="0.25">
      <c r="A172" s="5" t="s">
        <v>471</v>
      </c>
      <c r="B172" s="5"/>
      <c r="C172" s="5" t="s">
        <v>472</v>
      </c>
      <c r="D172" s="82" t="s">
        <v>473</v>
      </c>
      <c r="E172" s="82"/>
      <c r="F172" s="82"/>
      <c r="G172" s="82"/>
      <c r="H172" s="82"/>
      <c r="I172" s="82"/>
      <c r="J172" s="82"/>
      <c r="K172" s="23">
        <v>2</v>
      </c>
      <c r="L172" s="23">
        <f>ROUND(3447.55,3)</f>
        <v>3447.55</v>
      </c>
      <c r="M172" s="24">
        <f>ROUND((K172*L172)/100,2)</f>
        <v>68.95</v>
      </c>
    </row>
    <row r="173" spans="1:13" ht="15.25" customHeight="1" thickBot="1" x14ac:dyDescent="0.25">
      <c r="A173" s="26"/>
      <c r="B173" s="26"/>
      <c r="C173" s="26"/>
      <c r="D173" s="27" t="s">
        <v>474</v>
      </c>
      <c r="E173" s="26"/>
      <c r="F173" s="26"/>
      <c r="G173" s="26"/>
      <c r="H173" s="26"/>
      <c r="I173" s="26"/>
      <c r="J173" s="26"/>
      <c r="K173" s="28">
        <v>1</v>
      </c>
      <c r="L173" s="29">
        <f>ROUND((M168+M169+M170+M171+M172)*(1+M2/100),2)</f>
        <v>3622</v>
      </c>
      <c r="M173" s="29">
        <f>ROUND(K173*L173,2)</f>
        <v>3622</v>
      </c>
    </row>
    <row r="174" spans="1:13" ht="15.25" customHeight="1" thickBot="1" x14ac:dyDescent="0.25">
      <c r="A174" s="34"/>
      <c r="B174" s="34"/>
      <c r="C174" s="34"/>
      <c r="D174" s="35" t="s">
        <v>475</v>
      </c>
      <c r="E174" s="36"/>
      <c r="F174" s="36"/>
      <c r="G174" s="36"/>
      <c r="H174" s="36"/>
      <c r="I174" s="36"/>
      <c r="J174" s="36"/>
      <c r="K174" s="36"/>
      <c r="L174" s="37">
        <f>M157+M166</f>
        <v>4256.74</v>
      </c>
      <c r="M174" s="37">
        <f>ROUND(L174,2)</f>
        <v>4256.74</v>
      </c>
    </row>
    <row r="175" spans="1:13" ht="15.25" customHeight="1" thickBot="1" x14ac:dyDescent="0.25">
      <c r="A175" s="38" t="s">
        <v>476</v>
      </c>
      <c r="B175" s="38" t="s">
        <v>477</v>
      </c>
      <c r="C175" s="39"/>
      <c r="D175" s="84" t="s">
        <v>478</v>
      </c>
      <c r="E175" s="84"/>
      <c r="F175" s="84"/>
      <c r="G175" s="84"/>
      <c r="H175" s="84"/>
      <c r="I175" s="84"/>
      <c r="J175" s="84"/>
      <c r="K175" s="39"/>
      <c r="L175" s="40">
        <f>L187</f>
        <v>102.25</v>
      </c>
      <c r="M175" s="40">
        <f>ROUND(L175,2)</f>
        <v>102.25</v>
      </c>
    </row>
    <row r="176" spans="1:13" ht="15.25" customHeight="1" thickBot="1" x14ac:dyDescent="0.25">
      <c r="A176" s="10" t="s">
        <v>479</v>
      </c>
      <c r="B176" s="5" t="s">
        <v>480</v>
      </c>
      <c r="C176" s="5" t="s">
        <v>481</v>
      </c>
      <c r="D176" s="82" t="s">
        <v>482</v>
      </c>
      <c r="E176" s="82"/>
      <c r="F176" s="82"/>
      <c r="G176" s="82"/>
      <c r="H176" s="82"/>
      <c r="I176" s="82"/>
      <c r="J176" s="82"/>
      <c r="K176" s="23">
        <f>ROUND(1,2)</f>
        <v>1</v>
      </c>
      <c r="L176" s="24">
        <f>L186</f>
        <v>102.25</v>
      </c>
      <c r="M176" s="24">
        <f>ROUND(K176*L176,2)</f>
        <v>102.25</v>
      </c>
    </row>
    <row r="177" spans="1:13" ht="67" customHeight="1" thickBot="1" x14ac:dyDescent="0.25">
      <c r="A177" s="25"/>
      <c r="B177" s="25"/>
      <c r="C177" s="25"/>
      <c r="D177" s="82" t="s">
        <v>483</v>
      </c>
      <c r="E177" s="82"/>
      <c r="F177" s="82"/>
      <c r="G177" s="82"/>
      <c r="H177" s="82"/>
      <c r="I177" s="82"/>
      <c r="J177" s="82"/>
      <c r="K177" s="82"/>
      <c r="L177" s="82"/>
      <c r="M177" s="82"/>
    </row>
    <row r="178" spans="1:13" ht="15" customHeight="1" thickBot="1" x14ac:dyDescent="0.25">
      <c r="A178" s="5" t="s">
        <v>484</v>
      </c>
      <c r="B178" s="5" t="s">
        <v>485</v>
      </c>
      <c r="C178" s="5" t="s">
        <v>486</v>
      </c>
      <c r="D178" s="82" t="s">
        <v>487</v>
      </c>
      <c r="E178" s="82"/>
      <c r="F178" s="82"/>
      <c r="G178" s="82"/>
      <c r="H178" s="82"/>
      <c r="I178" s="82"/>
      <c r="J178" s="82"/>
      <c r="K178" s="23">
        <v>2.1999999999999999E-2</v>
      </c>
      <c r="L178" s="23">
        <f>ROUND(1.372,3)</f>
        <v>1.3720000000000001</v>
      </c>
      <c r="M178" s="24">
        <f t="shared" ref="M178:M184" si="3">ROUND(K178*L178,2)</f>
        <v>0.03</v>
      </c>
    </row>
    <row r="179" spans="1:13" ht="21.25" customHeight="1" thickBot="1" x14ac:dyDescent="0.25">
      <c r="A179" s="5" t="s">
        <v>488</v>
      </c>
      <c r="B179" s="5" t="s">
        <v>489</v>
      </c>
      <c r="C179" s="5" t="s">
        <v>490</v>
      </c>
      <c r="D179" s="82" t="s">
        <v>491</v>
      </c>
      <c r="E179" s="82"/>
      <c r="F179" s="82"/>
      <c r="G179" s="82"/>
      <c r="H179" s="82"/>
      <c r="I179" s="82"/>
      <c r="J179" s="82"/>
      <c r="K179" s="23">
        <v>0.122</v>
      </c>
      <c r="L179" s="23">
        <f>ROUND(46.659,3)</f>
        <v>46.658999999999999</v>
      </c>
      <c r="M179" s="24">
        <f t="shared" si="3"/>
        <v>5.69</v>
      </c>
    </row>
    <row r="180" spans="1:13" ht="15" customHeight="1" thickBot="1" x14ac:dyDescent="0.25">
      <c r="A180" s="5" t="s">
        <v>492</v>
      </c>
      <c r="B180" s="5" t="s">
        <v>493</v>
      </c>
      <c r="C180" s="5" t="s">
        <v>494</v>
      </c>
      <c r="D180" s="82" t="s">
        <v>495</v>
      </c>
      <c r="E180" s="82"/>
      <c r="F180" s="82"/>
      <c r="G180" s="82"/>
      <c r="H180" s="82"/>
      <c r="I180" s="82"/>
      <c r="J180" s="82"/>
      <c r="K180" s="23">
        <v>1</v>
      </c>
      <c r="L180" s="23">
        <f>ROUND(14.178,3)</f>
        <v>14.178000000000001</v>
      </c>
      <c r="M180" s="24">
        <f t="shared" si="3"/>
        <v>14.18</v>
      </c>
    </row>
    <row r="181" spans="1:13" ht="15" customHeight="1" thickBot="1" x14ac:dyDescent="0.25">
      <c r="A181" s="5" t="s">
        <v>496</v>
      </c>
      <c r="B181" s="5" t="s">
        <v>497</v>
      </c>
      <c r="C181" s="5" t="s">
        <v>498</v>
      </c>
      <c r="D181" s="82" t="s">
        <v>499</v>
      </c>
      <c r="E181" s="82"/>
      <c r="F181" s="82"/>
      <c r="G181" s="82"/>
      <c r="H181" s="82"/>
      <c r="I181" s="82"/>
      <c r="J181" s="82"/>
      <c r="K181" s="23">
        <v>1.159</v>
      </c>
      <c r="L181" s="23">
        <f>ROUND(7.088,3)</f>
        <v>7.0880000000000001</v>
      </c>
      <c r="M181" s="24">
        <f t="shared" si="3"/>
        <v>8.2100000000000009</v>
      </c>
    </row>
    <row r="182" spans="1:13" ht="15" customHeight="1" thickBot="1" x14ac:dyDescent="0.25">
      <c r="A182" s="5" t="s">
        <v>500</v>
      </c>
      <c r="B182" s="5" t="s">
        <v>501</v>
      </c>
      <c r="C182" s="5" t="s">
        <v>502</v>
      </c>
      <c r="D182" s="82" t="s">
        <v>503</v>
      </c>
      <c r="E182" s="82"/>
      <c r="F182" s="82"/>
      <c r="G182" s="82"/>
      <c r="H182" s="82"/>
      <c r="I182" s="82"/>
      <c r="J182" s="82"/>
      <c r="K182" s="23">
        <v>2.3180000000000001</v>
      </c>
      <c r="L182" s="23">
        <f>ROUND(4.181,3)</f>
        <v>4.181</v>
      </c>
      <c r="M182" s="24">
        <f t="shared" si="3"/>
        <v>9.69</v>
      </c>
    </row>
    <row r="183" spans="1:13" ht="15" customHeight="1" thickBot="1" x14ac:dyDescent="0.25">
      <c r="A183" s="5" t="s">
        <v>504</v>
      </c>
      <c r="B183" s="5" t="s">
        <v>505</v>
      </c>
      <c r="C183" s="5" t="s">
        <v>506</v>
      </c>
      <c r="D183" s="82" t="s">
        <v>507</v>
      </c>
      <c r="E183" s="82"/>
      <c r="F183" s="82"/>
      <c r="G183" s="82"/>
      <c r="H183" s="82"/>
      <c r="I183" s="82"/>
      <c r="J183" s="82"/>
      <c r="K183" s="23">
        <v>1.143</v>
      </c>
      <c r="L183" s="23">
        <f>ROUND(21.41,3)</f>
        <v>21.41</v>
      </c>
      <c r="M183" s="24">
        <f t="shared" si="3"/>
        <v>24.47</v>
      </c>
    </row>
    <row r="184" spans="1:13" ht="15" customHeight="1" thickBot="1" x14ac:dyDescent="0.25">
      <c r="A184" s="5" t="s">
        <v>508</v>
      </c>
      <c r="B184" s="5" t="s">
        <v>509</v>
      </c>
      <c r="C184" s="5" t="s">
        <v>510</v>
      </c>
      <c r="D184" s="82" t="s">
        <v>511</v>
      </c>
      <c r="E184" s="82"/>
      <c r="F184" s="82"/>
      <c r="G184" s="82"/>
      <c r="H184" s="82"/>
      <c r="I184" s="82"/>
      <c r="J184" s="82"/>
      <c r="K184" s="23">
        <v>1.3260000000000001</v>
      </c>
      <c r="L184" s="23">
        <f>ROUND(26.43,3)</f>
        <v>26.43</v>
      </c>
      <c r="M184" s="24">
        <f t="shared" si="3"/>
        <v>35.049999999999997</v>
      </c>
    </row>
    <row r="185" spans="1:13" ht="15" customHeight="1" thickBot="1" x14ac:dyDescent="0.25">
      <c r="A185" s="5" t="s">
        <v>512</v>
      </c>
      <c r="B185" s="5"/>
      <c r="C185" s="5" t="s">
        <v>513</v>
      </c>
      <c r="D185" s="82" t="s">
        <v>514</v>
      </c>
      <c r="E185" s="82"/>
      <c r="F185" s="82"/>
      <c r="G185" s="82"/>
      <c r="H185" s="82"/>
      <c r="I185" s="82"/>
      <c r="J185" s="82"/>
      <c r="K185" s="23">
        <v>2</v>
      </c>
      <c r="L185" s="23">
        <f>ROUND(97.32,3)</f>
        <v>97.32</v>
      </c>
      <c r="M185" s="24">
        <f>ROUND((K185*L185)/100,2)</f>
        <v>1.95</v>
      </c>
    </row>
    <row r="186" spans="1:13" ht="15.25" customHeight="1" thickBot="1" x14ac:dyDescent="0.25">
      <c r="A186" s="26"/>
      <c r="B186" s="26"/>
      <c r="C186" s="26"/>
      <c r="D186" s="27" t="s">
        <v>515</v>
      </c>
      <c r="E186" s="26"/>
      <c r="F186" s="26"/>
      <c r="G186" s="26"/>
      <c r="H186" s="26"/>
      <c r="I186" s="26"/>
      <c r="J186" s="26"/>
      <c r="K186" s="28">
        <v>1</v>
      </c>
      <c r="L186" s="29">
        <f>ROUND((M178+M179+M180+M181+M182+M183+M184+M185)*(1+M2/100),2)</f>
        <v>102.25</v>
      </c>
      <c r="M186" s="29">
        <f>ROUND(K186*L186,2)</f>
        <v>102.25</v>
      </c>
    </row>
    <row r="187" spans="1:13" ht="15.25" customHeight="1" thickBot="1" x14ac:dyDescent="0.25">
      <c r="A187" s="34"/>
      <c r="B187" s="34"/>
      <c r="C187" s="34"/>
      <c r="D187" s="35" t="s">
        <v>516</v>
      </c>
      <c r="E187" s="36"/>
      <c r="F187" s="36"/>
      <c r="G187" s="36"/>
      <c r="H187" s="36"/>
      <c r="I187" s="36"/>
      <c r="J187" s="36"/>
      <c r="K187" s="36"/>
      <c r="L187" s="37">
        <f>M176</f>
        <v>102.25</v>
      </c>
      <c r="M187" s="37">
        <f>ROUND(L187,2)</f>
        <v>102.25</v>
      </c>
    </row>
    <row r="188" spans="1:13" ht="15.25" customHeight="1" thickBot="1" x14ac:dyDescent="0.25">
      <c r="A188" s="38" t="s">
        <v>517</v>
      </c>
      <c r="B188" s="38" t="s">
        <v>518</v>
      </c>
      <c r="C188" s="39"/>
      <c r="D188" s="84" t="s">
        <v>519</v>
      </c>
      <c r="E188" s="84"/>
      <c r="F188" s="84"/>
      <c r="G188" s="84"/>
      <c r="H188" s="84"/>
      <c r="I188" s="84"/>
      <c r="J188" s="84"/>
      <c r="K188" s="39"/>
      <c r="L188" s="40">
        <f>L239</f>
        <v>2828.9</v>
      </c>
      <c r="M188" s="40">
        <f>ROUND(L188,2)</f>
        <v>2828.9</v>
      </c>
    </row>
    <row r="189" spans="1:13" ht="15.25" customHeight="1" thickBot="1" x14ac:dyDescent="0.25">
      <c r="A189" s="10" t="s">
        <v>520</v>
      </c>
      <c r="B189" s="5" t="s">
        <v>521</v>
      </c>
      <c r="C189" s="5" t="s">
        <v>522</v>
      </c>
      <c r="D189" s="82" t="s">
        <v>523</v>
      </c>
      <c r="E189" s="82"/>
      <c r="F189" s="82"/>
      <c r="G189" s="82"/>
      <c r="H189" s="82"/>
      <c r="I189" s="82"/>
      <c r="J189" s="82"/>
      <c r="K189" s="23">
        <f>ROUND(17.85,2)</f>
        <v>17.850000000000001</v>
      </c>
      <c r="L189" s="24">
        <f>L200</f>
        <v>54.69</v>
      </c>
      <c r="M189" s="24">
        <f>ROUND(K189*L189,2)</f>
        <v>976.22</v>
      </c>
    </row>
    <row r="190" spans="1:13" ht="103.75" customHeight="1" thickBot="1" x14ac:dyDescent="0.25">
      <c r="A190" s="25"/>
      <c r="B190" s="25"/>
      <c r="C190" s="25"/>
      <c r="D190" s="82" t="s">
        <v>524</v>
      </c>
      <c r="E190" s="82"/>
      <c r="F190" s="82"/>
      <c r="G190" s="82"/>
      <c r="H190" s="82"/>
      <c r="I190" s="82"/>
      <c r="J190" s="82"/>
      <c r="K190" s="82"/>
      <c r="L190" s="82"/>
      <c r="M190" s="82"/>
    </row>
    <row r="191" spans="1:13" ht="21.25" customHeight="1" thickBot="1" x14ac:dyDescent="0.25">
      <c r="A191" s="5" t="s">
        <v>525</v>
      </c>
      <c r="B191" s="5" t="s">
        <v>526</v>
      </c>
      <c r="C191" s="5" t="s">
        <v>527</v>
      </c>
      <c r="D191" s="82" t="s">
        <v>528</v>
      </c>
      <c r="E191" s="82"/>
      <c r="F191" s="82"/>
      <c r="G191" s="82"/>
      <c r="H191" s="82"/>
      <c r="I191" s="82"/>
      <c r="J191" s="82"/>
      <c r="K191" s="23">
        <v>1.05</v>
      </c>
      <c r="L191" s="23">
        <f>ROUND(38.07,3)</f>
        <v>38.07</v>
      </c>
      <c r="M191" s="24">
        <f t="shared" ref="M191:M198" si="4">ROUND(K191*L191,2)</f>
        <v>39.97</v>
      </c>
    </row>
    <row r="192" spans="1:13" ht="15" customHeight="1" thickBot="1" x14ac:dyDescent="0.25">
      <c r="A192" s="5" t="s">
        <v>529</v>
      </c>
      <c r="B192" s="5" t="s">
        <v>530</v>
      </c>
      <c r="C192" s="5" t="s">
        <v>531</v>
      </c>
      <c r="D192" s="82" t="s">
        <v>532</v>
      </c>
      <c r="E192" s="82"/>
      <c r="F192" s="82"/>
      <c r="G192" s="82"/>
      <c r="H192" s="82"/>
      <c r="I192" s="82"/>
      <c r="J192" s="82"/>
      <c r="K192" s="23">
        <v>1.2E-2</v>
      </c>
      <c r="L192" s="23">
        <f>ROUND(34.393,3)</f>
        <v>34.393000000000001</v>
      </c>
      <c r="M192" s="24">
        <f t="shared" si="4"/>
        <v>0.41</v>
      </c>
    </row>
    <row r="193" spans="1:13" ht="15" customHeight="1" thickBot="1" x14ac:dyDescent="0.25">
      <c r="A193" s="5" t="s">
        <v>533</v>
      </c>
      <c r="B193" s="5" t="s">
        <v>534</v>
      </c>
      <c r="C193" s="5" t="s">
        <v>535</v>
      </c>
      <c r="D193" s="82" t="s">
        <v>536</v>
      </c>
      <c r="E193" s="82"/>
      <c r="F193" s="82"/>
      <c r="G193" s="82"/>
      <c r="H193" s="82"/>
      <c r="I193" s="82"/>
      <c r="J193" s="82"/>
      <c r="K193" s="23">
        <v>6.0000000000000001E-3</v>
      </c>
      <c r="L193" s="23">
        <f>ROUND(43.833,3)</f>
        <v>43.832999999999998</v>
      </c>
      <c r="M193" s="24">
        <f t="shared" si="4"/>
        <v>0.26</v>
      </c>
    </row>
    <row r="194" spans="1:13" ht="15" customHeight="1" thickBot="1" x14ac:dyDescent="0.25">
      <c r="A194" s="5" t="s">
        <v>537</v>
      </c>
      <c r="B194" s="5" t="s">
        <v>538</v>
      </c>
      <c r="C194" s="5" t="s">
        <v>539</v>
      </c>
      <c r="D194" s="82" t="s">
        <v>540</v>
      </c>
      <c r="E194" s="82"/>
      <c r="F194" s="82"/>
      <c r="G194" s="82"/>
      <c r="H194" s="82"/>
      <c r="I194" s="82"/>
      <c r="J194" s="82"/>
      <c r="K194" s="23">
        <v>0.32900000000000001</v>
      </c>
      <c r="L194" s="23">
        <f>ROUND(13.08,3)</f>
        <v>13.08</v>
      </c>
      <c r="M194" s="24">
        <f t="shared" si="4"/>
        <v>4.3</v>
      </c>
    </row>
    <row r="195" spans="1:13" ht="15" customHeight="1" thickBot="1" x14ac:dyDescent="0.25">
      <c r="A195" s="5" t="s">
        <v>541</v>
      </c>
      <c r="B195" s="5" t="s">
        <v>542</v>
      </c>
      <c r="C195" s="5" t="s">
        <v>543</v>
      </c>
      <c r="D195" s="82" t="s">
        <v>544</v>
      </c>
      <c r="E195" s="82"/>
      <c r="F195" s="82"/>
      <c r="G195" s="82"/>
      <c r="H195" s="82"/>
      <c r="I195" s="82"/>
      <c r="J195" s="82"/>
      <c r="K195" s="23">
        <v>3.5999999999999997E-2</v>
      </c>
      <c r="L195" s="23">
        <f>ROUND(37.411,3)</f>
        <v>37.411000000000001</v>
      </c>
      <c r="M195" s="24">
        <f t="shared" si="4"/>
        <v>1.35</v>
      </c>
    </row>
    <row r="196" spans="1:13" ht="15" customHeight="1" thickBot="1" x14ac:dyDescent="0.25">
      <c r="A196" s="5" t="s">
        <v>545</v>
      </c>
      <c r="B196" s="5" t="s">
        <v>546</v>
      </c>
      <c r="C196" s="5" t="s">
        <v>547</v>
      </c>
      <c r="D196" s="82" t="s">
        <v>548</v>
      </c>
      <c r="E196" s="82"/>
      <c r="F196" s="82"/>
      <c r="G196" s="82"/>
      <c r="H196" s="82"/>
      <c r="I196" s="82"/>
      <c r="J196" s="82"/>
      <c r="K196" s="23">
        <v>0.246</v>
      </c>
      <c r="L196" s="23">
        <f>ROUND(3.586,3)</f>
        <v>3.5859999999999999</v>
      </c>
      <c r="M196" s="24">
        <f t="shared" si="4"/>
        <v>0.88</v>
      </c>
    </row>
    <row r="197" spans="1:13" ht="15" customHeight="1" thickBot="1" x14ac:dyDescent="0.25">
      <c r="A197" s="5" t="s">
        <v>549</v>
      </c>
      <c r="B197" s="5" t="s">
        <v>550</v>
      </c>
      <c r="C197" s="5" t="s">
        <v>551</v>
      </c>
      <c r="D197" s="82" t="s">
        <v>552</v>
      </c>
      <c r="E197" s="82"/>
      <c r="F197" s="82"/>
      <c r="G197" s="82"/>
      <c r="H197" s="82"/>
      <c r="I197" s="82"/>
      <c r="J197" s="82"/>
      <c r="K197" s="23">
        <v>0.157</v>
      </c>
      <c r="L197" s="23">
        <f>ROUND(21.41,3)</f>
        <v>21.41</v>
      </c>
      <c r="M197" s="24">
        <f t="shared" si="4"/>
        <v>3.36</v>
      </c>
    </row>
    <row r="198" spans="1:13" ht="15" customHeight="1" thickBot="1" x14ac:dyDescent="0.25">
      <c r="A198" s="5" t="s">
        <v>553</v>
      </c>
      <c r="B198" s="5" t="s">
        <v>554</v>
      </c>
      <c r="C198" s="5" t="s">
        <v>555</v>
      </c>
      <c r="D198" s="82" t="s">
        <v>556</v>
      </c>
      <c r="E198" s="82"/>
      <c r="F198" s="82"/>
      <c r="G198" s="82"/>
      <c r="H198" s="82"/>
      <c r="I198" s="82"/>
      <c r="J198" s="82"/>
      <c r="K198" s="23">
        <v>7.4999999999999997E-2</v>
      </c>
      <c r="L198" s="23">
        <f>ROUND(20.34,3)</f>
        <v>20.34</v>
      </c>
      <c r="M198" s="24">
        <f t="shared" si="4"/>
        <v>1.53</v>
      </c>
    </row>
    <row r="199" spans="1:13" ht="15" customHeight="1" thickBot="1" x14ac:dyDescent="0.25">
      <c r="A199" s="5" t="s">
        <v>557</v>
      </c>
      <c r="B199" s="5"/>
      <c r="C199" s="5" t="s">
        <v>558</v>
      </c>
      <c r="D199" s="82" t="s">
        <v>559</v>
      </c>
      <c r="E199" s="82"/>
      <c r="F199" s="82"/>
      <c r="G199" s="82"/>
      <c r="H199" s="82"/>
      <c r="I199" s="82"/>
      <c r="J199" s="82"/>
      <c r="K199" s="23">
        <v>2</v>
      </c>
      <c r="L199" s="23">
        <f>ROUND(52.06,3)</f>
        <v>52.06</v>
      </c>
      <c r="M199" s="24">
        <f>ROUND((K199*L199)/100,2)</f>
        <v>1.04</v>
      </c>
    </row>
    <row r="200" spans="1:13" ht="15.25" customHeight="1" thickBot="1" x14ac:dyDescent="0.25">
      <c r="A200" s="26"/>
      <c r="B200" s="26"/>
      <c r="C200" s="26"/>
      <c r="D200" s="27" t="s">
        <v>560</v>
      </c>
      <c r="E200" s="26"/>
      <c r="F200" s="26"/>
      <c r="G200" s="26"/>
      <c r="H200" s="26"/>
      <c r="I200" s="26"/>
      <c r="J200" s="26"/>
      <c r="K200" s="28">
        <v>17.850000000000001</v>
      </c>
      <c r="L200" s="29">
        <f>ROUND((M191+M192+M193+M194+M195+M196+M197+M198+M199)*(1+M2/100),2)</f>
        <v>54.69</v>
      </c>
      <c r="M200" s="29">
        <f>ROUND(K200*L200,2)</f>
        <v>976.22</v>
      </c>
    </row>
    <row r="201" spans="1:13" ht="15.25" customHeight="1" thickBot="1" x14ac:dyDescent="0.25">
      <c r="A201" s="30" t="s">
        <v>561</v>
      </c>
      <c r="B201" s="31" t="s">
        <v>562</v>
      </c>
      <c r="C201" s="31" t="s">
        <v>563</v>
      </c>
      <c r="D201" s="83" t="s">
        <v>564</v>
      </c>
      <c r="E201" s="83"/>
      <c r="F201" s="83"/>
      <c r="G201" s="83"/>
      <c r="H201" s="83"/>
      <c r="I201" s="83"/>
      <c r="J201" s="83"/>
      <c r="K201" s="32">
        <f>ROUND(21.45,2)</f>
        <v>21.45</v>
      </c>
      <c r="L201" s="33">
        <f>L215</f>
        <v>47.93</v>
      </c>
      <c r="M201" s="33">
        <f>ROUND(K201*L201,2)</f>
        <v>1028.0999999999999</v>
      </c>
    </row>
    <row r="202" spans="1:13" ht="103.75" customHeight="1" thickBot="1" x14ac:dyDescent="0.25">
      <c r="A202" s="25"/>
      <c r="B202" s="25"/>
      <c r="C202" s="25"/>
      <c r="D202" s="82" t="s">
        <v>565</v>
      </c>
      <c r="E202" s="82"/>
      <c r="F202" s="82"/>
      <c r="G202" s="82"/>
      <c r="H202" s="82"/>
      <c r="I202" s="82"/>
      <c r="J202" s="82"/>
      <c r="K202" s="82"/>
      <c r="L202" s="82"/>
      <c r="M202" s="82"/>
    </row>
    <row r="203" spans="1:13" ht="15" customHeight="1" thickBot="1" x14ac:dyDescent="0.25">
      <c r="A203" s="5" t="s">
        <v>566</v>
      </c>
      <c r="B203" s="5" t="s">
        <v>567</v>
      </c>
      <c r="C203" s="5" t="s">
        <v>568</v>
      </c>
      <c r="D203" s="82" t="s">
        <v>569</v>
      </c>
      <c r="E203" s="82"/>
      <c r="F203" s="82"/>
      <c r="G203" s="82"/>
      <c r="H203" s="82"/>
      <c r="I203" s="82"/>
      <c r="J203" s="82"/>
      <c r="K203" s="23">
        <v>0.34599999999999997</v>
      </c>
      <c r="L203" s="23">
        <f>ROUND(13.08,3)</f>
        <v>13.08</v>
      </c>
      <c r="M203" s="24">
        <f t="shared" ref="M203:M213" si="5">ROUND(K203*L203,2)</f>
        <v>4.53</v>
      </c>
    </row>
    <row r="204" spans="1:13" ht="21.25" customHeight="1" thickBot="1" x14ac:dyDescent="0.25">
      <c r="A204" s="5" t="s">
        <v>570</v>
      </c>
      <c r="B204" s="5" t="s">
        <v>571</v>
      </c>
      <c r="C204" s="5" t="s">
        <v>572</v>
      </c>
      <c r="D204" s="82" t="s">
        <v>573</v>
      </c>
      <c r="E204" s="82"/>
      <c r="F204" s="82"/>
      <c r="G204" s="82"/>
      <c r="H204" s="82"/>
      <c r="I204" s="82"/>
      <c r="J204" s="82"/>
      <c r="K204" s="23">
        <v>1.05</v>
      </c>
      <c r="L204" s="23">
        <f>ROUND(24.819,3)</f>
        <v>24.818999999999999</v>
      </c>
      <c r="M204" s="24">
        <f t="shared" si="5"/>
        <v>26.06</v>
      </c>
    </row>
    <row r="205" spans="1:13" ht="15" customHeight="1" thickBot="1" x14ac:dyDescent="0.25">
      <c r="A205" s="5" t="s">
        <v>574</v>
      </c>
      <c r="B205" s="5" t="s">
        <v>575</v>
      </c>
      <c r="C205" s="5" t="s">
        <v>576</v>
      </c>
      <c r="D205" s="82" t="s">
        <v>577</v>
      </c>
      <c r="E205" s="82"/>
      <c r="F205" s="82"/>
      <c r="G205" s="82"/>
      <c r="H205" s="82"/>
      <c r="I205" s="82"/>
      <c r="J205" s="82"/>
      <c r="K205" s="23">
        <v>6.3E-2</v>
      </c>
      <c r="L205" s="23">
        <f>ROUND(34.393,3)</f>
        <v>34.393000000000001</v>
      </c>
      <c r="M205" s="24">
        <f t="shared" si="5"/>
        <v>2.17</v>
      </c>
    </row>
    <row r="206" spans="1:13" ht="15" customHeight="1" thickBot="1" x14ac:dyDescent="0.25">
      <c r="A206" s="5" t="s">
        <v>578</v>
      </c>
      <c r="B206" s="5" t="s">
        <v>579</v>
      </c>
      <c r="C206" s="5" t="s">
        <v>580</v>
      </c>
      <c r="D206" s="82" t="s">
        <v>581</v>
      </c>
      <c r="E206" s="82"/>
      <c r="F206" s="82"/>
      <c r="G206" s="82"/>
      <c r="H206" s="82"/>
      <c r="I206" s="82"/>
      <c r="J206" s="82"/>
      <c r="K206" s="23">
        <v>3.1E-2</v>
      </c>
      <c r="L206" s="23">
        <f>ROUND(43.833,3)</f>
        <v>43.832999999999998</v>
      </c>
      <c r="M206" s="24">
        <f t="shared" si="5"/>
        <v>1.36</v>
      </c>
    </row>
    <row r="207" spans="1:13" ht="15" customHeight="1" thickBot="1" x14ac:dyDescent="0.25">
      <c r="A207" s="5" t="s">
        <v>582</v>
      </c>
      <c r="B207" s="5" t="s">
        <v>583</v>
      </c>
      <c r="C207" s="5" t="s">
        <v>584</v>
      </c>
      <c r="D207" s="82" t="s">
        <v>585</v>
      </c>
      <c r="E207" s="82"/>
      <c r="F207" s="82"/>
      <c r="G207" s="82"/>
      <c r="H207" s="82"/>
      <c r="I207" s="82"/>
      <c r="J207" s="82"/>
      <c r="K207" s="23">
        <v>3.3000000000000002E-2</v>
      </c>
      <c r="L207" s="23">
        <f>ROUND(9.494,3)</f>
        <v>9.4939999999999998</v>
      </c>
      <c r="M207" s="24">
        <f t="shared" si="5"/>
        <v>0.31</v>
      </c>
    </row>
    <row r="208" spans="1:13" ht="15" customHeight="1" thickBot="1" x14ac:dyDescent="0.25">
      <c r="A208" s="5" t="s">
        <v>586</v>
      </c>
      <c r="B208" s="5" t="s">
        <v>587</v>
      </c>
      <c r="C208" s="5" t="s">
        <v>588</v>
      </c>
      <c r="D208" s="82" t="s">
        <v>589</v>
      </c>
      <c r="E208" s="82"/>
      <c r="F208" s="82"/>
      <c r="G208" s="82"/>
      <c r="H208" s="82"/>
      <c r="I208" s="82"/>
      <c r="J208" s="82"/>
      <c r="K208" s="23">
        <v>0.246</v>
      </c>
      <c r="L208" s="23">
        <f>ROUND(3.586,3)</f>
        <v>3.5859999999999999</v>
      </c>
      <c r="M208" s="24">
        <f t="shared" si="5"/>
        <v>0.88</v>
      </c>
    </row>
    <row r="209" spans="1:13" ht="15" customHeight="1" thickBot="1" x14ac:dyDescent="0.25">
      <c r="A209" s="5" t="s">
        <v>590</v>
      </c>
      <c r="B209" s="5" t="s">
        <v>591</v>
      </c>
      <c r="C209" s="5" t="s">
        <v>592</v>
      </c>
      <c r="D209" s="82" t="s">
        <v>593</v>
      </c>
      <c r="E209" s="82"/>
      <c r="F209" s="82"/>
      <c r="G209" s="82"/>
      <c r="H209" s="82"/>
      <c r="I209" s="82"/>
      <c r="J209" s="82"/>
      <c r="K209" s="23">
        <v>3.0000000000000001E-3</v>
      </c>
      <c r="L209" s="23">
        <f>ROUND(108.757,3)</f>
        <v>108.75700000000001</v>
      </c>
      <c r="M209" s="24">
        <f t="shared" si="5"/>
        <v>0.33</v>
      </c>
    </row>
    <row r="210" spans="1:13" ht="15" customHeight="1" thickBot="1" x14ac:dyDescent="0.25">
      <c r="A210" s="5" t="s">
        <v>594</v>
      </c>
      <c r="B210" s="5" t="s">
        <v>595</v>
      </c>
      <c r="C210" s="5" t="s">
        <v>596</v>
      </c>
      <c r="D210" s="82" t="s">
        <v>597</v>
      </c>
      <c r="E210" s="82"/>
      <c r="F210" s="82"/>
      <c r="G210" s="82"/>
      <c r="H210" s="82"/>
      <c r="I210" s="82"/>
      <c r="J210" s="82"/>
      <c r="K210" s="23">
        <v>0.11700000000000001</v>
      </c>
      <c r="L210" s="23">
        <f>ROUND(21.41,3)</f>
        <v>21.41</v>
      </c>
      <c r="M210" s="24">
        <f t="shared" si="5"/>
        <v>2.5</v>
      </c>
    </row>
    <row r="211" spans="1:13" ht="15" customHeight="1" thickBot="1" x14ac:dyDescent="0.25">
      <c r="A211" s="5" t="s">
        <v>598</v>
      </c>
      <c r="B211" s="5" t="s">
        <v>599</v>
      </c>
      <c r="C211" s="5" t="s">
        <v>600</v>
      </c>
      <c r="D211" s="82" t="s">
        <v>601</v>
      </c>
      <c r="E211" s="82"/>
      <c r="F211" s="82"/>
      <c r="G211" s="82"/>
      <c r="H211" s="82"/>
      <c r="I211" s="82"/>
      <c r="J211" s="82"/>
      <c r="K211" s="23">
        <v>0.18</v>
      </c>
      <c r="L211" s="23">
        <f>ROUND(23.97,3)</f>
        <v>23.97</v>
      </c>
      <c r="M211" s="24">
        <f t="shared" si="5"/>
        <v>4.3099999999999996</v>
      </c>
    </row>
    <row r="212" spans="1:13" ht="15" customHeight="1" thickBot="1" x14ac:dyDescent="0.25">
      <c r="A212" s="5" t="s">
        <v>602</v>
      </c>
      <c r="B212" s="5" t="s">
        <v>603</v>
      </c>
      <c r="C212" s="5" t="s">
        <v>604</v>
      </c>
      <c r="D212" s="82" t="s">
        <v>605</v>
      </c>
      <c r="E212" s="82"/>
      <c r="F212" s="82"/>
      <c r="G212" s="82"/>
      <c r="H212" s="82"/>
      <c r="I212" s="82"/>
      <c r="J212" s="82"/>
      <c r="K212" s="23">
        <v>0.128</v>
      </c>
      <c r="L212" s="23">
        <f>ROUND(17.45,3)</f>
        <v>17.45</v>
      </c>
      <c r="M212" s="24">
        <f t="shared" si="5"/>
        <v>2.23</v>
      </c>
    </row>
    <row r="213" spans="1:13" ht="15" customHeight="1" thickBot="1" x14ac:dyDescent="0.25">
      <c r="A213" s="5" t="s">
        <v>606</v>
      </c>
      <c r="B213" s="5" t="s">
        <v>607</v>
      </c>
      <c r="C213" s="5" t="s">
        <v>608</v>
      </c>
      <c r="D213" s="82" t="s">
        <v>609</v>
      </c>
      <c r="E213" s="82"/>
      <c r="F213" s="82"/>
      <c r="G213" s="82"/>
      <c r="H213" s="82"/>
      <c r="I213" s="82"/>
      <c r="J213" s="82"/>
      <c r="K213" s="23">
        <v>6.4000000000000001E-2</v>
      </c>
      <c r="L213" s="23">
        <f>ROUND(14.7,3)</f>
        <v>14.7</v>
      </c>
      <c r="M213" s="24">
        <f t="shared" si="5"/>
        <v>0.94</v>
      </c>
    </row>
    <row r="214" spans="1:13" ht="15" customHeight="1" thickBot="1" x14ac:dyDescent="0.25">
      <c r="A214" s="5" t="s">
        <v>610</v>
      </c>
      <c r="B214" s="5"/>
      <c r="C214" s="5" t="s">
        <v>611</v>
      </c>
      <c r="D214" s="82" t="s">
        <v>612</v>
      </c>
      <c r="E214" s="82"/>
      <c r="F214" s="82"/>
      <c r="G214" s="82"/>
      <c r="H214" s="82"/>
      <c r="I214" s="82"/>
      <c r="J214" s="82"/>
      <c r="K214" s="23">
        <v>2</v>
      </c>
      <c r="L214" s="23">
        <f>ROUND(45.62,3)</f>
        <v>45.62</v>
      </c>
      <c r="M214" s="24">
        <f>ROUND((K214*L214)/100,2)</f>
        <v>0.91</v>
      </c>
    </row>
    <row r="215" spans="1:13" ht="15.25" customHeight="1" thickBot="1" x14ac:dyDescent="0.25">
      <c r="A215" s="26"/>
      <c r="B215" s="26"/>
      <c r="C215" s="26"/>
      <c r="D215" s="27" t="s">
        <v>613</v>
      </c>
      <c r="E215" s="26"/>
      <c r="F215" s="26"/>
      <c r="G215" s="26"/>
      <c r="H215" s="26"/>
      <c r="I215" s="26"/>
      <c r="J215" s="26"/>
      <c r="K215" s="28">
        <v>21.45</v>
      </c>
      <c r="L215" s="29">
        <f>ROUND((M203+M204+M205+M206+M207+M208+M209+M210+M211+M212+M213+M214)*(1+M2/100),2)</f>
        <v>47.93</v>
      </c>
      <c r="M215" s="29">
        <f>ROUND(K215*L215,2)</f>
        <v>1028.0999999999999</v>
      </c>
    </row>
    <row r="216" spans="1:13" ht="15.25" customHeight="1" thickBot="1" x14ac:dyDescent="0.25">
      <c r="A216" s="30" t="s">
        <v>614</v>
      </c>
      <c r="B216" s="31" t="s">
        <v>615</v>
      </c>
      <c r="C216" s="31" t="s">
        <v>616</v>
      </c>
      <c r="D216" s="83" t="s">
        <v>617</v>
      </c>
      <c r="E216" s="83"/>
      <c r="F216" s="83"/>
      <c r="G216" s="83"/>
      <c r="H216" s="83"/>
      <c r="I216" s="83"/>
      <c r="J216" s="83"/>
      <c r="K216" s="32">
        <f>ROUND(21.4,2)</f>
        <v>21.4</v>
      </c>
      <c r="L216" s="33">
        <f>L230</f>
        <v>31.13</v>
      </c>
      <c r="M216" s="33">
        <f>ROUND(K216*L216,2)</f>
        <v>666.18</v>
      </c>
    </row>
    <row r="217" spans="1:13" ht="103.75" customHeight="1" thickBot="1" x14ac:dyDescent="0.25">
      <c r="A217" s="25"/>
      <c r="B217" s="25"/>
      <c r="C217" s="25"/>
      <c r="D217" s="82" t="s">
        <v>618</v>
      </c>
      <c r="E217" s="82"/>
      <c r="F217" s="82"/>
      <c r="G217" s="82"/>
      <c r="H217" s="82"/>
      <c r="I217" s="82"/>
      <c r="J217" s="82"/>
      <c r="K217" s="82"/>
      <c r="L217" s="82"/>
      <c r="M217" s="82"/>
    </row>
    <row r="218" spans="1:13" ht="15" customHeight="1" thickBot="1" x14ac:dyDescent="0.25">
      <c r="A218" s="5" t="s">
        <v>619</v>
      </c>
      <c r="B218" s="5" t="s">
        <v>620</v>
      </c>
      <c r="C218" s="5" t="s">
        <v>621</v>
      </c>
      <c r="D218" s="82" t="s">
        <v>622</v>
      </c>
      <c r="E218" s="82"/>
      <c r="F218" s="82"/>
      <c r="G218" s="82"/>
      <c r="H218" s="82"/>
      <c r="I218" s="82"/>
      <c r="J218" s="82"/>
      <c r="K218" s="23">
        <v>0.29899999999999999</v>
      </c>
      <c r="L218" s="23">
        <f>ROUND(13.08,3)</f>
        <v>13.08</v>
      </c>
      <c r="M218" s="24">
        <f t="shared" ref="M218:M228" si="6">ROUND(K218*L218,2)</f>
        <v>3.91</v>
      </c>
    </row>
    <row r="219" spans="1:13" ht="21.25" customHeight="1" thickBot="1" x14ac:dyDescent="0.25">
      <c r="A219" s="5" t="s">
        <v>623</v>
      </c>
      <c r="B219" s="5" t="s">
        <v>624</v>
      </c>
      <c r="C219" s="5" t="s">
        <v>625</v>
      </c>
      <c r="D219" s="82" t="s">
        <v>626</v>
      </c>
      <c r="E219" s="82"/>
      <c r="F219" s="82"/>
      <c r="G219" s="82"/>
      <c r="H219" s="82"/>
      <c r="I219" s="82"/>
      <c r="J219" s="82"/>
      <c r="K219" s="23">
        <v>1.05</v>
      </c>
      <c r="L219" s="23">
        <f>ROUND(13.656,3)</f>
        <v>13.656000000000001</v>
      </c>
      <c r="M219" s="24">
        <f t="shared" si="6"/>
        <v>14.34</v>
      </c>
    </row>
    <row r="220" spans="1:13" ht="15" customHeight="1" thickBot="1" x14ac:dyDescent="0.25">
      <c r="A220" s="5" t="s">
        <v>627</v>
      </c>
      <c r="B220" s="5" t="s">
        <v>628</v>
      </c>
      <c r="C220" s="5" t="s">
        <v>629</v>
      </c>
      <c r="D220" s="82" t="s">
        <v>630</v>
      </c>
      <c r="E220" s="82"/>
      <c r="F220" s="82"/>
      <c r="G220" s="82"/>
      <c r="H220" s="82"/>
      <c r="I220" s="82"/>
      <c r="J220" s="82"/>
      <c r="K220" s="23">
        <v>4.2999999999999997E-2</v>
      </c>
      <c r="L220" s="23">
        <f>ROUND(34.393,3)</f>
        <v>34.393000000000001</v>
      </c>
      <c r="M220" s="24">
        <f t="shared" si="6"/>
        <v>1.48</v>
      </c>
    </row>
    <row r="221" spans="1:13" ht="15" customHeight="1" thickBot="1" x14ac:dyDescent="0.25">
      <c r="A221" s="5" t="s">
        <v>631</v>
      </c>
      <c r="B221" s="5" t="s">
        <v>632</v>
      </c>
      <c r="C221" s="5" t="s">
        <v>633</v>
      </c>
      <c r="D221" s="82" t="s">
        <v>634</v>
      </c>
      <c r="E221" s="82"/>
      <c r="F221" s="82"/>
      <c r="G221" s="82"/>
      <c r="H221" s="82"/>
      <c r="I221" s="82"/>
      <c r="J221" s="82"/>
      <c r="K221" s="23">
        <v>2.1999999999999999E-2</v>
      </c>
      <c r="L221" s="23">
        <f>ROUND(43.833,3)</f>
        <v>43.832999999999998</v>
      </c>
      <c r="M221" s="24">
        <f t="shared" si="6"/>
        <v>0.96</v>
      </c>
    </row>
    <row r="222" spans="1:13" ht="15" customHeight="1" thickBot="1" x14ac:dyDescent="0.25">
      <c r="A222" s="5" t="s">
        <v>635</v>
      </c>
      <c r="B222" s="5" t="s">
        <v>636</v>
      </c>
      <c r="C222" s="5" t="s">
        <v>637</v>
      </c>
      <c r="D222" s="82" t="s">
        <v>638</v>
      </c>
      <c r="E222" s="82"/>
      <c r="F222" s="82"/>
      <c r="G222" s="82"/>
      <c r="H222" s="82"/>
      <c r="I222" s="82"/>
      <c r="J222" s="82"/>
      <c r="K222" s="23">
        <v>2.8000000000000001E-2</v>
      </c>
      <c r="L222" s="23">
        <f>ROUND(9.494,3)</f>
        <v>9.4939999999999998</v>
      </c>
      <c r="M222" s="24">
        <f t="shared" si="6"/>
        <v>0.27</v>
      </c>
    </row>
    <row r="223" spans="1:13" ht="15" customHeight="1" thickBot="1" x14ac:dyDescent="0.25">
      <c r="A223" s="5" t="s">
        <v>639</v>
      </c>
      <c r="B223" s="5" t="s">
        <v>640</v>
      </c>
      <c r="C223" s="5" t="s">
        <v>641</v>
      </c>
      <c r="D223" s="82" t="s">
        <v>642</v>
      </c>
      <c r="E223" s="82"/>
      <c r="F223" s="82"/>
      <c r="G223" s="82"/>
      <c r="H223" s="82"/>
      <c r="I223" s="82"/>
      <c r="J223" s="82"/>
      <c r="K223" s="23">
        <v>0.20899999999999999</v>
      </c>
      <c r="L223" s="23">
        <f>ROUND(3.586,3)</f>
        <v>3.5859999999999999</v>
      </c>
      <c r="M223" s="24">
        <f t="shared" si="6"/>
        <v>0.75</v>
      </c>
    </row>
    <row r="224" spans="1:13" ht="15" customHeight="1" thickBot="1" x14ac:dyDescent="0.25">
      <c r="A224" s="5" t="s">
        <v>643</v>
      </c>
      <c r="B224" s="5" t="s">
        <v>644</v>
      </c>
      <c r="C224" s="5" t="s">
        <v>645</v>
      </c>
      <c r="D224" s="82" t="s">
        <v>646</v>
      </c>
      <c r="E224" s="82"/>
      <c r="F224" s="82"/>
      <c r="G224" s="82"/>
      <c r="H224" s="82"/>
      <c r="I224" s="82"/>
      <c r="J224" s="82"/>
      <c r="K224" s="23">
        <v>3.0000000000000001E-3</v>
      </c>
      <c r="L224" s="23">
        <f>ROUND(108.757,3)</f>
        <v>108.75700000000001</v>
      </c>
      <c r="M224" s="24">
        <f t="shared" si="6"/>
        <v>0.33</v>
      </c>
    </row>
    <row r="225" spans="1:13" ht="15" customHeight="1" thickBot="1" x14ac:dyDescent="0.25">
      <c r="A225" s="5" t="s">
        <v>647</v>
      </c>
      <c r="B225" s="5" t="s">
        <v>648</v>
      </c>
      <c r="C225" s="5" t="s">
        <v>649</v>
      </c>
      <c r="D225" s="82" t="s">
        <v>650</v>
      </c>
      <c r="E225" s="82"/>
      <c r="F225" s="82"/>
      <c r="G225" s="82"/>
      <c r="H225" s="82"/>
      <c r="I225" s="82"/>
      <c r="J225" s="82"/>
      <c r="K225" s="23">
        <v>0.08</v>
      </c>
      <c r="L225" s="23">
        <f>ROUND(21.41,3)</f>
        <v>21.41</v>
      </c>
      <c r="M225" s="24">
        <f t="shared" si="6"/>
        <v>1.71</v>
      </c>
    </row>
    <row r="226" spans="1:13" ht="15" customHeight="1" thickBot="1" x14ac:dyDescent="0.25">
      <c r="A226" s="5" t="s">
        <v>651</v>
      </c>
      <c r="B226" s="5" t="s">
        <v>652</v>
      </c>
      <c r="C226" s="5" t="s">
        <v>653</v>
      </c>
      <c r="D226" s="82" t="s">
        <v>654</v>
      </c>
      <c r="E226" s="82"/>
      <c r="F226" s="82"/>
      <c r="G226" s="82"/>
      <c r="H226" s="82"/>
      <c r="I226" s="82"/>
      <c r="J226" s="82"/>
      <c r="K226" s="23">
        <v>0.154</v>
      </c>
      <c r="L226" s="23">
        <f>ROUND(23.97,3)</f>
        <v>23.97</v>
      </c>
      <c r="M226" s="24">
        <f t="shared" si="6"/>
        <v>3.69</v>
      </c>
    </row>
    <row r="227" spans="1:13" ht="15" customHeight="1" thickBot="1" x14ac:dyDescent="0.25">
      <c r="A227" s="5" t="s">
        <v>655</v>
      </c>
      <c r="B227" s="5" t="s">
        <v>656</v>
      </c>
      <c r="C227" s="5" t="s">
        <v>657</v>
      </c>
      <c r="D227" s="82" t="s">
        <v>658</v>
      </c>
      <c r="E227" s="82"/>
      <c r="F227" s="82"/>
      <c r="G227" s="82"/>
      <c r="H227" s="82"/>
      <c r="I227" s="82"/>
      <c r="J227" s="82"/>
      <c r="K227" s="23">
        <v>8.7999999999999995E-2</v>
      </c>
      <c r="L227" s="23">
        <f>ROUND(17.45,3)</f>
        <v>17.45</v>
      </c>
      <c r="M227" s="24">
        <f t="shared" si="6"/>
        <v>1.54</v>
      </c>
    </row>
    <row r="228" spans="1:13" ht="15" customHeight="1" thickBot="1" x14ac:dyDescent="0.25">
      <c r="A228" s="5" t="s">
        <v>659</v>
      </c>
      <c r="B228" s="5" t="s">
        <v>660</v>
      </c>
      <c r="C228" s="5" t="s">
        <v>661</v>
      </c>
      <c r="D228" s="82" t="s">
        <v>662</v>
      </c>
      <c r="E228" s="82"/>
      <c r="F228" s="82"/>
      <c r="G228" s="82"/>
      <c r="H228" s="82"/>
      <c r="I228" s="82"/>
      <c r="J228" s="82"/>
      <c r="K228" s="23">
        <v>4.3999999999999997E-2</v>
      </c>
      <c r="L228" s="23">
        <f>ROUND(14.7,3)</f>
        <v>14.7</v>
      </c>
      <c r="M228" s="24">
        <f t="shared" si="6"/>
        <v>0.65</v>
      </c>
    </row>
    <row r="229" spans="1:13" ht="15" customHeight="1" thickBot="1" x14ac:dyDescent="0.25">
      <c r="A229" s="5" t="s">
        <v>663</v>
      </c>
      <c r="B229" s="5"/>
      <c r="C229" s="5" t="s">
        <v>664</v>
      </c>
      <c r="D229" s="82" t="s">
        <v>665</v>
      </c>
      <c r="E229" s="82"/>
      <c r="F229" s="82"/>
      <c r="G229" s="82"/>
      <c r="H229" s="82"/>
      <c r="I229" s="82"/>
      <c r="J229" s="82"/>
      <c r="K229" s="23">
        <v>2</v>
      </c>
      <c r="L229" s="23">
        <f>ROUND(29.63,3)</f>
        <v>29.63</v>
      </c>
      <c r="M229" s="24">
        <f>ROUND((K229*L229)/100,2)</f>
        <v>0.59</v>
      </c>
    </row>
    <row r="230" spans="1:13" ht="15.25" customHeight="1" thickBot="1" x14ac:dyDescent="0.25">
      <c r="A230" s="26"/>
      <c r="B230" s="26"/>
      <c r="C230" s="26"/>
      <c r="D230" s="27" t="s">
        <v>666</v>
      </c>
      <c r="E230" s="26"/>
      <c r="F230" s="26"/>
      <c r="G230" s="26"/>
      <c r="H230" s="26"/>
      <c r="I230" s="26"/>
      <c r="J230" s="26"/>
      <c r="K230" s="28">
        <v>21.4</v>
      </c>
      <c r="L230" s="29">
        <f>ROUND((M218+M219+M220+M221+M222+M223+M224+M225+M226+M227+M228+M229)*(1+M2/100),2)</f>
        <v>31.13</v>
      </c>
      <c r="M230" s="29">
        <f>ROUND(K230*L230,2)</f>
        <v>666.18</v>
      </c>
    </row>
    <row r="231" spans="1:13" ht="15.25" customHeight="1" thickBot="1" x14ac:dyDescent="0.25">
      <c r="A231" s="30" t="s">
        <v>667</v>
      </c>
      <c r="B231" s="31" t="s">
        <v>668</v>
      </c>
      <c r="C231" s="31" t="s">
        <v>669</v>
      </c>
      <c r="D231" s="83" t="s">
        <v>670</v>
      </c>
      <c r="E231" s="83"/>
      <c r="F231" s="83"/>
      <c r="G231" s="83"/>
      <c r="H231" s="83"/>
      <c r="I231" s="83"/>
      <c r="J231" s="83"/>
      <c r="K231" s="32">
        <f>ROUND(4,2)</f>
        <v>4</v>
      </c>
      <c r="L231" s="33">
        <f>L238</f>
        <v>39.6</v>
      </c>
      <c r="M231" s="33">
        <f>ROUND(K231*L231,2)</f>
        <v>158.4</v>
      </c>
    </row>
    <row r="232" spans="1:13" ht="48.75" customHeight="1" thickBot="1" x14ac:dyDescent="0.25">
      <c r="A232" s="25"/>
      <c r="B232" s="25"/>
      <c r="C232" s="25"/>
      <c r="D232" s="82" t="s">
        <v>671</v>
      </c>
      <c r="E232" s="82"/>
      <c r="F232" s="82"/>
      <c r="G232" s="82"/>
      <c r="H232" s="82"/>
      <c r="I232" s="82"/>
      <c r="J232" s="82"/>
      <c r="K232" s="82"/>
      <c r="L232" s="82"/>
      <c r="M232" s="82"/>
    </row>
    <row r="233" spans="1:13" ht="15" customHeight="1" thickBot="1" x14ac:dyDescent="0.25">
      <c r="A233" s="5" t="s">
        <v>672</v>
      </c>
      <c r="B233" s="5" t="s">
        <v>673</v>
      </c>
      <c r="C233" s="5" t="s">
        <v>674</v>
      </c>
      <c r="D233" s="82" t="s">
        <v>675</v>
      </c>
      <c r="E233" s="82"/>
      <c r="F233" s="82"/>
      <c r="G233" s="82"/>
      <c r="H233" s="82"/>
      <c r="I233" s="82"/>
      <c r="J233" s="82"/>
      <c r="K233" s="23">
        <v>1</v>
      </c>
      <c r="L233" s="23">
        <f>ROUND(1.088,3)</f>
        <v>1.0880000000000001</v>
      </c>
      <c r="M233" s="24">
        <f>ROUND(K233*L233,2)</f>
        <v>1.0900000000000001</v>
      </c>
    </row>
    <row r="234" spans="1:13" ht="21.25" customHeight="1" thickBot="1" x14ac:dyDescent="0.25">
      <c r="A234" s="5" t="s">
        <v>676</v>
      </c>
      <c r="B234" s="5" t="s">
        <v>677</v>
      </c>
      <c r="C234" s="5" t="s">
        <v>678</v>
      </c>
      <c r="D234" s="82" t="s">
        <v>679</v>
      </c>
      <c r="E234" s="82"/>
      <c r="F234" s="82"/>
      <c r="G234" s="82"/>
      <c r="H234" s="82"/>
      <c r="I234" s="82"/>
      <c r="J234" s="82"/>
      <c r="K234" s="23">
        <v>1</v>
      </c>
      <c r="L234" s="23">
        <f>ROUND(28.411,3)</f>
        <v>28.411000000000001</v>
      </c>
      <c r="M234" s="24">
        <f>ROUND(K234*L234,2)</f>
        <v>28.41</v>
      </c>
    </row>
    <row r="235" spans="1:13" ht="15" customHeight="1" thickBot="1" x14ac:dyDescent="0.25">
      <c r="A235" s="5" t="s">
        <v>680</v>
      </c>
      <c r="B235" s="5" t="s">
        <v>681</v>
      </c>
      <c r="C235" s="5" t="s">
        <v>682</v>
      </c>
      <c r="D235" s="82" t="s">
        <v>683</v>
      </c>
      <c r="E235" s="82"/>
      <c r="F235" s="82"/>
      <c r="G235" s="82"/>
      <c r="H235" s="82"/>
      <c r="I235" s="82"/>
      <c r="J235" s="82"/>
      <c r="K235" s="23">
        <v>0.255</v>
      </c>
      <c r="L235" s="23">
        <f>ROUND(17.45,3)</f>
        <v>17.45</v>
      </c>
      <c r="M235" s="24">
        <f>ROUND(K235*L235,2)</f>
        <v>4.45</v>
      </c>
    </row>
    <row r="236" spans="1:13" ht="15" customHeight="1" thickBot="1" x14ac:dyDescent="0.25">
      <c r="A236" s="5" t="s">
        <v>684</v>
      </c>
      <c r="B236" s="5" t="s">
        <v>685</v>
      </c>
      <c r="C236" s="5" t="s">
        <v>686</v>
      </c>
      <c r="D236" s="82" t="s">
        <v>687</v>
      </c>
      <c r="E236" s="82"/>
      <c r="F236" s="82"/>
      <c r="G236" s="82"/>
      <c r="H236" s="82"/>
      <c r="I236" s="82"/>
      <c r="J236" s="82"/>
      <c r="K236" s="23">
        <v>0.255</v>
      </c>
      <c r="L236" s="23">
        <f>ROUND(14.7,3)</f>
        <v>14.7</v>
      </c>
      <c r="M236" s="24">
        <f>ROUND(K236*L236,2)</f>
        <v>3.75</v>
      </c>
    </row>
    <row r="237" spans="1:13" ht="15" customHeight="1" thickBot="1" x14ac:dyDescent="0.25">
      <c r="A237" s="5" t="s">
        <v>688</v>
      </c>
      <c r="B237" s="5"/>
      <c r="C237" s="5" t="s">
        <v>689</v>
      </c>
      <c r="D237" s="82" t="s">
        <v>690</v>
      </c>
      <c r="E237" s="82"/>
      <c r="F237" s="82"/>
      <c r="G237" s="82"/>
      <c r="H237" s="82"/>
      <c r="I237" s="82"/>
      <c r="J237" s="82"/>
      <c r="K237" s="23">
        <v>2</v>
      </c>
      <c r="L237" s="23">
        <f>ROUND(37.7,3)</f>
        <v>37.700000000000003</v>
      </c>
      <c r="M237" s="24">
        <f>ROUND((K237*L237)/100,2)</f>
        <v>0.75</v>
      </c>
    </row>
    <row r="238" spans="1:13" ht="15.25" customHeight="1" thickBot="1" x14ac:dyDescent="0.25">
      <c r="A238" s="26"/>
      <c r="B238" s="26"/>
      <c r="C238" s="26"/>
      <c r="D238" s="27" t="s">
        <v>691</v>
      </c>
      <c r="E238" s="26"/>
      <c r="F238" s="26"/>
      <c r="G238" s="26"/>
      <c r="H238" s="26"/>
      <c r="I238" s="26"/>
      <c r="J238" s="26"/>
      <c r="K238" s="28">
        <v>4</v>
      </c>
      <c r="L238" s="29">
        <f>ROUND((M233+M234+M235+M236+M237)*(1+M2/100),2)</f>
        <v>39.6</v>
      </c>
      <c r="M238" s="29">
        <f>ROUND(K238*L238,2)</f>
        <v>158.4</v>
      </c>
    </row>
    <row r="239" spans="1:13" ht="15.25" customHeight="1" thickBot="1" x14ac:dyDescent="0.25">
      <c r="A239" s="34"/>
      <c r="B239" s="34"/>
      <c r="C239" s="34"/>
      <c r="D239" s="35" t="s">
        <v>692</v>
      </c>
      <c r="E239" s="36"/>
      <c r="F239" s="36"/>
      <c r="G239" s="36"/>
      <c r="H239" s="36"/>
      <c r="I239" s="36"/>
      <c r="J239" s="36"/>
      <c r="K239" s="36"/>
      <c r="L239" s="37">
        <f>M189+M201+M216+M231</f>
        <v>2828.9</v>
      </c>
      <c r="M239" s="37">
        <f>ROUND(L239,2)</f>
        <v>2828.9</v>
      </c>
    </row>
    <row r="240" spans="1:13" ht="15.25" customHeight="1" thickBot="1" x14ac:dyDescent="0.25">
      <c r="A240" s="34"/>
      <c r="B240" s="34"/>
      <c r="C240" s="34"/>
      <c r="D240" s="52" t="s">
        <v>693</v>
      </c>
      <c r="E240" s="53"/>
      <c r="F240" s="53"/>
      <c r="G240" s="53"/>
      <c r="H240" s="53"/>
      <c r="I240" s="53"/>
      <c r="J240" s="53"/>
      <c r="K240" s="53"/>
      <c r="L240" s="54">
        <f>M174+M187+M239</f>
        <v>7187.8899999999994</v>
      </c>
      <c r="M240" s="54">
        <f>ROUND(L240,2)</f>
        <v>7187.89</v>
      </c>
    </row>
    <row r="241" spans="1:13" ht="15.25" customHeight="1" thickBot="1" x14ac:dyDescent="0.25">
      <c r="A241" s="55" t="s">
        <v>694</v>
      </c>
      <c r="B241" s="55" t="s">
        <v>695</v>
      </c>
      <c r="C241" s="56"/>
      <c r="D241" s="85" t="s">
        <v>696</v>
      </c>
      <c r="E241" s="85"/>
      <c r="F241" s="85"/>
      <c r="G241" s="85"/>
      <c r="H241" s="85"/>
      <c r="I241" s="85"/>
      <c r="J241" s="85"/>
      <c r="K241" s="56"/>
      <c r="L241" s="57">
        <f>L318</f>
        <v>5793.54</v>
      </c>
      <c r="M241" s="57">
        <f>ROUND(L241,2)</f>
        <v>5793.54</v>
      </c>
    </row>
    <row r="242" spans="1:13" ht="15.25" customHeight="1" thickBot="1" x14ac:dyDescent="0.25">
      <c r="A242" s="20" t="s">
        <v>697</v>
      </c>
      <c r="B242" s="20" t="s">
        <v>698</v>
      </c>
      <c r="C242" s="21"/>
      <c r="D242" s="81" t="s">
        <v>699</v>
      </c>
      <c r="E242" s="81"/>
      <c r="F242" s="81"/>
      <c r="G242" s="81"/>
      <c r="H242" s="81"/>
      <c r="I242" s="81"/>
      <c r="J242" s="81"/>
      <c r="K242" s="21"/>
      <c r="L242" s="22">
        <f>L252</f>
        <v>550.69000000000005</v>
      </c>
      <c r="M242" s="22">
        <f>ROUND(L242,2)</f>
        <v>550.69000000000005</v>
      </c>
    </row>
    <row r="243" spans="1:13" ht="15.25" customHeight="1" thickBot="1" x14ac:dyDescent="0.25">
      <c r="A243" s="10" t="s">
        <v>700</v>
      </c>
      <c r="B243" s="5" t="s">
        <v>701</v>
      </c>
      <c r="C243" s="5" t="s">
        <v>702</v>
      </c>
      <c r="D243" s="82" t="s">
        <v>703</v>
      </c>
      <c r="E243" s="82"/>
      <c r="F243" s="82"/>
      <c r="G243" s="82"/>
      <c r="H243" s="82"/>
      <c r="I243" s="82"/>
      <c r="J243" s="82"/>
      <c r="K243" s="23">
        <f>ROUND(54.47,2)</f>
        <v>54.47</v>
      </c>
      <c r="L243" s="24">
        <f>L251</f>
        <v>10.11</v>
      </c>
      <c r="M243" s="24">
        <f>ROUND(K243*L243,2)</f>
        <v>550.69000000000005</v>
      </c>
    </row>
    <row r="244" spans="1:13" ht="67" customHeight="1" thickBot="1" x14ac:dyDescent="0.25">
      <c r="A244" s="25"/>
      <c r="B244" s="25"/>
      <c r="C244" s="25"/>
      <c r="D244" s="82" t="s">
        <v>704</v>
      </c>
      <c r="E244" s="82"/>
      <c r="F244" s="82"/>
      <c r="G244" s="82"/>
      <c r="H244" s="82"/>
      <c r="I244" s="82"/>
      <c r="J244" s="82"/>
      <c r="K244" s="82"/>
      <c r="L244" s="82"/>
      <c r="M244" s="82"/>
    </row>
    <row r="245" spans="1:13" ht="15" customHeight="1" thickBot="1" x14ac:dyDescent="0.25">
      <c r="A245" s="5" t="s">
        <v>705</v>
      </c>
      <c r="B245" s="5" t="s">
        <v>706</v>
      </c>
      <c r="C245" s="5" t="s">
        <v>707</v>
      </c>
      <c r="D245" s="82" t="s">
        <v>708</v>
      </c>
      <c r="E245" s="82"/>
      <c r="F245" s="82"/>
      <c r="G245" s="82"/>
      <c r="H245" s="82"/>
      <c r="I245" s="82"/>
      <c r="J245" s="82"/>
      <c r="K245" s="23">
        <v>0.11</v>
      </c>
      <c r="L245" s="23">
        <f>ROUND(16.803,3)</f>
        <v>16.803000000000001</v>
      </c>
      <c r="M245" s="24">
        <f>ROUND(K245*L245,2)</f>
        <v>1.85</v>
      </c>
    </row>
    <row r="246" spans="1:13" ht="15" customHeight="1" thickBot="1" x14ac:dyDescent="0.25">
      <c r="A246" s="5" t="s">
        <v>709</v>
      </c>
      <c r="B246" s="5" t="s">
        <v>710</v>
      </c>
      <c r="C246" s="5" t="s">
        <v>711</v>
      </c>
      <c r="D246" s="82" t="s">
        <v>712</v>
      </c>
      <c r="E246" s="82"/>
      <c r="F246" s="82"/>
      <c r="G246" s="82"/>
      <c r="H246" s="82"/>
      <c r="I246" s="82"/>
      <c r="J246" s="82"/>
      <c r="K246" s="23">
        <v>1.2E-2</v>
      </c>
      <c r="L246" s="23">
        <f>ROUND(41.216,3)</f>
        <v>41.216000000000001</v>
      </c>
      <c r="M246" s="24">
        <f>ROUND(K246*L246,2)</f>
        <v>0.49</v>
      </c>
    </row>
    <row r="247" spans="1:13" ht="15" customHeight="1" thickBot="1" x14ac:dyDescent="0.25">
      <c r="A247" s="5" t="s">
        <v>713</v>
      </c>
      <c r="B247" s="5" t="s">
        <v>714</v>
      </c>
      <c r="C247" s="5" t="s">
        <v>715</v>
      </c>
      <c r="D247" s="82" t="s">
        <v>716</v>
      </c>
      <c r="E247" s="82"/>
      <c r="F247" s="82"/>
      <c r="G247" s="82"/>
      <c r="H247" s="82"/>
      <c r="I247" s="82"/>
      <c r="J247" s="82"/>
      <c r="K247" s="23">
        <v>1.2E-2</v>
      </c>
      <c r="L247" s="23">
        <f>ROUND(3.586,3)</f>
        <v>3.5859999999999999</v>
      </c>
      <c r="M247" s="24">
        <f>ROUND(K247*L247,2)</f>
        <v>0.04</v>
      </c>
    </row>
    <row r="248" spans="1:13" ht="15" customHeight="1" thickBot="1" x14ac:dyDescent="0.25">
      <c r="A248" s="5" t="s">
        <v>717</v>
      </c>
      <c r="B248" s="5" t="s">
        <v>718</v>
      </c>
      <c r="C248" s="5" t="s">
        <v>719</v>
      </c>
      <c r="D248" s="82" t="s">
        <v>720</v>
      </c>
      <c r="E248" s="82"/>
      <c r="F248" s="82"/>
      <c r="G248" s="82"/>
      <c r="H248" s="82"/>
      <c r="I248" s="82"/>
      <c r="J248" s="82"/>
      <c r="K248" s="23">
        <v>1.2E-2</v>
      </c>
      <c r="L248" s="23">
        <f>ROUND(108.757,3)</f>
        <v>108.75700000000001</v>
      </c>
      <c r="M248" s="24">
        <f>ROUND(K248*L248,2)</f>
        <v>1.31</v>
      </c>
    </row>
    <row r="249" spans="1:13" ht="15" customHeight="1" thickBot="1" x14ac:dyDescent="0.25">
      <c r="A249" s="5" t="s">
        <v>721</v>
      </c>
      <c r="B249" s="5" t="s">
        <v>722</v>
      </c>
      <c r="C249" s="5" t="s">
        <v>723</v>
      </c>
      <c r="D249" s="82" t="s">
        <v>724</v>
      </c>
      <c r="E249" s="82"/>
      <c r="F249" s="82"/>
      <c r="G249" s="82"/>
      <c r="H249" s="82"/>
      <c r="I249" s="82"/>
      <c r="J249" s="82"/>
      <c r="K249" s="23">
        <v>0.248</v>
      </c>
      <c r="L249" s="23">
        <f>ROUND(23.97,3)</f>
        <v>23.97</v>
      </c>
      <c r="M249" s="24">
        <f>ROUND(K249*L249,2)</f>
        <v>5.94</v>
      </c>
    </row>
    <row r="250" spans="1:13" ht="15" customHeight="1" thickBot="1" x14ac:dyDescent="0.25">
      <c r="A250" s="5" t="s">
        <v>725</v>
      </c>
      <c r="B250" s="5"/>
      <c r="C250" s="5" t="s">
        <v>726</v>
      </c>
      <c r="D250" s="82" t="s">
        <v>727</v>
      </c>
      <c r="E250" s="82"/>
      <c r="F250" s="82"/>
      <c r="G250" s="82"/>
      <c r="H250" s="82"/>
      <c r="I250" s="82"/>
      <c r="J250" s="82"/>
      <c r="K250" s="23">
        <v>2</v>
      </c>
      <c r="L250" s="23">
        <f>ROUND(9.63,3)</f>
        <v>9.6300000000000008</v>
      </c>
      <c r="M250" s="24">
        <f>ROUND((K250*L250)/100,2)</f>
        <v>0.19</v>
      </c>
    </row>
    <row r="251" spans="1:13" ht="15.25" customHeight="1" thickBot="1" x14ac:dyDescent="0.25">
      <c r="A251" s="26"/>
      <c r="B251" s="26"/>
      <c r="C251" s="26"/>
      <c r="D251" s="27" t="s">
        <v>728</v>
      </c>
      <c r="E251" s="26"/>
      <c r="F251" s="26"/>
      <c r="G251" s="26"/>
      <c r="H251" s="26"/>
      <c r="I251" s="26"/>
      <c r="J251" s="26"/>
      <c r="K251" s="28">
        <v>54.47</v>
      </c>
      <c r="L251" s="29">
        <f>ROUND((M245+M246+M247+M248+M249+M250)*(1+M2/100),2)</f>
        <v>10.11</v>
      </c>
      <c r="M251" s="29">
        <f>ROUND(K251*L251,2)</f>
        <v>550.69000000000005</v>
      </c>
    </row>
    <row r="252" spans="1:13" ht="15.25" customHeight="1" thickBot="1" x14ac:dyDescent="0.25">
      <c r="A252" s="34"/>
      <c r="B252" s="34"/>
      <c r="C252" s="34"/>
      <c r="D252" s="35" t="s">
        <v>729</v>
      </c>
      <c r="E252" s="36"/>
      <c r="F252" s="36"/>
      <c r="G252" s="36"/>
      <c r="H252" s="36"/>
      <c r="I252" s="36"/>
      <c r="J252" s="36"/>
      <c r="K252" s="36"/>
      <c r="L252" s="37">
        <f>M243</f>
        <v>550.69000000000005</v>
      </c>
      <c r="M252" s="37">
        <f>ROUND(L252,2)</f>
        <v>550.69000000000005</v>
      </c>
    </row>
    <row r="253" spans="1:13" ht="15.25" customHeight="1" thickBot="1" x14ac:dyDescent="0.25">
      <c r="A253" s="38" t="s">
        <v>730</v>
      </c>
      <c r="B253" s="38" t="s">
        <v>731</v>
      </c>
      <c r="C253" s="39"/>
      <c r="D253" s="84" t="s">
        <v>732</v>
      </c>
      <c r="E253" s="84"/>
      <c r="F253" s="84"/>
      <c r="G253" s="84"/>
      <c r="H253" s="84"/>
      <c r="I253" s="84"/>
      <c r="J253" s="84"/>
      <c r="K253" s="39"/>
      <c r="L253" s="40">
        <f>L273</f>
        <v>3256</v>
      </c>
      <c r="M253" s="40">
        <f>ROUND(L253,2)</f>
        <v>3256</v>
      </c>
    </row>
    <row r="254" spans="1:13" ht="15.25" customHeight="1" thickBot="1" x14ac:dyDescent="0.25">
      <c r="A254" s="10" t="s">
        <v>733</v>
      </c>
      <c r="B254" s="5" t="s">
        <v>734</v>
      </c>
      <c r="C254" s="5" t="s">
        <v>735</v>
      </c>
      <c r="D254" s="82" t="s">
        <v>736</v>
      </c>
      <c r="E254" s="82"/>
      <c r="F254" s="82"/>
      <c r="G254" s="82"/>
      <c r="H254" s="82"/>
      <c r="I254" s="82"/>
      <c r="J254" s="82"/>
      <c r="K254" s="23">
        <f>SUM(K257:K259)</f>
        <v>88.792000000000002</v>
      </c>
      <c r="L254" s="24">
        <f>L272</f>
        <v>36.67</v>
      </c>
      <c r="M254" s="24">
        <f>ROUND(K254*L254,2)</f>
        <v>3256</v>
      </c>
    </row>
    <row r="255" spans="1:13" ht="113" customHeight="1" thickBot="1" x14ac:dyDescent="0.25">
      <c r="A255" s="25"/>
      <c r="B255" s="25"/>
      <c r="C255" s="25"/>
      <c r="D255" s="82" t="s">
        <v>737</v>
      </c>
      <c r="E255" s="82"/>
      <c r="F255" s="82"/>
      <c r="G255" s="82"/>
      <c r="H255" s="82"/>
      <c r="I255" s="82"/>
      <c r="J255" s="82"/>
      <c r="K255" s="82"/>
      <c r="L255" s="82"/>
      <c r="M255" s="82"/>
    </row>
    <row r="256" spans="1:13" ht="15" customHeight="1" thickBot="1" x14ac:dyDescent="0.25">
      <c r="A256" s="25"/>
      <c r="B256" s="25"/>
      <c r="C256" s="25"/>
      <c r="D256" s="25"/>
      <c r="E256" s="41"/>
      <c r="F256" s="43" t="s">
        <v>738</v>
      </c>
      <c r="G256" s="43" t="s">
        <v>739</v>
      </c>
      <c r="H256" s="43" t="s">
        <v>740</v>
      </c>
      <c r="I256" s="43" t="s">
        <v>741</v>
      </c>
      <c r="J256" s="43" t="s">
        <v>742</v>
      </c>
      <c r="K256" s="43" t="s">
        <v>743</v>
      </c>
      <c r="L256" s="25"/>
      <c r="M256" s="25"/>
    </row>
    <row r="257" spans="1:13" ht="15" customHeight="1" thickBot="1" x14ac:dyDescent="0.25">
      <c r="A257" s="25"/>
      <c r="B257" s="25"/>
      <c r="C257" s="25"/>
      <c r="D257" s="44"/>
      <c r="E257" s="45" t="s">
        <v>744</v>
      </c>
      <c r="F257" s="46">
        <v>1</v>
      </c>
      <c r="G257" s="47">
        <v>54.475999999999999</v>
      </c>
      <c r="H257" s="47"/>
      <c r="I257" s="47"/>
      <c r="J257" s="49">
        <f>ROUND(F257*G257,3)</f>
        <v>54.475999999999999</v>
      </c>
      <c r="K257" s="50"/>
      <c r="L257" s="25"/>
      <c r="M257" s="25"/>
    </row>
    <row r="258" spans="1:13" ht="15" customHeight="1" thickBot="1" x14ac:dyDescent="0.25">
      <c r="A258" s="25"/>
      <c r="B258" s="25"/>
      <c r="C258" s="25"/>
      <c r="D258" s="44"/>
      <c r="E258" s="5" t="s">
        <v>745</v>
      </c>
      <c r="F258" s="3">
        <v>1</v>
      </c>
      <c r="G258" s="23">
        <v>34.316000000000003</v>
      </c>
      <c r="H258" s="23"/>
      <c r="I258" s="23"/>
      <c r="J258" s="48">
        <f>ROUND(F258*G258,3)</f>
        <v>34.316000000000003</v>
      </c>
      <c r="K258" s="25"/>
      <c r="L258" s="25"/>
      <c r="M258" s="25"/>
    </row>
    <row r="259" spans="1:13" ht="15" customHeight="1" thickBot="1" x14ac:dyDescent="0.25">
      <c r="A259" s="25"/>
      <c r="B259" s="25"/>
      <c r="C259" s="25"/>
      <c r="D259" s="44"/>
      <c r="E259" s="5"/>
      <c r="F259" s="3"/>
      <c r="G259" s="23"/>
      <c r="H259" s="23"/>
      <c r="I259" s="23"/>
      <c r="J259" s="42" t="s">
        <v>746</v>
      </c>
      <c r="K259" s="51">
        <f>SUM(J257:J259)</f>
        <v>88.792000000000002</v>
      </c>
      <c r="L259" s="25"/>
      <c r="M259" s="25"/>
    </row>
    <row r="260" spans="1:13" ht="15" customHeight="1" thickBot="1" x14ac:dyDescent="0.25">
      <c r="A260" s="5" t="s">
        <v>747</v>
      </c>
      <c r="B260" s="5" t="s">
        <v>748</v>
      </c>
      <c r="C260" s="5" t="s">
        <v>749</v>
      </c>
      <c r="D260" s="82" t="s">
        <v>750</v>
      </c>
      <c r="E260" s="82"/>
      <c r="F260" s="82"/>
      <c r="G260" s="82"/>
      <c r="H260" s="82"/>
      <c r="I260" s="82"/>
      <c r="J260" s="82"/>
      <c r="K260" s="23">
        <v>2</v>
      </c>
      <c r="L260" s="23">
        <f>ROUND(0.97,3)</f>
        <v>0.97</v>
      </c>
      <c r="M260" s="24">
        <f t="shared" ref="M260:M270" si="7">ROUND(K260*L260,2)</f>
        <v>1.94</v>
      </c>
    </row>
    <row r="261" spans="1:13" ht="15" customHeight="1" thickBot="1" x14ac:dyDescent="0.25">
      <c r="A261" s="5" t="s">
        <v>751</v>
      </c>
      <c r="B261" s="5" t="s">
        <v>752</v>
      </c>
      <c r="C261" s="5" t="s">
        <v>753</v>
      </c>
      <c r="D261" s="82" t="s">
        <v>754</v>
      </c>
      <c r="E261" s="82"/>
      <c r="F261" s="82"/>
      <c r="G261" s="82"/>
      <c r="H261" s="82"/>
      <c r="I261" s="82"/>
      <c r="J261" s="82"/>
      <c r="K261" s="23">
        <v>1.2</v>
      </c>
      <c r="L261" s="23">
        <f>ROUND(2.305,3)</f>
        <v>2.3050000000000002</v>
      </c>
      <c r="M261" s="24">
        <f t="shared" si="7"/>
        <v>2.77</v>
      </c>
    </row>
    <row r="262" spans="1:13" ht="24.25" customHeight="1" thickBot="1" x14ac:dyDescent="0.25">
      <c r="A262" s="5" t="s">
        <v>755</v>
      </c>
      <c r="B262" s="5" t="s">
        <v>756</v>
      </c>
      <c r="C262" s="5" t="s">
        <v>757</v>
      </c>
      <c r="D262" s="82" t="s">
        <v>758</v>
      </c>
      <c r="E262" s="82"/>
      <c r="F262" s="82"/>
      <c r="G262" s="82"/>
      <c r="H262" s="82"/>
      <c r="I262" s="82"/>
      <c r="J262" s="82"/>
      <c r="K262" s="23">
        <v>0.106</v>
      </c>
      <c r="L262" s="23">
        <f>ROUND(189.3,3)</f>
        <v>189.3</v>
      </c>
      <c r="M262" s="24">
        <f t="shared" si="7"/>
        <v>20.07</v>
      </c>
    </row>
    <row r="263" spans="1:13" ht="21.25" customHeight="1" thickBot="1" x14ac:dyDescent="0.25">
      <c r="A263" s="5" t="s">
        <v>759</v>
      </c>
      <c r="B263" s="5" t="s">
        <v>760</v>
      </c>
      <c r="C263" s="5" t="s">
        <v>761</v>
      </c>
      <c r="D263" s="82" t="s">
        <v>762</v>
      </c>
      <c r="E263" s="82"/>
      <c r="F263" s="82"/>
      <c r="G263" s="82"/>
      <c r="H263" s="82"/>
      <c r="I263" s="82"/>
      <c r="J263" s="82"/>
      <c r="K263" s="23">
        <v>5.5E-2</v>
      </c>
      <c r="L263" s="23">
        <f>ROUND(1.839,3)</f>
        <v>1.839</v>
      </c>
      <c r="M263" s="24">
        <f t="shared" si="7"/>
        <v>0.1</v>
      </c>
    </row>
    <row r="264" spans="1:13" ht="15" customHeight="1" thickBot="1" x14ac:dyDescent="0.25">
      <c r="A264" s="5" t="s">
        <v>763</v>
      </c>
      <c r="B264" s="5" t="s">
        <v>764</v>
      </c>
      <c r="C264" s="5" t="s">
        <v>765</v>
      </c>
      <c r="D264" s="82" t="s">
        <v>766</v>
      </c>
      <c r="E264" s="82"/>
      <c r="F264" s="82"/>
      <c r="G264" s="82"/>
      <c r="H264" s="82"/>
      <c r="I264" s="82"/>
      <c r="J264" s="82"/>
      <c r="K264" s="23">
        <v>9.7000000000000003E-2</v>
      </c>
      <c r="L264" s="23">
        <f>ROUND(4.783,3)</f>
        <v>4.7830000000000004</v>
      </c>
      <c r="M264" s="24">
        <f t="shared" si="7"/>
        <v>0.46</v>
      </c>
    </row>
    <row r="265" spans="1:13" ht="15" customHeight="1" thickBot="1" x14ac:dyDescent="0.25">
      <c r="A265" s="5" t="s">
        <v>767</v>
      </c>
      <c r="B265" s="5" t="s">
        <v>768</v>
      </c>
      <c r="C265" s="5" t="s">
        <v>769</v>
      </c>
      <c r="D265" s="82" t="s">
        <v>770</v>
      </c>
      <c r="E265" s="82"/>
      <c r="F265" s="82"/>
      <c r="G265" s="82"/>
      <c r="H265" s="82"/>
      <c r="I265" s="82"/>
      <c r="J265" s="82"/>
      <c r="K265" s="23">
        <v>9.4E-2</v>
      </c>
      <c r="L265" s="23">
        <f>ROUND(9.732,3)</f>
        <v>9.7319999999999993</v>
      </c>
      <c r="M265" s="24">
        <f t="shared" si="7"/>
        <v>0.91</v>
      </c>
    </row>
    <row r="266" spans="1:13" ht="15" customHeight="1" thickBot="1" x14ac:dyDescent="0.25">
      <c r="A266" s="5" t="s">
        <v>771</v>
      </c>
      <c r="B266" s="5" t="s">
        <v>772</v>
      </c>
      <c r="C266" s="5" t="s">
        <v>773</v>
      </c>
      <c r="D266" s="82" t="s">
        <v>774</v>
      </c>
      <c r="E266" s="82"/>
      <c r="F266" s="82"/>
      <c r="G266" s="82"/>
      <c r="H266" s="82"/>
      <c r="I266" s="82"/>
      <c r="J266" s="82"/>
      <c r="K266" s="23">
        <v>5.0000000000000001E-3</v>
      </c>
      <c r="L266" s="23">
        <f>ROUND(174.158,3)</f>
        <v>174.15799999999999</v>
      </c>
      <c r="M266" s="24">
        <f t="shared" si="7"/>
        <v>0.87</v>
      </c>
    </row>
    <row r="267" spans="1:13" ht="15" customHeight="1" thickBot="1" x14ac:dyDescent="0.25">
      <c r="A267" s="5" t="s">
        <v>775</v>
      </c>
      <c r="B267" s="5" t="s">
        <v>776</v>
      </c>
      <c r="C267" s="5" t="s">
        <v>777</v>
      </c>
      <c r="D267" s="82" t="s">
        <v>778</v>
      </c>
      <c r="E267" s="82"/>
      <c r="F267" s="82"/>
      <c r="G267" s="82"/>
      <c r="H267" s="82"/>
      <c r="I267" s="82"/>
      <c r="J267" s="82"/>
      <c r="K267" s="23">
        <v>8.8999999999999996E-2</v>
      </c>
      <c r="L267" s="23">
        <f>ROUND(26.43,3)</f>
        <v>26.43</v>
      </c>
      <c r="M267" s="24">
        <f t="shared" si="7"/>
        <v>2.35</v>
      </c>
    </row>
    <row r="268" spans="1:13" ht="15" customHeight="1" thickBot="1" x14ac:dyDescent="0.25">
      <c r="A268" s="5" t="s">
        <v>779</v>
      </c>
      <c r="B268" s="5" t="s">
        <v>780</v>
      </c>
      <c r="C268" s="5" t="s">
        <v>781</v>
      </c>
      <c r="D268" s="82" t="s">
        <v>782</v>
      </c>
      <c r="E268" s="82"/>
      <c r="F268" s="82"/>
      <c r="G268" s="82"/>
      <c r="H268" s="82"/>
      <c r="I268" s="82"/>
      <c r="J268" s="82"/>
      <c r="K268" s="23">
        <v>9.8000000000000004E-2</v>
      </c>
      <c r="L268" s="23">
        <f>ROUND(21.41,3)</f>
        <v>21.41</v>
      </c>
      <c r="M268" s="24">
        <f t="shared" si="7"/>
        <v>2.1</v>
      </c>
    </row>
    <row r="269" spans="1:13" ht="15" customHeight="1" thickBot="1" x14ac:dyDescent="0.25">
      <c r="A269" s="5" t="s">
        <v>783</v>
      </c>
      <c r="B269" s="5" t="s">
        <v>784</v>
      </c>
      <c r="C269" s="5" t="s">
        <v>785</v>
      </c>
      <c r="D269" s="82" t="s">
        <v>786</v>
      </c>
      <c r="E269" s="82"/>
      <c r="F269" s="82"/>
      <c r="G269" s="82"/>
      <c r="H269" s="82"/>
      <c r="I269" s="82"/>
      <c r="J269" s="82"/>
      <c r="K269" s="23">
        <v>9.8000000000000004E-2</v>
      </c>
      <c r="L269" s="23">
        <f>ROUND(23.97,3)</f>
        <v>23.97</v>
      </c>
      <c r="M269" s="24">
        <f t="shared" si="7"/>
        <v>2.35</v>
      </c>
    </row>
    <row r="270" spans="1:13" ht="15" customHeight="1" thickBot="1" x14ac:dyDescent="0.25">
      <c r="A270" s="5" t="s">
        <v>787</v>
      </c>
      <c r="B270" s="5" t="s">
        <v>788</v>
      </c>
      <c r="C270" s="5" t="s">
        <v>789</v>
      </c>
      <c r="D270" s="82" t="s">
        <v>790</v>
      </c>
      <c r="E270" s="82"/>
      <c r="F270" s="82"/>
      <c r="G270" s="82"/>
      <c r="H270" s="82"/>
      <c r="I270" s="82"/>
      <c r="J270" s="82"/>
      <c r="K270" s="23">
        <v>4.8000000000000001E-2</v>
      </c>
      <c r="L270" s="23">
        <f>ROUND(20.34,3)</f>
        <v>20.34</v>
      </c>
      <c r="M270" s="24">
        <f t="shared" si="7"/>
        <v>0.98</v>
      </c>
    </row>
    <row r="271" spans="1:13" ht="15" customHeight="1" thickBot="1" x14ac:dyDescent="0.25">
      <c r="A271" s="5" t="s">
        <v>791</v>
      </c>
      <c r="B271" s="5"/>
      <c r="C271" s="5" t="s">
        <v>792</v>
      </c>
      <c r="D271" s="82" t="s">
        <v>793</v>
      </c>
      <c r="E271" s="82"/>
      <c r="F271" s="82"/>
      <c r="G271" s="82"/>
      <c r="H271" s="82"/>
      <c r="I271" s="82"/>
      <c r="J271" s="82"/>
      <c r="K271" s="23">
        <v>2</v>
      </c>
      <c r="L271" s="23">
        <f>ROUND(34.9,3)</f>
        <v>34.9</v>
      </c>
      <c r="M271" s="24">
        <f>ROUND((K271*L271)/100,2)</f>
        <v>0.7</v>
      </c>
    </row>
    <row r="272" spans="1:13" ht="15.25" customHeight="1" thickBot="1" x14ac:dyDescent="0.25">
      <c r="A272" s="26"/>
      <c r="B272" s="26"/>
      <c r="C272" s="26"/>
      <c r="D272" s="27" t="s">
        <v>794</v>
      </c>
      <c r="E272" s="26"/>
      <c r="F272" s="26"/>
      <c r="G272" s="26"/>
      <c r="H272" s="26"/>
      <c r="I272" s="26"/>
      <c r="J272" s="26"/>
      <c r="K272" s="28">
        <v>88.792000000000002</v>
      </c>
      <c r="L272" s="29">
        <f>ROUND((M260+M261+M262+M263+M264+M265+M266+M267+M268+M269+M270+M271)*(1+M2/100),2)</f>
        <v>36.67</v>
      </c>
      <c r="M272" s="29">
        <f>ROUND(K272*L272,2)</f>
        <v>3256</v>
      </c>
    </row>
    <row r="273" spans="1:13" ht="15.25" customHeight="1" thickBot="1" x14ac:dyDescent="0.25">
      <c r="A273" s="34"/>
      <c r="B273" s="34"/>
      <c r="C273" s="34"/>
      <c r="D273" s="35" t="s">
        <v>795</v>
      </c>
      <c r="E273" s="36"/>
      <c r="F273" s="36"/>
      <c r="G273" s="36"/>
      <c r="H273" s="36"/>
      <c r="I273" s="36"/>
      <c r="J273" s="36"/>
      <c r="K273" s="36"/>
      <c r="L273" s="37">
        <f>M254</f>
        <v>3256</v>
      </c>
      <c r="M273" s="37">
        <f>ROUND(L273,2)</f>
        <v>3256</v>
      </c>
    </row>
    <row r="274" spans="1:13" ht="15.25" customHeight="1" thickBot="1" x14ac:dyDescent="0.25">
      <c r="A274" s="38" t="s">
        <v>796</v>
      </c>
      <c r="B274" s="38" t="s">
        <v>797</v>
      </c>
      <c r="C274" s="39"/>
      <c r="D274" s="84" t="s">
        <v>798</v>
      </c>
      <c r="E274" s="84"/>
      <c r="F274" s="84"/>
      <c r="G274" s="84"/>
      <c r="H274" s="84"/>
      <c r="I274" s="84"/>
      <c r="J274" s="84"/>
      <c r="K274" s="39"/>
      <c r="L274" s="40">
        <f>L317</f>
        <v>1986.85</v>
      </c>
      <c r="M274" s="40">
        <f>ROUND(L274,2)</f>
        <v>1986.85</v>
      </c>
    </row>
    <row r="275" spans="1:13" ht="15.25" customHeight="1" thickBot="1" x14ac:dyDescent="0.25">
      <c r="A275" s="10" t="s">
        <v>799</v>
      </c>
      <c r="B275" s="5" t="s">
        <v>800</v>
      </c>
      <c r="C275" s="5" t="s">
        <v>801</v>
      </c>
      <c r="D275" s="82" t="s">
        <v>802</v>
      </c>
      <c r="E275" s="82"/>
      <c r="F275" s="82"/>
      <c r="G275" s="82"/>
      <c r="H275" s="82"/>
      <c r="I275" s="82"/>
      <c r="J275" s="82"/>
      <c r="K275" s="23">
        <f>ROUND(34.31,2)</f>
        <v>34.31</v>
      </c>
      <c r="L275" s="24">
        <f>L286</f>
        <v>21.59</v>
      </c>
      <c r="M275" s="24">
        <f>ROUND(K275*L275,2)</f>
        <v>740.75</v>
      </c>
    </row>
    <row r="276" spans="1:13" ht="85.5" customHeight="1" thickBot="1" x14ac:dyDescent="0.25">
      <c r="A276" s="25"/>
      <c r="B276" s="25"/>
      <c r="C276" s="25"/>
      <c r="D276" s="82" t="s">
        <v>803</v>
      </c>
      <c r="E276" s="82"/>
      <c r="F276" s="82"/>
      <c r="G276" s="82"/>
      <c r="H276" s="82"/>
      <c r="I276" s="82"/>
      <c r="J276" s="82"/>
      <c r="K276" s="82"/>
      <c r="L276" s="82"/>
      <c r="M276" s="82"/>
    </row>
    <row r="277" spans="1:13" ht="21.25" customHeight="1" thickBot="1" x14ac:dyDescent="0.25">
      <c r="A277" s="5" t="s">
        <v>804</v>
      </c>
      <c r="B277" s="5" t="s">
        <v>805</v>
      </c>
      <c r="C277" s="5" t="s">
        <v>806</v>
      </c>
      <c r="D277" s="82" t="s">
        <v>807</v>
      </c>
      <c r="E277" s="82"/>
      <c r="F277" s="82"/>
      <c r="G277" s="82"/>
      <c r="H277" s="82"/>
      <c r="I277" s="82"/>
      <c r="J277" s="82"/>
      <c r="K277" s="23">
        <v>15.988</v>
      </c>
      <c r="L277" s="23">
        <f>ROUND(0.264,3)</f>
        <v>0.26400000000000001</v>
      </c>
      <c r="M277" s="24">
        <f t="shared" ref="M277:M284" si="8">ROUND(K277*L277,2)</f>
        <v>4.22</v>
      </c>
    </row>
    <row r="278" spans="1:13" ht="15" customHeight="1" thickBot="1" x14ac:dyDescent="0.25">
      <c r="A278" s="5" t="s">
        <v>808</v>
      </c>
      <c r="B278" s="5" t="s">
        <v>809</v>
      </c>
      <c r="C278" s="5" t="s">
        <v>810</v>
      </c>
      <c r="D278" s="82" t="s">
        <v>811</v>
      </c>
      <c r="E278" s="82"/>
      <c r="F278" s="82"/>
      <c r="G278" s="82"/>
      <c r="H278" s="82"/>
      <c r="I278" s="82"/>
      <c r="J278" s="82"/>
      <c r="K278" s="23">
        <v>4.0000000000000001E-3</v>
      </c>
      <c r="L278" s="23">
        <f>ROUND(1.372,3)</f>
        <v>1.3720000000000001</v>
      </c>
      <c r="M278" s="24">
        <f t="shared" si="8"/>
        <v>0.01</v>
      </c>
    </row>
    <row r="279" spans="1:13" ht="21.25" customHeight="1" thickBot="1" x14ac:dyDescent="0.25">
      <c r="A279" s="5" t="s">
        <v>812</v>
      </c>
      <c r="B279" s="5" t="s">
        <v>813</v>
      </c>
      <c r="C279" s="5" t="s">
        <v>814</v>
      </c>
      <c r="D279" s="82" t="s">
        <v>815</v>
      </c>
      <c r="E279" s="82"/>
      <c r="F279" s="82"/>
      <c r="G279" s="82"/>
      <c r="H279" s="82"/>
      <c r="I279" s="82"/>
      <c r="J279" s="82"/>
      <c r="K279" s="23">
        <v>1.6E-2</v>
      </c>
      <c r="L279" s="23">
        <f>ROUND(42.533,3)</f>
        <v>42.533000000000001</v>
      </c>
      <c r="M279" s="24">
        <f t="shared" si="8"/>
        <v>0.68</v>
      </c>
    </row>
    <row r="280" spans="1:13" ht="15" customHeight="1" thickBot="1" x14ac:dyDescent="0.25">
      <c r="A280" s="5" t="s">
        <v>816</v>
      </c>
      <c r="B280" s="5" t="s">
        <v>817</v>
      </c>
      <c r="C280" s="5" t="s">
        <v>818</v>
      </c>
      <c r="D280" s="82" t="s">
        <v>819</v>
      </c>
      <c r="E280" s="82"/>
      <c r="F280" s="82"/>
      <c r="G280" s="82"/>
      <c r="H280" s="82"/>
      <c r="I280" s="82"/>
      <c r="J280" s="82"/>
      <c r="K280" s="23">
        <v>1.502</v>
      </c>
      <c r="L280" s="23">
        <f>ROUND(0.163,3)</f>
        <v>0.16300000000000001</v>
      </c>
      <c r="M280" s="24">
        <f t="shared" si="8"/>
        <v>0.24</v>
      </c>
    </row>
    <row r="281" spans="1:13" ht="15" customHeight="1" thickBot="1" x14ac:dyDescent="0.25">
      <c r="A281" s="5" t="s">
        <v>820</v>
      </c>
      <c r="B281" s="5" t="s">
        <v>821</v>
      </c>
      <c r="C281" s="5" t="s">
        <v>822</v>
      </c>
      <c r="D281" s="82" t="s">
        <v>823</v>
      </c>
      <c r="E281" s="82"/>
      <c r="F281" s="82"/>
      <c r="G281" s="82"/>
      <c r="H281" s="82"/>
      <c r="I281" s="82"/>
      <c r="J281" s="82"/>
      <c r="K281" s="23">
        <v>0.1</v>
      </c>
      <c r="L281" s="23">
        <f>ROUND(0.192,3)</f>
        <v>0.192</v>
      </c>
      <c r="M281" s="24">
        <f t="shared" si="8"/>
        <v>0.02</v>
      </c>
    </row>
    <row r="282" spans="1:13" ht="15" customHeight="1" thickBot="1" x14ac:dyDescent="0.25">
      <c r="A282" s="5" t="s">
        <v>824</v>
      </c>
      <c r="B282" s="5" t="s">
        <v>825</v>
      </c>
      <c r="C282" s="5" t="s">
        <v>826</v>
      </c>
      <c r="D282" s="82" t="s">
        <v>827</v>
      </c>
      <c r="E282" s="82"/>
      <c r="F282" s="82"/>
      <c r="G282" s="82"/>
      <c r="H282" s="82"/>
      <c r="I282" s="82"/>
      <c r="J282" s="82"/>
      <c r="K282" s="23">
        <v>0.06</v>
      </c>
      <c r="L282" s="23">
        <f>ROUND(1.774,3)</f>
        <v>1.774</v>
      </c>
      <c r="M282" s="24">
        <f t="shared" si="8"/>
        <v>0.11</v>
      </c>
    </row>
    <row r="283" spans="1:13" ht="15" customHeight="1" thickBot="1" x14ac:dyDescent="0.25">
      <c r="A283" s="5" t="s">
        <v>828</v>
      </c>
      <c r="B283" s="5" t="s">
        <v>829</v>
      </c>
      <c r="C283" s="5" t="s">
        <v>830</v>
      </c>
      <c r="D283" s="82" t="s">
        <v>831</v>
      </c>
      <c r="E283" s="82"/>
      <c r="F283" s="82"/>
      <c r="G283" s="82"/>
      <c r="H283" s="82"/>
      <c r="I283" s="82"/>
      <c r="J283" s="82"/>
      <c r="K283" s="23">
        <v>0.45700000000000002</v>
      </c>
      <c r="L283" s="23">
        <f>ROUND(21.41,3)</f>
        <v>21.41</v>
      </c>
      <c r="M283" s="24">
        <f t="shared" si="8"/>
        <v>9.7799999999999994</v>
      </c>
    </row>
    <row r="284" spans="1:13" ht="15" customHeight="1" thickBot="1" x14ac:dyDescent="0.25">
      <c r="A284" s="5" t="s">
        <v>832</v>
      </c>
      <c r="B284" s="5" t="s">
        <v>833</v>
      </c>
      <c r="C284" s="5" t="s">
        <v>834</v>
      </c>
      <c r="D284" s="82" t="s">
        <v>835</v>
      </c>
      <c r="E284" s="82"/>
      <c r="F284" s="82"/>
      <c r="G284" s="82"/>
      <c r="H284" s="82"/>
      <c r="I284" s="82"/>
      <c r="J284" s="82"/>
      <c r="K284" s="23">
        <v>0.22900000000000001</v>
      </c>
      <c r="L284" s="23">
        <f>ROUND(23.97,3)</f>
        <v>23.97</v>
      </c>
      <c r="M284" s="24">
        <f t="shared" si="8"/>
        <v>5.49</v>
      </c>
    </row>
    <row r="285" spans="1:13" ht="15" customHeight="1" thickBot="1" x14ac:dyDescent="0.25">
      <c r="A285" s="5" t="s">
        <v>836</v>
      </c>
      <c r="B285" s="5"/>
      <c r="C285" s="5" t="s">
        <v>837</v>
      </c>
      <c r="D285" s="82" t="s">
        <v>838</v>
      </c>
      <c r="E285" s="82"/>
      <c r="F285" s="82"/>
      <c r="G285" s="82"/>
      <c r="H285" s="82"/>
      <c r="I285" s="82"/>
      <c r="J285" s="82"/>
      <c r="K285" s="23">
        <v>2</v>
      </c>
      <c r="L285" s="23">
        <f>ROUND(20.55,3)</f>
        <v>20.55</v>
      </c>
      <c r="M285" s="24">
        <f>ROUND((K285*L285)/100,2)</f>
        <v>0.41</v>
      </c>
    </row>
    <row r="286" spans="1:13" ht="15.25" customHeight="1" thickBot="1" x14ac:dyDescent="0.25">
      <c r="A286" s="26"/>
      <c r="B286" s="26"/>
      <c r="C286" s="26"/>
      <c r="D286" s="27" t="s">
        <v>839</v>
      </c>
      <c r="E286" s="26"/>
      <c r="F286" s="26"/>
      <c r="G286" s="26"/>
      <c r="H286" s="26"/>
      <c r="I286" s="26"/>
      <c r="J286" s="26"/>
      <c r="K286" s="28">
        <v>34.31</v>
      </c>
      <c r="L286" s="29">
        <f>ROUND((M277+M278+M279+M280+M281+M282+M283+M284+M285)*(1+M2/100),2)</f>
        <v>21.59</v>
      </c>
      <c r="M286" s="29">
        <f>ROUND(K286*L286,2)</f>
        <v>740.75</v>
      </c>
    </row>
    <row r="287" spans="1:13" ht="15.25" customHeight="1" thickBot="1" x14ac:dyDescent="0.25">
      <c r="A287" s="30" t="s">
        <v>840</v>
      </c>
      <c r="B287" s="31" t="s">
        <v>841</v>
      </c>
      <c r="C287" s="31" t="s">
        <v>842</v>
      </c>
      <c r="D287" s="83" t="s">
        <v>843</v>
      </c>
      <c r="E287" s="83"/>
      <c r="F287" s="83"/>
      <c r="G287" s="83"/>
      <c r="H287" s="83"/>
      <c r="I287" s="83"/>
      <c r="J287" s="83"/>
      <c r="K287" s="32">
        <f>ROUND(34.31,2)</f>
        <v>34.31</v>
      </c>
      <c r="L287" s="33">
        <f>L295</f>
        <v>22.58</v>
      </c>
      <c r="M287" s="33">
        <f>ROUND(K287*L287,2)</f>
        <v>774.72</v>
      </c>
    </row>
    <row r="288" spans="1:13" ht="58" customHeight="1" thickBot="1" x14ac:dyDescent="0.25">
      <c r="A288" s="25"/>
      <c r="B288" s="25"/>
      <c r="C288" s="25"/>
      <c r="D288" s="82" t="s">
        <v>844</v>
      </c>
      <c r="E288" s="82"/>
      <c r="F288" s="82"/>
      <c r="G288" s="82"/>
      <c r="H288" s="82"/>
      <c r="I288" s="82"/>
      <c r="J288" s="82"/>
      <c r="K288" s="82"/>
      <c r="L288" s="82"/>
      <c r="M288" s="82"/>
    </row>
    <row r="289" spans="1:13" ht="15" customHeight="1" thickBot="1" x14ac:dyDescent="0.25">
      <c r="A289" s="5" t="s">
        <v>845</v>
      </c>
      <c r="B289" s="5" t="s">
        <v>846</v>
      </c>
      <c r="C289" s="5" t="s">
        <v>847</v>
      </c>
      <c r="D289" s="82" t="s">
        <v>848</v>
      </c>
      <c r="E289" s="82"/>
      <c r="F289" s="82"/>
      <c r="G289" s="82"/>
      <c r="H289" s="82"/>
      <c r="I289" s="82"/>
      <c r="J289" s="82"/>
      <c r="K289" s="23">
        <v>2.778</v>
      </c>
      <c r="L289" s="23">
        <f>ROUND(1.235,3)</f>
        <v>1.2350000000000001</v>
      </c>
      <c r="M289" s="24">
        <f>ROUND(K289*L289,2)</f>
        <v>3.43</v>
      </c>
    </row>
    <row r="290" spans="1:13" ht="15" customHeight="1" thickBot="1" x14ac:dyDescent="0.25">
      <c r="A290" s="5" t="s">
        <v>849</v>
      </c>
      <c r="B290" s="5" t="s">
        <v>850</v>
      </c>
      <c r="C290" s="5" t="s">
        <v>851</v>
      </c>
      <c r="D290" s="82" t="s">
        <v>852</v>
      </c>
      <c r="E290" s="82"/>
      <c r="F290" s="82"/>
      <c r="G290" s="82"/>
      <c r="H290" s="82"/>
      <c r="I290" s="82"/>
      <c r="J290" s="82"/>
      <c r="K290" s="23">
        <v>1.6E-2</v>
      </c>
      <c r="L290" s="23">
        <f>ROUND(1.372,3)</f>
        <v>1.3720000000000001</v>
      </c>
      <c r="M290" s="24">
        <f>ROUND(K290*L290,2)</f>
        <v>0.02</v>
      </c>
    </row>
    <row r="291" spans="1:13" ht="21.25" customHeight="1" thickBot="1" x14ac:dyDescent="0.25">
      <c r="A291" s="5" t="s">
        <v>853</v>
      </c>
      <c r="B291" s="5" t="s">
        <v>854</v>
      </c>
      <c r="C291" s="5" t="s">
        <v>855</v>
      </c>
      <c r="D291" s="82" t="s">
        <v>856</v>
      </c>
      <c r="E291" s="82"/>
      <c r="F291" s="82"/>
      <c r="G291" s="82"/>
      <c r="H291" s="82"/>
      <c r="I291" s="82"/>
      <c r="J291" s="82"/>
      <c r="K291" s="23">
        <v>5.8000000000000003E-2</v>
      </c>
      <c r="L291" s="23">
        <f>ROUND(46.659,3)</f>
        <v>46.658999999999999</v>
      </c>
      <c r="M291" s="24">
        <f>ROUND(K291*L291,2)</f>
        <v>2.71</v>
      </c>
    </row>
    <row r="292" spans="1:13" ht="15" customHeight="1" thickBot="1" x14ac:dyDescent="0.25">
      <c r="A292" s="5" t="s">
        <v>857</v>
      </c>
      <c r="B292" s="5" t="s">
        <v>858</v>
      </c>
      <c r="C292" s="5" t="s">
        <v>859</v>
      </c>
      <c r="D292" s="82" t="s">
        <v>860</v>
      </c>
      <c r="E292" s="82"/>
      <c r="F292" s="82"/>
      <c r="G292" s="82"/>
      <c r="H292" s="82"/>
      <c r="I292" s="82"/>
      <c r="J292" s="82"/>
      <c r="K292" s="23">
        <v>0.41199999999999998</v>
      </c>
      <c r="L292" s="23">
        <f>ROUND(21.41,3)</f>
        <v>21.41</v>
      </c>
      <c r="M292" s="24">
        <f>ROUND(K292*L292,2)</f>
        <v>8.82</v>
      </c>
    </row>
    <row r="293" spans="1:13" ht="15" customHeight="1" thickBot="1" x14ac:dyDescent="0.25">
      <c r="A293" s="5" t="s">
        <v>861</v>
      </c>
      <c r="B293" s="5" t="s">
        <v>862</v>
      </c>
      <c r="C293" s="5" t="s">
        <v>863</v>
      </c>
      <c r="D293" s="82" t="s">
        <v>864</v>
      </c>
      <c r="E293" s="82"/>
      <c r="F293" s="82"/>
      <c r="G293" s="82"/>
      <c r="H293" s="82"/>
      <c r="I293" s="82"/>
      <c r="J293" s="82"/>
      <c r="K293" s="23">
        <v>0.32</v>
      </c>
      <c r="L293" s="23">
        <f>ROUND(20.34,3)</f>
        <v>20.34</v>
      </c>
      <c r="M293" s="24">
        <f>ROUND(K293*L293,2)</f>
        <v>6.51</v>
      </c>
    </row>
    <row r="294" spans="1:13" ht="15" customHeight="1" thickBot="1" x14ac:dyDescent="0.25">
      <c r="A294" s="5" t="s">
        <v>865</v>
      </c>
      <c r="B294" s="5"/>
      <c r="C294" s="5" t="s">
        <v>866</v>
      </c>
      <c r="D294" s="82" t="s">
        <v>867</v>
      </c>
      <c r="E294" s="82"/>
      <c r="F294" s="82"/>
      <c r="G294" s="82"/>
      <c r="H294" s="82"/>
      <c r="I294" s="82"/>
      <c r="J294" s="82"/>
      <c r="K294" s="23">
        <v>2</v>
      </c>
      <c r="L294" s="23">
        <f>ROUND(21.49,3)</f>
        <v>21.49</v>
      </c>
      <c r="M294" s="24">
        <f>ROUND((K294*L294)/100,2)</f>
        <v>0.43</v>
      </c>
    </row>
    <row r="295" spans="1:13" ht="15.25" customHeight="1" thickBot="1" x14ac:dyDescent="0.25">
      <c r="A295" s="26"/>
      <c r="B295" s="26"/>
      <c r="C295" s="26"/>
      <c r="D295" s="27" t="s">
        <v>868</v>
      </c>
      <c r="E295" s="26"/>
      <c r="F295" s="26"/>
      <c r="G295" s="26"/>
      <c r="H295" s="26"/>
      <c r="I295" s="26"/>
      <c r="J295" s="26"/>
      <c r="K295" s="28">
        <v>34.31</v>
      </c>
      <c r="L295" s="29">
        <f>ROUND((M289+M290+M291+M292+M293+M294)*(1+M2/100),2)</f>
        <v>22.58</v>
      </c>
      <c r="M295" s="29">
        <f>ROUND(K295*L295,2)</f>
        <v>774.72</v>
      </c>
    </row>
    <row r="296" spans="1:13" ht="15.25" customHeight="1" thickBot="1" x14ac:dyDescent="0.25">
      <c r="A296" s="30" t="s">
        <v>869</v>
      </c>
      <c r="B296" s="31" t="s">
        <v>870</v>
      </c>
      <c r="C296" s="31" t="s">
        <v>871</v>
      </c>
      <c r="D296" s="83" t="s">
        <v>872</v>
      </c>
      <c r="E296" s="83"/>
      <c r="F296" s="83"/>
      <c r="G296" s="83"/>
      <c r="H296" s="83"/>
      <c r="I296" s="83"/>
      <c r="J296" s="83"/>
      <c r="K296" s="32">
        <f>SUM(K299:K300)</f>
        <v>11.21</v>
      </c>
      <c r="L296" s="33">
        <f>L316</f>
        <v>42.05</v>
      </c>
      <c r="M296" s="33">
        <f>ROUND(K296*L296,2)</f>
        <v>471.38</v>
      </c>
    </row>
    <row r="297" spans="1:13" ht="113" customHeight="1" thickBot="1" x14ac:dyDescent="0.25">
      <c r="A297" s="25"/>
      <c r="B297" s="25"/>
      <c r="C297" s="25"/>
      <c r="D297" s="82" t="s">
        <v>873</v>
      </c>
      <c r="E297" s="82"/>
      <c r="F297" s="82"/>
      <c r="G297" s="82"/>
      <c r="H297" s="82"/>
      <c r="I297" s="82"/>
      <c r="J297" s="82"/>
      <c r="K297" s="82"/>
      <c r="L297" s="82"/>
      <c r="M297" s="82"/>
    </row>
    <row r="298" spans="1:13" ht="15" customHeight="1" thickBot="1" x14ac:dyDescent="0.25">
      <c r="A298" s="25"/>
      <c r="B298" s="25"/>
      <c r="C298" s="25"/>
      <c r="D298" s="25"/>
      <c r="E298" s="41"/>
      <c r="F298" s="43" t="s">
        <v>874</v>
      </c>
      <c r="G298" s="43" t="s">
        <v>875</v>
      </c>
      <c r="H298" s="43" t="s">
        <v>876</v>
      </c>
      <c r="I298" s="43" t="s">
        <v>877</v>
      </c>
      <c r="J298" s="43" t="s">
        <v>878</v>
      </c>
      <c r="K298" s="43" t="s">
        <v>879</v>
      </c>
      <c r="L298" s="25"/>
      <c r="M298" s="25"/>
    </row>
    <row r="299" spans="1:13" ht="15" customHeight="1" thickBot="1" x14ac:dyDescent="0.25">
      <c r="A299" s="25"/>
      <c r="B299" s="25"/>
      <c r="C299" s="25"/>
      <c r="D299" s="44" t="s">
        <v>880</v>
      </c>
      <c r="E299" s="45"/>
      <c r="F299" s="46">
        <v>1</v>
      </c>
      <c r="G299" s="47">
        <v>4.22</v>
      </c>
      <c r="H299" s="47">
        <v>6.85</v>
      </c>
      <c r="I299" s="47">
        <v>0.85</v>
      </c>
      <c r="J299" s="49">
        <f>ROUND((G299+H299)*I299,3)</f>
        <v>9.41</v>
      </c>
      <c r="K299" s="50"/>
      <c r="L299" s="25"/>
      <c r="M299" s="25"/>
    </row>
    <row r="300" spans="1:13" ht="30.5" customHeight="1" thickBot="1" x14ac:dyDescent="0.25">
      <c r="A300" s="25"/>
      <c r="B300" s="25"/>
      <c r="C300" s="25"/>
      <c r="D300" s="44"/>
      <c r="E300" s="5" t="s">
        <v>881</v>
      </c>
      <c r="F300" s="3">
        <v>1</v>
      </c>
      <c r="G300" s="23">
        <v>2</v>
      </c>
      <c r="H300" s="23"/>
      <c r="I300" s="23">
        <v>0.9</v>
      </c>
      <c r="J300" s="48">
        <f>ROUND(F300*G300*I300,3)</f>
        <v>1.8</v>
      </c>
      <c r="K300" s="51">
        <f>SUM(J299:J300)</f>
        <v>11.21</v>
      </c>
      <c r="L300" s="25"/>
      <c r="M300" s="25"/>
    </row>
    <row r="301" spans="1:13" ht="30.5" customHeight="1" thickBot="1" x14ac:dyDescent="0.25">
      <c r="A301" s="5" t="s">
        <v>882</v>
      </c>
      <c r="B301" s="5" t="s">
        <v>883</v>
      </c>
      <c r="C301" s="5" t="s">
        <v>884</v>
      </c>
      <c r="D301" s="82" t="s">
        <v>885</v>
      </c>
      <c r="E301" s="82"/>
      <c r="F301" s="82"/>
      <c r="G301" s="82"/>
      <c r="H301" s="82"/>
      <c r="I301" s="82"/>
      <c r="J301" s="82"/>
      <c r="K301" s="23">
        <v>12.5</v>
      </c>
      <c r="L301" s="23">
        <f>ROUND(0.832,3)</f>
        <v>0.83199999999999996</v>
      </c>
      <c r="M301" s="24">
        <f t="shared" ref="M301:M314" si="9">ROUND(K301*L301,2)</f>
        <v>10.4</v>
      </c>
    </row>
    <row r="302" spans="1:13" ht="15" customHeight="1" thickBot="1" x14ac:dyDescent="0.25">
      <c r="A302" s="5" t="s">
        <v>886</v>
      </c>
      <c r="B302" s="5" t="s">
        <v>887</v>
      </c>
      <c r="C302" s="5" t="s">
        <v>888</v>
      </c>
      <c r="D302" s="82" t="s">
        <v>889</v>
      </c>
      <c r="E302" s="82"/>
      <c r="F302" s="82"/>
      <c r="G302" s="82"/>
      <c r="H302" s="82"/>
      <c r="I302" s="82"/>
      <c r="J302" s="82"/>
      <c r="K302" s="23">
        <v>8.9999999999999993E-3</v>
      </c>
      <c r="L302" s="23">
        <f>ROUND(1.372,3)</f>
        <v>1.3720000000000001</v>
      </c>
      <c r="M302" s="24">
        <f t="shared" si="9"/>
        <v>0.01</v>
      </c>
    </row>
    <row r="303" spans="1:13" ht="21.25" customHeight="1" thickBot="1" x14ac:dyDescent="0.25">
      <c r="A303" s="5" t="s">
        <v>890</v>
      </c>
      <c r="B303" s="5" t="s">
        <v>891</v>
      </c>
      <c r="C303" s="5" t="s">
        <v>892</v>
      </c>
      <c r="D303" s="82" t="s">
        <v>893</v>
      </c>
      <c r="E303" s="82"/>
      <c r="F303" s="82"/>
      <c r="G303" s="82"/>
      <c r="H303" s="82"/>
      <c r="I303" s="82"/>
      <c r="J303" s="82"/>
      <c r="K303" s="23">
        <v>2.9000000000000001E-2</v>
      </c>
      <c r="L303" s="23">
        <f>ROUND(42.533,3)</f>
        <v>42.533000000000001</v>
      </c>
      <c r="M303" s="24">
        <f t="shared" si="9"/>
        <v>1.23</v>
      </c>
    </row>
    <row r="304" spans="1:13" ht="15" customHeight="1" thickBot="1" x14ac:dyDescent="0.25">
      <c r="A304" s="5" t="s">
        <v>894</v>
      </c>
      <c r="B304" s="5" t="s">
        <v>895</v>
      </c>
      <c r="C304" s="5" t="s">
        <v>896</v>
      </c>
      <c r="D304" s="82" t="s">
        <v>897</v>
      </c>
      <c r="E304" s="82"/>
      <c r="F304" s="82"/>
      <c r="G304" s="82"/>
      <c r="H304" s="82"/>
      <c r="I304" s="82"/>
      <c r="J304" s="82"/>
      <c r="K304" s="23">
        <v>5</v>
      </c>
      <c r="L304" s="23">
        <f>ROUND(1.464,3)</f>
        <v>1.464</v>
      </c>
      <c r="M304" s="24">
        <f t="shared" si="9"/>
        <v>7.32</v>
      </c>
    </row>
    <row r="305" spans="1:13" ht="15" customHeight="1" thickBot="1" x14ac:dyDescent="0.25">
      <c r="A305" s="5" t="s">
        <v>898</v>
      </c>
      <c r="B305" s="5" t="s">
        <v>899</v>
      </c>
      <c r="C305" s="5" t="s">
        <v>900</v>
      </c>
      <c r="D305" s="82" t="s">
        <v>901</v>
      </c>
      <c r="E305" s="82"/>
      <c r="F305" s="82"/>
      <c r="G305" s="82"/>
      <c r="H305" s="82"/>
      <c r="I305" s="82"/>
      <c r="J305" s="82"/>
      <c r="K305" s="23">
        <v>0.02</v>
      </c>
      <c r="L305" s="23">
        <f>ROUND(1.372,3)</f>
        <v>1.3720000000000001</v>
      </c>
      <c r="M305" s="24">
        <f t="shared" si="9"/>
        <v>0.03</v>
      </c>
    </row>
    <row r="306" spans="1:13" ht="15" customHeight="1" thickBot="1" x14ac:dyDescent="0.25">
      <c r="A306" s="5" t="s">
        <v>902</v>
      </c>
      <c r="B306" s="5" t="s">
        <v>903</v>
      </c>
      <c r="C306" s="5" t="s">
        <v>904</v>
      </c>
      <c r="D306" s="82" t="s">
        <v>905</v>
      </c>
      <c r="E306" s="82"/>
      <c r="F306" s="82"/>
      <c r="G306" s="82"/>
      <c r="H306" s="82"/>
      <c r="I306" s="82"/>
      <c r="J306" s="82"/>
      <c r="K306" s="23">
        <v>6.6050000000000004</v>
      </c>
      <c r="L306" s="23">
        <f>ROUND(0.09,3)</f>
        <v>0.09</v>
      </c>
      <c r="M306" s="24">
        <f t="shared" si="9"/>
        <v>0.59</v>
      </c>
    </row>
    <row r="307" spans="1:13" ht="15" customHeight="1" thickBot="1" x14ac:dyDescent="0.25">
      <c r="A307" s="5" t="s">
        <v>906</v>
      </c>
      <c r="B307" s="5" t="s">
        <v>907</v>
      </c>
      <c r="C307" s="5" t="s">
        <v>908</v>
      </c>
      <c r="D307" s="82" t="s">
        <v>909</v>
      </c>
      <c r="E307" s="82"/>
      <c r="F307" s="82"/>
      <c r="G307" s="82"/>
      <c r="H307" s="82"/>
      <c r="I307" s="82"/>
      <c r="J307" s="82"/>
      <c r="K307" s="23">
        <v>8.9999999999999993E-3</v>
      </c>
      <c r="L307" s="23">
        <f>ROUND(16.007,3)</f>
        <v>16.007000000000001</v>
      </c>
      <c r="M307" s="24">
        <f t="shared" si="9"/>
        <v>0.14000000000000001</v>
      </c>
    </row>
    <row r="308" spans="1:13" ht="15" customHeight="1" thickBot="1" x14ac:dyDescent="0.25">
      <c r="A308" s="5" t="s">
        <v>910</v>
      </c>
      <c r="B308" s="5" t="s">
        <v>911</v>
      </c>
      <c r="C308" s="5" t="s">
        <v>912</v>
      </c>
      <c r="D308" s="82" t="s">
        <v>913</v>
      </c>
      <c r="E308" s="82"/>
      <c r="F308" s="82"/>
      <c r="G308" s="82"/>
      <c r="H308" s="82"/>
      <c r="I308" s="82"/>
      <c r="J308" s="82"/>
      <c r="K308" s="23">
        <v>1.7999999999999999E-2</v>
      </c>
      <c r="L308" s="23">
        <f>ROUND(15.22,3)</f>
        <v>15.22</v>
      </c>
      <c r="M308" s="24">
        <f t="shared" si="9"/>
        <v>0.27</v>
      </c>
    </row>
    <row r="309" spans="1:13" ht="15" customHeight="1" thickBot="1" x14ac:dyDescent="0.25">
      <c r="A309" s="5" t="s">
        <v>914</v>
      </c>
      <c r="B309" s="5" t="s">
        <v>915</v>
      </c>
      <c r="C309" s="5" t="s">
        <v>916</v>
      </c>
      <c r="D309" s="82" t="s">
        <v>917</v>
      </c>
      <c r="E309" s="82"/>
      <c r="F309" s="82"/>
      <c r="G309" s="82"/>
      <c r="H309" s="82"/>
      <c r="I309" s="82"/>
      <c r="J309" s="82"/>
      <c r="K309" s="23">
        <v>0.01</v>
      </c>
      <c r="L309" s="23">
        <f>ROUND(3.156,3)</f>
        <v>3.1560000000000001</v>
      </c>
      <c r="M309" s="24">
        <f t="shared" si="9"/>
        <v>0.03</v>
      </c>
    </row>
    <row r="310" spans="1:13" ht="15" customHeight="1" thickBot="1" x14ac:dyDescent="0.25">
      <c r="A310" s="5" t="s">
        <v>918</v>
      </c>
      <c r="B310" s="5" t="s">
        <v>919</v>
      </c>
      <c r="C310" s="5" t="s">
        <v>920</v>
      </c>
      <c r="D310" s="82" t="s">
        <v>921</v>
      </c>
      <c r="E310" s="82"/>
      <c r="F310" s="82"/>
      <c r="G310" s="82"/>
      <c r="H310" s="82"/>
      <c r="I310" s="82"/>
      <c r="J310" s="82"/>
      <c r="K310" s="23">
        <v>0.111</v>
      </c>
      <c r="L310" s="23">
        <f>ROUND(1.774,3)</f>
        <v>1.774</v>
      </c>
      <c r="M310" s="24">
        <f t="shared" si="9"/>
        <v>0.2</v>
      </c>
    </row>
    <row r="311" spans="1:13" ht="15" customHeight="1" thickBot="1" x14ac:dyDescent="0.25">
      <c r="A311" s="5" t="s">
        <v>922</v>
      </c>
      <c r="B311" s="5" t="s">
        <v>923</v>
      </c>
      <c r="C311" s="5" t="s">
        <v>924</v>
      </c>
      <c r="D311" s="82" t="s">
        <v>925</v>
      </c>
      <c r="E311" s="82"/>
      <c r="F311" s="82"/>
      <c r="G311" s="82"/>
      <c r="H311" s="82"/>
      <c r="I311" s="82"/>
      <c r="J311" s="82"/>
      <c r="K311" s="23">
        <v>8.9999999999999993E-3</v>
      </c>
      <c r="L311" s="23">
        <f>ROUND(22.27,3)</f>
        <v>22.27</v>
      </c>
      <c r="M311" s="24">
        <f t="shared" si="9"/>
        <v>0.2</v>
      </c>
    </row>
    <row r="312" spans="1:13" ht="15" customHeight="1" thickBot="1" x14ac:dyDescent="0.25">
      <c r="A312" s="5" t="s">
        <v>926</v>
      </c>
      <c r="B312" s="5" t="s">
        <v>927</v>
      </c>
      <c r="C312" s="5" t="s">
        <v>928</v>
      </c>
      <c r="D312" s="82" t="s">
        <v>929</v>
      </c>
      <c r="E312" s="82"/>
      <c r="F312" s="82"/>
      <c r="G312" s="82"/>
      <c r="H312" s="82"/>
      <c r="I312" s="82"/>
      <c r="J312" s="82"/>
      <c r="K312" s="23">
        <v>1.4E-2</v>
      </c>
      <c r="L312" s="23">
        <f>ROUND(21.15,3)</f>
        <v>21.15</v>
      </c>
      <c r="M312" s="24">
        <f t="shared" si="9"/>
        <v>0.3</v>
      </c>
    </row>
    <row r="313" spans="1:13" ht="15" customHeight="1" thickBot="1" x14ac:dyDescent="0.25">
      <c r="A313" s="5" t="s">
        <v>930</v>
      </c>
      <c r="B313" s="5" t="s">
        <v>931</v>
      </c>
      <c r="C313" s="5" t="s">
        <v>932</v>
      </c>
      <c r="D313" s="82" t="s">
        <v>933</v>
      </c>
      <c r="E313" s="82"/>
      <c r="F313" s="82"/>
      <c r="G313" s="82"/>
      <c r="H313" s="82"/>
      <c r="I313" s="82"/>
      <c r="J313" s="82"/>
      <c r="K313" s="23">
        <v>0.59799999999999998</v>
      </c>
      <c r="L313" s="23">
        <f>ROUND(21.41,3)</f>
        <v>21.41</v>
      </c>
      <c r="M313" s="24">
        <f t="shared" si="9"/>
        <v>12.8</v>
      </c>
    </row>
    <row r="314" spans="1:13" ht="15" customHeight="1" thickBot="1" x14ac:dyDescent="0.25">
      <c r="A314" s="5" t="s">
        <v>934</v>
      </c>
      <c r="B314" s="5" t="s">
        <v>935</v>
      </c>
      <c r="C314" s="5" t="s">
        <v>936</v>
      </c>
      <c r="D314" s="82" t="s">
        <v>937</v>
      </c>
      <c r="E314" s="82"/>
      <c r="F314" s="82"/>
      <c r="G314" s="82"/>
      <c r="H314" s="82"/>
      <c r="I314" s="82"/>
      <c r="J314" s="82"/>
      <c r="K314" s="23">
        <v>0.32</v>
      </c>
      <c r="L314" s="23">
        <f>ROUND(20.34,3)</f>
        <v>20.34</v>
      </c>
      <c r="M314" s="24">
        <f t="shared" si="9"/>
        <v>6.51</v>
      </c>
    </row>
    <row r="315" spans="1:13" ht="15" customHeight="1" thickBot="1" x14ac:dyDescent="0.25">
      <c r="A315" s="5" t="s">
        <v>938</v>
      </c>
      <c r="B315" s="5"/>
      <c r="C315" s="5" t="s">
        <v>939</v>
      </c>
      <c r="D315" s="82" t="s">
        <v>940</v>
      </c>
      <c r="E315" s="82"/>
      <c r="F315" s="82"/>
      <c r="G315" s="82"/>
      <c r="H315" s="82"/>
      <c r="I315" s="82"/>
      <c r="J315" s="82"/>
      <c r="K315" s="23">
        <v>2</v>
      </c>
      <c r="L315" s="23">
        <f>ROUND(40.03,3)</f>
        <v>40.03</v>
      </c>
      <c r="M315" s="24">
        <f>ROUND((K315*L315)/100,2)</f>
        <v>0.8</v>
      </c>
    </row>
    <row r="316" spans="1:13" ht="15.25" customHeight="1" thickBot="1" x14ac:dyDescent="0.25">
      <c r="A316" s="26"/>
      <c r="B316" s="26"/>
      <c r="C316" s="26"/>
      <c r="D316" s="27" t="s">
        <v>941</v>
      </c>
      <c r="E316" s="26"/>
      <c r="F316" s="26"/>
      <c r="G316" s="26"/>
      <c r="H316" s="26"/>
      <c r="I316" s="26"/>
      <c r="J316" s="26"/>
      <c r="K316" s="28">
        <v>11.21</v>
      </c>
      <c r="L316" s="29">
        <f>ROUND((M301+M302+M303+M304+M305+M306+M307+M308+M309+M310+M311+M312+M313+M314+M315)*(1+M2/100),2)</f>
        <v>42.05</v>
      </c>
      <c r="M316" s="29">
        <f>ROUND(K316*L316,2)</f>
        <v>471.38</v>
      </c>
    </row>
    <row r="317" spans="1:13" ht="15.25" customHeight="1" thickBot="1" x14ac:dyDescent="0.25">
      <c r="A317" s="34"/>
      <c r="B317" s="34"/>
      <c r="C317" s="34"/>
      <c r="D317" s="35" t="s">
        <v>942</v>
      </c>
      <c r="E317" s="36"/>
      <c r="F317" s="36"/>
      <c r="G317" s="36"/>
      <c r="H317" s="36"/>
      <c r="I317" s="36"/>
      <c r="J317" s="36"/>
      <c r="K317" s="36"/>
      <c r="L317" s="37">
        <f>M275+M287+M296</f>
        <v>1986.85</v>
      </c>
      <c r="M317" s="37">
        <f t="shared" ref="M317:M322" si="10">ROUND(L317,2)</f>
        <v>1986.85</v>
      </c>
    </row>
    <row r="318" spans="1:13" ht="15.25" customHeight="1" thickBot="1" x14ac:dyDescent="0.25">
      <c r="A318" s="34"/>
      <c r="B318" s="34"/>
      <c r="C318" s="34"/>
      <c r="D318" s="52" t="s">
        <v>943</v>
      </c>
      <c r="E318" s="53"/>
      <c r="F318" s="53"/>
      <c r="G318" s="53"/>
      <c r="H318" s="53"/>
      <c r="I318" s="53"/>
      <c r="J318" s="53"/>
      <c r="K318" s="53"/>
      <c r="L318" s="54">
        <f>M252+M273+M317</f>
        <v>5793.54</v>
      </c>
      <c r="M318" s="54">
        <f t="shared" si="10"/>
        <v>5793.54</v>
      </c>
    </row>
    <row r="319" spans="1:13" ht="15.25" customHeight="1" thickBot="1" x14ac:dyDescent="0.25">
      <c r="A319" s="34"/>
      <c r="B319" s="34"/>
      <c r="C319" s="34"/>
      <c r="D319" s="59" t="s">
        <v>944</v>
      </c>
      <c r="E319" s="60"/>
      <c r="F319" s="60"/>
      <c r="G319" s="60"/>
      <c r="H319" s="60"/>
      <c r="I319" s="60"/>
      <c r="J319" s="60"/>
      <c r="K319" s="60"/>
      <c r="L319" s="61">
        <f>M154+M240+M318</f>
        <v>15443.420000000002</v>
      </c>
      <c r="M319" s="61">
        <f t="shared" si="10"/>
        <v>15443.42</v>
      </c>
    </row>
    <row r="320" spans="1:13" ht="15.25" customHeight="1" thickBot="1" x14ac:dyDescent="0.25">
      <c r="A320" s="62" t="s">
        <v>945</v>
      </c>
      <c r="B320" s="62" t="s">
        <v>946</v>
      </c>
      <c r="C320" s="63"/>
      <c r="D320" s="86" t="s">
        <v>947</v>
      </c>
      <c r="E320" s="86"/>
      <c r="F320" s="86"/>
      <c r="G320" s="86"/>
      <c r="H320" s="86"/>
      <c r="I320" s="86"/>
      <c r="J320" s="86"/>
      <c r="K320" s="63"/>
      <c r="L320" s="64">
        <f>L437</f>
        <v>10640.390000000001</v>
      </c>
      <c r="M320" s="64">
        <f t="shared" si="10"/>
        <v>10640.39</v>
      </c>
    </row>
    <row r="321" spans="1:13" ht="15.25" customHeight="1" thickBot="1" x14ac:dyDescent="0.25">
      <c r="A321" s="17" t="s">
        <v>948</v>
      </c>
      <c r="B321" s="17" t="s">
        <v>949</v>
      </c>
      <c r="C321" s="18"/>
      <c r="D321" s="80" t="s">
        <v>950</v>
      </c>
      <c r="E321" s="80"/>
      <c r="F321" s="80"/>
      <c r="G321" s="80"/>
      <c r="H321" s="80"/>
      <c r="I321" s="80"/>
      <c r="J321" s="80"/>
      <c r="K321" s="18"/>
      <c r="L321" s="19">
        <f>L357</f>
        <v>1029.02</v>
      </c>
      <c r="M321" s="19">
        <f t="shared" si="10"/>
        <v>1029.02</v>
      </c>
    </row>
    <row r="322" spans="1:13" ht="15.25" customHeight="1" thickBot="1" x14ac:dyDescent="0.25">
      <c r="A322" s="20" t="s">
        <v>951</v>
      </c>
      <c r="B322" s="20" t="s">
        <v>952</v>
      </c>
      <c r="C322" s="21"/>
      <c r="D322" s="81" t="s">
        <v>953</v>
      </c>
      <c r="E322" s="81"/>
      <c r="F322" s="81"/>
      <c r="G322" s="81"/>
      <c r="H322" s="81"/>
      <c r="I322" s="81"/>
      <c r="J322" s="81"/>
      <c r="K322" s="21"/>
      <c r="L322" s="22">
        <f>L334</f>
        <v>991.69</v>
      </c>
      <c r="M322" s="22">
        <f t="shared" si="10"/>
        <v>991.69</v>
      </c>
    </row>
    <row r="323" spans="1:13" ht="15.25" customHeight="1" thickBot="1" x14ac:dyDescent="0.25">
      <c r="A323" s="10" t="s">
        <v>954</v>
      </c>
      <c r="B323" s="5" t="s">
        <v>955</v>
      </c>
      <c r="C323" s="5" t="s">
        <v>956</v>
      </c>
      <c r="D323" s="82" t="s">
        <v>957</v>
      </c>
      <c r="E323" s="82"/>
      <c r="F323" s="82"/>
      <c r="G323" s="82"/>
      <c r="H323" s="82"/>
      <c r="I323" s="82"/>
      <c r="J323" s="82"/>
      <c r="K323" s="23">
        <f>SUM(K326:K326)</f>
        <v>1.7250000000000001</v>
      </c>
      <c r="L323" s="24">
        <f>L333</f>
        <v>574.89</v>
      </c>
      <c r="M323" s="24">
        <f>ROUND(K323*L323,2)</f>
        <v>991.69</v>
      </c>
    </row>
    <row r="324" spans="1:13" ht="85.5" customHeight="1" thickBot="1" x14ac:dyDescent="0.25">
      <c r="A324" s="25"/>
      <c r="B324" s="25"/>
      <c r="C324" s="25"/>
      <c r="D324" s="82" t="s">
        <v>958</v>
      </c>
      <c r="E324" s="82"/>
      <c r="F324" s="82"/>
      <c r="G324" s="82"/>
      <c r="H324" s="82"/>
      <c r="I324" s="82"/>
      <c r="J324" s="82"/>
      <c r="K324" s="82"/>
      <c r="L324" s="82"/>
      <c r="M324" s="82"/>
    </row>
    <row r="325" spans="1:13" ht="15" customHeight="1" thickBot="1" x14ac:dyDescent="0.25">
      <c r="A325" s="25"/>
      <c r="B325" s="25"/>
      <c r="C325" s="25"/>
      <c r="D325" s="25"/>
      <c r="E325" s="41"/>
      <c r="F325" s="43" t="s">
        <v>959</v>
      </c>
      <c r="G325" s="43" t="s">
        <v>960</v>
      </c>
      <c r="H325" s="43" t="s">
        <v>961</v>
      </c>
      <c r="I325" s="43" t="s">
        <v>962</v>
      </c>
      <c r="J325" s="43" t="s">
        <v>963</v>
      </c>
      <c r="K325" s="43" t="s">
        <v>964</v>
      </c>
      <c r="L325" s="25"/>
      <c r="M325" s="25"/>
    </row>
    <row r="326" spans="1:13" ht="15" customHeight="1" thickBot="1" x14ac:dyDescent="0.25">
      <c r="A326" s="25"/>
      <c r="B326" s="25"/>
      <c r="C326" s="25"/>
      <c r="D326" s="44"/>
      <c r="E326" s="45"/>
      <c r="F326" s="46">
        <v>1</v>
      </c>
      <c r="G326" s="47">
        <v>0.75</v>
      </c>
      <c r="H326" s="47"/>
      <c r="I326" s="47">
        <v>2.2999999999999998</v>
      </c>
      <c r="J326" s="49">
        <f>ROUND(F326*G326*I326,3)</f>
        <v>1.7250000000000001</v>
      </c>
      <c r="K326" s="58">
        <f>SUM(J326:J326)</f>
        <v>1.7250000000000001</v>
      </c>
      <c r="L326" s="25"/>
      <c r="M326" s="25"/>
    </row>
    <row r="327" spans="1:13" ht="15" customHeight="1" thickBot="1" x14ac:dyDescent="0.25">
      <c r="A327" s="5" t="s">
        <v>965</v>
      </c>
      <c r="B327" s="5" t="s">
        <v>966</v>
      </c>
      <c r="C327" s="5" t="s">
        <v>967</v>
      </c>
      <c r="D327" s="82" t="s">
        <v>968</v>
      </c>
      <c r="E327" s="82"/>
      <c r="F327" s="82"/>
      <c r="G327" s="82"/>
      <c r="H327" s="82"/>
      <c r="I327" s="82"/>
      <c r="J327" s="82"/>
      <c r="K327" s="23">
        <v>1.2</v>
      </c>
      <c r="L327" s="23">
        <f>ROUND(103.544,3)</f>
        <v>103.544</v>
      </c>
      <c r="M327" s="24">
        <f>ROUND(K327*L327,2)</f>
        <v>124.25</v>
      </c>
    </row>
    <row r="328" spans="1:13" ht="15" customHeight="1" thickBot="1" x14ac:dyDescent="0.25">
      <c r="A328" s="5" t="s">
        <v>969</v>
      </c>
      <c r="B328" s="5" t="s">
        <v>970</v>
      </c>
      <c r="C328" s="5" t="s">
        <v>971</v>
      </c>
      <c r="D328" s="82" t="s">
        <v>972</v>
      </c>
      <c r="E328" s="82"/>
      <c r="F328" s="82"/>
      <c r="G328" s="82"/>
      <c r="H328" s="82"/>
      <c r="I328" s="82"/>
      <c r="J328" s="82"/>
      <c r="K328" s="23">
        <v>0.10199999999999999</v>
      </c>
      <c r="L328" s="23">
        <f>ROUND(1.372,3)</f>
        <v>1.3720000000000001</v>
      </c>
      <c r="M328" s="24">
        <f>ROUND(K328*L328,2)</f>
        <v>0.14000000000000001</v>
      </c>
    </row>
    <row r="329" spans="1:13" ht="30.5" customHeight="1" thickBot="1" x14ac:dyDescent="0.25">
      <c r="A329" s="5" t="s">
        <v>973</v>
      </c>
      <c r="B329" s="5" t="s">
        <v>974</v>
      </c>
      <c r="C329" s="5" t="s">
        <v>975</v>
      </c>
      <c r="D329" s="82" t="s">
        <v>976</v>
      </c>
      <c r="E329" s="82"/>
      <c r="F329" s="82"/>
      <c r="G329" s="82"/>
      <c r="H329" s="82"/>
      <c r="I329" s="82"/>
      <c r="J329" s="82"/>
      <c r="K329" s="23">
        <v>0.56399999999999995</v>
      </c>
      <c r="L329" s="23">
        <f>ROUND(235.571,3)</f>
        <v>235.571</v>
      </c>
      <c r="M329" s="24">
        <f>ROUND(K329*L329,2)</f>
        <v>132.86000000000001</v>
      </c>
    </row>
    <row r="330" spans="1:13" ht="15" customHeight="1" thickBot="1" x14ac:dyDescent="0.25">
      <c r="A330" s="5" t="s">
        <v>977</v>
      </c>
      <c r="B330" s="5" t="s">
        <v>978</v>
      </c>
      <c r="C330" s="5" t="s">
        <v>979</v>
      </c>
      <c r="D330" s="82" t="s">
        <v>980</v>
      </c>
      <c r="E330" s="82"/>
      <c r="F330" s="82"/>
      <c r="G330" s="82"/>
      <c r="H330" s="82"/>
      <c r="I330" s="82"/>
      <c r="J330" s="82"/>
      <c r="K330" s="23">
        <v>5.4880000000000004</v>
      </c>
      <c r="L330" s="23">
        <f>ROUND(27.41,3)</f>
        <v>27.41</v>
      </c>
      <c r="M330" s="24">
        <f>ROUND(K330*L330,2)</f>
        <v>150.43</v>
      </c>
    </row>
    <row r="331" spans="1:13" ht="15" customHeight="1" thickBot="1" x14ac:dyDescent="0.25">
      <c r="A331" s="5" t="s">
        <v>981</v>
      </c>
      <c r="B331" s="5" t="s">
        <v>982</v>
      </c>
      <c r="C331" s="5" t="s">
        <v>983</v>
      </c>
      <c r="D331" s="82" t="s">
        <v>984</v>
      </c>
      <c r="E331" s="82"/>
      <c r="F331" s="82"/>
      <c r="G331" s="82"/>
      <c r="H331" s="82"/>
      <c r="I331" s="82"/>
      <c r="J331" s="82"/>
      <c r="K331" s="23">
        <v>6.86</v>
      </c>
      <c r="L331" s="23">
        <f>ROUND(20.34,3)</f>
        <v>20.34</v>
      </c>
      <c r="M331" s="24">
        <f>ROUND(K331*L331,2)</f>
        <v>139.53</v>
      </c>
    </row>
    <row r="332" spans="1:13" ht="15" customHeight="1" thickBot="1" x14ac:dyDescent="0.25">
      <c r="A332" s="5" t="s">
        <v>985</v>
      </c>
      <c r="B332" s="5"/>
      <c r="C332" s="5" t="s">
        <v>986</v>
      </c>
      <c r="D332" s="82" t="s">
        <v>987</v>
      </c>
      <c r="E332" s="82"/>
      <c r="F332" s="82"/>
      <c r="G332" s="82"/>
      <c r="H332" s="82"/>
      <c r="I332" s="82"/>
      <c r="J332" s="82"/>
      <c r="K332" s="23">
        <v>2</v>
      </c>
      <c r="L332" s="23">
        <f>ROUND(547.21,3)</f>
        <v>547.21</v>
      </c>
      <c r="M332" s="24">
        <f>ROUND((K332*L332)/100,2)</f>
        <v>10.94</v>
      </c>
    </row>
    <row r="333" spans="1:13" ht="15.25" customHeight="1" thickBot="1" x14ac:dyDescent="0.25">
      <c r="A333" s="26"/>
      <c r="B333" s="26"/>
      <c r="C333" s="26"/>
      <c r="D333" s="27" t="s">
        <v>988</v>
      </c>
      <c r="E333" s="26"/>
      <c r="F333" s="26"/>
      <c r="G333" s="26"/>
      <c r="H333" s="26"/>
      <c r="I333" s="26"/>
      <c r="J333" s="26"/>
      <c r="K333" s="28">
        <v>1.7250000000000001</v>
      </c>
      <c r="L333" s="29">
        <f>ROUND((M327+M328+M329+M330+M331+M332)*(1+M2/100),2)</f>
        <v>574.89</v>
      </c>
      <c r="M333" s="29">
        <f>ROUND(K333*L333,2)</f>
        <v>991.69</v>
      </c>
    </row>
    <row r="334" spans="1:13" ht="15.25" customHeight="1" thickBot="1" x14ac:dyDescent="0.25">
      <c r="A334" s="34"/>
      <c r="B334" s="34"/>
      <c r="C334" s="34"/>
      <c r="D334" s="35" t="s">
        <v>989</v>
      </c>
      <c r="E334" s="36"/>
      <c r="F334" s="36"/>
      <c r="G334" s="36"/>
      <c r="H334" s="36"/>
      <c r="I334" s="36"/>
      <c r="J334" s="36"/>
      <c r="K334" s="36"/>
      <c r="L334" s="37">
        <f>M323</f>
        <v>991.69</v>
      </c>
      <c r="M334" s="37">
        <f>ROUND(L334,2)</f>
        <v>991.69</v>
      </c>
    </row>
    <row r="335" spans="1:13" ht="15.25" customHeight="1" thickBot="1" x14ac:dyDescent="0.25">
      <c r="A335" s="38" t="s">
        <v>990</v>
      </c>
      <c r="B335" s="38" t="s">
        <v>991</v>
      </c>
      <c r="C335" s="39"/>
      <c r="D335" s="84" t="s">
        <v>992</v>
      </c>
      <c r="E335" s="84"/>
      <c r="F335" s="84"/>
      <c r="G335" s="84"/>
      <c r="H335" s="84"/>
      <c r="I335" s="84"/>
      <c r="J335" s="84"/>
      <c r="K335" s="39"/>
      <c r="L335" s="40">
        <f>L356</f>
        <v>37.33</v>
      </c>
      <c r="M335" s="40">
        <f>ROUND(L335,2)</f>
        <v>37.33</v>
      </c>
    </row>
    <row r="336" spans="1:13" ht="15.25" customHeight="1" thickBot="1" x14ac:dyDescent="0.25">
      <c r="A336" s="10" t="s">
        <v>993</v>
      </c>
      <c r="B336" s="5" t="s">
        <v>994</v>
      </c>
      <c r="C336" s="5" t="s">
        <v>995</v>
      </c>
      <c r="D336" s="82" t="s">
        <v>996</v>
      </c>
      <c r="E336" s="82"/>
      <c r="F336" s="82"/>
      <c r="G336" s="82"/>
      <c r="H336" s="82"/>
      <c r="I336" s="82"/>
      <c r="J336" s="82"/>
      <c r="K336" s="23">
        <f>SUM(K339:K339)</f>
        <v>1.7250000000000001</v>
      </c>
      <c r="L336" s="24">
        <f>L355</f>
        <v>21.64</v>
      </c>
      <c r="M336" s="24">
        <f>ROUND(K336*L336,2)</f>
        <v>37.33</v>
      </c>
    </row>
    <row r="337" spans="1:13" ht="103.75" customHeight="1" thickBot="1" x14ac:dyDescent="0.25">
      <c r="A337" s="25"/>
      <c r="B337" s="25"/>
      <c r="C337" s="25"/>
      <c r="D337" s="82" t="s">
        <v>997</v>
      </c>
      <c r="E337" s="82"/>
      <c r="F337" s="82"/>
      <c r="G337" s="82"/>
      <c r="H337" s="82"/>
      <c r="I337" s="82"/>
      <c r="J337" s="82"/>
      <c r="K337" s="82"/>
      <c r="L337" s="82"/>
      <c r="M337" s="82"/>
    </row>
    <row r="338" spans="1:13" ht="15" customHeight="1" thickBot="1" x14ac:dyDescent="0.25">
      <c r="A338" s="25"/>
      <c r="B338" s="25"/>
      <c r="C338" s="25"/>
      <c r="D338" s="25"/>
      <c r="E338" s="41"/>
      <c r="F338" s="43" t="s">
        <v>998</v>
      </c>
      <c r="G338" s="43" t="s">
        <v>999</v>
      </c>
      <c r="H338" s="43" t="s">
        <v>1000</v>
      </c>
      <c r="I338" s="43" t="s">
        <v>1001</v>
      </c>
      <c r="J338" s="43" t="s">
        <v>1002</v>
      </c>
      <c r="K338" s="43" t="s">
        <v>1003</v>
      </c>
      <c r="L338" s="25"/>
      <c r="M338" s="25"/>
    </row>
    <row r="339" spans="1:13" ht="15" customHeight="1" thickBot="1" x14ac:dyDescent="0.25">
      <c r="A339" s="25"/>
      <c r="B339" s="25"/>
      <c r="C339" s="25"/>
      <c r="D339" s="44"/>
      <c r="E339" s="45"/>
      <c r="F339" s="46">
        <v>1</v>
      </c>
      <c r="G339" s="47">
        <v>0.75</v>
      </c>
      <c r="H339" s="47"/>
      <c r="I339" s="47">
        <v>2.2999999999999998</v>
      </c>
      <c r="J339" s="49">
        <f>ROUND(F339*G339*I339,3)</f>
        <v>1.7250000000000001</v>
      </c>
      <c r="K339" s="58">
        <f>SUM(J339:J339)</f>
        <v>1.7250000000000001</v>
      </c>
      <c r="L339" s="25"/>
      <c r="M339" s="25"/>
    </row>
    <row r="340" spans="1:13" ht="21.25" customHeight="1" thickBot="1" x14ac:dyDescent="0.25">
      <c r="A340" s="5" t="s">
        <v>1004</v>
      </c>
      <c r="B340" s="5" t="s">
        <v>1005</v>
      </c>
      <c r="C340" s="5" t="s">
        <v>1006</v>
      </c>
      <c r="D340" s="82" t="s">
        <v>1007</v>
      </c>
      <c r="E340" s="82"/>
      <c r="F340" s="82"/>
      <c r="G340" s="82"/>
      <c r="H340" s="82"/>
      <c r="I340" s="82"/>
      <c r="J340" s="82"/>
      <c r="K340" s="23">
        <v>10</v>
      </c>
      <c r="L340" s="23">
        <f>ROUND(0.739,3)</f>
        <v>0.73899999999999999</v>
      </c>
      <c r="M340" s="24">
        <f t="shared" ref="M340:M353" si="11">ROUND(K340*L340,2)</f>
        <v>7.39</v>
      </c>
    </row>
    <row r="341" spans="1:13" ht="15" customHeight="1" thickBot="1" x14ac:dyDescent="0.25">
      <c r="A341" s="5" t="s">
        <v>1008</v>
      </c>
      <c r="B341" s="5" t="s">
        <v>1009</v>
      </c>
      <c r="C341" s="5" t="s">
        <v>1010</v>
      </c>
      <c r="D341" s="82" t="s">
        <v>1011</v>
      </c>
      <c r="E341" s="82"/>
      <c r="F341" s="82"/>
      <c r="G341" s="82"/>
      <c r="H341" s="82"/>
      <c r="I341" s="82"/>
      <c r="J341" s="82"/>
      <c r="K341" s="23">
        <v>9.0350000000000001</v>
      </c>
      <c r="L341" s="23">
        <f>ROUND(0.254,3)</f>
        <v>0.254</v>
      </c>
      <c r="M341" s="24">
        <f t="shared" si="11"/>
        <v>2.29</v>
      </c>
    </row>
    <row r="342" spans="1:13" ht="15" customHeight="1" thickBot="1" x14ac:dyDescent="0.25">
      <c r="A342" s="5" t="s">
        <v>1012</v>
      </c>
      <c r="B342" s="5" t="s">
        <v>1013</v>
      </c>
      <c r="C342" s="5" t="s">
        <v>1014</v>
      </c>
      <c r="D342" s="82" t="s">
        <v>1015</v>
      </c>
      <c r="E342" s="82"/>
      <c r="F342" s="82"/>
      <c r="G342" s="82"/>
      <c r="H342" s="82"/>
      <c r="I342" s="82"/>
      <c r="J342" s="82"/>
      <c r="K342" s="23">
        <v>3.01</v>
      </c>
      <c r="L342" s="23">
        <f>ROUND(0.251,3)</f>
        <v>0.251</v>
      </c>
      <c r="M342" s="24">
        <f t="shared" si="11"/>
        <v>0.76</v>
      </c>
    </row>
    <row r="343" spans="1:13" ht="15" customHeight="1" thickBot="1" x14ac:dyDescent="0.25">
      <c r="A343" s="5" t="s">
        <v>1016</v>
      </c>
      <c r="B343" s="5" t="s">
        <v>1017</v>
      </c>
      <c r="C343" s="5" t="s">
        <v>1018</v>
      </c>
      <c r="D343" s="82" t="s">
        <v>1019</v>
      </c>
      <c r="E343" s="82"/>
      <c r="F343" s="82"/>
      <c r="G343" s="82"/>
      <c r="H343" s="82"/>
      <c r="I343" s="82"/>
      <c r="J343" s="82"/>
      <c r="K343" s="23">
        <v>1E-3</v>
      </c>
      <c r="L343" s="23">
        <f>ROUND(135.833,3)</f>
        <v>135.833</v>
      </c>
      <c r="M343" s="24">
        <f t="shared" si="11"/>
        <v>0.14000000000000001</v>
      </c>
    </row>
    <row r="344" spans="1:13" ht="15" customHeight="1" thickBot="1" x14ac:dyDescent="0.25">
      <c r="A344" s="5" t="s">
        <v>1020</v>
      </c>
      <c r="B344" s="5" t="s">
        <v>1021</v>
      </c>
      <c r="C344" s="5" t="s">
        <v>1022</v>
      </c>
      <c r="D344" s="82" t="s">
        <v>1023</v>
      </c>
      <c r="E344" s="82"/>
      <c r="F344" s="82"/>
      <c r="G344" s="82"/>
      <c r="H344" s="82"/>
      <c r="I344" s="82"/>
      <c r="J344" s="82"/>
      <c r="K344" s="23">
        <v>0.4</v>
      </c>
      <c r="L344" s="23">
        <f>ROUND(1.464,3)</f>
        <v>1.464</v>
      </c>
      <c r="M344" s="24">
        <f t="shared" si="11"/>
        <v>0.59</v>
      </c>
    </row>
    <row r="345" spans="1:13" ht="15" customHeight="1" thickBot="1" x14ac:dyDescent="0.25">
      <c r="A345" s="5" t="s">
        <v>1024</v>
      </c>
      <c r="B345" s="5" t="s">
        <v>1025</v>
      </c>
      <c r="C345" s="5" t="s">
        <v>1026</v>
      </c>
      <c r="D345" s="82" t="s">
        <v>1027</v>
      </c>
      <c r="E345" s="82"/>
      <c r="F345" s="82"/>
      <c r="G345" s="82"/>
      <c r="H345" s="82"/>
      <c r="I345" s="82"/>
      <c r="J345" s="82"/>
      <c r="K345" s="23">
        <v>0.432</v>
      </c>
      <c r="L345" s="23">
        <f>ROUND(0.09,3)</f>
        <v>0.09</v>
      </c>
      <c r="M345" s="24">
        <f t="shared" si="11"/>
        <v>0.04</v>
      </c>
    </row>
    <row r="346" spans="1:13" ht="15" customHeight="1" thickBot="1" x14ac:dyDescent="0.25">
      <c r="A346" s="5" t="s">
        <v>1028</v>
      </c>
      <c r="B346" s="5" t="s">
        <v>1029</v>
      </c>
      <c r="C346" s="5" t="s">
        <v>1030</v>
      </c>
      <c r="D346" s="82" t="s">
        <v>1031</v>
      </c>
      <c r="E346" s="82"/>
      <c r="F346" s="82"/>
      <c r="G346" s="82"/>
      <c r="H346" s="82"/>
      <c r="I346" s="82"/>
      <c r="J346" s="82"/>
      <c r="K346" s="23">
        <v>6.0000000000000001E-3</v>
      </c>
      <c r="L346" s="23">
        <f>ROUND(1.372,3)</f>
        <v>1.3720000000000001</v>
      </c>
      <c r="M346" s="24">
        <f t="shared" si="11"/>
        <v>0.01</v>
      </c>
    </row>
    <row r="347" spans="1:13" ht="15" customHeight="1" thickBot="1" x14ac:dyDescent="0.25">
      <c r="A347" s="5" t="s">
        <v>1032</v>
      </c>
      <c r="B347" s="5" t="s">
        <v>1033</v>
      </c>
      <c r="C347" s="5" t="s">
        <v>1034</v>
      </c>
      <c r="D347" s="82" t="s">
        <v>1035</v>
      </c>
      <c r="E347" s="82"/>
      <c r="F347" s="82"/>
      <c r="G347" s="82"/>
      <c r="H347" s="82"/>
      <c r="I347" s="82"/>
      <c r="J347" s="82"/>
      <c r="K347" s="23">
        <v>1E-3</v>
      </c>
      <c r="L347" s="23">
        <f>ROUND(16.007,3)</f>
        <v>16.007000000000001</v>
      </c>
      <c r="M347" s="24">
        <f t="shared" si="11"/>
        <v>0.02</v>
      </c>
    </row>
    <row r="348" spans="1:13" ht="15" customHeight="1" thickBot="1" x14ac:dyDescent="0.25">
      <c r="A348" s="5" t="s">
        <v>1036</v>
      </c>
      <c r="B348" s="5" t="s">
        <v>1037</v>
      </c>
      <c r="C348" s="5" t="s">
        <v>1038</v>
      </c>
      <c r="D348" s="82" t="s">
        <v>1039</v>
      </c>
      <c r="E348" s="82"/>
      <c r="F348" s="82"/>
      <c r="G348" s="82"/>
      <c r="H348" s="82"/>
      <c r="I348" s="82"/>
      <c r="J348" s="82"/>
      <c r="K348" s="23">
        <v>1E-3</v>
      </c>
      <c r="L348" s="23">
        <f>ROUND(15.22,3)</f>
        <v>15.22</v>
      </c>
      <c r="M348" s="24">
        <f t="shared" si="11"/>
        <v>0.02</v>
      </c>
    </row>
    <row r="349" spans="1:13" ht="15" customHeight="1" thickBot="1" x14ac:dyDescent="0.25">
      <c r="A349" s="5" t="s">
        <v>1040</v>
      </c>
      <c r="B349" s="5" t="s">
        <v>1041</v>
      </c>
      <c r="C349" s="5" t="s">
        <v>1042</v>
      </c>
      <c r="D349" s="82" t="s">
        <v>1043</v>
      </c>
      <c r="E349" s="82"/>
      <c r="F349" s="82"/>
      <c r="G349" s="82"/>
      <c r="H349" s="82"/>
      <c r="I349" s="82"/>
      <c r="J349" s="82"/>
      <c r="K349" s="23">
        <v>1E-3</v>
      </c>
      <c r="L349" s="23">
        <f>ROUND(401.735,3)</f>
        <v>401.73500000000001</v>
      </c>
      <c r="M349" s="24">
        <f t="shared" si="11"/>
        <v>0.4</v>
      </c>
    </row>
    <row r="350" spans="1:13" ht="15" customHeight="1" thickBot="1" x14ac:dyDescent="0.25">
      <c r="A350" s="5" t="s">
        <v>1044</v>
      </c>
      <c r="B350" s="5" t="s">
        <v>1045</v>
      </c>
      <c r="C350" s="5" t="s">
        <v>1046</v>
      </c>
      <c r="D350" s="82" t="s">
        <v>1047</v>
      </c>
      <c r="E350" s="82"/>
      <c r="F350" s="82"/>
      <c r="G350" s="82"/>
      <c r="H350" s="82"/>
      <c r="I350" s="82"/>
      <c r="J350" s="82"/>
      <c r="K350" s="23">
        <v>3.0000000000000001E-3</v>
      </c>
      <c r="L350" s="23">
        <f>ROUND(17.608,3)</f>
        <v>17.608000000000001</v>
      </c>
      <c r="M350" s="24">
        <f t="shared" si="11"/>
        <v>0.05</v>
      </c>
    </row>
    <row r="351" spans="1:13" ht="15" customHeight="1" thickBot="1" x14ac:dyDescent="0.25">
      <c r="A351" s="5" t="s">
        <v>1048</v>
      </c>
      <c r="B351" s="5" t="s">
        <v>1049</v>
      </c>
      <c r="C351" s="5" t="s">
        <v>1050</v>
      </c>
      <c r="D351" s="82" t="s">
        <v>1051</v>
      </c>
      <c r="E351" s="82"/>
      <c r="F351" s="82"/>
      <c r="G351" s="82"/>
      <c r="H351" s="82"/>
      <c r="I351" s="82"/>
      <c r="J351" s="82"/>
      <c r="K351" s="23">
        <v>1.0999999999999999E-2</v>
      </c>
      <c r="L351" s="23">
        <f>ROUND(1.711,3)</f>
        <v>1.7110000000000001</v>
      </c>
      <c r="M351" s="24">
        <f t="shared" si="11"/>
        <v>0.02</v>
      </c>
    </row>
    <row r="352" spans="1:13" ht="15" customHeight="1" thickBot="1" x14ac:dyDescent="0.25">
      <c r="A352" s="5" t="s">
        <v>1052</v>
      </c>
      <c r="B352" s="5" t="s">
        <v>1053</v>
      </c>
      <c r="C352" s="5" t="s">
        <v>1054</v>
      </c>
      <c r="D352" s="82" t="s">
        <v>1055</v>
      </c>
      <c r="E352" s="82"/>
      <c r="F352" s="82"/>
      <c r="G352" s="82"/>
      <c r="H352" s="82"/>
      <c r="I352" s="82"/>
      <c r="J352" s="82"/>
      <c r="K352" s="23">
        <v>0.26400000000000001</v>
      </c>
      <c r="L352" s="23">
        <f>ROUND(21.41,3)</f>
        <v>21.41</v>
      </c>
      <c r="M352" s="24">
        <f t="shared" si="11"/>
        <v>5.65</v>
      </c>
    </row>
    <row r="353" spans="1:13" ht="15" customHeight="1" thickBot="1" x14ac:dyDescent="0.25">
      <c r="A353" s="5" t="s">
        <v>1056</v>
      </c>
      <c r="B353" s="5" t="s">
        <v>1057</v>
      </c>
      <c r="C353" s="5" t="s">
        <v>1058</v>
      </c>
      <c r="D353" s="82" t="s">
        <v>1059</v>
      </c>
      <c r="E353" s="82"/>
      <c r="F353" s="82"/>
      <c r="G353" s="82"/>
      <c r="H353" s="82"/>
      <c r="I353" s="82"/>
      <c r="J353" s="82"/>
      <c r="K353" s="23">
        <v>0.15</v>
      </c>
      <c r="L353" s="23">
        <f>ROUND(20.1,3)</f>
        <v>20.100000000000001</v>
      </c>
      <c r="M353" s="24">
        <f t="shared" si="11"/>
        <v>3.02</v>
      </c>
    </row>
    <row r="354" spans="1:13" ht="15" customHeight="1" thickBot="1" x14ac:dyDescent="0.25">
      <c r="A354" s="5" t="s">
        <v>1060</v>
      </c>
      <c r="B354" s="5"/>
      <c r="C354" s="5" t="s">
        <v>1061</v>
      </c>
      <c r="D354" s="82" t="s">
        <v>1062</v>
      </c>
      <c r="E354" s="82"/>
      <c r="F354" s="82"/>
      <c r="G354" s="82"/>
      <c r="H354" s="82"/>
      <c r="I354" s="82"/>
      <c r="J354" s="82"/>
      <c r="K354" s="23">
        <v>3</v>
      </c>
      <c r="L354" s="23">
        <f>ROUND(20.4,3)</f>
        <v>20.399999999999999</v>
      </c>
      <c r="M354" s="24">
        <f>ROUND((K354*L354)/100,2)</f>
        <v>0.61</v>
      </c>
    </row>
    <row r="355" spans="1:13" ht="15.25" customHeight="1" thickBot="1" x14ac:dyDescent="0.25">
      <c r="A355" s="26"/>
      <c r="B355" s="26"/>
      <c r="C355" s="26"/>
      <c r="D355" s="27" t="s">
        <v>1063</v>
      </c>
      <c r="E355" s="26"/>
      <c r="F355" s="26"/>
      <c r="G355" s="26"/>
      <c r="H355" s="26"/>
      <c r="I355" s="26"/>
      <c r="J355" s="26"/>
      <c r="K355" s="28">
        <v>1.7250000000000001</v>
      </c>
      <c r="L355" s="29">
        <f>ROUND((M340+M341+M342+M343+M344+M345+M346+M347+M348+M349+M350+M351+M352+M353+M354)*(1+M2/100),2)</f>
        <v>21.64</v>
      </c>
      <c r="M355" s="29">
        <f>ROUND(K355*L355,2)</f>
        <v>37.33</v>
      </c>
    </row>
    <row r="356" spans="1:13" ht="15.25" customHeight="1" thickBot="1" x14ac:dyDescent="0.25">
      <c r="A356" s="34"/>
      <c r="B356" s="34"/>
      <c r="C356" s="34"/>
      <c r="D356" s="35" t="s">
        <v>1064</v>
      </c>
      <c r="E356" s="36"/>
      <c r="F356" s="36"/>
      <c r="G356" s="36"/>
      <c r="H356" s="36"/>
      <c r="I356" s="36"/>
      <c r="J356" s="36"/>
      <c r="K356" s="36"/>
      <c r="L356" s="37">
        <f>M336</f>
        <v>37.33</v>
      </c>
      <c r="M356" s="37">
        <f>ROUND(L356,2)</f>
        <v>37.33</v>
      </c>
    </row>
    <row r="357" spans="1:13" ht="15.25" customHeight="1" thickBot="1" x14ac:dyDescent="0.25">
      <c r="A357" s="34"/>
      <c r="B357" s="34"/>
      <c r="C357" s="34"/>
      <c r="D357" s="52" t="s">
        <v>1065</v>
      </c>
      <c r="E357" s="53"/>
      <c r="F357" s="53"/>
      <c r="G357" s="53"/>
      <c r="H357" s="53"/>
      <c r="I357" s="53"/>
      <c r="J357" s="53"/>
      <c r="K357" s="53"/>
      <c r="L357" s="54">
        <f>M334+M356</f>
        <v>1029.02</v>
      </c>
      <c r="M357" s="54">
        <f>ROUND(L357,2)</f>
        <v>1029.02</v>
      </c>
    </row>
    <row r="358" spans="1:13" ht="15.25" customHeight="1" thickBot="1" x14ac:dyDescent="0.25">
      <c r="A358" s="55" t="s">
        <v>1066</v>
      </c>
      <c r="B358" s="55" t="s">
        <v>1067</v>
      </c>
      <c r="C358" s="56"/>
      <c r="D358" s="85" t="s">
        <v>1068</v>
      </c>
      <c r="E358" s="85"/>
      <c r="F358" s="85"/>
      <c r="G358" s="85"/>
      <c r="H358" s="85"/>
      <c r="I358" s="85"/>
      <c r="J358" s="85"/>
      <c r="K358" s="56"/>
      <c r="L358" s="57">
        <f>L406</f>
        <v>8603.34</v>
      </c>
      <c r="M358" s="57">
        <f>ROUND(L358,2)</f>
        <v>8603.34</v>
      </c>
    </row>
    <row r="359" spans="1:13" ht="15.25" customHeight="1" thickBot="1" x14ac:dyDescent="0.25">
      <c r="A359" s="20" t="s">
        <v>1069</v>
      </c>
      <c r="B359" s="20" t="s">
        <v>1070</v>
      </c>
      <c r="C359" s="21"/>
      <c r="D359" s="81" t="s">
        <v>1071</v>
      </c>
      <c r="E359" s="81"/>
      <c r="F359" s="81"/>
      <c r="G359" s="81"/>
      <c r="H359" s="81"/>
      <c r="I359" s="81"/>
      <c r="J359" s="81"/>
      <c r="K359" s="21"/>
      <c r="L359" s="22">
        <f>L405</f>
        <v>8603.34</v>
      </c>
      <c r="M359" s="22">
        <f>ROUND(L359,2)</f>
        <v>8603.34</v>
      </c>
    </row>
    <row r="360" spans="1:13" ht="15.25" customHeight="1" thickBot="1" x14ac:dyDescent="0.25">
      <c r="A360" s="10" t="s">
        <v>1072</v>
      </c>
      <c r="B360" s="5" t="s">
        <v>1073</v>
      </c>
      <c r="C360" s="5" t="s">
        <v>1074</v>
      </c>
      <c r="D360" s="82" t="s">
        <v>1075</v>
      </c>
      <c r="E360" s="82"/>
      <c r="F360" s="82"/>
      <c r="G360" s="82"/>
      <c r="H360" s="82"/>
      <c r="I360" s="82"/>
      <c r="J360" s="82"/>
      <c r="K360" s="23">
        <f>SUM(K363:K369)</f>
        <v>73.275999999999996</v>
      </c>
      <c r="L360" s="24">
        <f>L385</f>
        <v>95</v>
      </c>
      <c r="M360" s="24">
        <f>ROUND(K360*L360,2)</f>
        <v>6961.22</v>
      </c>
    </row>
    <row r="361" spans="1:13" ht="131.5" customHeight="1" thickBot="1" x14ac:dyDescent="0.25">
      <c r="A361" s="25"/>
      <c r="B361" s="25"/>
      <c r="C361" s="25"/>
      <c r="D361" s="82" t="s">
        <v>1076</v>
      </c>
      <c r="E361" s="82"/>
      <c r="F361" s="82"/>
      <c r="G361" s="82"/>
      <c r="H361" s="82"/>
      <c r="I361" s="82"/>
      <c r="J361" s="82"/>
      <c r="K361" s="82"/>
      <c r="L361" s="82"/>
      <c r="M361" s="82"/>
    </row>
    <row r="362" spans="1:13" ht="15" customHeight="1" thickBot="1" x14ac:dyDescent="0.25">
      <c r="A362" s="25"/>
      <c r="B362" s="25"/>
      <c r="C362" s="25"/>
      <c r="D362" s="25"/>
      <c r="E362" s="41"/>
      <c r="F362" s="43" t="s">
        <v>1077</v>
      </c>
      <c r="G362" s="43" t="s">
        <v>1078</v>
      </c>
      <c r="H362" s="43" t="s">
        <v>1079</v>
      </c>
      <c r="I362" s="43" t="s">
        <v>1080</v>
      </c>
      <c r="J362" s="43" t="s">
        <v>1081</v>
      </c>
      <c r="K362" s="43" t="s">
        <v>1082</v>
      </c>
      <c r="L362" s="25"/>
      <c r="M362" s="25"/>
    </row>
    <row r="363" spans="1:13" ht="15" customHeight="1" thickBot="1" x14ac:dyDescent="0.25">
      <c r="A363" s="25"/>
      <c r="B363" s="25"/>
      <c r="C363" s="25"/>
      <c r="D363" s="44"/>
      <c r="E363" s="45" t="s">
        <v>1083</v>
      </c>
      <c r="F363" s="46">
        <v>1</v>
      </c>
      <c r="G363" s="47">
        <v>7.45</v>
      </c>
      <c r="H363" s="47"/>
      <c r="I363" s="47">
        <v>3.25</v>
      </c>
      <c r="J363" s="49">
        <f t="shared" ref="J363:J369" si="12">ROUND(F363*G363*I363,3)</f>
        <v>24.213000000000001</v>
      </c>
      <c r="K363" s="50"/>
      <c r="L363" s="25"/>
      <c r="M363" s="25"/>
    </row>
    <row r="364" spans="1:13" ht="15" customHeight="1" thickBot="1" x14ac:dyDescent="0.25">
      <c r="A364" s="25"/>
      <c r="B364" s="25"/>
      <c r="C364" s="25"/>
      <c r="D364" s="44"/>
      <c r="E364" s="5" t="s">
        <v>1084</v>
      </c>
      <c r="F364" s="3">
        <v>1</v>
      </c>
      <c r="G364" s="23">
        <v>12.23</v>
      </c>
      <c r="H364" s="23"/>
      <c r="I364" s="23">
        <v>3.25</v>
      </c>
      <c r="J364" s="48">
        <f t="shared" si="12"/>
        <v>39.747999999999998</v>
      </c>
      <c r="K364" s="25"/>
      <c r="L364" s="25"/>
      <c r="M364" s="25"/>
    </row>
    <row r="365" spans="1:13" ht="30.5" customHeight="1" thickBot="1" x14ac:dyDescent="0.25">
      <c r="A365" s="25"/>
      <c r="B365" s="25"/>
      <c r="C365" s="25"/>
      <c r="D365" s="44"/>
      <c r="E365" s="5" t="s">
        <v>1085</v>
      </c>
      <c r="F365" s="3">
        <v>2</v>
      </c>
      <c r="G365" s="23">
        <v>2.0499999999999998</v>
      </c>
      <c r="H365" s="23"/>
      <c r="I365" s="23">
        <v>3.25</v>
      </c>
      <c r="J365" s="48">
        <f t="shared" si="12"/>
        <v>13.324999999999999</v>
      </c>
      <c r="K365" s="25"/>
      <c r="L365" s="25"/>
      <c r="M365" s="25"/>
    </row>
    <row r="366" spans="1:13" ht="30.5" customHeight="1" thickBot="1" x14ac:dyDescent="0.25">
      <c r="A366" s="25"/>
      <c r="B366" s="25"/>
      <c r="C366" s="25"/>
      <c r="D366" s="44"/>
      <c r="E366" s="5" t="s">
        <v>1086</v>
      </c>
      <c r="F366" s="3">
        <v>1</v>
      </c>
      <c r="G366" s="23">
        <v>3.25</v>
      </c>
      <c r="H366" s="23"/>
      <c r="I366" s="23">
        <v>3.25</v>
      </c>
      <c r="J366" s="48">
        <f t="shared" si="12"/>
        <v>10.563000000000001</v>
      </c>
      <c r="K366" s="25"/>
      <c r="L366" s="25"/>
      <c r="M366" s="25"/>
    </row>
    <row r="367" spans="1:13" ht="30.5" customHeight="1" thickBot="1" x14ac:dyDescent="0.25">
      <c r="A367" s="25"/>
      <c r="B367" s="25"/>
      <c r="C367" s="25"/>
      <c r="D367" s="44"/>
      <c r="E367" s="5" t="s">
        <v>1087</v>
      </c>
      <c r="F367" s="3">
        <v>1</v>
      </c>
      <c r="G367" s="23">
        <v>1.43</v>
      </c>
      <c r="H367" s="23"/>
      <c r="I367" s="23">
        <v>3.25</v>
      </c>
      <c r="J367" s="48">
        <f t="shared" si="12"/>
        <v>4.6479999999999997</v>
      </c>
      <c r="K367" s="25"/>
      <c r="L367" s="25"/>
      <c r="M367" s="25"/>
    </row>
    <row r="368" spans="1:13" ht="21.25" customHeight="1" thickBot="1" x14ac:dyDescent="0.25">
      <c r="A368" s="25"/>
      <c r="B368" s="25"/>
      <c r="C368" s="25"/>
      <c r="D368" s="44"/>
      <c r="E368" s="5" t="s">
        <v>1088</v>
      </c>
      <c r="F368" s="3">
        <v>-4</v>
      </c>
      <c r="G368" s="23">
        <v>1.5</v>
      </c>
      <c r="H368" s="23"/>
      <c r="I368" s="23">
        <v>2.2000000000000002</v>
      </c>
      <c r="J368" s="48">
        <f t="shared" si="12"/>
        <v>-13.2</v>
      </c>
      <c r="K368" s="25"/>
      <c r="L368" s="25"/>
      <c r="M368" s="25"/>
    </row>
    <row r="369" spans="1:13" ht="21.25" customHeight="1" thickBot="1" x14ac:dyDescent="0.25">
      <c r="A369" s="25"/>
      <c r="B369" s="25"/>
      <c r="C369" s="25"/>
      <c r="D369" s="44"/>
      <c r="E369" s="5" t="s">
        <v>1089</v>
      </c>
      <c r="F369" s="3">
        <v>-3</v>
      </c>
      <c r="G369" s="23">
        <v>0.9</v>
      </c>
      <c r="H369" s="23"/>
      <c r="I369" s="23">
        <v>2.23</v>
      </c>
      <c r="J369" s="48">
        <f t="shared" si="12"/>
        <v>-6.0209999999999999</v>
      </c>
      <c r="K369" s="51">
        <f>SUM(J363:J369)</f>
        <v>73.275999999999996</v>
      </c>
      <c r="L369" s="25"/>
      <c r="M369" s="25"/>
    </row>
    <row r="370" spans="1:13" ht="21.25" customHeight="1" thickBot="1" x14ac:dyDescent="0.25">
      <c r="A370" s="5" t="s">
        <v>1090</v>
      </c>
      <c r="B370" s="5" t="s">
        <v>1091</v>
      </c>
      <c r="C370" s="5" t="s">
        <v>1092</v>
      </c>
      <c r="D370" s="82" t="s">
        <v>1093</v>
      </c>
      <c r="E370" s="82"/>
      <c r="F370" s="82"/>
      <c r="G370" s="82"/>
      <c r="H370" s="82"/>
      <c r="I370" s="82"/>
      <c r="J370" s="82"/>
      <c r="K370" s="23">
        <v>1.2</v>
      </c>
      <c r="L370" s="23">
        <f>ROUND(0.301,3)</f>
        <v>0.30099999999999999</v>
      </c>
      <c r="M370" s="24">
        <f t="shared" ref="M370:M383" si="13">ROUND(K370*L370,2)</f>
        <v>0.36</v>
      </c>
    </row>
    <row r="371" spans="1:13" ht="15" customHeight="1" thickBot="1" x14ac:dyDescent="0.25">
      <c r="A371" s="5" t="s">
        <v>1094</v>
      </c>
      <c r="B371" s="5" t="s">
        <v>1095</v>
      </c>
      <c r="C371" s="5" t="s">
        <v>1096</v>
      </c>
      <c r="D371" s="82" t="s">
        <v>1097</v>
      </c>
      <c r="E371" s="82"/>
      <c r="F371" s="82"/>
      <c r="G371" s="82"/>
      <c r="H371" s="82"/>
      <c r="I371" s="82"/>
      <c r="J371" s="82"/>
      <c r="K371" s="23">
        <v>0.7</v>
      </c>
      <c r="L371" s="23">
        <f>ROUND(1.491,3)</f>
        <v>1.4910000000000001</v>
      </c>
      <c r="M371" s="24">
        <f t="shared" si="13"/>
        <v>1.04</v>
      </c>
    </row>
    <row r="372" spans="1:13" ht="15" customHeight="1" thickBot="1" x14ac:dyDescent="0.25">
      <c r="A372" s="5" t="s">
        <v>1098</v>
      </c>
      <c r="B372" s="5" t="s">
        <v>1099</v>
      </c>
      <c r="C372" s="5" t="s">
        <v>1100</v>
      </c>
      <c r="D372" s="82" t="s">
        <v>1101</v>
      </c>
      <c r="E372" s="82"/>
      <c r="F372" s="82"/>
      <c r="G372" s="82"/>
      <c r="H372" s="82"/>
      <c r="I372" s="82"/>
      <c r="J372" s="82"/>
      <c r="K372" s="23">
        <v>2.75</v>
      </c>
      <c r="L372" s="23">
        <f>ROUND(1.839,3)</f>
        <v>1.839</v>
      </c>
      <c r="M372" s="24">
        <f t="shared" si="13"/>
        <v>5.0599999999999996</v>
      </c>
    </row>
    <row r="373" spans="1:13" ht="21.25" customHeight="1" thickBot="1" x14ac:dyDescent="0.25">
      <c r="A373" s="5" t="s">
        <v>1102</v>
      </c>
      <c r="B373" s="5" t="s">
        <v>1103</v>
      </c>
      <c r="C373" s="5" t="s">
        <v>1104</v>
      </c>
      <c r="D373" s="82" t="s">
        <v>1105</v>
      </c>
      <c r="E373" s="82"/>
      <c r="F373" s="82"/>
      <c r="G373" s="82"/>
      <c r="H373" s="82"/>
      <c r="I373" s="82"/>
      <c r="J373" s="82"/>
      <c r="K373" s="23">
        <v>6.3</v>
      </c>
      <c r="L373" s="23">
        <f>ROUND(10.717,3)</f>
        <v>10.717000000000001</v>
      </c>
      <c r="M373" s="24">
        <f t="shared" si="13"/>
        <v>67.52</v>
      </c>
    </row>
    <row r="374" spans="1:13" ht="15" customHeight="1" thickBot="1" x14ac:dyDescent="0.25">
      <c r="A374" s="5" t="s">
        <v>1106</v>
      </c>
      <c r="B374" s="5" t="s">
        <v>1107</v>
      </c>
      <c r="C374" s="5" t="s">
        <v>1108</v>
      </c>
      <c r="D374" s="82" t="s">
        <v>1109</v>
      </c>
      <c r="E374" s="82"/>
      <c r="F374" s="82"/>
      <c r="G374" s="82"/>
      <c r="H374" s="82"/>
      <c r="I374" s="82"/>
      <c r="J374" s="82"/>
      <c r="K374" s="23">
        <v>17</v>
      </c>
      <c r="L374" s="23">
        <f>ROUND(0.009,3)</f>
        <v>8.9999999999999993E-3</v>
      </c>
      <c r="M374" s="24">
        <f t="shared" si="13"/>
        <v>0.15</v>
      </c>
    </row>
    <row r="375" spans="1:13" ht="15" customHeight="1" thickBot="1" x14ac:dyDescent="0.25">
      <c r="A375" s="5" t="s">
        <v>1110</v>
      </c>
      <c r="B375" s="5" t="s">
        <v>1111</v>
      </c>
      <c r="C375" s="5" t="s">
        <v>1112</v>
      </c>
      <c r="D375" s="82" t="s">
        <v>1113</v>
      </c>
      <c r="E375" s="82"/>
      <c r="F375" s="82"/>
      <c r="G375" s="82"/>
      <c r="H375" s="82"/>
      <c r="I375" s="82"/>
      <c r="J375" s="82"/>
      <c r="K375" s="23">
        <v>22</v>
      </c>
      <c r="L375" s="23">
        <f>ROUND(0.009,3)</f>
        <v>8.9999999999999993E-3</v>
      </c>
      <c r="M375" s="24">
        <f t="shared" si="13"/>
        <v>0.2</v>
      </c>
    </row>
    <row r="376" spans="1:13" ht="15" customHeight="1" thickBot="1" x14ac:dyDescent="0.25">
      <c r="A376" s="5" t="s">
        <v>1114</v>
      </c>
      <c r="B376" s="5" t="s">
        <v>1115</v>
      </c>
      <c r="C376" s="5" t="s">
        <v>1116</v>
      </c>
      <c r="D376" s="82" t="s">
        <v>1117</v>
      </c>
      <c r="E376" s="82"/>
      <c r="F376" s="82"/>
      <c r="G376" s="82"/>
      <c r="H376" s="82"/>
      <c r="I376" s="82"/>
      <c r="J376" s="82"/>
      <c r="K376" s="23">
        <v>38</v>
      </c>
      <c r="L376" s="23">
        <f>ROUND(0.017,3)</f>
        <v>1.7000000000000001E-2</v>
      </c>
      <c r="M376" s="24">
        <f t="shared" si="13"/>
        <v>0.65</v>
      </c>
    </row>
    <row r="377" spans="1:13" ht="15" customHeight="1" thickBot="1" x14ac:dyDescent="0.25">
      <c r="A377" s="5" t="s">
        <v>1118</v>
      </c>
      <c r="B377" s="5" t="s">
        <v>1119</v>
      </c>
      <c r="C377" s="5" t="s">
        <v>1120</v>
      </c>
      <c r="D377" s="82" t="s">
        <v>1121</v>
      </c>
      <c r="E377" s="82"/>
      <c r="F377" s="82"/>
      <c r="G377" s="82"/>
      <c r="H377" s="82"/>
      <c r="I377" s="82"/>
      <c r="J377" s="82"/>
      <c r="K377" s="23">
        <v>1.6</v>
      </c>
      <c r="L377" s="23">
        <f>ROUND(0.054,3)</f>
        <v>5.3999999999999999E-2</v>
      </c>
      <c r="M377" s="24">
        <f t="shared" si="13"/>
        <v>0.09</v>
      </c>
    </row>
    <row r="378" spans="1:13" ht="15" customHeight="1" thickBot="1" x14ac:dyDescent="0.25">
      <c r="A378" s="5" t="s">
        <v>1122</v>
      </c>
      <c r="B378" s="5" t="s">
        <v>1123</v>
      </c>
      <c r="C378" s="5" t="s">
        <v>1124</v>
      </c>
      <c r="D378" s="82" t="s">
        <v>1125</v>
      </c>
      <c r="E378" s="82"/>
      <c r="F378" s="82"/>
      <c r="G378" s="82"/>
      <c r="H378" s="82"/>
      <c r="I378" s="82"/>
      <c r="J378" s="82"/>
      <c r="K378" s="23">
        <v>0.22</v>
      </c>
      <c r="L378" s="23">
        <f>ROUND(0.393,3)</f>
        <v>0.39300000000000002</v>
      </c>
      <c r="M378" s="24">
        <f t="shared" si="13"/>
        <v>0.09</v>
      </c>
    </row>
    <row r="379" spans="1:13" ht="15" customHeight="1" thickBot="1" x14ac:dyDescent="0.25">
      <c r="A379" s="5" t="s">
        <v>1126</v>
      </c>
      <c r="B379" s="5" t="s">
        <v>1127</v>
      </c>
      <c r="C379" s="5" t="s">
        <v>1128</v>
      </c>
      <c r="D379" s="82" t="s">
        <v>1129</v>
      </c>
      <c r="E379" s="82"/>
      <c r="F379" s="82"/>
      <c r="G379" s="82"/>
      <c r="H379" s="82"/>
      <c r="I379" s="82"/>
      <c r="J379" s="82"/>
      <c r="K379" s="23">
        <v>1.4</v>
      </c>
      <c r="L379" s="23">
        <f>ROUND(0.823,3)</f>
        <v>0.82299999999999995</v>
      </c>
      <c r="M379" s="24">
        <f t="shared" si="13"/>
        <v>1.1499999999999999</v>
      </c>
    </row>
    <row r="380" spans="1:13" ht="15" customHeight="1" thickBot="1" x14ac:dyDescent="0.25">
      <c r="A380" s="5" t="s">
        <v>1130</v>
      </c>
      <c r="B380" s="5" t="s">
        <v>1131</v>
      </c>
      <c r="C380" s="5" t="s">
        <v>1132</v>
      </c>
      <c r="D380" s="82" t="s">
        <v>1133</v>
      </c>
      <c r="E380" s="82"/>
      <c r="F380" s="82"/>
      <c r="G380" s="82"/>
      <c r="H380" s="82"/>
      <c r="I380" s="82"/>
      <c r="J380" s="82"/>
      <c r="K380" s="23">
        <v>3.2</v>
      </c>
      <c r="L380" s="23">
        <f>ROUND(0.035,3)</f>
        <v>3.5000000000000003E-2</v>
      </c>
      <c r="M380" s="24">
        <f t="shared" si="13"/>
        <v>0.11</v>
      </c>
    </row>
    <row r="381" spans="1:13" ht="15" customHeight="1" thickBot="1" x14ac:dyDescent="0.25">
      <c r="A381" s="5" t="s">
        <v>1134</v>
      </c>
      <c r="B381" s="5" t="s">
        <v>1135</v>
      </c>
      <c r="C381" s="5" t="s">
        <v>1136</v>
      </c>
      <c r="D381" s="82" t="s">
        <v>1137</v>
      </c>
      <c r="E381" s="82"/>
      <c r="F381" s="82"/>
      <c r="G381" s="82"/>
      <c r="H381" s="82"/>
      <c r="I381" s="82"/>
      <c r="J381" s="82"/>
      <c r="K381" s="23">
        <v>0.3</v>
      </c>
      <c r="L381" s="23">
        <f>ROUND(0.383,3)</f>
        <v>0.38300000000000001</v>
      </c>
      <c r="M381" s="24">
        <f t="shared" si="13"/>
        <v>0.11</v>
      </c>
    </row>
    <row r="382" spans="1:13" ht="15" customHeight="1" thickBot="1" x14ac:dyDescent="0.25">
      <c r="A382" s="5" t="s">
        <v>1138</v>
      </c>
      <c r="B382" s="5" t="s">
        <v>1139</v>
      </c>
      <c r="C382" s="5" t="s">
        <v>1140</v>
      </c>
      <c r="D382" s="82" t="s">
        <v>1141</v>
      </c>
      <c r="E382" s="82"/>
      <c r="F382" s="82"/>
      <c r="G382" s="82"/>
      <c r="H382" s="82"/>
      <c r="I382" s="82"/>
      <c r="J382" s="82"/>
      <c r="K382" s="23">
        <v>0.32800000000000001</v>
      </c>
      <c r="L382" s="23">
        <f>ROUND(22,3)</f>
        <v>22</v>
      </c>
      <c r="M382" s="24">
        <f t="shared" si="13"/>
        <v>7.22</v>
      </c>
    </row>
    <row r="383" spans="1:13" ht="15" customHeight="1" thickBot="1" x14ac:dyDescent="0.25">
      <c r="A383" s="5" t="s">
        <v>1142</v>
      </c>
      <c r="B383" s="5" t="s">
        <v>1143</v>
      </c>
      <c r="C383" s="5" t="s">
        <v>1144</v>
      </c>
      <c r="D383" s="82" t="s">
        <v>1145</v>
      </c>
      <c r="E383" s="82"/>
      <c r="F383" s="82"/>
      <c r="G383" s="82"/>
      <c r="H383" s="82"/>
      <c r="I383" s="82"/>
      <c r="J383" s="82"/>
      <c r="K383" s="23">
        <v>0.32800000000000001</v>
      </c>
      <c r="L383" s="23">
        <f>ROUND(20.34,3)</f>
        <v>20.34</v>
      </c>
      <c r="M383" s="24">
        <f t="shared" si="13"/>
        <v>6.67</v>
      </c>
    </row>
    <row r="384" spans="1:13" ht="15" customHeight="1" thickBot="1" x14ac:dyDescent="0.25">
      <c r="A384" s="5" t="s">
        <v>1146</v>
      </c>
      <c r="B384" s="5"/>
      <c r="C384" s="5" t="s">
        <v>1147</v>
      </c>
      <c r="D384" s="82" t="s">
        <v>1148</v>
      </c>
      <c r="E384" s="82"/>
      <c r="F384" s="82"/>
      <c r="G384" s="82"/>
      <c r="H384" s="82"/>
      <c r="I384" s="82"/>
      <c r="J384" s="82"/>
      <c r="K384" s="23">
        <v>2</v>
      </c>
      <c r="L384" s="23">
        <f>ROUND(90.42,3)</f>
        <v>90.42</v>
      </c>
      <c r="M384" s="24">
        <f>ROUND((K384*L384)/100,2)</f>
        <v>1.81</v>
      </c>
    </row>
    <row r="385" spans="1:13" ht="15.25" customHeight="1" thickBot="1" x14ac:dyDescent="0.25">
      <c r="A385" s="26"/>
      <c r="B385" s="26"/>
      <c r="C385" s="26"/>
      <c r="D385" s="27" t="s">
        <v>1149</v>
      </c>
      <c r="E385" s="26"/>
      <c r="F385" s="26"/>
      <c r="G385" s="26"/>
      <c r="H385" s="26"/>
      <c r="I385" s="26"/>
      <c r="J385" s="26"/>
      <c r="K385" s="28">
        <v>73.275999999999996</v>
      </c>
      <c r="L385" s="29">
        <f>ROUND((M370+M371+M372+M373+M374+M375+M376+M377+M378+M379+M380+M381+M382+M383+M384)*(1+M2/100),2)</f>
        <v>95</v>
      </c>
      <c r="M385" s="29">
        <f>ROUND(K385*L385,2)</f>
        <v>6961.22</v>
      </c>
    </row>
    <row r="386" spans="1:13" ht="15.25" customHeight="1" thickBot="1" x14ac:dyDescent="0.25">
      <c r="A386" s="30" t="s">
        <v>1150</v>
      </c>
      <c r="B386" s="31" t="s">
        <v>1151</v>
      </c>
      <c r="C386" s="31" t="s">
        <v>1152</v>
      </c>
      <c r="D386" s="83" t="s">
        <v>1153</v>
      </c>
      <c r="E386" s="83"/>
      <c r="F386" s="83"/>
      <c r="G386" s="83"/>
      <c r="H386" s="83"/>
      <c r="I386" s="83"/>
      <c r="J386" s="83"/>
      <c r="K386" s="32">
        <f>SUM(K389:K390)</f>
        <v>53.332999999999998</v>
      </c>
      <c r="L386" s="33">
        <f>L404</f>
        <v>30.79</v>
      </c>
      <c r="M386" s="33">
        <f>ROUND(K386*L386,2)</f>
        <v>1642.12</v>
      </c>
    </row>
    <row r="387" spans="1:13" ht="131.5" customHeight="1" thickBot="1" x14ac:dyDescent="0.25">
      <c r="A387" s="25"/>
      <c r="B387" s="25"/>
      <c r="C387" s="25"/>
      <c r="D387" s="82" t="s">
        <v>1154</v>
      </c>
      <c r="E387" s="82"/>
      <c r="F387" s="82"/>
      <c r="G387" s="82"/>
      <c r="H387" s="82"/>
      <c r="I387" s="82"/>
      <c r="J387" s="82"/>
      <c r="K387" s="82"/>
      <c r="L387" s="82"/>
      <c r="M387" s="82"/>
    </row>
    <row r="388" spans="1:13" ht="15" customHeight="1" thickBot="1" x14ac:dyDescent="0.25">
      <c r="A388" s="25"/>
      <c r="B388" s="25"/>
      <c r="C388" s="25"/>
      <c r="D388" s="25"/>
      <c r="E388" s="41"/>
      <c r="F388" s="43" t="s">
        <v>1155</v>
      </c>
      <c r="G388" s="43" t="s">
        <v>1156</v>
      </c>
      <c r="H388" s="43" t="s">
        <v>1157</v>
      </c>
      <c r="I388" s="43" t="s">
        <v>1158</v>
      </c>
      <c r="J388" s="43" t="s">
        <v>1159</v>
      </c>
      <c r="K388" s="43" t="s">
        <v>1160</v>
      </c>
      <c r="L388" s="25"/>
      <c r="M388" s="25"/>
    </row>
    <row r="389" spans="1:13" ht="15" customHeight="1" thickBot="1" x14ac:dyDescent="0.25">
      <c r="A389" s="25"/>
      <c r="B389" s="25"/>
      <c r="C389" s="25"/>
      <c r="D389" s="44"/>
      <c r="E389" s="45" t="s">
        <v>1161</v>
      </c>
      <c r="F389" s="46">
        <v>1</v>
      </c>
      <c r="G389" s="47">
        <v>13.81</v>
      </c>
      <c r="H389" s="47"/>
      <c r="I389" s="47">
        <v>3.25</v>
      </c>
      <c r="J389" s="49">
        <f>ROUND(F389*G389*I389,3)</f>
        <v>44.883000000000003</v>
      </c>
      <c r="K389" s="50"/>
      <c r="L389" s="25"/>
      <c r="M389" s="25"/>
    </row>
    <row r="390" spans="1:13" ht="15" customHeight="1" thickBot="1" x14ac:dyDescent="0.25">
      <c r="A390" s="25"/>
      <c r="B390" s="25"/>
      <c r="C390" s="25"/>
      <c r="D390" s="44"/>
      <c r="E390" s="5" t="s">
        <v>1162</v>
      </c>
      <c r="F390" s="3">
        <v>1</v>
      </c>
      <c r="G390" s="23">
        <v>2.6</v>
      </c>
      <c r="H390" s="23"/>
      <c r="I390" s="23">
        <v>3.25</v>
      </c>
      <c r="J390" s="48">
        <f>ROUND(F390*G390*I390,3)</f>
        <v>8.4499999999999993</v>
      </c>
      <c r="K390" s="51">
        <f>SUM(J389:J390)</f>
        <v>53.332999999999998</v>
      </c>
      <c r="L390" s="25"/>
      <c r="M390" s="25"/>
    </row>
    <row r="391" spans="1:13" ht="21.25" customHeight="1" thickBot="1" x14ac:dyDescent="0.25">
      <c r="A391" s="5" t="s">
        <v>1163</v>
      </c>
      <c r="B391" s="5" t="s">
        <v>1164</v>
      </c>
      <c r="C391" s="5" t="s">
        <v>1165</v>
      </c>
      <c r="D391" s="82" t="s">
        <v>1166</v>
      </c>
      <c r="E391" s="82"/>
      <c r="F391" s="82"/>
      <c r="G391" s="82"/>
      <c r="H391" s="82"/>
      <c r="I391" s="82"/>
      <c r="J391" s="82"/>
      <c r="K391" s="23">
        <v>1.2</v>
      </c>
      <c r="L391" s="23">
        <f>ROUND(0.219,3)</f>
        <v>0.219</v>
      </c>
      <c r="M391" s="24">
        <f t="shared" ref="M391:M402" si="14">ROUND(K391*L391,2)</f>
        <v>0.26</v>
      </c>
    </row>
    <row r="392" spans="1:13" ht="15" customHeight="1" thickBot="1" x14ac:dyDescent="0.25">
      <c r="A392" s="5" t="s">
        <v>1167</v>
      </c>
      <c r="B392" s="5" t="s">
        <v>1168</v>
      </c>
      <c r="C392" s="5" t="s">
        <v>1169</v>
      </c>
      <c r="D392" s="82" t="s">
        <v>1170</v>
      </c>
      <c r="E392" s="82"/>
      <c r="F392" s="82"/>
      <c r="G392" s="82"/>
      <c r="H392" s="82"/>
      <c r="I392" s="82"/>
      <c r="J392" s="82"/>
      <c r="K392" s="23">
        <v>0.7</v>
      </c>
      <c r="L392" s="23">
        <f>ROUND(1.198,3)</f>
        <v>1.198</v>
      </c>
      <c r="M392" s="24">
        <f t="shared" si="14"/>
        <v>0.84</v>
      </c>
    </row>
    <row r="393" spans="1:13" ht="15" customHeight="1" thickBot="1" x14ac:dyDescent="0.25">
      <c r="A393" s="5" t="s">
        <v>1171</v>
      </c>
      <c r="B393" s="5" t="s">
        <v>1172</v>
      </c>
      <c r="C393" s="5" t="s">
        <v>1173</v>
      </c>
      <c r="D393" s="82" t="s">
        <v>1174</v>
      </c>
      <c r="E393" s="82"/>
      <c r="F393" s="82"/>
      <c r="G393" s="82"/>
      <c r="H393" s="82"/>
      <c r="I393" s="82"/>
      <c r="J393" s="82"/>
      <c r="K393" s="23">
        <v>2.75</v>
      </c>
      <c r="L393" s="23">
        <f>ROUND(1.445,3)</f>
        <v>1.4450000000000001</v>
      </c>
      <c r="M393" s="24">
        <f t="shared" si="14"/>
        <v>3.97</v>
      </c>
    </row>
    <row r="394" spans="1:13" ht="15" customHeight="1" thickBot="1" x14ac:dyDescent="0.25">
      <c r="A394" s="5" t="s">
        <v>1175</v>
      </c>
      <c r="B394" s="5" t="s">
        <v>1176</v>
      </c>
      <c r="C394" s="5" t="s">
        <v>1177</v>
      </c>
      <c r="D394" s="82" t="s">
        <v>1178</v>
      </c>
      <c r="E394" s="82"/>
      <c r="F394" s="82"/>
      <c r="G394" s="82"/>
      <c r="H394" s="82"/>
      <c r="I394" s="82"/>
      <c r="J394" s="82"/>
      <c r="K394" s="23">
        <v>2.1</v>
      </c>
      <c r="L394" s="23">
        <f>ROUND(4.363,3)</f>
        <v>4.3630000000000004</v>
      </c>
      <c r="M394" s="24">
        <f t="shared" si="14"/>
        <v>9.16</v>
      </c>
    </row>
    <row r="395" spans="1:13" ht="15" customHeight="1" thickBot="1" x14ac:dyDescent="0.25">
      <c r="A395" s="5" t="s">
        <v>1179</v>
      </c>
      <c r="B395" s="5" t="s">
        <v>1180</v>
      </c>
      <c r="C395" s="5" t="s">
        <v>1181</v>
      </c>
      <c r="D395" s="82" t="s">
        <v>1182</v>
      </c>
      <c r="E395" s="82"/>
      <c r="F395" s="82"/>
      <c r="G395" s="82"/>
      <c r="H395" s="82"/>
      <c r="I395" s="82"/>
      <c r="J395" s="82"/>
      <c r="K395" s="23">
        <v>38</v>
      </c>
      <c r="L395" s="23">
        <f>ROUND(0.009,3)</f>
        <v>8.9999999999999993E-3</v>
      </c>
      <c r="M395" s="24">
        <f t="shared" si="14"/>
        <v>0.34</v>
      </c>
    </row>
    <row r="396" spans="1:13" ht="15" customHeight="1" thickBot="1" x14ac:dyDescent="0.25">
      <c r="A396" s="5" t="s">
        <v>1183</v>
      </c>
      <c r="B396" s="5" t="s">
        <v>1184</v>
      </c>
      <c r="C396" s="5" t="s">
        <v>1185</v>
      </c>
      <c r="D396" s="82" t="s">
        <v>1186</v>
      </c>
      <c r="E396" s="82"/>
      <c r="F396" s="82"/>
      <c r="G396" s="82"/>
      <c r="H396" s="82"/>
      <c r="I396" s="82"/>
      <c r="J396" s="82"/>
      <c r="K396" s="23">
        <v>1.6</v>
      </c>
      <c r="L396" s="23">
        <f>ROUND(0.054,3)</f>
        <v>5.3999999999999999E-2</v>
      </c>
      <c r="M396" s="24">
        <f t="shared" si="14"/>
        <v>0.09</v>
      </c>
    </row>
    <row r="397" spans="1:13" ht="15" customHeight="1" thickBot="1" x14ac:dyDescent="0.25">
      <c r="A397" s="5" t="s">
        <v>1187</v>
      </c>
      <c r="B397" s="5" t="s">
        <v>1188</v>
      </c>
      <c r="C397" s="5" t="s">
        <v>1189</v>
      </c>
      <c r="D397" s="82" t="s">
        <v>1190</v>
      </c>
      <c r="E397" s="82"/>
      <c r="F397" s="82"/>
      <c r="G397" s="82"/>
      <c r="H397" s="82"/>
      <c r="I397" s="82"/>
      <c r="J397" s="82"/>
      <c r="K397" s="23">
        <v>0.1</v>
      </c>
      <c r="L397" s="23">
        <f>ROUND(0.393,3)</f>
        <v>0.39300000000000002</v>
      </c>
      <c r="M397" s="24">
        <f t="shared" si="14"/>
        <v>0.04</v>
      </c>
    </row>
    <row r="398" spans="1:13" ht="15" customHeight="1" thickBot="1" x14ac:dyDescent="0.25">
      <c r="A398" s="5" t="s">
        <v>1191</v>
      </c>
      <c r="B398" s="5" t="s">
        <v>1192</v>
      </c>
      <c r="C398" s="5" t="s">
        <v>1193</v>
      </c>
      <c r="D398" s="82" t="s">
        <v>1194</v>
      </c>
      <c r="E398" s="82"/>
      <c r="F398" s="82"/>
      <c r="G398" s="82"/>
      <c r="H398" s="82"/>
      <c r="I398" s="82"/>
      <c r="J398" s="82"/>
      <c r="K398" s="23">
        <v>0.6</v>
      </c>
      <c r="L398" s="23">
        <f>ROUND(0.823,3)</f>
        <v>0.82299999999999995</v>
      </c>
      <c r="M398" s="24">
        <f t="shared" si="14"/>
        <v>0.49</v>
      </c>
    </row>
    <row r="399" spans="1:13" ht="15" customHeight="1" thickBot="1" x14ac:dyDescent="0.25">
      <c r="A399" s="5" t="s">
        <v>1195</v>
      </c>
      <c r="B399" s="5" t="s">
        <v>1196</v>
      </c>
      <c r="C399" s="5" t="s">
        <v>1197</v>
      </c>
      <c r="D399" s="82" t="s">
        <v>1198</v>
      </c>
      <c r="E399" s="82"/>
      <c r="F399" s="82"/>
      <c r="G399" s="82"/>
      <c r="H399" s="82"/>
      <c r="I399" s="82"/>
      <c r="J399" s="82"/>
      <c r="K399" s="23">
        <v>3.2</v>
      </c>
      <c r="L399" s="23">
        <f>ROUND(0.035,3)</f>
        <v>3.5000000000000003E-2</v>
      </c>
      <c r="M399" s="24">
        <f t="shared" si="14"/>
        <v>0.11</v>
      </c>
    </row>
    <row r="400" spans="1:13" ht="15" customHeight="1" thickBot="1" x14ac:dyDescent="0.25">
      <c r="A400" s="5" t="s">
        <v>1199</v>
      </c>
      <c r="B400" s="5" t="s">
        <v>1200</v>
      </c>
      <c r="C400" s="5" t="s">
        <v>1201</v>
      </c>
      <c r="D400" s="82" t="s">
        <v>1202</v>
      </c>
      <c r="E400" s="82"/>
      <c r="F400" s="82"/>
      <c r="G400" s="82"/>
      <c r="H400" s="82"/>
      <c r="I400" s="82"/>
      <c r="J400" s="82"/>
      <c r="K400" s="23">
        <v>0.3</v>
      </c>
      <c r="L400" s="23">
        <f>ROUND(0.383,3)</f>
        <v>0.38300000000000001</v>
      </c>
      <c r="M400" s="24">
        <f t="shared" si="14"/>
        <v>0.11</v>
      </c>
    </row>
    <row r="401" spans="1:13" ht="15" customHeight="1" thickBot="1" x14ac:dyDescent="0.25">
      <c r="A401" s="5" t="s">
        <v>1203</v>
      </c>
      <c r="B401" s="5" t="s">
        <v>1204</v>
      </c>
      <c r="C401" s="5" t="s">
        <v>1205</v>
      </c>
      <c r="D401" s="82" t="s">
        <v>1206</v>
      </c>
      <c r="E401" s="82"/>
      <c r="F401" s="82"/>
      <c r="G401" s="82"/>
      <c r="H401" s="82"/>
      <c r="I401" s="82"/>
      <c r="J401" s="82"/>
      <c r="K401" s="23">
        <v>0.32800000000000001</v>
      </c>
      <c r="L401" s="23">
        <f>ROUND(22,3)</f>
        <v>22</v>
      </c>
      <c r="M401" s="24">
        <f t="shared" si="14"/>
        <v>7.22</v>
      </c>
    </row>
    <row r="402" spans="1:13" ht="15" customHeight="1" thickBot="1" x14ac:dyDescent="0.25">
      <c r="A402" s="5" t="s">
        <v>1207</v>
      </c>
      <c r="B402" s="5" t="s">
        <v>1208</v>
      </c>
      <c r="C402" s="5" t="s">
        <v>1209</v>
      </c>
      <c r="D402" s="82" t="s">
        <v>1210</v>
      </c>
      <c r="E402" s="82"/>
      <c r="F402" s="82"/>
      <c r="G402" s="82"/>
      <c r="H402" s="82"/>
      <c r="I402" s="82"/>
      <c r="J402" s="82"/>
      <c r="K402" s="23">
        <v>0.32800000000000001</v>
      </c>
      <c r="L402" s="23">
        <f>ROUND(20.34,3)</f>
        <v>20.34</v>
      </c>
      <c r="M402" s="24">
        <f t="shared" si="14"/>
        <v>6.67</v>
      </c>
    </row>
    <row r="403" spans="1:13" ht="15" customHeight="1" thickBot="1" x14ac:dyDescent="0.25">
      <c r="A403" s="5" t="s">
        <v>1211</v>
      </c>
      <c r="B403" s="5"/>
      <c r="C403" s="5" t="s">
        <v>1212</v>
      </c>
      <c r="D403" s="82" t="s">
        <v>1213</v>
      </c>
      <c r="E403" s="82"/>
      <c r="F403" s="82"/>
      <c r="G403" s="82"/>
      <c r="H403" s="82"/>
      <c r="I403" s="82"/>
      <c r="J403" s="82"/>
      <c r="K403" s="23">
        <v>2</v>
      </c>
      <c r="L403" s="23">
        <f>ROUND(29.3,3)</f>
        <v>29.3</v>
      </c>
      <c r="M403" s="24">
        <f>ROUND((K403*L403)/100,2)</f>
        <v>0.59</v>
      </c>
    </row>
    <row r="404" spans="1:13" ht="15.25" customHeight="1" thickBot="1" x14ac:dyDescent="0.25">
      <c r="A404" s="26"/>
      <c r="B404" s="26"/>
      <c r="C404" s="26"/>
      <c r="D404" s="27" t="s">
        <v>1214</v>
      </c>
      <c r="E404" s="26"/>
      <c r="F404" s="26"/>
      <c r="G404" s="26"/>
      <c r="H404" s="26"/>
      <c r="I404" s="26"/>
      <c r="J404" s="26"/>
      <c r="K404" s="28">
        <v>53.332999999999998</v>
      </c>
      <c r="L404" s="29">
        <f>ROUND((M391+M392+M393+M394+M395+M396+M397+M398+M399+M400+M401+M402+M403)*(1+M2/100),2)</f>
        <v>30.79</v>
      </c>
      <c r="M404" s="29">
        <f>ROUND(K404*L404,2)</f>
        <v>1642.12</v>
      </c>
    </row>
    <row r="405" spans="1:13" ht="15.25" customHeight="1" thickBot="1" x14ac:dyDescent="0.25">
      <c r="A405" s="34"/>
      <c r="B405" s="34"/>
      <c r="C405" s="34"/>
      <c r="D405" s="35" t="s">
        <v>1215</v>
      </c>
      <c r="E405" s="36"/>
      <c r="F405" s="36"/>
      <c r="G405" s="36"/>
      <c r="H405" s="36"/>
      <c r="I405" s="36"/>
      <c r="J405" s="36"/>
      <c r="K405" s="36"/>
      <c r="L405" s="37">
        <f>M360+M386</f>
        <v>8603.34</v>
      </c>
      <c r="M405" s="37">
        <f>ROUND(L405,2)</f>
        <v>8603.34</v>
      </c>
    </row>
    <row r="406" spans="1:13" ht="15.25" customHeight="1" thickBot="1" x14ac:dyDescent="0.25">
      <c r="A406" s="34"/>
      <c r="B406" s="34"/>
      <c r="C406" s="34"/>
      <c r="D406" s="52" t="s">
        <v>1216</v>
      </c>
      <c r="E406" s="53"/>
      <c r="F406" s="53"/>
      <c r="G406" s="53"/>
      <c r="H406" s="53"/>
      <c r="I406" s="53"/>
      <c r="J406" s="53"/>
      <c r="K406" s="53"/>
      <c r="L406" s="54">
        <f>M405</f>
        <v>8603.34</v>
      </c>
      <c r="M406" s="54">
        <f>ROUND(L406,2)</f>
        <v>8603.34</v>
      </c>
    </row>
    <row r="407" spans="1:13" ht="15.25" customHeight="1" thickBot="1" x14ac:dyDescent="0.25">
      <c r="A407" s="55" t="s">
        <v>1217</v>
      </c>
      <c r="B407" s="55" t="s">
        <v>1218</v>
      </c>
      <c r="C407" s="56"/>
      <c r="D407" s="85" t="s">
        <v>1219</v>
      </c>
      <c r="E407" s="85"/>
      <c r="F407" s="85"/>
      <c r="G407" s="85"/>
      <c r="H407" s="85"/>
      <c r="I407" s="85"/>
      <c r="J407" s="85"/>
      <c r="K407" s="56"/>
      <c r="L407" s="57">
        <f>L436</f>
        <v>1008.03</v>
      </c>
      <c r="M407" s="57">
        <f>ROUND(L407,2)</f>
        <v>1008.03</v>
      </c>
    </row>
    <row r="408" spans="1:13" ht="15.25" customHeight="1" thickBot="1" x14ac:dyDescent="0.25">
      <c r="A408" s="20" t="s">
        <v>1220</v>
      </c>
      <c r="B408" s="20" t="s">
        <v>1221</v>
      </c>
      <c r="C408" s="21"/>
      <c r="D408" s="81" t="s">
        <v>1222</v>
      </c>
      <c r="E408" s="81"/>
      <c r="F408" s="81"/>
      <c r="G408" s="81"/>
      <c r="H408" s="81"/>
      <c r="I408" s="81"/>
      <c r="J408" s="81"/>
      <c r="K408" s="21"/>
      <c r="L408" s="22">
        <f>L419</f>
        <v>443.37</v>
      </c>
      <c r="M408" s="22">
        <f>ROUND(L408,2)</f>
        <v>443.37</v>
      </c>
    </row>
    <row r="409" spans="1:13" ht="15.25" customHeight="1" thickBot="1" x14ac:dyDescent="0.25">
      <c r="A409" s="10" t="s">
        <v>1223</v>
      </c>
      <c r="B409" s="5" t="s">
        <v>1224</v>
      </c>
      <c r="C409" s="5" t="s">
        <v>1225</v>
      </c>
      <c r="D409" s="82" t="s">
        <v>1226</v>
      </c>
      <c r="E409" s="82"/>
      <c r="F409" s="82"/>
      <c r="G409" s="82"/>
      <c r="H409" s="82"/>
      <c r="I409" s="82"/>
      <c r="J409" s="82"/>
      <c r="K409" s="23">
        <f>SUM(K412:K412)</f>
        <v>7.05</v>
      </c>
      <c r="L409" s="24">
        <f>L418</f>
        <v>62.89</v>
      </c>
      <c r="M409" s="24">
        <f>ROUND(K409*L409,2)</f>
        <v>443.37</v>
      </c>
    </row>
    <row r="410" spans="1:13" ht="58" customHeight="1" thickBot="1" x14ac:dyDescent="0.25">
      <c r="A410" s="25"/>
      <c r="B410" s="25"/>
      <c r="C410" s="25"/>
      <c r="D410" s="82" t="s">
        <v>1227</v>
      </c>
      <c r="E410" s="82"/>
      <c r="F410" s="82"/>
      <c r="G410" s="82"/>
      <c r="H410" s="82"/>
      <c r="I410" s="82"/>
      <c r="J410" s="82"/>
      <c r="K410" s="82"/>
      <c r="L410" s="82"/>
      <c r="M410" s="82"/>
    </row>
    <row r="411" spans="1:13" ht="15" customHeight="1" thickBot="1" x14ac:dyDescent="0.25">
      <c r="A411" s="25"/>
      <c r="B411" s="25"/>
      <c r="C411" s="25"/>
      <c r="D411" s="25"/>
      <c r="E411" s="41"/>
      <c r="F411" s="43" t="s">
        <v>1228</v>
      </c>
      <c r="G411" s="43" t="s">
        <v>1229</v>
      </c>
      <c r="H411" s="43" t="s">
        <v>1230</v>
      </c>
      <c r="I411" s="43" t="s">
        <v>1231</v>
      </c>
      <c r="J411" s="43" t="s">
        <v>1232</v>
      </c>
      <c r="K411" s="43" t="s">
        <v>1233</v>
      </c>
      <c r="L411" s="25"/>
      <c r="M411" s="25"/>
    </row>
    <row r="412" spans="1:13" ht="15" customHeight="1" thickBot="1" x14ac:dyDescent="0.25">
      <c r="A412" s="25"/>
      <c r="B412" s="25"/>
      <c r="C412" s="25"/>
      <c r="D412" s="44"/>
      <c r="E412" s="45" t="s">
        <v>1234</v>
      </c>
      <c r="F412" s="46">
        <v>1</v>
      </c>
      <c r="G412" s="47">
        <v>9.4</v>
      </c>
      <c r="H412" s="47">
        <v>0.75</v>
      </c>
      <c r="I412" s="47"/>
      <c r="J412" s="49">
        <f>ROUND(F412*G412*H412,3)</f>
        <v>7.05</v>
      </c>
      <c r="K412" s="58">
        <f>SUM(J412:J412)</f>
        <v>7.05</v>
      </c>
      <c r="L412" s="25"/>
      <c r="M412" s="25"/>
    </row>
    <row r="413" spans="1:13" ht="21.25" customHeight="1" thickBot="1" x14ac:dyDescent="0.25">
      <c r="A413" s="5" t="s">
        <v>1235</v>
      </c>
      <c r="B413" s="5" t="s">
        <v>1236</v>
      </c>
      <c r="C413" s="5" t="s">
        <v>1237</v>
      </c>
      <c r="D413" s="82" t="s">
        <v>1238</v>
      </c>
      <c r="E413" s="82"/>
      <c r="F413" s="82"/>
      <c r="G413" s="82"/>
      <c r="H413" s="82"/>
      <c r="I413" s="82"/>
      <c r="J413" s="82"/>
      <c r="K413" s="23">
        <v>1</v>
      </c>
      <c r="L413" s="23">
        <f>ROUND(47.243,3)</f>
        <v>47.243000000000002</v>
      </c>
      <c r="M413" s="24">
        <f>ROUND(K413*L413,2)</f>
        <v>47.24</v>
      </c>
    </row>
    <row r="414" spans="1:13" ht="15" customHeight="1" thickBot="1" x14ac:dyDescent="0.25">
      <c r="A414" s="5" t="s">
        <v>1239</v>
      </c>
      <c r="B414" s="5" t="s">
        <v>1240</v>
      </c>
      <c r="C414" s="5" t="s">
        <v>1241</v>
      </c>
      <c r="D414" s="82" t="s">
        <v>1242</v>
      </c>
      <c r="E414" s="82"/>
      <c r="F414" s="82"/>
      <c r="G414" s="82"/>
      <c r="H414" s="82"/>
      <c r="I414" s="82"/>
      <c r="J414" s="82"/>
      <c r="K414" s="23">
        <v>4</v>
      </c>
      <c r="L414" s="23">
        <f>ROUND(0.253,3)</f>
        <v>0.253</v>
      </c>
      <c r="M414" s="24">
        <f>ROUND(K414*L414,2)</f>
        <v>1.01</v>
      </c>
    </row>
    <row r="415" spans="1:13" ht="15" customHeight="1" thickBot="1" x14ac:dyDescent="0.25">
      <c r="A415" s="5" t="s">
        <v>1243</v>
      </c>
      <c r="B415" s="5" t="s">
        <v>1244</v>
      </c>
      <c r="C415" s="5" t="s">
        <v>1245</v>
      </c>
      <c r="D415" s="82" t="s">
        <v>1246</v>
      </c>
      <c r="E415" s="82"/>
      <c r="F415" s="82"/>
      <c r="G415" s="82"/>
      <c r="H415" s="82"/>
      <c r="I415" s="82"/>
      <c r="J415" s="82"/>
      <c r="K415" s="23">
        <v>0.32</v>
      </c>
      <c r="L415" s="23">
        <f>ROUND(21.69,3)</f>
        <v>21.69</v>
      </c>
      <c r="M415" s="24">
        <f>ROUND(K415*L415,2)</f>
        <v>6.94</v>
      </c>
    </row>
    <row r="416" spans="1:13" ht="15" customHeight="1" thickBot="1" x14ac:dyDescent="0.25">
      <c r="A416" s="5" t="s">
        <v>1247</v>
      </c>
      <c r="B416" s="5" t="s">
        <v>1248</v>
      </c>
      <c r="C416" s="5" t="s">
        <v>1249</v>
      </c>
      <c r="D416" s="82" t="s">
        <v>1250</v>
      </c>
      <c r="E416" s="82"/>
      <c r="F416" s="82"/>
      <c r="G416" s="82"/>
      <c r="H416" s="82"/>
      <c r="I416" s="82"/>
      <c r="J416" s="82"/>
      <c r="K416" s="23">
        <v>0.22900000000000001</v>
      </c>
      <c r="L416" s="23">
        <f>ROUND(20.38,3)</f>
        <v>20.38</v>
      </c>
      <c r="M416" s="24">
        <f>ROUND(K416*L416,2)</f>
        <v>4.67</v>
      </c>
    </row>
    <row r="417" spans="1:13" ht="15" customHeight="1" thickBot="1" x14ac:dyDescent="0.25">
      <c r="A417" s="5" t="s">
        <v>1251</v>
      </c>
      <c r="B417" s="5"/>
      <c r="C417" s="5" t="s">
        <v>1252</v>
      </c>
      <c r="D417" s="82" t="s">
        <v>1253</v>
      </c>
      <c r="E417" s="82"/>
      <c r="F417" s="82"/>
      <c r="G417" s="82"/>
      <c r="H417" s="82"/>
      <c r="I417" s="82"/>
      <c r="J417" s="82"/>
      <c r="K417" s="23">
        <v>2</v>
      </c>
      <c r="L417" s="23">
        <f>ROUND(59.86,3)</f>
        <v>59.86</v>
      </c>
      <c r="M417" s="24">
        <f>ROUND((K417*L417)/100,2)</f>
        <v>1.2</v>
      </c>
    </row>
    <row r="418" spans="1:13" ht="15.25" customHeight="1" thickBot="1" x14ac:dyDescent="0.25">
      <c r="A418" s="26"/>
      <c r="B418" s="26"/>
      <c r="C418" s="26"/>
      <c r="D418" s="27" t="s">
        <v>1254</v>
      </c>
      <c r="E418" s="26"/>
      <c r="F418" s="26"/>
      <c r="G418" s="26"/>
      <c r="H418" s="26"/>
      <c r="I418" s="26"/>
      <c r="J418" s="26"/>
      <c r="K418" s="28">
        <v>7.05</v>
      </c>
      <c r="L418" s="29">
        <f>ROUND((M413+M414+M415+M416+M417)*(1+M2/100),2)</f>
        <v>62.89</v>
      </c>
      <c r="M418" s="29">
        <f>ROUND(K418*L418,2)</f>
        <v>443.37</v>
      </c>
    </row>
    <row r="419" spans="1:13" ht="15.25" customHeight="1" thickBot="1" x14ac:dyDescent="0.25">
      <c r="A419" s="34"/>
      <c r="B419" s="34"/>
      <c r="C419" s="34"/>
      <c r="D419" s="35" t="s">
        <v>1255</v>
      </c>
      <c r="E419" s="36"/>
      <c r="F419" s="36"/>
      <c r="G419" s="36"/>
      <c r="H419" s="36"/>
      <c r="I419" s="36"/>
      <c r="J419" s="36"/>
      <c r="K419" s="36"/>
      <c r="L419" s="37">
        <f>M409</f>
        <v>443.37</v>
      </c>
      <c r="M419" s="37">
        <f>ROUND(L419,2)</f>
        <v>443.37</v>
      </c>
    </row>
    <row r="420" spans="1:13" ht="15.25" customHeight="1" thickBot="1" x14ac:dyDescent="0.25">
      <c r="A420" s="38" t="s">
        <v>1256</v>
      </c>
      <c r="B420" s="38" t="s">
        <v>1257</v>
      </c>
      <c r="C420" s="39"/>
      <c r="D420" s="84" t="s">
        <v>1258</v>
      </c>
      <c r="E420" s="84"/>
      <c r="F420" s="84"/>
      <c r="G420" s="84"/>
      <c r="H420" s="84"/>
      <c r="I420" s="84"/>
      <c r="J420" s="84"/>
      <c r="K420" s="39"/>
      <c r="L420" s="40">
        <f>L435</f>
        <v>564.66</v>
      </c>
      <c r="M420" s="40">
        <f>ROUND(L420,2)</f>
        <v>564.66</v>
      </c>
    </row>
    <row r="421" spans="1:13" ht="15.25" customHeight="1" thickBot="1" x14ac:dyDescent="0.25">
      <c r="A421" s="10" t="s">
        <v>1259</v>
      </c>
      <c r="B421" s="5" t="s">
        <v>1260</v>
      </c>
      <c r="C421" s="5" t="s">
        <v>1261</v>
      </c>
      <c r="D421" s="82" t="s">
        <v>1262</v>
      </c>
      <c r="E421" s="82"/>
      <c r="F421" s="82"/>
      <c r="G421" s="82"/>
      <c r="H421" s="82"/>
      <c r="I421" s="82"/>
      <c r="J421" s="82"/>
      <c r="K421" s="23">
        <f>SUM(K424:K425)</f>
        <v>2</v>
      </c>
      <c r="L421" s="24">
        <f>L434</f>
        <v>282.33</v>
      </c>
      <c r="M421" s="24">
        <f>ROUND(K421*L421,2)</f>
        <v>564.66</v>
      </c>
    </row>
    <row r="422" spans="1:13" ht="58" customHeight="1" thickBot="1" x14ac:dyDescent="0.25">
      <c r="A422" s="25"/>
      <c r="B422" s="25"/>
      <c r="C422" s="25"/>
      <c r="D422" s="82" t="s">
        <v>1263</v>
      </c>
      <c r="E422" s="82"/>
      <c r="F422" s="82"/>
      <c r="G422" s="82"/>
      <c r="H422" s="82"/>
      <c r="I422" s="82"/>
      <c r="J422" s="82"/>
      <c r="K422" s="82"/>
      <c r="L422" s="82"/>
      <c r="M422" s="82"/>
    </row>
    <row r="423" spans="1:13" ht="15" customHeight="1" thickBot="1" x14ac:dyDescent="0.25">
      <c r="A423" s="25"/>
      <c r="B423" s="25"/>
      <c r="C423" s="25"/>
      <c r="D423" s="25"/>
      <c r="E423" s="41"/>
      <c r="F423" s="43" t="s">
        <v>1264</v>
      </c>
      <c r="G423" s="43" t="s">
        <v>1265</v>
      </c>
      <c r="H423" s="43" t="s">
        <v>1266</v>
      </c>
      <c r="I423" s="43" t="s">
        <v>1267</v>
      </c>
      <c r="J423" s="43" t="s">
        <v>1268</v>
      </c>
      <c r="K423" s="43" t="s">
        <v>1269</v>
      </c>
      <c r="L423" s="25"/>
      <c r="M423" s="25"/>
    </row>
    <row r="424" spans="1:13" ht="15" customHeight="1" thickBot="1" x14ac:dyDescent="0.25">
      <c r="A424" s="25"/>
      <c r="B424" s="25"/>
      <c r="C424" s="25"/>
      <c r="D424" s="44"/>
      <c r="E424" s="45" t="s">
        <v>1270</v>
      </c>
      <c r="F424" s="46">
        <v>1</v>
      </c>
      <c r="G424" s="47">
        <v>1</v>
      </c>
      <c r="H424" s="47"/>
      <c r="I424" s="47"/>
      <c r="J424" s="49">
        <f>ROUND(F424*G424,3)</f>
        <v>1</v>
      </c>
      <c r="K424" s="50"/>
      <c r="L424" s="25"/>
      <c r="M424" s="25"/>
    </row>
    <row r="425" spans="1:13" ht="21.25" customHeight="1" thickBot="1" x14ac:dyDescent="0.25">
      <c r="A425" s="25"/>
      <c r="B425" s="25"/>
      <c r="C425" s="25"/>
      <c r="D425" s="44"/>
      <c r="E425" s="5" t="s">
        <v>1271</v>
      </c>
      <c r="F425" s="3">
        <v>1</v>
      </c>
      <c r="G425" s="23">
        <v>1</v>
      </c>
      <c r="H425" s="23"/>
      <c r="I425" s="23"/>
      <c r="J425" s="48">
        <f>ROUND(F425*G425,3)</f>
        <v>1</v>
      </c>
      <c r="K425" s="51">
        <f>SUM(J424:J425)</f>
        <v>2</v>
      </c>
      <c r="L425" s="25"/>
      <c r="M425" s="25"/>
    </row>
    <row r="426" spans="1:13" ht="15" customHeight="1" thickBot="1" x14ac:dyDescent="0.25">
      <c r="A426" s="5" t="s">
        <v>1272</v>
      </c>
      <c r="B426" s="5" t="s">
        <v>1273</v>
      </c>
      <c r="C426" s="5" t="s">
        <v>1274</v>
      </c>
      <c r="D426" s="82" t="s">
        <v>1275</v>
      </c>
      <c r="E426" s="82"/>
      <c r="F426" s="82"/>
      <c r="G426" s="82"/>
      <c r="H426" s="82"/>
      <c r="I426" s="82"/>
      <c r="J426" s="82"/>
      <c r="K426" s="23">
        <v>2</v>
      </c>
      <c r="L426" s="23">
        <f>ROUND(0.75,3)</f>
        <v>0.75</v>
      </c>
      <c r="M426" s="24">
        <f t="shared" ref="M426:M432" si="15">ROUND(K426*L426,2)</f>
        <v>1.5</v>
      </c>
    </row>
    <row r="427" spans="1:13" ht="30.5" customHeight="1" thickBot="1" x14ac:dyDescent="0.25">
      <c r="A427" s="5" t="s">
        <v>1276</v>
      </c>
      <c r="B427" s="5" t="s">
        <v>1277</v>
      </c>
      <c r="C427" s="5" t="s">
        <v>1278</v>
      </c>
      <c r="D427" s="82" t="s">
        <v>1279</v>
      </c>
      <c r="E427" s="82"/>
      <c r="F427" s="82"/>
      <c r="G427" s="82"/>
      <c r="H427" s="82"/>
      <c r="I427" s="82"/>
      <c r="J427" s="82"/>
      <c r="K427" s="23">
        <v>1</v>
      </c>
      <c r="L427" s="23">
        <f>ROUND(239.284,3)</f>
        <v>239.28399999999999</v>
      </c>
      <c r="M427" s="24">
        <f t="shared" si="15"/>
        <v>239.28</v>
      </c>
    </row>
    <row r="428" spans="1:13" ht="15" customHeight="1" thickBot="1" x14ac:dyDescent="0.25">
      <c r="A428" s="5" t="s">
        <v>1280</v>
      </c>
      <c r="B428" s="5" t="s">
        <v>1281</v>
      </c>
      <c r="C428" s="5" t="s">
        <v>1282</v>
      </c>
      <c r="D428" s="82" t="s">
        <v>1283</v>
      </c>
      <c r="E428" s="82"/>
      <c r="F428" s="82"/>
      <c r="G428" s="82"/>
      <c r="H428" s="82"/>
      <c r="I428" s="82"/>
      <c r="J428" s="82"/>
      <c r="K428" s="23">
        <v>0.1</v>
      </c>
      <c r="L428" s="23">
        <f>ROUND(3.129,3)</f>
        <v>3.129</v>
      </c>
      <c r="M428" s="24">
        <f t="shared" si="15"/>
        <v>0.31</v>
      </c>
    </row>
    <row r="429" spans="1:13" ht="15" customHeight="1" thickBot="1" x14ac:dyDescent="0.25">
      <c r="A429" s="5" t="s">
        <v>1284</v>
      </c>
      <c r="B429" s="5" t="s">
        <v>1285</v>
      </c>
      <c r="C429" s="5" t="s">
        <v>1286</v>
      </c>
      <c r="D429" s="82" t="s">
        <v>1287</v>
      </c>
      <c r="E429" s="82"/>
      <c r="F429" s="82"/>
      <c r="G429" s="82"/>
      <c r="H429" s="82"/>
      <c r="I429" s="82"/>
      <c r="J429" s="82"/>
      <c r="K429" s="23">
        <v>0.45700000000000002</v>
      </c>
      <c r="L429" s="23">
        <f>ROUND(21.69,3)</f>
        <v>21.69</v>
      </c>
      <c r="M429" s="24">
        <f t="shared" si="15"/>
        <v>9.91</v>
      </c>
    </row>
    <row r="430" spans="1:13" ht="15" customHeight="1" thickBot="1" x14ac:dyDescent="0.25">
      <c r="A430" s="5" t="s">
        <v>1288</v>
      </c>
      <c r="B430" s="5" t="s">
        <v>1289</v>
      </c>
      <c r="C430" s="5" t="s">
        <v>1290</v>
      </c>
      <c r="D430" s="82" t="s">
        <v>1291</v>
      </c>
      <c r="E430" s="82"/>
      <c r="F430" s="82"/>
      <c r="G430" s="82"/>
      <c r="H430" s="82"/>
      <c r="I430" s="82"/>
      <c r="J430" s="82"/>
      <c r="K430" s="23">
        <v>0.27400000000000002</v>
      </c>
      <c r="L430" s="23">
        <f>ROUND(20.38,3)</f>
        <v>20.38</v>
      </c>
      <c r="M430" s="24">
        <f t="shared" si="15"/>
        <v>5.58</v>
      </c>
    </row>
    <row r="431" spans="1:13" ht="15" customHeight="1" thickBot="1" x14ac:dyDescent="0.25">
      <c r="A431" s="5" t="s">
        <v>1292</v>
      </c>
      <c r="B431" s="5" t="s">
        <v>1293</v>
      </c>
      <c r="C431" s="5" t="s">
        <v>1294</v>
      </c>
      <c r="D431" s="82" t="s">
        <v>1295</v>
      </c>
      <c r="E431" s="82"/>
      <c r="F431" s="82"/>
      <c r="G431" s="82"/>
      <c r="H431" s="82"/>
      <c r="I431" s="82"/>
      <c r="J431" s="82"/>
      <c r="K431" s="23">
        <v>0.27400000000000002</v>
      </c>
      <c r="L431" s="23">
        <f>ROUND(22.78,3)</f>
        <v>22.78</v>
      </c>
      <c r="M431" s="24">
        <f t="shared" si="15"/>
        <v>6.24</v>
      </c>
    </row>
    <row r="432" spans="1:13" ht="15" customHeight="1" thickBot="1" x14ac:dyDescent="0.25">
      <c r="A432" s="5" t="s">
        <v>1296</v>
      </c>
      <c r="B432" s="5" t="s">
        <v>1297</v>
      </c>
      <c r="C432" s="5" t="s">
        <v>1298</v>
      </c>
      <c r="D432" s="82" t="s">
        <v>1299</v>
      </c>
      <c r="E432" s="82"/>
      <c r="F432" s="82"/>
      <c r="G432" s="82"/>
      <c r="H432" s="82"/>
      <c r="I432" s="82"/>
      <c r="J432" s="82"/>
      <c r="K432" s="23">
        <v>0.27400000000000002</v>
      </c>
      <c r="L432" s="23">
        <f>ROUND(21.61,3)</f>
        <v>21.61</v>
      </c>
      <c r="M432" s="24">
        <f t="shared" si="15"/>
        <v>5.92</v>
      </c>
    </row>
    <row r="433" spans="1:13" ht="15" customHeight="1" thickBot="1" x14ac:dyDescent="0.25">
      <c r="A433" s="5" t="s">
        <v>1300</v>
      </c>
      <c r="B433" s="5"/>
      <c r="C433" s="5" t="s">
        <v>1301</v>
      </c>
      <c r="D433" s="82" t="s">
        <v>1302</v>
      </c>
      <c r="E433" s="82"/>
      <c r="F433" s="82"/>
      <c r="G433" s="82"/>
      <c r="H433" s="82"/>
      <c r="I433" s="82"/>
      <c r="J433" s="82"/>
      <c r="K433" s="23">
        <v>2</v>
      </c>
      <c r="L433" s="23">
        <f>ROUND(268.74,3)</f>
        <v>268.74</v>
      </c>
      <c r="M433" s="24">
        <f>ROUND((K433*L433)/100,2)</f>
        <v>5.37</v>
      </c>
    </row>
    <row r="434" spans="1:13" ht="15.25" customHeight="1" thickBot="1" x14ac:dyDescent="0.25">
      <c r="A434" s="26"/>
      <c r="B434" s="26"/>
      <c r="C434" s="26"/>
      <c r="D434" s="27" t="s">
        <v>1303</v>
      </c>
      <c r="E434" s="26"/>
      <c r="F434" s="26"/>
      <c r="G434" s="26"/>
      <c r="H434" s="26"/>
      <c r="I434" s="26"/>
      <c r="J434" s="26"/>
      <c r="K434" s="28">
        <v>2</v>
      </c>
      <c r="L434" s="29">
        <f>ROUND((M426+M427+M428+M429+M430+M431+M432+M433)*(1+M2/100),2)</f>
        <v>282.33</v>
      </c>
      <c r="M434" s="29">
        <f>ROUND(K434*L434,2)</f>
        <v>564.66</v>
      </c>
    </row>
    <row r="435" spans="1:13" ht="15.25" customHeight="1" thickBot="1" x14ac:dyDescent="0.25">
      <c r="A435" s="34"/>
      <c r="B435" s="34"/>
      <c r="C435" s="34"/>
      <c r="D435" s="35" t="s">
        <v>1304</v>
      </c>
      <c r="E435" s="36"/>
      <c r="F435" s="36"/>
      <c r="G435" s="36"/>
      <c r="H435" s="36"/>
      <c r="I435" s="36"/>
      <c r="J435" s="36"/>
      <c r="K435" s="36"/>
      <c r="L435" s="37">
        <f>M421</f>
        <v>564.66</v>
      </c>
      <c r="M435" s="37">
        <f t="shared" ref="M435:M440" si="16">ROUND(L435,2)</f>
        <v>564.66</v>
      </c>
    </row>
    <row r="436" spans="1:13" ht="15.25" customHeight="1" thickBot="1" x14ac:dyDescent="0.25">
      <c r="A436" s="34"/>
      <c r="B436" s="34"/>
      <c r="C436" s="34"/>
      <c r="D436" s="52" t="s">
        <v>1305</v>
      </c>
      <c r="E436" s="53"/>
      <c r="F436" s="53"/>
      <c r="G436" s="53"/>
      <c r="H436" s="53"/>
      <c r="I436" s="53"/>
      <c r="J436" s="53"/>
      <c r="K436" s="53"/>
      <c r="L436" s="54">
        <f>M419+M435</f>
        <v>1008.03</v>
      </c>
      <c r="M436" s="54">
        <f t="shared" si="16"/>
        <v>1008.03</v>
      </c>
    </row>
    <row r="437" spans="1:13" ht="15.25" customHeight="1" thickBot="1" x14ac:dyDescent="0.25">
      <c r="A437" s="34"/>
      <c r="B437" s="34"/>
      <c r="C437" s="34"/>
      <c r="D437" s="59" t="s">
        <v>1306</v>
      </c>
      <c r="E437" s="60"/>
      <c r="F437" s="60"/>
      <c r="G437" s="60"/>
      <c r="H437" s="60"/>
      <c r="I437" s="60"/>
      <c r="J437" s="60"/>
      <c r="K437" s="60"/>
      <c r="L437" s="61">
        <f>M357+M406+M436</f>
        <v>10640.390000000001</v>
      </c>
      <c r="M437" s="61">
        <f t="shared" si="16"/>
        <v>10640.39</v>
      </c>
    </row>
    <row r="438" spans="1:13" ht="15.25" customHeight="1" thickBot="1" x14ac:dyDescent="0.25">
      <c r="A438" s="62" t="s">
        <v>1307</v>
      </c>
      <c r="B438" s="62" t="s">
        <v>1308</v>
      </c>
      <c r="C438" s="63"/>
      <c r="D438" s="86" t="s">
        <v>1309</v>
      </c>
      <c r="E438" s="86"/>
      <c r="F438" s="86"/>
      <c r="G438" s="86"/>
      <c r="H438" s="86"/>
      <c r="I438" s="86"/>
      <c r="J438" s="86"/>
      <c r="K438" s="63"/>
      <c r="L438" s="64">
        <f>L534</f>
        <v>12138.939999999999</v>
      </c>
      <c r="M438" s="64">
        <f t="shared" si="16"/>
        <v>12138.94</v>
      </c>
    </row>
    <row r="439" spans="1:13" ht="15.25" customHeight="1" thickBot="1" x14ac:dyDescent="0.25">
      <c r="A439" s="17" t="s">
        <v>1310</v>
      </c>
      <c r="B439" s="17" t="s">
        <v>1311</v>
      </c>
      <c r="C439" s="18"/>
      <c r="D439" s="80" t="s">
        <v>1312</v>
      </c>
      <c r="E439" s="80"/>
      <c r="F439" s="80"/>
      <c r="G439" s="80"/>
      <c r="H439" s="80"/>
      <c r="I439" s="80"/>
      <c r="J439" s="80"/>
      <c r="K439" s="18"/>
      <c r="L439" s="19">
        <f>L462</f>
        <v>2407.02</v>
      </c>
      <c r="M439" s="19">
        <f t="shared" si="16"/>
        <v>2407.02</v>
      </c>
    </row>
    <row r="440" spans="1:13" ht="15.25" customHeight="1" thickBot="1" x14ac:dyDescent="0.25">
      <c r="A440" s="20" t="s">
        <v>1313</v>
      </c>
      <c r="B440" s="20" t="s">
        <v>1314</v>
      </c>
      <c r="C440" s="21"/>
      <c r="D440" s="81" t="s">
        <v>1315</v>
      </c>
      <c r="E440" s="81"/>
      <c r="F440" s="81"/>
      <c r="G440" s="81"/>
      <c r="H440" s="81"/>
      <c r="I440" s="81"/>
      <c r="J440" s="81"/>
      <c r="K440" s="21"/>
      <c r="L440" s="22">
        <f>L461</f>
        <v>2407.02</v>
      </c>
      <c r="M440" s="22">
        <f t="shared" si="16"/>
        <v>2407.02</v>
      </c>
    </row>
    <row r="441" spans="1:13" ht="15.25" customHeight="1" thickBot="1" x14ac:dyDescent="0.25">
      <c r="A441" s="10" t="s">
        <v>1316</v>
      </c>
      <c r="B441" s="5" t="s">
        <v>1317</v>
      </c>
      <c r="C441" s="5" t="s">
        <v>1318</v>
      </c>
      <c r="D441" s="82" t="s">
        <v>1319</v>
      </c>
      <c r="E441" s="82"/>
      <c r="F441" s="82"/>
      <c r="G441" s="82"/>
      <c r="H441" s="82"/>
      <c r="I441" s="82"/>
      <c r="J441" s="82"/>
      <c r="K441" s="23">
        <f>ROUND(7,2)</f>
        <v>7</v>
      </c>
      <c r="L441" s="24">
        <f>L450</f>
        <v>263.45999999999998</v>
      </c>
      <c r="M441" s="24">
        <f>ROUND(K441*L441,2)</f>
        <v>1844.22</v>
      </c>
    </row>
    <row r="442" spans="1:13" ht="94.75" customHeight="1" thickBot="1" x14ac:dyDescent="0.25">
      <c r="A442" s="25"/>
      <c r="B442" s="25"/>
      <c r="C442" s="25"/>
      <c r="D442" s="82" t="s">
        <v>1320</v>
      </c>
      <c r="E442" s="82"/>
      <c r="F442" s="82"/>
      <c r="G442" s="82"/>
      <c r="H442" s="82"/>
      <c r="I442" s="82"/>
      <c r="J442" s="82"/>
      <c r="K442" s="82"/>
      <c r="L442" s="82"/>
      <c r="M442" s="82"/>
    </row>
    <row r="443" spans="1:13" ht="58" customHeight="1" thickBot="1" x14ac:dyDescent="0.25">
      <c r="A443" s="5" t="s">
        <v>1321</v>
      </c>
      <c r="B443" s="5" t="s">
        <v>1322</v>
      </c>
      <c r="C443" s="5" t="s">
        <v>1323</v>
      </c>
      <c r="D443" s="82" t="s">
        <v>1324</v>
      </c>
      <c r="E443" s="82"/>
      <c r="F443" s="82"/>
      <c r="G443" s="82"/>
      <c r="H443" s="82"/>
      <c r="I443" s="82"/>
      <c r="J443" s="82"/>
      <c r="K443" s="23">
        <v>1</v>
      </c>
      <c r="L443" s="23">
        <f>ROUND(191.509,3)</f>
        <v>191.50899999999999</v>
      </c>
      <c r="M443" s="24">
        <f t="shared" ref="M443:M448" si="17">ROUND(K443*L443,2)</f>
        <v>191.51</v>
      </c>
    </row>
    <row r="444" spans="1:13" ht="21.25" customHeight="1" thickBot="1" x14ac:dyDescent="0.25">
      <c r="A444" s="5" t="s">
        <v>1325</v>
      </c>
      <c r="B444" s="5" t="s">
        <v>1326</v>
      </c>
      <c r="C444" s="5" t="s">
        <v>1327</v>
      </c>
      <c r="D444" s="82" t="s">
        <v>1328</v>
      </c>
      <c r="E444" s="82"/>
      <c r="F444" s="82"/>
      <c r="G444" s="82"/>
      <c r="H444" s="82"/>
      <c r="I444" s="82"/>
      <c r="J444" s="82"/>
      <c r="K444" s="23">
        <v>3.6</v>
      </c>
      <c r="L444" s="23">
        <f>ROUND(2.002,3)</f>
        <v>2.0019999999999998</v>
      </c>
      <c r="M444" s="24">
        <f t="shared" si="17"/>
        <v>7.21</v>
      </c>
    </row>
    <row r="445" spans="1:13" ht="21.25" customHeight="1" thickBot="1" x14ac:dyDescent="0.25">
      <c r="A445" s="5" t="s">
        <v>1329</v>
      </c>
      <c r="B445" s="5" t="s">
        <v>1330</v>
      </c>
      <c r="C445" s="5" t="s">
        <v>1331</v>
      </c>
      <c r="D445" s="82" t="s">
        <v>1332</v>
      </c>
      <c r="E445" s="82"/>
      <c r="F445" s="82"/>
      <c r="G445" s="82"/>
      <c r="H445" s="82"/>
      <c r="I445" s="82"/>
      <c r="J445" s="82"/>
      <c r="K445" s="23">
        <v>0.61199999999999999</v>
      </c>
      <c r="L445" s="23">
        <f>ROUND(4.776,3)</f>
        <v>4.7759999999999998</v>
      </c>
      <c r="M445" s="24">
        <f t="shared" si="17"/>
        <v>2.92</v>
      </c>
    </row>
    <row r="446" spans="1:13" ht="30.5" customHeight="1" thickBot="1" x14ac:dyDescent="0.25">
      <c r="A446" s="5" t="s">
        <v>1333</v>
      </c>
      <c r="B446" s="5" t="s">
        <v>1334</v>
      </c>
      <c r="C446" s="5" t="s">
        <v>1335</v>
      </c>
      <c r="D446" s="82" t="s">
        <v>1336</v>
      </c>
      <c r="E446" s="82"/>
      <c r="F446" s="82"/>
      <c r="G446" s="82"/>
      <c r="H446" s="82"/>
      <c r="I446" s="82"/>
      <c r="J446" s="82"/>
      <c r="K446" s="23">
        <v>0.28799999999999998</v>
      </c>
      <c r="L446" s="23">
        <f>ROUND(4.326,3)</f>
        <v>4.3259999999999996</v>
      </c>
      <c r="M446" s="24">
        <f t="shared" si="17"/>
        <v>1.25</v>
      </c>
    </row>
    <row r="447" spans="1:13" ht="15" customHeight="1" thickBot="1" x14ac:dyDescent="0.25">
      <c r="A447" s="5" t="s">
        <v>1337</v>
      </c>
      <c r="B447" s="5" t="s">
        <v>1338</v>
      </c>
      <c r="C447" s="5" t="s">
        <v>1339</v>
      </c>
      <c r="D447" s="82" t="s">
        <v>1340</v>
      </c>
      <c r="E447" s="82"/>
      <c r="F447" s="82"/>
      <c r="G447" s="82"/>
      <c r="H447" s="82"/>
      <c r="I447" s="82"/>
      <c r="J447" s="82"/>
      <c r="K447" s="23">
        <v>1.381</v>
      </c>
      <c r="L447" s="23">
        <f>ROUND(21.69,3)</f>
        <v>21.69</v>
      </c>
      <c r="M447" s="24">
        <f t="shared" si="17"/>
        <v>29.95</v>
      </c>
    </row>
    <row r="448" spans="1:13" ht="15" customHeight="1" thickBot="1" x14ac:dyDescent="0.25">
      <c r="A448" s="5" t="s">
        <v>1341</v>
      </c>
      <c r="B448" s="5" t="s">
        <v>1342</v>
      </c>
      <c r="C448" s="5" t="s">
        <v>1343</v>
      </c>
      <c r="D448" s="82" t="s">
        <v>1344</v>
      </c>
      <c r="E448" s="82"/>
      <c r="F448" s="82"/>
      <c r="G448" s="82"/>
      <c r="H448" s="82"/>
      <c r="I448" s="82"/>
      <c r="J448" s="82"/>
      <c r="K448" s="23">
        <v>0.88</v>
      </c>
      <c r="L448" s="23">
        <f>ROUND(20.38,3)</f>
        <v>20.38</v>
      </c>
      <c r="M448" s="24">
        <f t="shared" si="17"/>
        <v>17.93</v>
      </c>
    </row>
    <row r="449" spans="1:13" ht="15" customHeight="1" thickBot="1" x14ac:dyDescent="0.25">
      <c r="A449" s="5" t="s">
        <v>1345</v>
      </c>
      <c r="B449" s="5"/>
      <c r="C449" s="5" t="s">
        <v>1346</v>
      </c>
      <c r="D449" s="82" t="s">
        <v>1347</v>
      </c>
      <c r="E449" s="82"/>
      <c r="F449" s="82"/>
      <c r="G449" s="82"/>
      <c r="H449" s="82"/>
      <c r="I449" s="82"/>
      <c r="J449" s="82"/>
      <c r="K449" s="23">
        <v>2</v>
      </c>
      <c r="L449" s="23">
        <f>ROUND(250.77,3)</f>
        <v>250.77</v>
      </c>
      <c r="M449" s="24">
        <f>ROUND((K449*L449)/100,2)</f>
        <v>5.0199999999999996</v>
      </c>
    </row>
    <row r="450" spans="1:13" ht="15.25" customHeight="1" thickBot="1" x14ac:dyDescent="0.25">
      <c r="A450" s="26"/>
      <c r="B450" s="26"/>
      <c r="C450" s="26"/>
      <c r="D450" s="27" t="s">
        <v>1348</v>
      </c>
      <c r="E450" s="26"/>
      <c r="F450" s="26"/>
      <c r="G450" s="26"/>
      <c r="H450" s="26"/>
      <c r="I450" s="26"/>
      <c r="J450" s="26"/>
      <c r="K450" s="28">
        <v>7</v>
      </c>
      <c r="L450" s="29">
        <f>ROUND((M443+M444+M445+M446+M447+M448+M449)*(1+M2/100),2)</f>
        <v>263.45999999999998</v>
      </c>
      <c r="M450" s="29">
        <f>ROUND(K450*L450,2)</f>
        <v>1844.22</v>
      </c>
    </row>
    <row r="451" spans="1:13" ht="15.25" customHeight="1" thickBot="1" x14ac:dyDescent="0.25">
      <c r="A451" s="30" t="s">
        <v>1349</v>
      </c>
      <c r="B451" s="31" t="s">
        <v>1350</v>
      </c>
      <c r="C451" s="31" t="s">
        <v>1351</v>
      </c>
      <c r="D451" s="83" t="s">
        <v>1352</v>
      </c>
      <c r="E451" s="83"/>
      <c r="F451" s="83"/>
      <c r="G451" s="83"/>
      <c r="H451" s="83"/>
      <c r="I451" s="83"/>
      <c r="J451" s="83"/>
      <c r="K451" s="32">
        <f>ROUND(1,2)</f>
        <v>1</v>
      </c>
      <c r="L451" s="33">
        <f>L460</f>
        <v>562.79999999999995</v>
      </c>
      <c r="M451" s="33">
        <f>ROUND(K451*L451,2)</f>
        <v>562.79999999999995</v>
      </c>
    </row>
    <row r="452" spans="1:13" ht="103.75" customHeight="1" thickBot="1" x14ac:dyDescent="0.25">
      <c r="A452" s="25"/>
      <c r="B452" s="25"/>
      <c r="C452" s="25"/>
      <c r="D452" s="82" t="s">
        <v>1353</v>
      </c>
      <c r="E452" s="82"/>
      <c r="F452" s="82"/>
      <c r="G452" s="82"/>
      <c r="H452" s="82"/>
      <c r="I452" s="82"/>
      <c r="J452" s="82"/>
      <c r="K452" s="82"/>
      <c r="L452" s="82"/>
      <c r="M452" s="82"/>
    </row>
    <row r="453" spans="1:13" ht="67" customHeight="1" thickBot="1" x14ac:dyDescent="0.25">
      <c r="A453" s="5" t="s">
        <v>1354</v>
      </c>
      <c r="B453" s="5" t="s">
        <v>1355</v>
      </c>
      <c r="C453" s="5" t="s">
        <v>1356</v>
      </c>
      <c r="D453" s="82" t="s">
        <v>1357</v>
      </c>
      <c r="E453" s="82"/>
      <c r="F453" s="82"/>
      <c r="G453" s="82"/>
      <c r="H453" s="82"/>
      <c r="I453" s="82"/>
      <c r="J453" s="82"/>
      <c r="K453" s="23">
        <v>1</v>
      </c>
      <c r="L453" s="23">
        <f>ROUND(462.141,3)</f>
        <v>462.14100000000002</v>
      </c>
      <c r="M453" s="24">
        <f t="shared" ref="M453:M458" si="18">ROUND(K453*L453,2)</f>
        <v>462.14</v>
      </c>
    </row>
    <row r="454" spans="1:13" ht="21.25" customHeight="1" thickBot="1" x14ac:dyDescent="0.25">
      <c r="A454" s="5" t="s">
        <v>1358</v>
      </c>
      <c r="B454" s="5" t="s">
        <v>1359</v>
      </c>
      <c r="C454" s="5" t="s">
        <v>1360</v>
      </c>
      <c r="D454" s="82" t="s">
        <v>1361</v>
      </c>
      <c r="E454" s="82"/>
      <c r="F454" s="82"/>
      <c r="G454" s="82"/>
      <c r="H454" s="82"/>
      <c r="I454" s="82"/>
      <c r="J454" s="82"/>
      <c r="K454" s="23">
        <v>6</v>
      </c>
      <c r="L454" s="23">
        <f>ROUND(2.002,3)</f>
        <v>2.0019999999999998</v>
      </c>
      <c r="M454" s="24">
        <f t="shared" si="18"/>
        <v>12.01</v>
      </c>
    </row>
    <row r="455" spans="1:13" ht="21.25" customHeight="1" thickBot="1" x14ac:dyDescent="0.25">
      <c r="A455" s="5" t="s">
        <v>1362</v>
      </c>
      <c r="B455" s="5" t="s">
        <v>1363</v>
      </c>
      <c r="C455" s="5" t="s">
        <v>1364</v>
      </c>
      <c r="D455" s="82" t="s">
        <v>1365</v>
      </c>
      <c r="E455" s="82"/>
      <c r="F455" s="82"/>
      <c r="G455" s="82"/>
      <c r="H455" s="82"/>
      <c r="I455" s="82"/>
      <c r="J455" s="82"/>
      <c r="K455" s="23">
        <v>1.02</v>
      </c>
      <c r="L455" s="23">
        <f>ROUND(4.776,3)</f>
        <v>4.7759999999999998</v>
      </c>
      <c r="M455" s="24">
        <f t="shared" si="18"/>
        <v>4.87</v>
      </c>
    </row>
    <row r="456" spans="1:13" ht="30.5" customHeight="1" thickBot="1" x14ac:dyDescent="0.25">
      <c r="A456" s="5" t="s">
        <v>1366</v>
      </c>
      <c r="B456" s="5" t="s">
        <v>1367</v>
      </c>
      <c r="C456" s="5" t="s">
        <v>1368</v>
      </c>
      <c r="D456" s="82" t="s">
        <v>1369</v>
      </c>
      <c r="E456" s="82"/>
      <c r="F456" s="82"/>
      <c r="G456" s="82"/>
      <c r="H456" s="82"/>
      <c r="I456" s="82"/>
      <c r="J456" s="82"/>
      <c r="K456" s="23">
        <v>0.48</v>
      </c>
      <c r="L456" s="23">
        <f>ROUND(4.326,3)</f>
        <v>4.3259999999999996</v>
      </c>
      <c r="M456" s="24">
        <f t="shared" si="18"/>
        <v>2.08</v>
      </c>
    </row>
    <row r="457" spans="1:13" ht="15" customHeight="1" thickBot="1" x14ac:dyDescent="0.25">
      <c r="A457" s="5" t="s">
        <v>1370</v>
      </c>
      <c r="B457" s="5" t="s">
        <v>1371</v>
      </c>
      <c r="C457" s="5" t="s">
        <v>1372</v>
      </c>
      <c r="D457" s="82" t="s">
        <v>1373</v>
      </c>
      <c r="E457" s="82"/>
      <c r="F457" s="82"/>
      <c r="G457" s="82"/>
      <c r="H457" s="82"/>
      <c r="I457" s="82"/>
      <c r="J457" s="82"/>
      <c r="K457" s="23">
        <v>1.51</v>
      </c>
      <c r="L457" s="23">
        <f>ROUND(21.69,3)</f>
        <v>21.69</v>
      </c>
      <c r="M457" s="24">
        <f t="shared" si="18"/>
        <v>32.75</v>
      </c>
    </row>
    <row r="458" spans="1:13" ht="15" customHeight="1" thickBot="1" x14ac:dyDescent="0.25">
      <c r="A458" s="5" t="s">
        <v>1374</v>
      </c>
      <c r="B458" s="5" t="s">
        <v>1375</v>
      </c>
      <c r="C458" s="5" t="s">
        <v>1376</v>
      </c>
      <c r="D458" s="82" t="s">
        <v>1377</v>
      </c>
      <c r="E458" s="82"/>
      <c r="F458" s="82"/>
      <c r="G458" s="82"/>
      <c r="H458" s="82"/>
      <c r="I458" s="82"/>
      <c r="J458" s="82"/>
      <c r="K458" s="23">
        <v>1.0720000000000001</v>
      </c>
      <c r="L458" s="23">
        <f>ROUND(20.38,3)</f>
        <v>20.38</v>
      </c>
      <c r="M458" s="24">
        <f t="shared" si="18"/>
        <v>21.85</v>
      </c>
    </row>
    <row r="459" spans="1:13" ht="15" customHeight="1" thickBot="1" x14ac:dyDescent="0.25">
      <c r="A459" s="5" t="s">
        <v>1378</v>
      </c>
      <c r="B459" s="5"/>
      <c r="C459" s="5" t="s">
        <v>1379</v>
      </c>
      <c r="D459" s="82" t="s">
        <v>1380</v>
      </c>
      <c r="E459" s="82"/>
      <c r="F459" s="82"/>
      <c r="G459" s="82"/>
      <c r="H459" s="82"/>
      <c r="I459" s="82"/>
      <c r="J459" s="82"/>
      <c r="K459" s="23">
        <v>2</v>
      </c>
      <c r="L459" s="23">
        <f>ROUND(535.7,3)</f>
        <v>535.70000000000005</v>
      </c>
      <c r="M459" s="24">
        <f>ROUND((K459*L459)/100,2)</f>
        <v>10.71</v>
      </c>
    </row>
    <row r="460" spans="1:13" ht="15.25" customHeight="1" thickBot="1" x14ac:dyDescent="0.25">
      <c r="A460" s="26"/>
      <c r="B460" s="26"/>
      <c r="C460" s="26"/>
      <c r="D460" s="27" t="s">
        <v>1381</v>
      </c>
      <c r="E460" s="26"/>
      <c r="F460" s="26"/>
      <c r="G460" s="26"/>
      <c r="H460" s="26"/>
      <c r="I460" s="26"/>
      <c r="J460" s="26"/>
      <c r="K460" s="28">
        <v>1</v>
      </c>
      <c r="L460" s="29">
        <f>ROUND((M453+M454+M455+M456+M457+M458+M459)*(1+M2/100),2)</f>
        <v>562.79999999999995</v>
      </c>
      <c r="M460" s="29">
        <f>ROUND(K460*L460,2)</f>
        <v>562.79999999999995</v>
      </c>
    </row>
    <row r="461" spans="1:13" ht="15.25" customHeight="1" thickBot="1" x14ac:dyDescent="0.25">
      <c r="A461" s="34"/>
      <c r="B461" s="34"/>
      <c r="C461" s="34"/>
      <c r="D461" s="35" t="s">
        <v>1382</v>
      </c>
      <c r="E461" s="36"/>
      <c r="F461" s="36"/>
      <c r="G461" s="36"/>
      <c r="H461" s="36"/>
      <c r="I461" s="36"/>
      <c r="J461" s="36"/>
      <c r="K461" s="36"/>
      <c r="L461" s="37">
        <f>M441+M451</f>
        <v>2407.02</v>
      </c>
      <c r="M461" s="37">
        <f>ROUND(L461,2)</f>
        <v>2407.02</v>
      </c>
    </row>
    <row r="462" spans="1:13" ht="15.25" customHeight="1" thickBot="1" x14ac:dyDescent="0.25">
      <c r="A462" s="34"/>
      <c r="B462" s="34"/>
      <c r="C462" s="34"/>
      <c r="D462" s="52" t="s">
        <v>1383</v>
      </c>
      <c r="E462" s="53"/>
      <c r="F462" s="53"/>
      <c r="G462" s="53"/>
      <c r="H462" s="53"/>
      <c r="I462" s="53"/>
      <c r="J462" s="53"/>
      <c r="K462" s="53"/>
      <c r="L462" s="54">
        <f>M461</f>
        <v>2407.02</v>
      </c>
      <c r="M462" s="54">
        <f>ROUND(L462,2)</f>
        <v>2407.02</v>
      </c>
    </row>
    <row r="463" spans="1:13" ht="15.25" customHeight="1" thickBot="1" x14ac:dyDescent="0.25">
      <c r="A463" s="55" t="s">
        <v>1384</v>
      </c>
      <c r="B463" s="55" t="s">
        <v>1385</v>
      </c>
      <c r="C463" s="56"/>
      <c r="D463" s="85" t="s">
        <v>1386</v>
      </c>
      <c r="E463" s="85"/>
      <c r="F463" s="85"/>
      <c r="G463" s="85"/>
      <c r="H463" s="85"/>
      <c r="I463" s="85"/>
      <c r="J463" s="85"/>
      <c r="K463" s="56"/>
      <c r="L463" s="57">
        <f>L510</f>
        <v>4046.23</v>
      </c>
      <c r="M463" s="57">
        <f>ROUND(L463,2)</f>
        <v>4046.23</v>
      </c>
    </row>
    <row r="464" spans="1:13" ht="15.25" customHeight="1" thickBot="1" x14ac:dyDescent="0.25">
      <c r="A464" s="20" t="s">
        <v>1387</v>
      </c>
      <c r="B464" s="20" t="s">
        <v>1388</v>
      </c>
      <c r="C464" s="21"/>
      <c r="D464" s="81" t="s">
        <v>1389</v>
      </c>
      <c r="E464" s="81"/>
      <c r="F464" s="81"/>
      <c r="G464" s="81"/>
      <c r="H464" s="81"/>
      <c r="I464" s="81"/>
      <c r="J464" s="81"/>
      <c r="K464" s="21"/>
      <c r="L464" s="22">
        <f>L509</f>
        <v>4046.23</v>
      </c>
      <c r="M464" s="22">
        <f>ROUND(L464,2)</f>
        <v>4046.23</v>
      </c>
    </row>
    <row r="465" spans="1:13" ht="15.25" customHeight="1" thickBot="1" x14ac:dyDescent="0.25">
      <c r="A465" s="10" t="s">
        <v>1390</v>
      </c>
      <c r="B465" s="5" t="s">
        <v>1391</v>
      </c>
      <c r="C465" s="5" t="s">
        <v>1392</v>
      </c>
      <c r="D465" s="82" t="s">
        <v>1393</v>
      </c>
      <c r="E465" s="82"/>
      <c r="F465" s="82"/>
      <c r="G465" s="82"/>
      <c r="H465" s="82"/>
      <c r="I465" s="82"/>
      <c r="J465" s="82"/>
      <c r="K465" s="23">
        <f>ROUND(1,2)</f>
        <v>1</v>
      </c>
      <c r="L465" s="24">
        <f>L478</f>
        <v>367.46</v>
      </c>
      <c r="M465" s="24">
        <f>ROUND(K465*L465,2)</f>
        <v>367.46</v>
      </c>
    </row>
    <row r="466" spans="1:13" ht="67" customHeight="1" thickBot="1" x14ac:dyDescent="0.25">
      <c r="A466" s="25"/>
      <c r="B466" s="25"/>
      <c r="C466" s="25"/>
      <c r="D466" s="82" t="s">
        <v>1394</v>
      </c>
      <c r="E466" s="82"/>
      <c r="F466" s="82"/>
      <c r="G466" s="82"/>
      <c r="H466" s="82"/>
      <c r="I466" s="82"/>
      <c r="J466" s="82"/>
      <c r="K466" s="82"/>
      <c r="L466" s="82"/>
      <c r="M466" s="82"/>
    </row>
    <row r="467" spans="1:13" ht="15" customHeight="1" thickBot="1" x14ac:dyDescent="0.25">
      <c r="A467" s="5" t="s">
        <v>1395</v>
      </c>
      <c r="B467" s="5" t="s">
        <v>1396</v>
      </c>
      <c r="C467" s="5" t="s">
        <v>1397</v>
      </c>
      <c r="D467" s="82" t="s">
        <v>1398</v>
      </c>
      <c r="E467" s="82"/>
      <c r="F467" s="82"/>
      <c r="G467" s="82"/>
      <c r="H467" s="82"/>
      <c r="I467" s="82"/>
      <c r="J467" s="82"/>
      <c r="K467" s="23">
        <v>1</v>
      </c>
      <c r="L467" s="23">
        <f>ROUND(15.906,3)</f>
        <v>15.906000000000001</v>
      </c>
      <c r="M467" s="24">
        <f t="shared" ref="M467:M476" si="19">ROUND(K467*L467,2)</f>
        <v>15.91</v>
      </c>
    </row>
    <row r="468" spans="1:13" ht="24.25" customHeight="1" thickBot="1" x14ac:dyDescent="0.25">
      <c r="A468" s="5" t="s">
        <v>1399</v>
      </c>
      <c r="B468" s="5" t="s">
        <v>1400</v>
      </c>
      <c r="C468" s="5" t="s">
        <v>1401</v>
      </c>
      <c r="D468" s="82" t="s">
        <v>1402</v>
      </c>
      <c r="E468" s="82"/>
      <c r="F468" s="82"/>
      <c r="G468" s="82"/>
      <c r="H468" s="82"/>
      <c r="I468" s="82"/>
      <c r="J468" s="82"/>
      <c r="K468" s="23">
        <v>5.0999999999999996</v>
      </c>
      <c r="L468" s="23">
        <f>ROUND(9.786,3)</f>
        <v>9.7859999999999996</v>
      </c>
      <c r="M468" s="24">
        <f t="shared" si="19"/>
        <v>49.91</v>
      </c>
    </row>
    <row r="469" spans="1:13" ht="15" customHeight="1" thickBot="1" x14ac:dyDescent="0.25">
      <c r="A469" s="5" t="s">
        <v>1403</v>
      </c>
      <c r="B469" s="5" t="s">
        <v>1404</v>
      </c>
      <c r="C469" s="5" t="s">
        <v>1405</v>
      </c>
      <c r="D469" s="82" t="s">
        <v>1406</v>
      </c>
      <c r="E469" s="82"/>
      <c r="F469" s="82"/>
      <c r="G469" s="82"/>
      <c r="H469" s="82"/>
      <c r="I469" s="82"/>
      <c r="J469" s="82"/>
      <c r="K469" s="23">
        <v>1</v>
      </c>
      <c r="L469" s="23">
        <f>ROUND(145.858,3)</f>
        <v>145.858</v>
      </c>
      <c r="M469" s="24">
        <f t="shared" si="19"/>
        <v>145.86000000000001</v>
      </c>
    </row>
    <row r="470" spans="1:13" ht="24.25" customHeight="1" thickBot="1" x14ac:dyDescent="0.25">
      <c r="A470" s="5" t="s">
        <v>1407</v>
      </c>
      <c r="B470" s="5" t="s">
        <v>1408</v>
      </c>
      <c r="C470" s="5" t="s">
        <v>1409</v>
      </c>
      <c r="D470" s="82" t="s">
        <v>1410</v>
      </c>
      <c r="E470" s="82"/>
      <c r="F470" s="82"/>
      <c r="G470" s="82"/>
      <c r="H470" s="82"/>
      <c r="I470" s="82"/>
      <c r="J470" s="82"/>
      <c r="K470" s="23">
        <v>10.4</v>
      </c>
      <c r="L470" s="23">
        <f>ROUND(6.957,3)</f>
        <v>6.9569999999999999</v>
      </c>
      <c r="M470" s="24">
        <f t="shared" si="19"/>
        <v>72.349999999999994</v>
      </c>
    </row>
    <row r="471" spans="1:13" ht="15" customHeight="1" thickBot="1" x14ac:dyDescent="0.25">
      <c r="A471" s="5" t="s">
        <v>1411</v>
      </c>
      <c r="B471" s="5" t="s">
        <v>1412</v>
      </c>
      <c r="C471" s="5" t="s">
        <v>1413</v>
      </c>
      <c r="D471" s="82" t="s">
        <v>1414</v>
      </c>
      <c r="E471" s="82"/>
      <c r="F471" s="82"/>
      <c r="G471" s="82"/>
      <c r="H471" s="82"/>
      <c r="I471" s="82"/>
      <c r="J471" s="82"/>
      <c r="K471" s="23">
        <v>3</v>
      </c>
      <c r="L471" s="23">
        <f>ROUND(0.705,3)</f>
        <v>0.70499999999999996</v>
      </c>
      <c r="M471" s="24">
        <f t="shared" si="19"/>
        <v>2.12</v>
      </c>
    </row>
    <row r="472" spans="1:13" ht="15" customHeight="1" thickBot="1" x14ac:dyDescent="0.25">
      <c r="A472" s="5" t="s">
        <v>1415</v>
      </c>
      <c r="B472" s="5" t="s">
        <v>1416</v>
      </c>
      <c r="C472" s="5" t="s">
        <v>1417</v>
      </c>
      <c r="D472" s="82" t="s">
        <v>1418</v>
      </c>
      <c r="E472" s="82"/>
      <c r="F472" s="82"/>
      <c r="G472" s="82"/>
      <c r="H472" s="82"/>
      <c r="I472" s="82"/>
      <c r="J472" s="82"/>
      <c r="K472" s="23">
        <v>18</v>
      </c>
      <c r="L472" s="23">
        <f>ROUND(0.062,3)</f>
        <v>6.2E-2</v>
      </c>
      <c r="M472" s="24">
        <f t="shared" si="19"/>
        <v>1.1200000000000001</v>
      </c>
    </row>
    <row r="473" spans="1:13" ht="15" customHeight="1" thickBot="1" x14ac:dyDescent="0.25">
      <c r="A473" s="5" t="s">
        <v>1419</v>
      </c>
      <c r="B473" s="5" t="s">
        <v>1420</v>
      </c>
      <c r="C473" s="5" t="s">
        <v>1421</v>
      </c>
      <c r="D473" s="82" t="s">
        <v>1422</v>
      </c>
      <c r="E473" s="82"/>
      <c r="F473" s="82"/>
      <c r="G473" s="82"/>
      <c r="H473" s="82"/>
      <c r="I473" s="82"/>
      <c r="J473" s="82"/>
      <c r="K473" s="23">
        <v>1</v>
      </c>
      <c r="L473" s="23">
        <f>ROUND(11.361,3)</f>
        <v>11.361000000000001</v>
      </c>
      <c r="M473" s="24">
        <f t="shared" si="19"/>
        <v>11.36</v>
      </c>
    </row>
    <row r="474" spans="1:13" ht="15" customHeight="1" thickBot="1" x14ac:dyDescent="0.25">
      <c r="A474" s="5" t="s">
        <v>1423</v>
      </c>
      <c r="B474" s="5" t="s">
        <v>1424</v>
      </c>
      <c r="C474" s="5" t="s">
        <v>1425</v>
      </c>
      <c r="D474" s="82" t="s">
        <v>1426</v>
      </c>
      <c r="E474" s="82"/>
      <c r="F474" s="82"/>
      <c r="G474" s="82"/>
      <c r="H474" s="82"/>
      <c r="I474" s="82"/>
      <c r="J474" s="82"/>
      <c r="K474" s="23">
        <v>1</v>
      </c>
      <c r="L474" s="23">
        <f>ROUND(8.177,3)</f>
        <v>8.1769999999999996</v>
      </c>
      <c r="M474" s="24">
        <f t="shared" si="19"/>
        <v>8.18</v>
      </c>
    </row>
    <row r="475" spans="1:13" ht="15" customHeight="1" thickBot="1" x14ac:dyDescent="0.25">
      <c r="A475" s="5" t="s">
        <v>1427</v>
      </c>
      <c r="B475" s="5" t="s">
        <v>1428</v>
      </c>
      <c r="C475" s="5" t="s">
        <v>1429</v>
      </c>
      <c r="D475" s="82" t="s">
        <v>1430</v>
      </c>
      <c r="E475" s="82"/>
      <c r="F475" s="82"/>
      <c r="G475" s="82"/>
      <c r="H475" s="82"/>
      <c r="I475" s="82"/>
      <c r="J475" s="82"/>
      <c r="K475" s="23">
        <v>0.82299999999999995</v>
      </c>
      <c r="L475" s="23">
        <f>ROUND(28.72,3)</f>
        <v>28.72</v>
      </c>
      <c r="M475" s="24">
        <f t="shared" si="19"/>
        <v>23.64</v>
      </c>
    </row>
    <row r="476" spans="1:13" ht="15" customHeight="1" thickBot="1" x14ac:dyDescent="0.25">
      <c r="A476" s="5" t="s">
        <v>1431</v>
      </c>
      <c r="B476" s="5" t="s">
        <v>1432</v>
      </c>
      <c r="C476" s="5" t="s">
        <v>1433</v>
      </c>
      <c r="D476" s="82" t="s">
        <v>1434</v>
      </c>
      <c r="E476" s="82"/>
      <c r="F476" s="82"/>
      <c r="G476" s="82"/>
      <c r="H476" s="82"/>
      <c r="I476" s="82"/>
      <c r="J476" s="82"/>
      <c r="K476" s="23">
        <v>0.82299999999999995</v>
      </c>
      <c r="L476" s="23">
        <f>ROUND(23.46,3)</f>
        <v>23.46</v>
      </c>
      <c r="M476" s="24">
        <f t="shared" si="19"/>
        <v>19.309999999999999</v>
      </c>
    </row>
    <row r="477" spans="1:13" ht="15" customHeight="1" thickBot="1" x14ac:dyDescent="0.25">
      <c r="A477" s="5" t="s">
        <v>1435</v>
      </c>
      <c r="B477" s="5"/>
      <c r="C477" s="5" t="s">
        <v>1436</v>
      </c>
      <c r="D477" s="82" t="s">
        <v>1437</v>
      </c>
      <c r="E477" s="82"/>
      <c r="F477" s="82"/>
      <c r="G477" s="82"/>
      <c r="H477" s="82"/>
      <c r="I477" s="82"/>
      <c r="J477" s="82"/>
      <c r="K477" s="23">
        <v>2</v>
      </c>
      <c r="L477" s="23">
        <f>ROUND(349.76,3)</f>
        <v>349.76</v>
      </c>
      <c r="M477" s="24">
        <f>ROUND((K477*L477)/100,2)</f>
        <v>7</v>
      </c>
    </row>
    <row r="478" spans="1:13" ht="15.25" customHeight="1" thickBot="1" x14ac:dyDescent="0.25">
      <c r="A478" s="26"/>
      <c r="B478" s="26"/>
      <c r="C478" s="26"/>
      <c r="D478" s="27" t="s">
        <v>1438</v>
      </c>
      <c r="E478" s="26"/>
      <c r="F478" s="26"/>
      <c r="G478" s="26"/>
      <c r="H478" s="26"/>
      <c r="I478" s="26"/>
      <c r="J478" s="26"/>
      <c r="K478" s="28">
        <v>1</v>
      </c>
      <c r="L478" s="29">
        <f>ROUND((M467+M468+M469+M470+M471+M472+M473+M474+M475+M476+M477)*(1+M2/100),2)</f>
        <v>367.46</v>
      </c>
      <c r="M478" s="29">
        <f>ROUND(K478*L478,2)</f>
        <v>367.46</v>
      </c>
    </row>
    <row r="479" spans="1:13" ht="15.25" customHeight="1" thickBot="1" x14ac:dyDescent="0.25">
      <c r="A479" s="30" t="s">
        <v>1439</v>
      </c>
      <c r="B479" s="31" t="s">
        <v>1440</v>
      </c>
      <c r="C479" s="31" t="s">
        <v>1441</v>
      </c>
      <c r="D479" s="83" t="s">
        <v>1442</v>
      </c>
      <c r="E479" s="83"/>
      <c r="F479" s="83"/>
      <c r="G479" s="83"/>
      <c r="H479" s="83"/>
      <c r="I479" s="83"/>
      <c r="J479" s="83"/>
      <c r="K479" s="32">
        <f>ROUND(1,2)</f>
        <v>1</v>
      </c>
      <c r="L479" s="33">
        <f>L492</f>
        <v>722.33</v>
      </c>
      <c r="M479" s="33">
        <f>ROUND(K479*L479,2)</f>
        <v>722.33</v>
      </c>
    </row>
    <row r="480" spans="1:13" ht="67" customHeight="1" thickBot="1" x14ac:dyDescent="0.25">
      <c r="A480" s="25"/>
      <c r="B480" s="25"/>
      <c r="C480" s="25"/>
      <c r="D480" s="82" t="s">
        <v>1443</v>
      </c>
      <c r="E480" s="82"/>
      <c r="F480" s="82"/>
      <c r="G480" s="82"/>
      <c r="H480" s="82"/>
      <c r="I480" s="82"/>
      <c r="J480" s="82"/>
      <c r="K480" s="82"/>
      <c r="L480" s="82"/>
      <c r="M480" s="82"/>
    </row>
    <row r="481" spans="1:13" ht="15" customHeight="1" thickBot="1" x14ac:dyDescent="0.25">
      <c r="A481" s="5" t="s">
        <v>1444</v>
      </c>
      <c r="B481" s="5" t="s">
        <v>1445</v>
      </c>
      <c r="C481" s="5" t="s">
        <v>1446</v>
      </c>
      <c r="D481" s="82" t="s">
        <v>1447</v>
      </c>
      <c r="E481" s="82"/>
      <c r="F481" s="82"/>
      <c r="G481" s="82"/>
      <c r="H481" s="82"/>
      <c r="I481" s="82"/>
      <c r="J481" s="82"/>
      <c r="K481" s="23">
        <v>1</v>
      </c>
      <c r="L481" s="23">
        <f>ROUND(18.294,3)</f>
        <v>18.294</v>
      </c>
      <c r="M481" s="24">
        <f t="shared" ref="M481:M490" si="20">ROUND(K481*L481,2)</f>
        <v>18.29</v>
      </c>
    </row>
    <row r="482" spans="1:13" ht="24.25" customHeight="1" thickBot="1" x14ac:dyDescent="0.25">
      <c r="A482" s="5" t="s">
        <v>1448</v>
      </c>
      <c r="B482" s="5" t="s">
        <v>1449</v>
      </c>
      <c r="C482" s="5" t="s">
        <v>1450</v>
      </c>
      <c r="D482" s="82" t="s">
        <v>1451</v>
      </c>
      <c r="E482" s="82"/>
      <c r="F482" s="82"/>
      <c r="G482" s="82"/>
      <c r="H482" s="82"/>
      <c r="I482" s="82"/>
      <c r="J482" s="82"/>
      <c r="K482" s="23">
        <v>6</v>
      </c>
      <c r="L482" s="23">
        <f>ROUND(9.786,3)</f>
        <v>9.7859999999999996</v>
      </c>
      <c r="M482" s="24">
        <f t="shared" si="20"/>
        <v>58.72</v>
      </c>
    </row>
    <row r="483" spans="1:13" ht="24.25" customHeight="1" thickBot="1" x14ac:dyDescent="0.25">
      <c r="A483" s="5" t="s">
        <v>1452</v>
      </c>
      <c r="B483" s="5" t="s">
        <v>1453</v>
      </c>
      <c r="C483" s="5" t="s">
        <v>1454</v>
      </c>
      <c r="D483" s="82" t="s">
        <v>1455</v>
      </c>
      <c r="E483" s="82"/>
      <c r="F483" s="82"/>
      <c r="G483" s="82"/>
      <c r="H483" s="82"/>
      <c r="I483" s="82"/>
      <c r="J483" s="82"/>
      <c r="K483" s="23">
        <v>2</v>
      </c>
      <c r="L483" s="23">
        <f>ROUND(206.145,3)</f>
        <v>206.14500000000001</v>
      </c>
      <c r="M483" s="24">
        <f t="shared" si="20"/>
        <v>412.29</v>
      </c>
    </row>
    <row r="484" spans="1:13" ht="24.25" customHeight="1" thickBot="1" x14ac:dyDescent="0.25">
      <c r="A484" s="5" t="s">
        <v>1456</v>
      </c>
      <c r="B484" s="5" t="s">
        <v>1457</v>
      </c>
      <c r="C484" s="5" t="s">
        <v>1458</v>
      </c>
      <c r="D484" s="82" t="s">
        <v>1459</v>
      </c>
      <c r="E484" s="82"/>
      <c r="F484" s="82"/>
      <c r="G484" s="82"/>
      <c r="H484" s="82"/>
      <c r="I484" s="82"/>
      <c r="J484" s="82"/>
      <c r="K484" s="23">
        <v>12.1</v>
      </c>
      <c r="L484" s="23">
        <f>ROUND(6.957,3)</f>
        <v>6.9569999999999999</v>
      </c>
      <c r="M484" s="24">
        <f t="shared" si="20"/>
        <v>84.18</v>
      </c>
    </row>
    <row r="485" spans="1:13" ht="15" customHeight="1" thickBot="1" x14ac:dyDescent="0.25">
      <c r="A485" s="5" t="s">
        <v>1460</v>
      </c>
      <c r="B485" s="5" t="s">
        <v>1461</v>
      </c>
      <c r="C485" s="5" t="s">
        <v>1462</v>
      </c>
      <c r="D485" s="82" t="s">
        <v>1463</v>
      </c>
      <c r="E485" s="82"/>
      <c r="F485" s="82"/>
      <c r="G485" s="82"/>
      <c r="H485" s="82"/>
      <c r="I485" s="82"/>
      <c r="J485" s="82"/>
      <c r="K485" s="23">
        <v>6</v>
      </c>
      <c r="L485" s="23">
        <f>ROUND(0.705,3)</f>
        <v>0.70499999999999996</v>
      </c>
      <c r="M485" s="24">
        <f t="shared" si="20"/>
        <v>4.2300000000000004</v>
      </c>
    </row>
    <row r="486" spans="1:13" ht="15" customHeight="1" thickBot="1" x14ac:dyDescent="0.25">
      <c r="A486" s="5" t="s">
        <v>1464</v>
      </c>
      <c r="B486" s="5" t="s">
        <v>1465</v>
      </c>
      <c r="C486" s="5" t="s">
        <v>1466</v>
      </c>
      <c r="D486" s="82" t="s">
        <v>1467</v>
      </c>
      <c r="E486" s="82"/>
      <c r="F486" s="82"/>
      <c r="G486" s="82"/>
      <c r="H486" s="82"/>
      <c r="I486" s="82"/>
      <c r="J486" s="82"/>
      <c r="K486" s="23">
        <v>36</v>
      </c>
      <c r="L486" s="23">
        <f>ROUND(0.062,3)</f>
        <v>6.2E-2</v>
      </c>
      <c r="M486" s="24">
        <f t="shared" si="20"/>
        <v>2.23</v>
      </c>
    </row>
    <row r="487" spans="1:13" ht="15" customHeight="1" thickBot="1" x14ac:dyDescent="0.25">
      <c r="A487" s="5" t="s">
        <v>1468</v>
      </c>
      <c r="B487" s="5" t="s">
        <v>1469</v>
      </c>
      <c r="C487" s="5" t="s">
        <v>1470</v>
      </c>
      <c r="D487" s="82" t="s">
        <v>1471</v>
      </c>
      <c r="E487" s="82"/>
      <c r="F487" s="82"/>
      <c r="G487" s="82"/>
      <c r="H487" s="82"/>
      <c r="I487" s="82"/>
      <c r="J487" s="82"/>
      <c r="K487" s="23">
        <v>1</v>
      </c>
      <c r="L487" s="23">
        <f>ROUND(11.361,3)</f>
        <v>11.361000000000001</v>
      </c>
      <c r="M487" s="24">
        <f t="shared" si="20"/>
        <v>11.36</v>
      </c>
    </row>
    <row r="488" spans="1:13" ht="15" customHeight="1" thickBot="1" x14ac:dyDescent="0.25">
      <c r="A488" s="5" t="s">
        <v>1472</v>
      </c>
      <c r="B488" s="5" t="s">
        <v>1473</v>
      </c>
      <c r="C488" s="5" t="s">
        <v>1474</v>
      </c>
      <c r="D488" s="82" t="s">
        <v>1475</v>
      </c>
      <c r="E488" s="82"/>
      <c r="F488" s="82"/>
      <c r="G488" s="82"/>
      <c r="H488" s="82"/>
      <c r="I488" s="82"/>
      <c r="J488" s="82"/>
      <c r="K488" s="23">
        <v>2</v>
      </c>
      <c r="L488" s="23">
        <f>ROUND(8.177,3)</f>
        <v>8.1769999999999996</v>
      </c>
      <c r="M488" s="24">
        <f t="shared" si="20"/>
        <v>16.350000000000001</v>
      </c>
    </row>
    <row r="489" spans="1:13" ht="15" customHeight="1" thickBot="1" x14ac:dyDescent="0.25">
      <c r="A489" s="5" t="s">
        <v>1476</v>
      </c>
      <c r="B489" s="5" t="s">
        <v>1477</v>
      </c>
      <c r="C489" s="5" t="s">
        <v>1478</v>
      </c>
      <c r="D489" s="82" t="s">
        <v>1479</v>
      </c>
      <c r="E489" s="82"/>
      <c r="F489" s="82"/>
      <c r="G489" s="82"/>
      <c r="H489" s="82"/>
      <c r="I489" s="82"/>
      <c r="J489" s="82"/>
      <c r="K489" s="23">
        <v>1.5309999999999999</v>
      </c>
      <c r="L489" s="23">
        <f>ROUND(28.72,3)</f>
        <v>28.72</v>
      </c>
      <c r="M489" s="24">
        <f t="shared" si="20"/>
        <v>43.97</v>
      </c>
    </row>
    <row r="490" spans="1:13" ht="15" customHeight="1" thickBot="1" x14ac:dyDescent="0.25">
      <c r="A490" s="5" t="s">
        <v>1480</v>
      </c>
      <c r="B490" s="5" t="s">
        <v>1481</v>
      </c>
      <c r="C490" s="5" t="s">
        <v>1482</v>
      </c>
      <c r="D490" s="82" t="s">
        <v>1483</v>
      </c>
      <c r="E490" s="82"/>
      <c r="F490" s="82"/>
      <c r="G490" s="82"/>
      <c r="H490" s="82"/>
      <c r="I490" s="82"/>
      <c r="J490" s="82"/>
      <c r="K490" s="23">
        <v>1.5309999999999999</v>
      </c>
      <c r="L490" s="23">
        <f>ROUND(23.46,3)</f>
        <v>23.46</v>
      </c>
      <c r="M490" s="24">
        <f t="shared" si="20"/>
        <v>35.92</v>
      </c>
    </row>
    <row r="491" spans="1:13" ht="15" customHeight="1" thickBot="1" x14ac:dyDescent="0.25">
      <c r="A491" s="5" t="s">
        <v>1484</v>
      </c>
      <c r="B491" s="5"/>
      <c r="C491" s="5" t="s">
        <v>1485</v>
      </c>
      <c r="D491" s="82" t="s">
        <v>1486</v>
      </c>
      <c r="E491" s="82"/>
      <c r="F491" s="82"/>
      <c r="G491" s="82"/>
      <c r="H491" s="82"/>
      <c r="I491" s="82"/>
      <c r="J491" s="82"/>
      <c r="K491" s="23">
        <v>2</v>
      </c>
      <c r="L491" s="23">
        <f>ROUND(687.54,3)</f>
        <v>687.54</v>
      </c>
      <c r="M491" s="24">
        <f>ROUND((K491*L491)/100,2)</f>
        <v>13.75</v>
      </c>
    </row>
    <row r="492" spans="1:13" ht="15.25" customHeight="1" thickBot="1" x14ac:dyDescent="0.25">
      <c r="A492" s="26"/>
      <c r="B492" s="26"/>
      <c r="C492" s="26"/>
      <c r="D492" s="27" t="s">
        <v>1487</v>
      </c>
      <c r="E492" s="26"/>
      <c r="F492" s="26"/>
      <c r="G492" s="26"/>
      <c r="H492" s="26"/>
      <c r="I492" s="26"/>
      <c r="J492" s="26"/>
      <c r="K492" s="28">
        <v>1</v>
      </c>
      <c r="L492" s="29">
        <f>ROUND((M481+M482+M483+M484+M485+M486+M487+M488+M489+M490+M491)*(1+M2/100),2)</f>
        <v>722.33</v>
      </c>
      <c r="M492" s="29">
        <f>ROUND(K492*L492,2)</f>
        <v>722.33</v>
      </c>
    </row>
    <row r="493" spans="1:13" ht="15.25" customHeight="1" thickBot="1" x14ac:dyDescent="0.25">
      <c r="A493" s="30" t="s">
        <v>1488</v>
      </c>
      <c r="B493" s="31" t="s">
        <v>1489</v>
      </c>
      <c r="C493" s="31" t="s">
        <v>1490</v>
      </c>
      <c r="D493" s="83" t="s">
        <v>1491</v>
      </c>
      <c r="E493" s="83"/>
      <c r="F493" s="83"/>
      <c r="G493" s="83"/>
      <c r="H493" s="83"/>
      <c r="I493" s="83"/>
      <c r="J493" s="83"/>
      <c r="K493" s="32">
        <f>SUM(K496:K497)</f>
        <v>4</v>
      </c>
      <c r="L493" s="33">
        <f>L508</f>
        <v>739.11</v>
      </c>
      <c r="M493" s="33">
        <f>ROUND(K493*L493,2)</f>
        <v>2956.44</v>
      </c>
    </row>
    <row r="494" spans="1:13" ht="76.25" customHeight="1" thickBot="1" x14ac:dyDescent="0.25">
      <c r="A494" s="25"/>
      <c r="B494" s="25"/>
      <c r="C494" s="25"/>
      <c r="D494" s="82" t="s">
        <v>1492</v>
      </c>
      <c r="E494" s="82"/>
      <c r="F494" s="82"/>
      <c r="G494" s="82"/>
      <c r="H494" s="82"/>
      <c r="I494" s="82"/>
      <c r="J494" s="82"/>
      <c r="K494" s="82"/>
      <c r="L494" s="82"/>
      <c r="M494" s="82"/>
    </row>
    <row r="495" spans="1:13" ht="15" customHeight="1" thickBot="1" x14ac:dyDescent="0.25">
      <c r="A495" s="25"/>
      <c r="B495" s="25"/>
      <c r="C495" s="25"/>
      <c r="D495" s="25"/>
      <c r="E495" s="41"/>
      <c r="F495" s="43" t="s">
        <v>1493</v>
      </c>
      <c r="G495" s="43" t="s">
        <v>1494</v>
      </c>
      <c r="H495" s="43" t="s">
        <v>1495</v>
      </c>
      <c r="I495" s="43" t="s">
        <v>1496</v>
      </c>
      <c r="J495" s="43" t="s">
        <v>1497</v>
      </c>
      <c r="K495" s="43" t="s">
        <v>1498</v>
      </c>
      <c r="L495" s="25"/>
      <c r="M495" s="25"/>
    </row>
    <row r="496" spans="1:13" ht="30.5" customHeight="1" thickBot="1" x14ac:dyDescent="0.25">
      <c r="A496" s="25"/>
      <c r="B496" s="25"/>
      <c r="C496" s="25"/>
      <c r="D496" s="44"/>
      <c r="E496" s="45" t="s">
        <v>1499</v>
      </c>
      <c r="F496" s="46">
        <v>2</v>
      </c>
      <c r="G496" s="47"/>
      <c r="H496" s="47"/>
      <c r="I496" s="47"/>
      <c r="J496" s="49">
        <f>ROUND(F496,3)</f>
        <v>2</v>
      </c>
      <c r="K496" s="50"/>
      <c r="L496" s="25"/>
      <c r="M496" s="25"/>
    </row>
    <row r="497" spans="1:13" ht="30.5" customHeight="1" thickBot="1" x14ac:dyDescent="0.25">
      <c r="A497" s="25"/>
      <c r="B497" s="25"/>
      <c r="C497" s="25"/>
      <c r="D497" s="44"/>
      <c r="E497" s="5" t="s">
        <v>1500</v>
      </c>
      <c r="F497" s="3">
        <v>2</v>
      </c>
      <c r="G497" s="23"/>
      <c r="H497" s="23"/>
      <c r="I497" s="23"/>
      <c r="J497" s="48">
        <f>ROUND(F497,3)</f>
        <v>2</v>
      </c>
      <c r="K497" s="51">
        <f>SUM(J496:J497)</f>
        <v>4</v>
      </c>
      <c r="L497" s="25"/>
      <c r="M497" s="25"/>
    </row>
    <row r="498" spans="1:13" ht="15" customHeight="1" thickBot="1" x14ac:dyDescent="0.25">
      <c r="A498" s="5" t="s">
        <v>1501</v>
      </c>
      <c r="B498" s="5" t="s">
        <v>1502</v>
      </c>
      <c r="C498" s="5" t="s">
        <v>1503</v>
      </c>
      <c r="D498" s="82" t="s">
        <v>1504</v>
      </c>
      <c r="E498" s="82"/>
      <c r="F498" s="82"/>
      <c r="G498" s="82"/>
      <c r="H498" s="82"/>
      <c r="I498" s="82"/>
      <c r="J498" s="82"/>
      <c r="K498" s="23">
        <v>1</v>
      </c>
      <c r="L498" s="23">
        <f>ROUND(18.294,3)</f>
        <v>18.294</v>
      </c>
      <c r="M498" s="24">
        <f t="shared" ref="M498:M506" si="21">ROUND(K498*L498,2)</f>
        <v>18.29</v>
      </c>
    </row>
    <row r="499" spans="1:13" ht="24.25" customHeight="1" thickBot="1" x14ac:dyDescent="0.25">
      <c r="A499" s="5" t="s">
        <v>1505</v>
      </c>
      <c r="B499" s="5" t="s">
        <v>1506</v>
      </c>
      <c r="C499" s="5" t="s">
        <v>1507</v>
      </c>
      <c r="D499" s="82" t="s">
        <v>1508</v>
      </c>
      <c r="E499" s="82"/>
      <c r="F499" s="82"/>
      <c r="G499" s="82"/>
      <c r="H499" s="82"/>
      <c r="I499" s="82"/>
      <c r="J499" s="82"/>
      <c r="K499" s="23">
        <v>6</v>
      </c>
      <c r="L499" s="23">
        <f>ROUND(9.786,3)</f>
        <v>9.7859999999999996</v>
      </c>
      <c r="M499" s="24">
        <f t="shared" si="21"/>
        <v>58.72</v>
      </c>
    </row>
    <row r="500" spans="1:13" ht="24.25" customHeight="1" thickBot="1" x14ac:dyDescent="0.25">
      <c r="A500" s="5" t="s">
        <v>1509</v>
      </c>
      <c r="B500" s="5" t="s">
        <v>1510</v>
      </c>
      <c r="C500" s="5" t="s">
        <v>1511</v>
      </c>
      <c r="D500" s="82" t="s">
        <v>1512</v>
      </c>
      <c r="E500" s="82"/>
      <c r="F500" s="82"/>
      <c r="G500" s="82"/>
      <c r="H500" s="82"/>
      <c r="I500" s="82"/>
      <c r="J500" s="82"/>
      <c r="K500" s="23">
        <v>2</v>
      </c>
      <c r="L500" s="23">
        <f>ROUND(114.621,3)</f>
        <v>114.621</v>
      </c>
      <c r="M500" s="24">
        <f t="shared" si="21"/>
        <v>229.24</v>
      </c>
    </row>
    <row r="501" spans="1:13" ht="24.25" customHeight="1" thickBot="1" x14ac:dyDescent="0.25">
      <c r="A501" s="5" t="s">
        <v>1513</v>
      </c>
      <c r="B501" s="5" t="s">
        <v>1514</v>
      </c>
      <c r="C501" s="5" t="s">
        <v>1515</v>
      </c>
      <c r="D501" s="82" t="s">
        <v>1516</v>
      </c>
      <c r="E501" s="82"/>
      <c r="F501" s="82"/>
      <c r="G501" s="82"/>
      <c r="H501" s="82"/>
      <c r="I501" s="82"/>
      <c r="J501" s="82"/>
      <c r="K501" s="23">
        <v>12.1</v>
      </c>
      <c r="L501" s="23">
        <f>ROUND(6.957,3)</f>
        <v>6.9569999999999999</v>
      </c>
      <c r="M501" s="24">
        <f t="shared" si="21"/>
        <v>84.18</v>
      </c>
    </row>
    <row r="502" spans="1:13" ht="15" customHeight="1" thickBot="1" x14ac:dyDescent="0.25">
      <c r="A502" s="5" t="s">
        <v>1517</v>
      </c>
      <c r="B502" s="5" t="s">
        <v>1518</v>
      </c>
      <c r="C502" s="5" t="s">
        <v>1519</v>
      </c>
      <c r="D502" s="82" t="s">
        <v>1520</v>
      </c>
      <c r="E502" s="82"/>
      <c r="F502" s="82"/>
      <c r="G502" s="82"/>
      <c r="H502" s="82"/>
      <c r="I502" s="82"/>
      <c r="J502" s="82"/>
      <c r="K502" s="23">
        <v>6</v>
      </c>
      <c r="L502" s="23">
        <f>ROUND(23.59,3)</f>
        <v>23.59</v>
      </c>
      <c r="M502" s="24">
        <f t="shared" si="21"/>
        <v>141.54</v>
      </c>
    </row>
    <row r="503" spans="1:13" ht="15" customHeight="1" thickBot="1" x14ac:dyDescent="0.25">
      <c r="A503" s="5" t="s">
        <v>1521</v>
      </c>
      <c r="B503" s="5" t="s">
        <v>1522</v>
      </c>
      <c r="C503" s="5" t="s">
        <v>1523</v>
      </c>
      <c r="D503" s="82" t="s">
        <v>1524</v>
      </c>
      <c r="E503" s="82"/>
      <c r="F503" s="82"/>
      <c r="G503" s="82"/>
      <c r="H503" s="82"/>
      <c r="I503" s="82"/>
      <c r="J503" s="82"/>
      <c r="K503" s="23">
        <v>36</v>
      </c>
      <c r="L503" s="23">
        <f>ROUND(0.062,3)</f>
        <v>6.2E-2</v>
      </c>
      <c r="M503" s="24">
        <f t="shared" si="21"/>
        <v>2.23</v>
      </c>
    </row>
    <row r="504" spans="1:13" ht="21.25" customHeight="1" thickBot="1" x14ac:dyDescent="0.25">
      <c r="A504" s="5" t="s">
        <v>1525</v>
      </c>
      <c r="B504" s="5" t="s">
        <v>1526</v>
      </c>
      <c r="C504" s="5" t="s">
        <v>1527</v>
      </c>
      <c r="D504" s="82" t="s">
        <v>1528</v>
      </c>
      <c r="E504" s="82"/>
      <c r="F504" s="82"/>
      <c r="G504" s="82"/>
      <c r="H504" s="82"/>
      <c r="I504" s="82"/>
      <c r="J504" s="82"/>
      <c r="K504" s="23">
        <v>2</v>
      </c>
      <c r="L504" s="23">
        <f>ROUND(44.71,3)</f>
        <v>44.71</v>
      </c>
      <c r="M504" s="24">
        <f t="shared" si="21"/>
        <v>89.42</v>
      </c>
    </row>
    <row r="505" spans="1:13" ht="15" customHeight="1" thickBot="1" x14ac:dyDescent="0.25">
      <c r="A505" s="5" t="s">
        <v>1529</v>
      </c>
      <c r="B505" s="5" t="s">
        <v>1530</v>
      </c>
      <c r="C505" s="5" t="s">
        <v>1531</v>
      </c>
      <c r="D505" s="82" t="s">
        <v>1532</v>
      </c>
      <c r="E505" s="82"/>
      <c r="F505" s="82"/>
      <c r="G505" s="82"/>
      <c r="H505" s="82"/>
      <c r="I505" s="82"/>
      <c r="J505" s="82"/>
      <c r="K505" s="23">
        <v>1.5309999999999999</v>
      </c>
      <c r="L505" s="23">
        <f>ROUND(28.72,3)</f>
        <v>28.72</v>
      </c>
      <c r="M505" s="24">
        <f t="shared" si="21"/>
        <v>43.97</v>
      </c>
    </row>
    <row r="506" spans="1:13" ht="15" customHeight="1" thickBot="1" x14ac:dyDescent="0.25">
      <c r="A506" s="5" t="s">
        <v>1533</v>
      </c>
      <c r="B506" s="5" t="s">
        <v>1534</v>
      </c>
      <c r="C506" s="5" t="s">
        <v>1535</v>
      </c>
      <c r="D506" s="82" t="s">
        <v>1536</v>
      </c>
      <c r="E506" s="82"/>
      <c r="F506" s="82"/>
      <c r="G506" s="82"/>
      <c r="H506" s="82"/>
      <c r="I506" s="82"/>
      <c r="J506" s="82"/>
      <c r="K506" s="23">
        <v>1.5309999999999999</v>
      </c>
      <c r="L506" s="23">
        <f>ROUND(23.46,3)</f>
        <v>23.46</v>
      </c>
      <c r="M506" s="24">
        <f t="shared" si="21"/>
        <v>35.92</v>
      </c>
    </row>
    <row r="507" spans="1:13" ht="15" customHeight="1" thickBot="1" x14ac:dyDescent="0.25">
      <c r="A507" s="5" t="s">
        <v>1537</v>
      </c>
      <c r="B507" s="5"/>
      <c r="C507" s="5" t="s">
        <v>1538</v>
      </c>
      <c r="D507" s="82" t="s">
        <v>1539</v>
      </c>
      <c r="E507" s="82"/>
      <c r="F507" s="82"/>
      <c r="G507" s="82"/>
      <c r="H507" s="82"/>
      <c r="I507" s="82"/>
      <c r="J507" s="82"/>
      <c r="K507" s="23">
        <v>2</v>
      </c>
      <c r="L507" s="23">
        <f>ROUND(703.51,3)</f>
        <v>703.51</v>
      </c>
      <c r="M507" s="24">
        <f>ROUND((K507*L507)/100,2)</f>
        <v>14.07</v>
      </c>
    </row>
    <row r="508" spans="1:13" ht="15.25" customHeight="1" thickBot="1" x14ac:dyDescent="0.25">
      <c r="A508" s="26"/>
      <c r="B508" s="26"/>
      <c r="C508" s="26"/>
      <c r="D508" s="27" t="s">
        <v>1540</v>
      </c>
      <c r="E508" s="26"/>
      <c r="F508" s="26"/>
      <c r="G508" s="26"/>
      <c r="H508" s="26"/>
      <c r="I508" s="26"/>
      <c r="J508" s="26"/>
      <c r="K508" s="28">
        <v>4</v>
      </c>
      <c r="L508" s="29">
        <f>ROUND((M498+M499+M500+M501+M502+M503+M504+M505+M506+M507)*(1+M2/100),2)</f>
        <v>739.11</v>
      </c>
      <c r="M508" s="29">
        <f>ROUND(K508*L508,2)</f>
        <v>2956.44</v>
      </c>
    </row>
    <row r="509" spans="1:13" ht="15.25" customHeight="1" thickBot="1" x14ac:dyDescent="0.25">
      <c r="A509" s="34"/>
      <c r="B509" s="34"/>
      <c r="C509" s="34"/>
      <c r="D509" s="35" t="s">
        <v>1541</v>
      </c>
      <c r="E509" s="36"/>
      <c r="F509" s="36"/>
      <c r="G509" s="36"/>
      <c r="H509" s="36"/>
      <c r="I509" s="36"/>
      <c r="J509" s="36"/>
      <c r="K509" s="36"/>
      <c r="L509" s="37">
        <f>M465+M479+M493</f>
        <v>4046.23</v>
      </c>
      <c r="M509" s="37">
        <f>ROUND(L509,2)</f>
        <v>4046.23</v>
      </c>
    </row>
    <row r="510" spans="1:13" ht="15.25" customHeight="1" thickBot="1" x14ac:dyDescent="0.25">
      <c r="A510" s="34"/>
      <c r="B510" s="34"/>
      <c r="C510" s="34"/>
      <c r="D510" s="52" t="s">
        <v>1542</v>
      </c>
      <c r="E510" s="53"/>
      <c r="F510" s="53"/>
      <c r="G510" s="53"/>
      <c r="H510" s="53"/>
      <c r="I510" s="53"/>
      <c r="J510" s="53"/>
      <c r="K510" s="53"/>
      <c r="L510" s="54">
        <f>M509</f>
        <v>4046.23</v>
      </c>
      <c r="M510" s="54">
        <f>ROUND(L510,2)</f>
        <v>4046.23</v>
      </c>
    </row>
    <row r="511" spans="1:13" ht="15.25" customHeight="1" thickBot="1" x14ac:dyDescent="0.25">
      <c r="A511" s="55" t="s">
        <v>1543</v>
      </c>
      <c r="B511" s="55" t="s">
        <v>1544</v>
      </c>
      <c r="C511" s="56"/>
      <c r="D511" s="85" t="s">
        <v>1545</v>
      </c>
      <c r="E511" s="85"/>
      <c r="F511" s="85"/>
      <c r="G511" s="85"/>
      <c r="H511" s="85"/>
      <c r="I511" s="85"/>
      <c r="J511" s="85"/>
      <c r="K511" s="56"/>
      <c r="L511" s="57">
        <f>L533</f>
        <v>5685.69</v>
      </c>
      <c r="M511" s="57">
        <f>ROUND(L511,2)</f>
        <v>5685.69</v>
      </c>
    </row>
    <row r="512" spans="1:13" ht="15.25" customHeight="1" thickBot="1" x14ac:dyDescent="0.25">
      <c r="A512" s="20" t="s">
        <v>1546</v>
      </c>
      <c r="B512" s="20" t="s">
        <v>1547</v>
      </c>
      <c r="C512" s="21"/>
      <c r="D512" s="81" t="s">
        <v>1548</v>
      </c>
      <c r="E512" s="81"/>
      <c r="F512" s="81"/>
      <c r="G512" s="81"/>
      <c r="H512" s="81"/>
      <c r="I512" s="81"/>
      <c r="J512" s="81"/>
      <c r="K512" s="21"/>
      <c r="L512" s="22">
        <f>L532</f>
        <v>5685.69</v>
      </c>
      <c r="M512" s="22">
        <f>ROUND(L512,2)</f>
        <v>5685.69</v>
      </c>
    </row>
    <row r="513" spans="1:13" ht="15.25" customHeight="1" thickBot="1" x14ac:dyDescent="0.25">
      <c r="A513" s="10" t="s">
        <v>1549</v>
      </c>
      <c r="B513" s="5" t="s">
        <v>1550</v>
      </c>
      <c r="C513" s="5" t="s">
        <v>1551</v>
      </c>
      <c r="D513" s="82" t="s">
        <v>1552</v>
      </c>
      <c r="E513" s="82"/>
      <c r="F513" s="82"/>
      <c r="G513" s="82"/>
      <c r="H513" s="82"/>
      <c r="I513" s="82"/>
      <c r="J513" s="82"/>
      <c r="K513" s="23">
        <f>SUM(K516:K520)</f>
        <v>6.1</v>
      </c>
      <c r="L513" s="24">
        <f>L531</f>
        <v>932.08</v>
      </c>
      <c r="M513" s="24">
        <f>ROUND(K513*L513,2)</f>
        <v>5685.69</v>
      </c>
    </row>
    <row r="514" spans="1:13" ht="94.75" customHeight="1" thickBot="1" x14ac:dyDescent="0.25">
      <c r="A514" s="25"/>
      <c r="B514" s="25"/>
      <c r="C514" s="25"/>
      <c r="D514" s="82" t="s">
        <v>1553</v>
      </c>
      <c r="E514" s="82"/>
      <c r="F514" s="82"/>
      <c r="G514" s="82"/>
      <c r="H514" s="82"/>
      <c r="I514" s="82"/>
      <c r="J514" s="82"/>
      <c r="K514" s="82"/>
      <c r="L514" s="82"/>
      <c r="M514" s="82"/>
    </row>
    <row r="515" spans="1:13" ht="15" customHeight="1" thickBot="1" x14ac:dyDescent="0.25">
      <c r="A515" s="25"/>
      <c r="B515" s="25"/>
      <c r="C515" s="25"/>
      <c r="D515" s="25"/>
      <c r="E515" s="41"/>
      <c r="F515" s="43" t="s">
        <v>1554</v>
      </c>
      <c r="G515" s="43" t="s">
        <v>1555</v>
      </c>
      <c r="H515" s="43" t="s">
        <v>1556</v>
      </c>
      <c r="I515" s="43" t="s">
        <v>1557</v>
      </c>
      <c r="J515" s="43" t="s">
        <v>1558</v>
      </c>
      <c r="K515" s="43" t="s">
        <v>1559</v>
      </c>
      <c r="L515" s="25"/>
      <c r="M515" s="25"/>
    </row>
    <row r="516" spans="1:13" ht="30.5" customHeight="1" thickBot="1" x14ac:dyDescent="0.25">
      <c r="A516" s="25"/>
      <c r="B516" s="25"/>
      <c r="C516" s="25"/>
      <c r="D516" s="44"/>
      <c r="E516" s="45" t="s">
        <v>1560</v>
      </c>
      <c r="F516" s="46">
        <v>2</v>
      </c>
      <c r="G516" s="47"/>
      <c r="H516" s="47"/>
      <c r="I516" s="47"/>
      <c r="J516" s="49">
        <f>ROUND(F516,3)</f>
        <v>2</v>
      </c>
      <c r="K516" s="50"/>
      <c r="L516" s="25"/>
      <c r="M516" s="25"/>
    </row>
    <row r="517" spans="1:13" ht="30.5" customHeight="1" thickBot="1" x14ac:dyDescent="0.25">
      <c r="A517" s="25"/>
      <c r="B517" s="25"/>
      <c r="C517" s="25"/>
      <c r="D517" s="44"/>
      <c r="E517" s="5" t="s">
        <v>1561</v>
      </c>
      <c r="F517" s="3">
        <v>2</v>
      </c>
      <c r="G517" s="23"/>
      <c r="H517" s="23"/>
      <c r="I517" s="23"/>
      <c r="J517" s="48">
        <f>ROUND(F517,3)</f>
        <v>2</v>
      </c>
      <c r="K517" s="51">
        <f>SUM(J516:J517)</f>
        <v>4</v>
      </c>
      <c r="L517" s="25"/>
      <c r="M517" s="25"/>
    </row>
    <row r="518" spans="1:13" ht="15" customHeight="1" thickBot="1" x14ac:dyDescent="0.25">
      <c r="A518" s="25"/>
      <c r="B518" s="25"/>
      <c r="C518" s="25"/>
      <c r="D518" s="25"/>
      <c r="E518" s="41"/>
      <c r="F518" s="43" t="s">
        <v>1562</v>
      </c>
      <c r="G518" s="43" t="s">
        <v>1563</v>
      </c>
      <c r="H518" s="43" t="s">
        <v>1564</v>
      </c>
      <c r="I518" s="43" t="s">
        <v>1565</v>
      </c>
      <c r="J518" s="43" t="s">
        <v>1566</v>
      </c>
      <c r="K518" s="43" t="s">
        <v>1567</v>
      </c>
      <c r="L518" s="25"/>
      <c r="M518" s="25"/>
    </row>
    <row r="519" spans="1:13" ht="30.5" customHeight="1" thickBot="1" x14ac:dyDescent="0.25">
      <c r="A519" s="25"/>
      <c r="B519" s="25"/>
      <c r="C519" s="25"/>
      <c r="D519" s="44"/>
      <c r="E519" s="45" t="s">
        <v>1568</v>
      </c>
      <c r="F519" s="46">
        <v>1</v>
      </c>
      <c r="G519" s="47">
        <v>0.7</v>
      </c>
      <c r="H519" s="47"/>
      <c r="I519" s="47"/>
      <c r="J519" s="49">
        <f>ROUND(F519*G519,3)</f>
        <v>0.7</v>
      </c>
      <c r="K519" s="50"/>
      <c r="L519" s="25"/>
      <c r="M519" s="25"/>
    </row>
    <row r="520" spans="1:13" ht="30.5" customHeight="1" thickBot="1" x14ac:dyDescent="0.25">
      <c r="A520" s="25"/>
      <c r="B520" s="25"/>
      <c r="C520" s="25"/>
      <c r="D520" s="44"/>
      <c r="E520" s="5" t="s">
        <v>1569</v>
      </c>
      <c r="F520" s="3">
        <v>2</v>
      </c>
      <c r="G520" s="23">
        <v>0.7</v>
      </c>
      <c r="H520" s="23"/>
      <c r="I520" s="23"/>
      <c r="J520" s="48">
        <f>ROUND(F520*G520,3)</f>
        <v>1.4</v>
      </c>
      <c r="K520" s="51">
        <f>SUM(J519:J520)</f>
        <v>2.0999999999999996</v>
      </c>
      <c r="L520" s="25"/>
      <c r="M520" s="25"/>
    </row>
    <row r="521" spans="1:13" ht="67" customHeight="1" thickBot="1" x14ac:dyDescent="0.25">
      <c r="A521" s="5" t="s">
        <v>1570</v>
      </c>
      <c r="B521" s="5" t="s">
        <v>1571</v>
      </c>
      <c r="C521" s="5" t="s">
        <v>1572</v>
      </c>
      <c r="D521" s="82" t="s">
        <v>1573</v>
      </c>
      <c r="E521" s="82"/>
      <c r="F521" s="82"/>
      <c r="G521" s="82"/>
      <c r="H521" s="82"/>
      <c r="I521" s="82"/>
      <c r="J521" s="82"/>
      <c r="K521" s="23">
        <v>1</v>
      </c>
      <c r="L521" s="23">
        <f>ROUND(534.3,3)</f>
        <v>534.29999999999995</v>
      </c>
      <c r="M521" s="24">
        <f t="shared" ref="M521:M529" si="22">ROUND(K521*L521,2)</f>
        <v>534.29999999999995</v>
      </c>
    </row>
    <row r="522" spans="1:13" ht="15" customHeight="1" thickBot="1" x14ac:dyDescent="0.25">
      <c r="A522" s="5" t="s">
        <v>1574</v>
      </c>
      <c r="B522" s="5" t="s">
        <v>1575</v>
      </c>
      <c r="C522" s="5" t="s">
        <v>1576</v>
      </c>
      <c r="D522" s="82" t="s">
        <v>1577</v>
      </c>
      <c r="E522" s="82"/>
      <c r="F522" s="82"/>
      <c r="G522" s="82"/>
      <c r="H522" s="82"/>
      <c r="I522" s="82"/>
      <c r="J522" s="82"/>
      <c r="K522" s="23">
        <v>2</v>
      </c>
      <c r="L522" s="23">
        <f>ROUND(77.712,3)</f>
        <v>77.712000000000003</v>
      </c>
      <c r="M522" s="24">
        <f t="shared" si="22"/>
        <v>155.41999999999999</v>
      </c>
    </row>
    <row r="523" spans="1:13" ht="21.25" customHeight="1" thickBot="1" x14ac:dyDescent="0.25">
      <c r="A523" s="5" t="s">
        <v>1578</v>
      </c>
      <c r="B523" s="5" t="s">
        <v>1579</v>
      </c>
      <c r="C523" s="5" t="s">
        <v>1580</v>
      </c>
      <c r="D523" s="82" t="s">
        <v>1581</v>
      </c>
      <c r="E523" s="82"/>
      <c r="F523" s="82"/>
      <c r="G523" s="82"/>
      <c r="H523" s="82"/>
      <c r="I523" s="82"/>
      <c r="J523" s="82"/>
      <c r="K523" s="23">
        <v>1</v>
      </c>
      <c r="L523" s="23">
        <f>ROUND(46.86,3)</f>
        <v>46.86</v>
      </c>
      <c r="M523" s="24">
        <f t="shared" si="22"/>
        <v>46.86</v>
      </c>
    </row>
    <row r="524" spans="1:13" ht="21.25" customHeight="1" thickBot="1" x14ac:dyDescent="0.25">
      <c r="A524" s="5" t="s">
        <v>1582</v>
      </c>
      <c r="B524" s="5" t="s">
        <v>1583</v>
      </c>
      <c r="C524" s="5" t="s">
        <v>1584</v>
      </c>
      <c r="D524" s="82" t="s">
        <v>1585</v>
      </c>
      <c r="E524" s="82"/>
      <c r="F524" s="82"/>
      <c r="G524" s="82"/>
      <c r="H524" s="82"/>
      <c r="I524" s="82"/>
      <c r="J524" s="82"/>
      <c r="K524" s="23">
        <v>2</v>
      </c>
      <c r="L524" s="23">
        <f>ROUND(50.161,3)</f>
        <v>50.161000000000001</v>
      </c>
      <c r="M524" s="24">
        <f t="shared" si="22"/>
        <v>100.32</v>
      </c>
    </row>
    <row r="525" spans="1:13" ht="30.5" customHeight="1" thickBot="1" x14ac:dyDescent="0.25">
      <c r="A525" s="5" t="s">
        <v>1586</v>
      </c>
      <c r="B525" s="5" t="s">
        <v>1587</v>
      </c>
      <c r="C525" s="5" t="s">
        <v>1588</v>
      </c>
      <c r="D525" s="82" t="s">
        <v>1589</v>
      </c>
      <c r="E525" s="82"/>
      <c r="F525" s="82"/>
      <c r="G525" s="82"/>
      <c r="H525" s="82"/>
      <c r="I525" s="82"/>
      <c r="J525" s="82"/>
      <c r="K525" s="23">
        <v>1.1200000000000001</v>
      </c>
      <c r="L525" s="23">
        <f>ROUND(4.325,3)</f>
        <v>4.3250000000000002</v>
      </c>
      <c r="M525" s="24">
        <f t="shared" si="22"/>
        <v>4.84</v>
      </c>
    </row>
    <row r="526" spans="1:13" ht="15" customHeight="1" thickBot="1" x14ac:dyDescent="0.25">
      <c r="A526" s="5" t="s">
        <v>1590</v>
      </c>
      <c r="B526" s="5" t="s">
        <v>1591</v>
      </c>
      <c r="C526" s="5" t="s">
        <v>1592</v>
      </c>
      <c r="D526" s="82" t="s">
        <v>1593</v>
      </c>
      <c r="E526" s="82"/>
      <c r="F526" s="82"/>
      <c r="G526" s="82"/>
      <c r="H526" s="82"/>
      <c r="I526" s="82"/>
      <c r="J526" s="82"/>
      <c r="K526" s="23">
        <v>0.81799999999999995</v>
      </c>
      <c r="L526" s="23">
        <f>ROUND(21.41,3)</f>
        <v>21.41</v>
      </c>
      <c r="M526" s="24">
        <f t="shared" si="22"/>
        <v>17.510000000000002</v>
      </c>
    </row>
    <row r="527" spans="1:13" ht="15" customHeight="1" thickBot="1" x14ac:dyDescent="0.25">
      <c r="A527" s="5" t="s">
        <v>1594</v>
      </c>
      <c r="B527" s="5" t="s">
        <v>1595</v>
      </c>
      <c r="C527" s="5" t="s">
        <v>1596</v>
      </c>
      <c r="D527" s="82" t="s">
        <v>1597</v>
      </c>
      <c r="E527" s="82"/>
      <c r="F527" s="82"/>
      <c r="G527" s="82"/>
      <c r="H527" s="82"/>
      <c r="I527" s="82"/>
      <c r="J527" s="82"/>
      <c r="K527" s="23">
        <v>0.81699999999999995</v>
      </c>
      <c r="L527" s="23">
        <f>ROUND(20.34,3)</f>
        <v>20.34</v>
      </c>
      <c r="M527" s="24">
        <f t="shared" si="22"/>
        <v>16.62</v>
      </c>
    </row>
    <row r="528" spans="1:13" ht="15" customHeight="1" thickBot="1" x14ac:dyDescent="0.25">
      <c r="A528" s="5" t="s">
        <v>1598</v>
      </c>
      <c r="B528" s="5" t="s">
        <v>1599</v>
      </c>
      <c r="C528" s="5" t="s">
        <v>1600</v>
      </c>
      <c r="D528" s="82" t="s">
        <v>1601</v>
      </c>
      <c r="E528" s="82"/>
      <c r="F528" s="82"/>
      <c r="G528" s="82"/>
      <c r="H528" s="82"/>
      <c r="I528" s="82"/>
      <c r="J528" s="82"/>
      <c r="K528" s="23">
        <v>0.217</v>
      </c>
      <c r="L528" s="23">
        <f>ROUND(27.45,3)</f>
        <v>27.45</v>
      </c>
      <c r="M528" s="24">
        <f t="shared" si="22"/>
        <v>5.96</v>
      </c>
    </row>
    <row r="529" spans="1:13" ht="15" customHeight="1" thickBot="1" x14ac:dyDescent="0.25">
      <c r="A529" s="5" t="s">
        <v>1602</v>
      </c>
      <c r="B529" s="5" t="s">
        <v>1603</v>
      </c>
      <c r="C529" s="5" t="s">
        <v>1604</v>
      </c>
      <c r="D529" s="82" t="s">
        <v>1605</v>
      </c>
      <c r="E529" s="82"/>
      <c r="F529" s="82"/>
      <c r="G529" s="82"/>
      <c r="H529" s="82"/>
      <c r="I529" s="82"/>
      <c r="J529" s="82"/>
      <c r="K529" s="23">
        <v>0.217</v>
      </c>
      <c r="L529" s="23">
        <f>ROUND(24.7,3)</f>
        <v>24.7</v>
      </c>
      <c r="M529" s="24">
        <f t="shared" si="22"/>
        <v>5.36</v>
      </c>
    </row>
    <row r="530" spans="1:13" ht="15" customHeight="1" thickBot="1" x14ac:dyDescent="0.25">
      <c r="A530" s="5" t="s">
        <v>1606</v>
      </c>
      <c r="B530" s="5"/>
      <c r="C530" s="5" t="s">
        <v>1607</v>
      </c>
      <c r="D530" s="82" t="s">
        <v>1608</v>
      </c>
      <c r="E530" s="82"/>
      <c r="F530" s="82"/>
      <c r="G530" s="82"/>
      <c r="H530" s="82"/>
      <c r="I530" s="82"/>
      <c r="J530" s="82"/>
      <c r="K530" s="23">
        <v>2</v>
      </c>
      <c r="L530" s="23">
        <f>ROUND(887.19,3)</f>
        <v>887.19</v>
      </c>
      <c r="M530" s="24">
        <f>ROUND((K530*L530)/100,2)</f>
        <v>17.739999999999998</v>
      </c>
    </row>
    <row r="531" spans="1:13" ht="15.25" customHeight="1" thickBot="1" x14ac:dyDescent="0.25">
      <c r="A531" s="26"/>
      <c r="B531" s="26"/>
      <c r="C531" s="26"/>
      <c r="D531" s="27" t="s">
        <v>1609</v>
      </c>
      <c r="E531" s="26"/>
      <c r="F531" s="26"/>
      <c r="G531" s="26"/>
      <c r="H531" s="26"/>
      <c r="I531" s="26"/>
      <c r="J531" s="26"/>
      <c r="K531" s="28">
        <v>6.1</v>
      </c>
      <c r="L531" s="29">
        <f>ROUND((M521+M522+M523+M524+M525+M526+M527+M528+M529+M530)*(1+M2/100),2)</f>
        <v>932.08</v>
      </c>
      <c r="M531" s="29">
        <f>ROUND(K531*L531,2)</f>
        <v>5685.69</v>
      </c>
    </row>
    <row r="532" spans="1:13" ht="15.25" customHeight="1" thickBot="1" x14ac:dyDescent="0.25">
      <c r="A532" s="34"/>
      <c r="B532" s="34"/>
      <c r="C532" s="34"/>
      <c r="D532" s="35" t="s">
        <v>1610</v>
      </c>
      <c r="E532" s="36"/>
      <c r="F532" s="36"/>
      <c r="G532" s="36"/>
      <c r="H532" s="36"/>
      <c r="I532" s="36"/>
      <c r="J532" s="36"/>
      <c r="K532" s="36"/>
      <c r="L532" s="37">
        <f>M513</f>
        <v>5685.69</v>
      </c>
      <c r="M532" s="37">
        <f t="shared" ref="M532:M537" si="23">ROUND(L532,2)</f>
        <v>5685.69</v>
      </c>
    </row>
    <row r="533" spans="1:13" ht="15.25" customHeight="1" thickBot="1" x14ac:dyDescent="0.25">
      <c r="A533" s="34"/>
      <c r="B533" s="34"/>
      <c r="C533" s="34"/>
      <c r="D533" s="52" t="s">
        <v>1611</v>
      </c>
      <c r="E533" s="53"/>
      <c r="F533" s="53"/>
      <c r="G533" s="53"/>
      <c r="H533" s="53"/>
      <c r="I533" s="53"/>
      <c r="J533" s="53"/>
      <c r="K533" s="53"/>
      <c r="L533" s="54">
        <f>M532</f>
        <v>5685.69</v>
      </c>
      <c r="M533" s="54">
        <f t="shared" si="23"/>
        <v>5685.69</v>
      </c>
    </row>
    <row r="534" spans="1:13" ht="15.25" customHeight="1" thickBot="1" x14ac:dyDescent="0.25">
      <c r="A534" s="34"/>
      <c r="B534" s="34"/>
      <c r="C534" s="34"/>
      <c r="D534" s="59" t="s">
        <v>1612</v>
      </c>
      <c r="E534" s="60"/>
      <c r="F534" s="60"/>
      <c r="G534" s="60"/>
      <c r="H534" s="60"/>
      <c r="I534" s="60"/>
      <c r="J534" s="60"/>
      <c r="K534" s="60"/>
      <c r="L534" s="61">
        <f>M462+M510+M533</f>
        <v>12138.939999999999</v>
      </c>
      <c r="M534" s="61">
        <f t="shared" si="23"/>
        <v>12138.94</v>
      </c>
    </row>
    <row r="535" spans="1:13" ht="15.25" customHeight="1" thickBot="1" x14ac:dyDescent="0.25">
      <c r="A535" s="62" t="s">
        <v>1613</v>
      </c>
      <c r="B535" s="62" t="s">
        <v>1614</v>
      </c>
      <c r="C535" s="63"/>
      <c r="D535" s="86" t="s">
        <v>1615</v>
      </c>
      <c r="E535" s="86"/>
      <c r="F535" s="86"/>
      <c r="G535" s="86"/>
      <c r="H535" s="86"/>
      <c r="I535" s="86"/>
      <c r="J535" s="86"/>
      <c r="K535" s="63"/>
      <c r="L535" s="64">
        <f>L690</f>
        <v>34339.21</v>
      </c>
      <c r="M535" s="64">
        <f t="shared" si="23"/>
        <v>34339.21</v>
      </c>
    </row>
    <row r="536" spans="1:13" ht="15.25" customHeight="1" thickBot="1" x14ac:dyDescent="0.25">
      <c r="A536" s="17" t="s">
        <v>1616</v>
      </c>
      <c r="B536" s="17" t="s">
        <v>1617</v>
      </c>
      <c r="C536" s="18"/>
      <c r="D536" s="80" t="s">
        <v>1618</v>
      </c>
      <c r="E536" s="80"/>
      <c r="F536" s="80"/>
      <c r="G536" s="80"/>
      <c r="H536" s="80"/>
      <c r="I536" s="80"/>
      <c r="J536" s="80"/>
      <c r="K536" s="18"/>
      <c r="L536" s="19">
        <f>L556</f>
        <v>740.74</v>
      </c>
      <c r="M536" s="19">
        <f t="shared" si="23"/>
        <v>740.74</v>
      </c>
    </row>
    <row r="537" spans="1:13" ht="15.25" customHeight="1" thickBot="1" x14ac:dyDescent="0.25">
      <c r="A537" s="20" t="s">
        <v>1619</v>
      </c>
      <c r="B537" s="20" t="s">
        <v>1620</v>
      </c>
      <c r="C537" s="21"/>
      <c r="D537" s="81" t="s">
        <v>1621</v>
      </c>
      <c r="E537" s="81"/>
      <c r="F537" s="81"/>
      <c r="G537" s="81"/>
      <c r="H537" s="81"/>
      <c r="I537" s="81"/>
      <c r="J537" s="81"/>
      <c r="K537" s="21"/>
      <c r="L537" s="22">
        <f>L555</f>
        <v>740.74</v>
      </c>
      <c r="M537" s="22">
        <f t="shared" si="23"/>
        <v>740.74</v>
      </c>
    </row>
    <row r="538" spans="1:13" ht="15.25" customHeight="1" thickBot="1" x14ac:dyDescent="0.25">
      <c r="A538" s="10" t="s">
        <v>1622</v>
      </c>
      <c r="B538" s="5" t="s">
        <v>1623</v>
      </c>
      <c r="C538" s="5" t="s">
        <v>1624</v>
      </c>
      <c r="D538" s="82" t="s">
        <v>1625</v>
      </c>
      <c r="E538" s="82"/>
      <c r="F538" s="82"/>
      <c r="G538" s="82"/>
      <c r="H538" s="82"/>
      <c r="I538" s="82"/>
      <c r="J538" s="82"/>
      <c r="K538" s="23">
        <f>SUM(K541:K548)</f>
        <v>92.941000000000003</v>
      </c>
      <c r="L538" s="24">
        <f>L554</f>
        <v>7.97</v>
      </c>
      <c r="M538" s="24">
        <f>ROUND(K538*L538,2)</f>
        <v>740.74</v>
      </c>
    </row>
    <row r="539" spans="1:13" ht="76.25" customHeight="1" thickBot="1" x14ac:dyDescent="0.25">
      <c r="A539" s="25"/>
      <c r="B539" s="25"/>
      <c r="C539" s="25"/>
      <c r="D539" s="82" t="s">
        <v>1626</v>
      </c>
      <c r="E539" s="82"/>
      <c r="F539" s="82"/>
      <c r="G539" s="82"/>
      <c r="H539" s="82"/>
      <c r="I539" s="82"/>
      <c r="J539" s="82"/>
      <c r="K539" s="82"/>
      <c r="L539" s="82"/>
      <c r="M539" s="82"/>
    </row>
    <row r="540" spans="1:13" ht="15" customHeight="1" thickBot="1" x14ac:dyDescent="0.25">
      <c r="A540" s="25"/>
      <c r="B540" s="25"/>
      <c r="C540" s="25"/>
      <c r="D540" s="25"/>
      <c r="E540" s="41"/>
      <c r="F540" s="43" t="s">
        <v>1627</v>
      </c>
      <c r="G540" s="43" t="s">
        <v>1628</v>
      </c>
      <c r="H540" s="43" t="s">
        <v>1629</v>
      </c>
      <c r="I540" s="43" t="s">
        <v>1630</v>
      </c>
      <c r="J540" s="43" t="s">
        <v>1631</v>
      </c>
      <c r="K540" s="43" t="s">
        <v>1632</v>
      </c>
      <c r="L540" s="25"/>
      <c r="M540" s="25"/>
    </row>
    <row r="541" spans="1:13" ht="15" customHeight="1" thickBot="1" x14ac:dyDescent="0.25">
      <c r="A541" s="25"/>
      <c r="B541" s="25"/>
      <c r="C541" s="25"/>
      <c r="D541" s="44"/>
      <c r="E541" s="45" t="s">
        <v>1633</v>
      </c>
      <c r="F541" s="46">
        <v>1</v>
      </c>
      <c r="G541" s="47">
        <v>18.100999999999999</v>
      </c>
      <c r="H541" s="47"/>
      <c r="I541" s="47"/>
      <c r="J541" s="49">
        <f>ROUND(F541*G541,3)</f>
        <v>18.100999999999999</v>
      </c>
      <c r="K541" s="50"/>
      <c r="L541" s="25"/>
      <c r="M541" s="25"/>
    </row>
    <row r="542" spans="1:13" ht="21.25" customHeight="1" thickBot="1" x14ac:dyDescent="0.25">
      <c r="A542" s="25"/>
      <c r="B542" s="25"/>
      <c r="C542" s="25"/>
      <c r="D542" s="44"/>
      <c r="E542" s="5" t="s">
        <v>1634</v>
      </c>
      <c r="F542" s="3">
        <v>1</v>
      </c>
      <c r="G542" s="23"/>
      <c r="H542" s="23">
        <v>26.21</v>
      </c>
      <c r="I542" s="23">
        <v>2.5</v>
      </c>
      <c r="J542" s="48">
        <f>ROUND(F542*H542*I542,3)</f>
        <v>65.525000000000006</v>
      </c>
      <c r="K542" s="51">
        <f>SUM(J541:J542)</f>
        <v>83.626000000000005</v>
      </c>
      <c r="L542" s="25"/>
      <c r="M542" s="25"/>
    </row>
    <row r="543" spans="1:13" ht="15" customHeight="1" thickBot="1" x14ac:dyDescent="0.25">
      <c r="A543" s="25"/>
      <c r="B543" s="25"/>
      <c r="C543" s="25"/>
      <c r="D543" s="25"/>
      <c r="E543" s="41"/>
      <c r="F543" s="43" t="s">
        <v>1635</v>
      </c>
      <c r="G543" s="43" t="s">
        <v>1636</v>
      </c>
      <c r="H543" s="43" t="s">
        <v>1637</v>
      </c>
      <c r="I543" s="43" t="s">
        <v>1638</v>
      </c>
      <c r="J543" s="43" t="s">
        <v>1639</v>
      </c>
      <c r="K543" s="43" t="s">
        <v>1640</v>
      </c>
      <c r="L543" s="25"/>
      <c r="M543" s="25"/>
    </row>
    <row r="544" spans="1:13" ht="30.5" customHeight="1" thickBot="1" x14ac:dyDescent="0.25">
      <c r="A544" s="25"/>
      <c r="B544" s="25"/>
      <c r="C544" s="25"/>
      <c r="D544" s="44"/>
      <c r="E544" s="45" t="s">
        <v>1641</v>
      </c>
      <c r="F544" s="46">
        <v>2</v>
      </c>
      <c r="G544" s="47">
        <v>2.0499999999999998</v>
      </c>
      <c r="H544" s="47"/>
      <c r="I544" s="47">
        <v>3.25</v>
      </c>
      <c r="J544" s="49">
        <f>ROUND(F544*G544*I544,3)</f>
        <v>13.324999999999999</v>
      </c>
      <c r="K544" s="50"/>
      <c r="L544" s="25"/>
      <c r="M544" s="25"/>
    </row>
    <row r="545" spans="1:13" ht="30.5" customHeight="1" thickBot="1" x14ac:dyDescent="0.25">
      <c r="A545" s="25"/>
      <c r="B545" s="25"/>
      <c r="C545" s="25"/>
      <c r="D545" s="44"/>
      <c r="E545" s="5" t="s">
        <v>1642</v>
      </c>
      <c r="F545" s="3">
        <v>1</v>
      </c>
      <c r="G545" s="23">
        <v>3.25</v>
      </c>
      <c r="H545" s="23"/>
      <c r="I545" s="23">
        <v>3.25</v>
      </c>
      <c r="J545" s="48">
        <f>ROUND(F545*G545*I545,3)</f>
        <v>10.563000000000001</v>
      </c>
      <c r="K545" s="25"/>
      <c r="L545" s="25"/>
      <c r="M545" s="25"/>
    </row>
    <row r="546" spans="1:13" ht="30.5" customHeight="1" thickBot="1" x14ac:dyDescent="0.25">
      <c r="A546" s="25"/>
      <c r="B546" s="25"/>
      <c r="C546" s="25"/>
      <c r="D546" s="44"/>
      <c r="E546" s="5" t="s">
        <v>1643</v>
      </c>
      <c r="F546" s="3">
        <v>1</v>
      </c>
      <c r="G546" s="23">
        <v>1.43</v>
      </c>
      <c r="H546" s="23"/>
      <c r="I546" s="23">
        <v>3.25</v>
      </c>
      <c r="J546" s="48">
        <f>ROUND(F546*G546*I546,3)</f>
        <v>4.6479999999999997</v>
      </c>
      <c r="K546" s="25"/>
      <c r="L546" s="25"/>
      <c r="M546" s="25"/>
    </row>
    <row r="547" spans="1:13" ht="21.25" customHeight="1" thickBot="1" x14ac:dyDescent="0.25">
      <c r="A547" s="25"/>
      <c r="B547" s="25"/>
      <c r="C547" s="25"/>
      <c r="D547" s="44"/>
      <c r="E547" s="5" t="s">
        <v>1644</v>
      </c>
      <c r="F547" s="3">
        <v>-4</v>
      </c>
      <c r="G547" s="23">
        <v>1.5</v>
      </c>
      <c r="H547" s="23"/>
      <c r="I547" s="23">
        <v>2.2000000000000002</v>
      </c>
      <c r="J547" s="48">
        <f>ROUND(F547*G547*I547,3)</f>
        <v>-13.2</v>
      </c>
      <c r="K547" s="25"/>
      <c r="L547" s="25"/>
      <c r="M547" s="25"/>
    </row>
    <row r="548" spans="1:13" ht="21.25" customHeight="1" thickBot="1" x14ac:dyDescent="0.25">
      <c r="A548" s="25"/>
      <c r="B548" s="25"/>
      <c r="C548" s="25"/>
      <c r="D548" s="44"/>
      <c r="E548" s="5" t="s">
        <v>1645</v>
      </c>
      <c r="F548" s="3">
        <v>-3</v>
      </c>
      <c r="G548" s="23">
        <v>0.9</v>
      </c>
      <c r="H548" s="23"/>
      <c r="I548" s="23">
        <v>2.23</v>
      </c>
      <c r="J548" s="48">
        <f>ROUND(F548*G548*I548,3)</f>
        <v>-6.0209999999999999</v>
      </c>
      <c r="K548" s="51">
        <f>SUM(J544:J548)</f>
        <v>9.3149999999999977</v>
      </c>
      <c r="L548" s="25"/>
      <c r="M548" s="25"/>
    </row>
    <row r="549" spans="1:13" ht="21.25" customHeight="1" thickBot="1" x14ac:dyDescent="0.25">
      <c r="A549" s="5" t="s">
        <v>1646</v>
      </c>
      <c r="B549" s="5" t="s">
        <v>1647</v>
      </c>
      <c r="C549" s="5" t="s">
        <v>1648</v>
      </c>
      <c r="D549" s="82" t="s">
        <v>1649</v>
      </c>
      <c r="E549" s="82"/>
      <c r="F549" s="82"/>
      <c r="G549" s="82"/>
      <c r="H549" s="82"/>
      <c r="I549" s="82"/>
      <c r="J549" s="82"/>
      <c r="K549" s="23">
        <v>5.8000000000000003E-2</v>
      </c>
      <c r="L549" s="23">
        <f>ROUND(6.165,3)</f>
        <v>6.165</v>
      </c>
      <c r="M549" s="24">
        <f>ROUND(K549*L549,2)</f>
        <v>0.36</v>
      </c>
    </row>
    <row r="550" spans="1:13" ht="21.25" customHeight="1" thickBot="1" x14ac:dyDescent="0.25">
      <c r="A550" s="5" t="s">
        <v>1650</v>
      </c>
      <c r="B550" s="5" t="s">
        <v>1651</v>
      </c>
      <c r="C550" s="5" t="s">
        <v>1652</v>
      </c>
      <c r="D550" s="82" t="s">
        <v>1653</v>
      </c>
      <c r="E550" s="82"/>
      <c r="F550" s="82"/>
      <c r="G550" s="82"/>
      <c r="H550" s="82"/>
      <c r="I550" s="82"/>
      <c r="J550" s="82"/>
      <c r="K550" s="23">
        <v>0.2</v>
      </c>
      <c r="L550" s="23">
        <f>ROUND(14.416,3)</f>
        <v>14.416</v>
      </c>
      <c r="M550" s="24">
        <f>ROUND(K550*L550,2)</f>
        <v>2.88</v>
      </c>
    </row>
    <row r="551" spans="1:13" ht="15" customHeight="1" thickBot="1" x14ac:dyDescent="0.25">
      <c r="A551" s="5" t="s">
        <v>1654</v>
      </c>
      <c r="B551" s="5" t="s">
        <v>1655</v>
      </c>
      <c r="C551" s="5" t="s">
        <v>1656</v>
      </c>
      <c r="D551" s="82" t="s">
        <v>1657</v>
      </c>
      <c r="E551" s="82"/>
      <c r="F551" s="82"/>
      <c r="G551" s="82"/>
      <c r="H551" s="82"/>
      <c r="I551" s="82"/>
      <c r="J551" s="82"/>
      <c r="K551" s="23">
        <v>0.104</v>
      </c>
      <c r="L551" s="23">
        <f>ROUND(21.41,3)</f>
        <v>21.41</v>
      </c>
      <c r="M551" s="24">
        <f>ROUND(K551*L551,2)</f>
        <v>2.23</v>
      </c>
    </row>
    <row r="552" spans="1:13" ht="15" customHeight="1" thickBot="1" x14ac:dyDescent="0.25">
      <c r="A552" s="5" t="s">
        <v>1658</v>
      </c>
      <c r="B552" s="5" t="s">
        <v>1659</v>
      </c>
      <c r="C552" s="5" t="s">
        <v>1660</v>
      </c>
      <c r="D552" s="82" t="s">
        <v>1661</v>
      </c>
      <c r="E552" s="82"/>
      <c r="F552" s="82"/>
      <c r="G552" s="82"/>
      <c r="H552" s="82"/>
      <c r="I552" s="82"/>
      <c r="J552" s="82"/>
      <c r="K552" s="23">
        <v>0.104</v>
      </c>
      <c r="L552" s="23">
        <f>ROUND(20.34,3)</f>
        <v>20.34</v>
      </c>
      <c r="M552" s="24">
        <f>ROUND(K552*L552,2)</f>
        <v>2.12</v>
      </c>
    </row>
    <row r="553" spans="1:13" ht="15" customHeight="1" thickBot="1" x14ac:dyDescent="0.25">
      <c r="A553" s="5" t="s">
        <v>1662</v>
      </c>
      <c r="B553" s="5"/>
      <c r="C553" s="5" t="s">
        <v>1663</v>
      </c>
      <c r="D553" s="82" t="s">
        <v>1664</v>
      </c>
      <c r="E553" s="82"/>
      <c r="F553" s="82"/>
      <c r="G553" s="82"/>
      <c r="H553" s="82"/>
      <c r="I553" s="82"/>
      <c r="J553" s="82"/>
      <c r="K553" s="23">
        <v>2</v>
      </c>
      <c r="L553" s="23">
        <f>ROUND(7.59,3)</f>
        <v>7.59</v>
      </c>
      <c r="M553" s="24">
        <f>ROUND((K553*L553)/100,2)</f>
        <v>0.15</v>
      </c>
    </row>
    <row r="554" spans="1:13" ht="15.25" customHeight="1" thickBot="1" x14ac:dyDescent="0.25">
      <c r="A554" s="26"/>
      <c r="B554" s="26"/>
      <c r="C554" s="26"/>
      <c r="D554" s="27" t="s">
        <v>1665</v>
      </c>
      <c r="E554" s="26"/>
      <c r="F554" s="26"/>
      <c r="G554" s="26"/>
      <c r="H554" s="26"/>
      <c r="I554" s="26"/>
      <c r="J554" s="26"/>
      <c r="K554" s="28">
        <v>92.941000000000003</v>
      </c>
      <c r="L554" s="29">
        <f>ROUND((M549+M550+M551+M552+M553)*(1+M2/100),2)</f>
        <v>7.97</v>
      </c>
      <c r="M554" s="29">
        <f>ROUND(K554*L554,2)</f>
        <v>740.74</v>
      </c>
    </row>
    <row r="555" spans="1:13" ht="15.25" customHeight="1" thickBot="1" x14ac:dyDescent="0.25">
      <c r="A555" s="34"/>
      <c r="B555" s="34"/>
      <c r="C555" s="34"/>
      <c r="D555" s="35" t="s">
        <v>1666</v>
      </c>
      <c r="E555" s="36"/>
      <c r="F555" s="36"/>
      <c r="G555" s="36"/>
      <c r="H555" s="36"/>
      <c r="I555" s="36"/>
      <c r="J555" s="36"/>
      <c r="K555" s="36"/>
      <c r="L555" s="37">
        <f>M538</f>
        <v>740.74</v>
      </c>
      <c r="M555" s="37">
        <f>ROUND(L555,2)</f>
        <v>740.74</v>
      </c>
    </row>
    <row r="556" spans="1:13" ht="15.25" customHeight="1" thickBot="1" x14ac:dyDescent="0.25">
      <c r="A556" s="34"/>
      <c r="B556" s="34"/>
      <c r="C556" s="34"/>
      <c r="D556" s="52" t="s">
        <v>1667</v>
      </c>
      <c r="E556" s="53"/>
      <c r="F556" s="53"/>
      <c r="G556" s="53"/>
      <c r="H556" s="53"/>
      <c r="I556" s="53"/>
      <c r="J556" s="53"/>
      <c r="K556" s="53"/>
      <c r="L556" s="54">
        <f>M555</f>
        <v>740.74</v>
      </c>
      <c r="M556" s="54">
        <f>ROUND(L556,2)</f>
        <v>740.74</v>
      </c>
    </row>
    <row r="557" spans="1:13" ht="15.25" customHeight="1" thickBot="1" x14ac:dyDescent="0.25">
      <c r="A557" s="55" t="s">
        <v>1668</v>
      </c>
      <c r="B557" s="55" t="s">
        <v>1669</v>
      </c>
      <c r="C557" s="56"/>
      <c r="D557" s="85" t="s">
        <v>1670</v>
      </c>
      <c r="E557" s="85"/>
      <c r="F557" s="85"/>
      <c r="G557" s="85"/>
      <c r="H557" s="85"/>
      <c r="I557" s="85"/>
      <c r="J557" s="85"/>
      <c r="K557" s="56"/>
      <c r="L557" s="57">
        <f>L597</f>
        <v>23167.8</v>
      </c>
      <c r="M557" s="57">
        <f>ROUND(L557,2)</f>
        <v>23167.8</v>
      </c>
    </row>
    <row r="558" spans="1:13" ht="15.25" customHeight="1" thickBot="1" x14ac:dyDescent="0.25">
      <c r="A558" s="20" t="s">
        <v>1671</v>
      </c>
      <c r="B558" s="20" t="s">
        <v>1672</v>
      </c>
      <c r="C558" s="21"/>
      <c r="D558" s="81" t="s">
        <v>1673</v>
      </c>
      <c r="E558" s="81"/>
      <c r="F558" s="81"/>
      <c r="G558" s="81"/>
      <c r="H558" s="81"/>
      <c r="I558" s="81"/>
      <c r="J558" s="81"/>
      <c r="K558" s="21"/>
      <c r="L558" s="22">
        <f>L571</f>
        <v>13341</v>
      </c>
      <c r="M558" s="22">
        <f>ROUND(L558,2)</f>
        <v>13341</v>
      </c>
    </row>
    <row r="559" spans="1:13" ht="15.25" customHeight="1" thickBot="1" x14ac:dyDescent="0.25">
      <c r="A559" s="10" t="s">
        <v>1674</v>
      </c>
      <c r="B559" s="5" t="s">
        <v>1675</v>
      </c>
      <c r="C559" s="5" t="s">
        <v>1676</v>
      </c>
      <c r="D559" s="82" t="s">
        <v>1677</v>
      </c>
      <c r="E559" s="82"/>
      <c r="F559" s="82"/>
      <c r="G559" s="82"/>
      <c r="H559" s="82"/>
      <c r="I559" s="82"/>
      <c r="J559" s="82"/>
      <c r="K559" s="23">
        <f>SUM(K562:K564)</f>
        <v>177.88</v>
      </c>
      <c r="L559" s="24">
        <f>L570</f>
        <v>75</v>
      </c>
      <c r="M559" s="24">
        <f>ROUND(K559*L559,2)</f>
        <v>13341</v>
      </c>
    </row>
    <row r="560" spans="1:13" ht="94.75" customHeight="1" thickBot="1" x14ac:dyDescent="0.25">
      <c r="A560" s="25"/>
      <c r="B560" s="25"/>
      <c r="C560" s="25"/>
      <c r="D560" s="82" t="s">
        <v>1678</v>
      </c>
      <c r="E560" s="82"/>
      <c r="F560" s="82"/>
      <c r="G560" s="82"/>
      <c r="H560" s="82"/>
      <c r="I560" s="82"/>
      <c r="J560" s="82"/>
      <c r="K560" s="82"/>
      <c r="L560" s="82"/>
      <c r="M560" s="82"/>
    </row>
    <row r="561" spans="1:13" ht="15" customHeight="1" thickBot="1" x14ac:dyDescent="0.25">
      <c r="A561" s="25"/>
      <c r="B561" s="25"/>
      <c r="C561" s="25"/>
      <c r="D561" s="25"/>
      <c r="E561" s="41"/>
      <c r="F561" s="43" t="s">
        <v>1679</v>
      </c>
      <c r="G561" s="43" t="s">
        <v>1680</v>
      </c>
      <c r="H561" s="43" t="s">
        <v>1681</v>
      </c>
      <c r="I561" s="43" t="s">
        <v>1682</v>
      </c>
      <c r="J561" s="43" t="s">
        <v>1683</v>
      </c>
      <c r="K561" s="43" t="s">
        <v>1684</v>
      </c>
      <c r="L561" s="25"/>
      <c r="M561" s="25"/>
    </row>
    <row r="562" spans="1:13" ht="15" customHeight="1" thickBot="1" x14ac:dyDescent="0.25">
      <c r="A562" s="25"/>
      <c r="B562" s="25"/>
      <c r="C562" s="25"/>
      <c r="D562" s="44"/>
      <c r="E562" s="45" t="s">
        <v>1685</v>
      </c>
      <c r="F562" s="46">
        <v>1</v>
      </c>
      <c r="G562" s="47">
        <v>172.4</v>
      </c>
      <c r="H562" s="47"/>
      <c r="I562" s="47"/>
      <c r="J562" s="49">
        <f>ROUND(F562*G562,3)</f>
        <v>172.4</v>
      </c>
      <c r="K562" s="50"/>
      <c r="L562" s="25"/>
      <c r="M562" s="25"/>
    </row>
    <row r="563" spans="1:13" ht="30.5" customHeight="1" thickBot="1" x14ac:dyDescent="0.25">
      <c r="A563" s="25"/>
      <c r="B563" s="25"/>
      <c r="C563" s="25"/>
      <c r="D563" s="44"/>
      <c r="E563" s="5" t="s">
        <v>1686</v>
      </c>
      <c r="F563" s="3">
        <v>1</v>
      </c>
      <c r="G563" s="23">
        <v>3.32</v>
      </c>
      <c r="H563" s="23"/>
      <c r="I563" s="23"/>
      <c r="J563" s="48">
        <f>ROUND(F563*G563,3)</f>
        <v>3.32</v>
      </c>
      <c r="K563" s="25"/>
      <c r="L563" s="25"/>
      <c r="M563" s="25"/>
    </row>
    <row r="564" spans="1:13" ht="30.5" customHeight="1" thickBot="1" x14ac:dyDescent="0.25">
      <c r="A564" s="25"/>
      <c r="B564" s="25"/>
      <c r="C564" s="25"/>
      <c r="D564" s="44"/>
      <c r="E564" s="5" t="s">
        <v>1687</v>
      </c>
      <c r="F564" s="3">
        <v>1</v>
      </c>
      <c r="G564" s="23">
        <v>2.16</v>
      </c>
      <c r="H564" s="23"/>
      <c r="I564" s="23"/>
      <c r="J564" s="48">
        <f>ROUND(F564*G564,3)</f>
        <v>2.16</v>
      </c>
      <c r="K564" s="51">
        <f>SUM(J562:J564)</f>
        <v>177.88</v>
      </c>
      <c r="L564" s="25"/>
      <c r="M564" s="25"/>
    </row>
    <row r="565" spans="1:13" ht="21.25" customHeight="1" thickBot="1" x14ac:dyDescent="0.25">
      <c r="A565" s="5" t="s">
        <v>1688</v>
      </c>
      <c r="B565" s="5" t="s">
        <v>1689</v>
      </c>
      <c r="C565" s="5" t="s">
        <v>1690</v>
      </c>
      <c r="D565" s="82" t="s">
        <v>1691</v>
      </c>
      <c r="E565" s="82"/>
      <c r="F565" s="82"/>
      <c r="G565" s="82"/>
      <c r="H565" s="82"/>
      <c r="I565" s="82"/>
      <c r="J565" s="82"/>
      <c r="K565" s="23">
        <v>0.22500000000000001</v>
      </c>
      <c r="L565" s="23">
        <f>ROUND(5.195,3)</f>
        <v>5.1950000000000003</v>
      </c>
      <c r="M565" s="24">
        <f>ROUND(K565*L565,2)</f>
        <v>1.17</v>
      </c>
    </row>
    <row r="566" spans="1:13" ht="48.75" customHeight="1" thickBot="1" x14ac:dyDescent="0.25">
      <c r="A566" s="5" t="s">
        <v>1692</v>
      </c>
      <c r="B566" s="5" t="s">
        <v>1693</v>
      </c>
      <c r="C566" s="5" t="s">
        <v>1694</v>
      </c>
      <c r="D566" s="82" t="s">
        <v>1695</v>
      </c>
      <c r="E566" s="82"/>
      <c r="F566" s="82"/>
      <c r="G566" s="82"/>
      <c r="H566" s="82"/>
      <c r="I566" s="82"/>
      <c r="J566" s="82"/>
      <c r="K566" s="23">
        <v>1.1000000000000001</v>
      </c>
      <c r="L566" s="23">
        <f>ROUND(49.545,3)</f>
        <v>49.545000000000002</v>
      </c>
      <c r="M566" s="24">
        <f>ROUND(K566*L566,2)</f>
        <v>54.5</v>
      </c>
    </row>
    <row r="567" spans="1:13" ht="15" customHeight="1" thickBot="1" x14ac:dyDescent="0.25">
      <c r="A567" s="5" t="s">
        <v>1696</v>
      </c>
      <c r="B567" s="5" t="s">
        <v>1697</v>
      </c>
      <c r="C567" s="5" t="s">
        <v>1698</v>
      </c>
      <c r="D567" s="82" t="s">
        <v>1699</v>
      </c>
      <c r="E567" s="82"/>
      <c r="F567" s="82"/>
      <c r="G567" s="82"/>
      <c r="H567" s="82"/>
      <c r="I567" s="82"/>
      <c r="J567" s="82"/>
      <c r="K567" s="23">
        <v>0.39500000000000002</v>
      </c>
      <c r="L567" s="23">
        <f>ROUND(27.41,3)</f>
        <v>27.41</v>
      </c>
      <c r="M567" s="24">
        <f>ROUND(K567*L567,2)</f>
        <v>10.83</v>
      </c>
    </row>
    <row r="568" spans="1:13" ht="15" customHeight="1" thickBot="1" x14ac:dyDescent="0.25">
      <c r="A568" s="5" t="s">
        <v>1700</v>
      </c>
      <c r="B568" s="5" t="s">
        <v>1701</v>
      </c>
      <c r="C568" s="5" t="s">
        <v>1702</v>
      </c>
      <c r="D568" s="82" t="s">
        <v>1703</v>
      </c>
      <c r="E568" s="82"/>
      <c r="F568" s="82"/>
      <c r="G568" s="82"/>
      <c r="H568" s="82"/>
      <c r="I568" s="82"/>
      <c r="J568" s="82"/>
      <c r="K568" s="23">
        <v>0.219</v>
      </c>
      <c r="L568" s="23">
        <f>ROUND(22.34,3)</f>
        <v>22.34</v>
      </c>
      <c r="M568" s="24">
        <f>ROUND(K568*L568,2)</f>
        <v>4.8899999999999997</v>
      </c>
    </row>
    <row r="569" spans="1:13" ht="15" customHeight="1" thickBot="1" x14ac:dyDescent="0.25">
      <c r="A569" s="5" t="s">
        <v>1704</v>
      </c>
      <c r="B569" s="5"/>
      <c r="C569" s="5" t="s">
        <v>1705</v>
      </c>
      <c r="D569" s="82" t="s">
        <v>1706</v>
      </c>
      <c r="E569" s="82"/>
      <c r="F569" s="82"/>
      <c r="G569" s="82"/>
      <c r="H569" s="82"/>
      <c r="I569" s="82"/>
      <c r="J569" s="82"/>
      <c r="K569" s="23">
        <v>2</v>
      </c>
      <c r="L569" s="23">
        <f>ROUND(71.39,3)</f>
        <v>71.39</v>
      </c>
      <c r="M569" s="24">
        <f>ROUND((K569*L569)/100,2)</f>
        <v>1.43</v>
      </c>
    </row>
    <row r="570" spans="1:13" ht="15.25" customHeight="1" thickBot="1" x14ac:dyDescent="0.25">
      <c r="A570" s="26"/>
      <c r="B570" s="26"/>
      <c r="C570" s="26"/>
      <c r="D570" s="27" t="s">
        <v>1707</v>
      </c>
      <c r="E570" s="26"/>
      <c r="F570" s="26"/>
      <c r="G570" s="26"/>
      <c r="H570" s="26"/>
      <c r="I570" s="26"/>
      <c r="J570" s="26"/>
      <c r="K570" s="28">
        <v>177.88</v>
      </c>
      <c r="L570" s="29">
        <f>ROUND((M565+M566+M567+M568+M569)*(1+M2/100),2)</f>
        <v>75</v>
      </c>
      <c r="M570" s="29">
        <f>ROUND(K570*L570,2)</f>
        <v>13341</v>
      </c>
    </row>
    <row r="571" spans="1:13" ht="15.25" customHeight="1" thickBot="1" x14ac:dyDescent="0.25">
      <c r="A571" s="34"/>
      <c r="B571" s="34"/>
      <c r="C571" s="34"/>
      <c r="D571" s="35" t="s">
        <v>1708</v>
      </c>
      <c r="E571" s="36"/>
      <c r="F571" s="36"/>
      <c r="G571" s="36"/>
      <c r="H571" s="36"/>
      <c r="I571" s="36"/>
      <c r="J571" s="36"/>
      <c r="K571" s="36"/>
      <c r="L571" s="37">
        <f>M559</f>
        <v>13341</v>
      </c>
      <c r="M571" s="37">
        <f>ROUND(L571,2)</f>
        <v>13341</v>
      </c>
    </row>
    <row r="572" spans="1:13" ht="15.25" customHeight="1" thickBot="1" x14ac:dyDescent="0.25">
      <c r="A572" s="38" t="s">
        <v>1709</v>
      </c>
      <c r="B572" s="38" t="s">
        <v>1710</v>
      </c>
      <c r="C572" s="39"/>
      <c r="D572" s="84" t="s">
        <v>1711</v>
      </c>
      <c r="E572" s="84"/>
      <c r="F572" s="84"/>
      <c r="G572" s="84"/>
      <c r="H572" s="84"/>
      <c r="I572" s="84"/>
      <c r="J572" s="84"/>
      <c r="K572" s="39"/>
      <c r="L572" s="40">
        <f>L583</f>
        <v>2904.94</v>
      </c>
      <c r="M572" s="40">
        <f>ROUND(L572,2)</f>
        <v>2904.94</v>
      </c>
    </row>
    <row r="573" spans="1:13" ht="15.25" customHeight="1" thickBot="1" x14ac:dyDescent="0.25">
      <c r="A573" s="10" t="s">
        <v>1712</v>
      </c>
      <c r="B573" s="5" t="s">
        <v>1713</v>
      </c>
      <c r="C573" s="5" t="s">
        <v>1714</v>
      </c>
      <c r="D573" s="82" t="s">
        <v>1715</v>
      </c>
      <c r="E573" s="82"/>
      <c r="F573" s="82"/>
      <c r="G573" s="82"/>
      <c r="H573" s="82"/>
      <c r="I573" s="82"/>
      <c r="J573" s="82"/>
      <c r="K573" s="23">
        <f>ROUND(172.4,2)</f>
        <v>172.4</v>
      </c>
      <c r="L573" s="24">
        <f>L582</f>
        <v>16.850000000000001</v>
      </c>
      <c r="M573" s="24">
        <f>ROUND(K573*L573,2)</f>
        <v>2904.94</v>
      </c>
    </row>
    <row r="574" spans="1:13" ht="94.75" customHeight="1" thickBot="1" x14ac:dyDescent="0.25">
      <c r="A574" s="25"/>
      <c r="B574" s="25"/>
      <c r="C574" s="25"/>
      <c r="D574" s="82" t="s">
        <v>1716</v>
      </c>
      <c r="E574" s="82"/>
      <c r="F574" s="82"/>
      <c r="G574" s="82"/>
      <c r="H574" s="82"/>
      <c r="I574" s="82"/>
      <c r="J574" s="82"/>
      <c r="K574" s="82"/>
      <c r="L574" s="82"/>
      <c r="M574" s="82"/>
    </row>
    <row r="575" spans="1:13" ht="21.25" customHeight="1" thickBot="1" x14ac:dyDescent="0.25">
      <c r="A575" s="5" t="s">
        <v>1717</v>
      </c>
      <c r="B575" s="5" t="s">
        <v>1718</v>
      </c>
      <c r="C575" s="5" t="s">
        <v>1719</v>
      </c>
      <c r="D575" s="82" t="s">
        <v>1720</v>
      </c>
      <c r="E575" s="82"/>
      <c r="F575" s="82"/>
      <c r="G575" s="82"/>
      <c r="H575" s="82"/>
      <c r="I575" s="82"/>
      <c r="J575" s="82"/>
      <c r="K575" s="23">
        <v>0.15</v>
      </c>
      <c r="L575" s="23">
        <f>ROUND(7.226,3)</f>
        <v>7.226</v>
      </c>
      <c r="M575" s="24">
        <f t="shared" ref="M575:M580" si="24">ROUND(K575*L575,2)</f>
        <v>1.08</v>
      </c>
    </row>
    <row r="576" spans="1:13" ht="21.25" customHeight="1" thickBot="1" x14ac:dyDescent="0.25">
      <c r="A576" s="5" t="s">
        <v>1721</v>
      </c>
      <c r="B576" s="5" t="s">
        <v>1722</v>
      </c>
      <c r="C576" s="5" t="s">
        <v>1723</v>
      </c>
      <c r="D576" s="82" t="s">
        <v>1724</v>
      </c>
      <c r="E576" s="82"/>
      <c r="F576" s="82"/>
      <c r="G576" s="82"/>
      <c r="H576" s="82"/>
      <c r="I576" s="82"/>
      <c r="J576" s="82"/>
      <c r="K576" s="23">
        <v>8</v>
      </c>
      <c r="L576" s="23">
        <f>ROUND(1.574,3)</f>
        <v>1.5740000000000001</v>
      </c>
      <c r="M576" s="24">
        <f t="shared" si="24"/>
        <v>12.59</v>
      </c>
    </row>
    <row r="577" spans="1:13" ht="21.25" customHeight="1" thickBot="1" x14ac:dyDescent="0.25">
      <c r="A577" s="5" t="s">
        <v>1725</v>
      </c>
      <c r="B577" s="5" t="s">
        <v>1726</v>
      </c>
      <c r="C577" s="5" t="s">
        <v>1727</v>
      </c>
      <c r="D577" s="82" t="s">
        <v>1728</v>
      </c>
      <c r="E577" s="82"/>
      <c r="F577" s="82"/>
      <c r="G577" s="82"/>
      <c r="H577" s="82"/>
      <c r="I577" s="82"/>
      <c r="J577" s="82"/>
      <c r="K577" s="23">
        <v>0.1</v>
      </c>
      <c r="L577" s="23">
        <f>ROUND(0.842,3)</f>
        <v>0.84199999999999997</v>
      </c>
      <c r="M577" s="24">
        <f t="shared" si="24"/>
        <v>0.08</v>
      </c>
    </row>
    <row r="578" spans="1:13" ht="15" customHeight="1" thickBot="1" x14ac:dyDescent="0.25">
      <c r="A578" s="5" t="s">
        <v>1729</v>
      </c>
      <c r="B578" s="5" t="s">
        <v>1730</v>
      </c>
      <c r="C578" s="5" t="s">
        <v>1731</v>
      </c>
      <c r="D578" s="82" t="s">
        <v>1732</v>
      </c>
      <c r="E578" s="82"/>
      <c r="F578" s="82"/>
      <c r="G578" s="82"/>
      <c r="H578" s="82"/>
      <c r="I578" s="82"/>
      <c r="J578" s="82"/>
      <c r="K578" s="23">
        <v>0.05</v>
      </c>
      <c r="L578" s="23">
        <f>ROUND(9.8,3)</f>
        <v>9.8000000000000007</v>
      </c>
      <c r="M578" s="24">
        <f t="shared" si="24"/>
        <v>0.49</v>
      </c>
    </row>
    <row r="579" spans="1:13" ht="15" customHeight="1" thickBot="1" x14ac:dyDescent="0.25">
      <c r="A579" s="5" t="s">
        <v>1733</v>
      </c>
      <c r="B579" s="5" t="s">
        <v>1734</v>
      </c>
      <c r="C579" s="5" t="s">
        <v>1735</v>
      </c>
      <c r="D579" s="82" t="s">
        <v>1736</v>
      </c>
      <c r="E579" s="82"/>
      <c r="F579" s="82"/>
      <c r="G579" s="82"/>
      <c r="H579" s="82"/>
      <c r="I579" s="82"/>
      <c r="J579" s="82"/>
      <c r="K579" s="23">
        <v>2.7E-2</v>
      </c>
      <c r="L579" s="23">
        <f>ROUND(28.41,3)</f>
        <v>28.41</v>
      </c>
      <c r="M579" s="24">
        <f t="shared" si="24"/>
        <v>0.77</v>
      </c>
    </row>
    <row r="580" spans="1:13" ht="15" customHeight="1" thickBot="1" x14ac:dyDescent="0.25">
      <c r="A580" s="5" t="s">
        <v>1737</v>
      </c>
      <c r="B580" s="5" t="s">
        <v>1738</v>
      </c>
      <c r="C580" s="5" t="s">
        <v>1739</v>
      </c>
      <c r="D580" s="82" t="s">
        <v>1740</v>
      </c>
      <c r="E580" s="82"/>
      <c r="F580" s="82"/>
      <c r="G580" s="82"/>
      <c r="H580" s="82"/>
      <c r="I580" s="82"/>
      <c r="J580" s="82"/>
      <c r="K580" s="23">
        <v>4.5999999999999999E-2</v>
      </c>
      <c r="L580" s="23">
        <f>ROUND(22.34,3)</f>
        <v>22.34</v>
      </c>
      <c r="M580" s="24">
        <f t="shared" si="24"/>
        <v>1.03</v>
      </c>
    </row>
    <row r="581" spans="1:13" ht="15" customHeight="1" thickBot="1" x14ac:dyDescent="0.25">
      <c r="A581" s="5" t="s">
        <v>1741</v>
      </c>
      <c r="B581" s="5"/>
      <c r="C581" s="5" t="s">
        <v>1742</v>
      </c>
      <c r="D581" s="82" t="s">
        <v>1743</v>
      </c>
      <c r="E581" s="82"/>
      <c r="F581" s="82"/>
      <c r="G581" s="82"/>
      <c r="H581" s="82"/>
      <c r="I581" s="82"/>
      <c r="J581" s="82"/>
      <c r="K581" s="23">
        <v>2</v>
      </c>
      <c r="L581" s="23">
        <f>ROUND(16.04,3)</f>
        <v>16.04</v>
      </c>
      <c r="M581" s="24">
        <f>ROUND((K581*L581)/100,2)</f>
        <v>0.32</v>
      </c>
    </row>
    <row r="582" spans="1:13" ht="15.25" customHeight="1" thickBot="1" x14ac:dyDescent="0.25">
      <c r="A582" s="26"/>
      <c r="B582" s="26"/>
      <c r="C582" s="26"/>
      <c r="D582" s="27" t="s">
        <v>1744</v>
      </c>
      <c r="E582" s="26"/>
      <c r="F582" s="26"/>
      <c r="G582" s="26"/>
      <c r="H582" s="26"/>
      <c r="I582" s="26"/>
      <c r="J582" s="26"/>
      <c r="K582" s="28">
        <v>172.4</v>
      </c>
      <c r="L582" s="29">
        <f>ROUND((M575+M576+M577+M578+M579+M580+M581)*(1+M2/100),2)</f>
        <v>16.850000000000001</v>
      </c>
      <c r="M582" s="29">
        <f>ROUND(K582*L582,2)</f>
        <v>2904.94</v>
      </c>
    </row>
    <row r="583" spans="1:13" ht="15.25" customHeight="1" thickBot="1" x14ac:dyDescent="0.25">
      <c r="A583" s="34"/>
      <c r="B583" s="34"/>
      <c r="C583" s="34"/>
      <c r="D583" s="35" t="s">
        <v>1745</v>
      </c>
      <c r="E583" s="36"/>
      <c r="F583" s="36"/>
      <c r="G583" s="36"/>
      <c r="H583" s="36"/>
      <c r="I583" s="36"/>
      <c r="J583" s="36"/>
      <c r="K583" s="36"/>
      <c r="L583" s="37">
        <f>M573</f>
        <v>2904.94</v>
      </c>
      <c r="M583" s="37">
        <f>ROUND(L583,2)</f>
        <v>2904.94</v>
      </c>
    </row>
    <row r="584" spans="1:13" ht="15.25" customHeight="1" thickBot="1" x14ac:dyDescent="0.25">
      <c r="A584" s="38" t="s">
        <v>1746</v>
      </c>
      <c r="B584" s="38" t="s">
        <v>1747</v>
      </c>
      <c r="C584" s="39"/>
      <c r="D584" s="84" t="s">
        <v>1748</v>
      </c>
      <c r="E584" s="84"/>
      <c r="F584" s="84"/>
      <c r="G584" s="84"/>
      <c r="H584" s="84"/>
      <c r="I584" s="84"/>
      <c r="J584" s="84"/>
      <c r="K584" s="39"/>
      <c r="L584" s="40">
        <f>L596</f>
        <v>6921.86</v>
      </c>
      <c r="M584" s="40">
        <f>ROUND(L584,2)</f>
        <v>6921.86</v>
      </c>
    </row>
    <row r="585" spans="1:13" ht="15.25" customHeight="1" thickBot="1" x14ac:dyDescent="0.25">
      <c r="A585" s="10" t="s">
        <v>1749</v>
      </c>
      <c r="B585" s="5" t="s">
        <v>1750</v>
      </c>
      <c r="C585" s="5" t="s">
        <v>1751</v>
      </c>
      <c r="D585" s="82" t="s">
        <v>1752</v>
      </c>
      <c r="E585" s="82"/>
      <c r="F585" s="82"/>
      <c r="G585" s="82"/>
      <c r="H585" s="82"/>
      <c r="I585" s="82"/>
      <c r="J585" s="82"/>
      <c r="K585" s="23">
        <f>ROUND(172.4,2)</f>
        <v>172.4</v>
      </c>
      <c r="L585" s="24">
        <f>L595</f>
        <v>40.15</v>
      </c>
      <c r="M585" s="24">
        <f>ROUND(K585*L585,2)</f>
        <v>6921.86</v>
      </c>
    </row>
    <row r="586" spans="1:13" ht="103.75" customHeight="1" thickBot="1" x14ac:dyDescent="0.25">
      <c r="A586" s="25"/>
      <c r="B586" s="25"/>
      <c r="C586" s="25"/>
      <c r="D586" s="82" t="s">
        <v>1753</v>
      </c>
      <c r="E586" s="82"/>
      <c r="F586" s="82"/>
      <c r="G586" s="82"/>
      <c r="H586" s="82"/>
      <c r="I586" s="82"/>
      <c r="J586" s="82"/>
      <c r="K586" s="82"/>
      <c r="L586" s="82"/>
      <c r="M586" s="82"/>
    </row>
    <row r="587" spans="1:13" ht="21.25" customHeight="1" thickBot="1" x14ac:dyDescent="0.25">
      <c r="A587" s="5" t="s">
        <v>1754</v>
      </c>
      <c r="B587" s="5" t="s">
        <v>1755</v>
      </c>
      <c r="C587" s="5" t="s">
        <v>1756</v>
      </c>
      <c r="D587" s="82" t="s">
        <v>1757</v>
      </c>
      <c r="E587" s="82"/>
      <c r="F587" s="82"/>
      <c r="G587" s="82"/>
      <c r="H587" s="82"/>
      <c r="I587" s="82"/>
      <c r="J587" s="82"/>
      <c r="K587" s="23">
        <v>0.1</v>
      </c>
      <c r="L587" s="23">
        <f>ROUND(0.842,3)</f>
        <v>0.84199999999999997</v>
      </c>
      <c r="M587" s="24">
        <f t="shared" ref="M587:M593" si="25">ROUND(K587*L587,2)</f>
        <v>0.08</v>
      </c>
    </row>
    <row r="588" spans="1:13" ht="21.25" customHeight="1" thickBot="1" x14ac:dyDescent="0.25">
      <c r="A588" s="5" t="s">
        <v>1758</v>
      </c>
      <c r="B588" s="5" t="s">
        <v>1759</v>
      </c>
      <c r="C588" s="5" t="s">
        <v>1760</v>
      </c>
      <c r="D588" s="82" t="s">
        <v>1761</v>
      </c>
      <c r="E588" s="82"/>
      <c r="F588" s="82"/>
      <c r="G588" s="82"/>
      <c r="H588" s="82"/>
      <c r="I588" s="82"/>
      <c r="J588" s="82"/>
      <c r="K588" s="23">
        <v>0.2</v>
      </c>
      <c r="L588" s="23">
        <f>ROUND(7.451,3)</f>
        <v>7.4509999999999996</v>
      </c>
      <c r="M588" s="24">
        <f t="shared" si="25"/>
        <v>1.49</v>
      </c>
    </row>
    <row r="589" spans="1:13" ht="30.5" customHeight="1" thickBot="1" x14ac:dyDescent="0.25">
      <c r="A589" s="5" t="s">
        <v>1762</v>
      </c>
      <c r="B589" s="5" t="s">
        <v>1763</v>
      </c>
      <c r="C589" s="5" t="s">
        <v>1764</v>
      </c>
      <c r="D589" s="82" t="s">
        <v>1765</v>
      </c>
      <c r="E589" s="82"/>
      <c r="F589" s="82"/>
      <c r="G589" s="82"/>
      <c r="H589" s="82"/>
      <c r="I589" s="82"/>
      <c r="J589" s="82"/>
      <c r="K589" s="23">
        <v>53.87</v>
      </c>
      <c r="L589" s="23">
        <f>ROUND(0.638,3)</f>
        <v>0.63800000000000001</v>
      </c>
      <c r="M589" s="24">
        <f t="shared" si="25"/>
        <v>34.369999999999997</v>
      </c>
    </row>
    <row r="590" spans="1:13" ht="15" customHeight="1" thickBot="1" x14ac:dyDescent="0.25">
      <c r="A590" s="5" t="s">
        <v>1766</v>
      </c>
      <c r="B590" s="5" t="s">
        <v>1767</v>
      </c>
      <c r="C590" s="5" t="s">
        <v>1768</v>
      </c>
      <c r="D590" s="82" t="s">
        <v>1769</v>
      </c>
      <c r="E590" s="82"/>
      <c r="F590" s="82"/>
      <c r="G590" s="82"/>
      <c r="H590" s="82"/>
      <c r="I590" s="82"/>
      <c r="J590" s="82"/>
      <c r="K590" s="23">
        <v>0.15</v>
      </c>
      <c r="L590" s="23">
        <f>ROUND(1.427,3)</f>
        <v>1.427</v>
      </c>
      <c r="M590" s="24">
        <f t="shared" si="25"/>
        <v>0.21</v>
      </c>
    </row>
    <row r="591" spans="1:13" ht="15" customHeight="1" thickBot="1" x14ac:dyDescent="0.25">
      <c r="A591" s="5" t="s">
        <v>1770</v>
      </c>
      <c r="B591" s="5" t="s">
        <v>1771</v>
      </c>
      <c r="C591" s="5" t="s">
        <v>1772</v>
      </c>
      <c r="D591" s="82" t="s">
        <v>1773</v>
      </c>
      <c r="E591" s="82"/>
      <c r="F591" s="82"/>
      <c r="G591" s="82"/>
      <c r="H591" s="82"/>
      <c r="I591" s="82"/>
      <c r="J591" s="82"/>
      <c r="K591" s="23">
        <v>0.08</v>
      </c>
      <c r="L591" s="23">
        <f>ROUND(9.8,3)</f>
        <v>9.8000000000000007</v>
      </c>
      <c r="M591" s="24">
        <f t="shared" si="25"/>
        <v>0.78</v>
      </c>
    </row>
    <row r="592" spans="1:13" ht="15" customHeight="1" thickBot="1" x14ac:dyDescent="0.25">
      <c r="A592" s="5" t="s">
        <v>1774</v>
      </c>
      <c r="B592" s="5" t="s">
        <v>1775</v>
      </c>
      <c r="C592" s="5" t="s">
        <v>1776</v>
      </c>
      <c r="D592" s="82" t="s">
        <v>1777</v>
      </c>
      <c r="E592" s="82"/>
      <c r="F592" s="82"/>
      <c r="G592" s="82"/>
      <c r="H592" s="82"/>
      <c r="I592" s="82"/>
      <c r="J592" s="82"/>
      <c r="K592" s="23">
        <v>2.1000000000000001E-2</v>
      </c>
      <c r="L592" s="23">
        <f>ROUND(28.41,3)</f>
        <v>28.41</v>
      </c>
      <c r="M592" s="24">
        <f t="shared" si="25"/>
        <v>0.6</v>
      </c>
    </row>
    <row r="593" spans="1:13" ht="15" customHeight="1" thickBot="1" x14ac:dyDescent="0.25">
      <c r="A593" s="5" t="s">
        <v>1778</v>
      </c>
      <c r="B593" s="5" t="s">
        <v>1779</v>
      </c>
      <c r="C593" s="5" t="s">
        <v>1780</v>
      </c>
      <c r="D593" s="82" t="s">
        <v>1781</v>
      </c>
      <c r="E593" s="82"/>
      <c r="F593" s="82"/>
      <c r="G593" s="82"/>
      <c r="H593" s="82"/>
      <c r="I593" s="82"/>
      <c r="J593" s="82"/>
      <c r="K593" s="23">
        <v>3.1E-2</v>
      </c>
      <c r="L593" s="23">
        <f>ROUND(22.34,3)</f>
        <v>22.34</v>
      </c>
      <c r="M593" s="24">
        <f t="shared" si="25"/>
        <v>0.69</v>
      </c>
    </row>
    <row r="594" spans="1:13" ht="15" customHeight="1" thickBot="1" x14ac:dyDescent="0.25">
      <c r="A594" s="5" t="s">
        <v>1782</v>
      </c>
      <c r="B594" s="5"/>
      <c r="C594" s="5" t="s">
        <v>1783</v>
      </c>
      <c r="D594" s="82" t="s">
        <v>1784</v>
      </c>
      <c r="E594" s="82"/>
      <c r="F594" s="82"/>
      <c r="G594" s="82"/>
      <c r="H594" s="82"/>
      <c r="I594" s="82"/>
      <c r="J594" s="82"/>
      <c r="K594" s="23">
        <v>2</v>
      </c>
      <c r="L594" s="23">
        <f>ROUND(38.22,3)</f>
        <v>38.22</v>
      </c>
      <c r="M594" s="24">
        <f>ROUND((K594*L594)/100,2)</f>
        <v>0.76</v>
      </c>
    </row>
    <row r="595" spans="1:13" ht="15.25" customHeight="1" thickBot="1" x14ac:dyDescent="0.25">
      <c r="A595" s="26"/>
      <c r="B595" s="26"/>
      <c r="C595" s="26"/>
      <c r="D595" s="27" t="s">
        <v>1785</v>
      </c>
      <c r="E595" s="26"/>
      <c r="F595" s="26"/>
      <c r="G595" s="26"/>
      <c r="H595" s="26"/>
      <c r="I595" s="26"/>
      <c r="J595" s="26"/>
      <c r="K595" s="28">
        <v>172.4</v>
      </c>
      <c r="L595" s="29">
        <f>ROUND((M587+M588+M589+M590+M591+M592+M593+M594)*(1+M2/100),2)</f>
        <v>40.15</v>
      </c>
      <c r="M595" s="29">
        <f>ROUND(K595*L595,2)</f>
        <v>6921.86</v>
      </c>
    </row>
    <row r="596" spans="1:13" ht="15.25" customHeight="1" thickBot="1" x14ac:dyDescent="0.25">
      <c r="A596" s="34"/>
      <c r="B596" s="34"/>
      <c r="C596" s="34"/>
      <c r="D596" s="35" t="s">
        <v>1786</v>
      </c>
      <c r="E596" s="36"/>
      <c r="F596" s="36"/>
      <c r="G596" s="36"/>
      <c r="H596" s="36"/>
      <c r="I596" s="36"/>
      <c r="J596" s="36"/>
      <c r="K596" s="36"/>
      <c r="L596" s="37">
        <f>M585</f>
        <v>6921.86</v>
      </c>
      <c r="M596" s="37">
        <f>ROUND(L596,2)</f>
        <v>6921.86</v>
      </c>
    </row>
    <row r="597" spans="1:13" ht="15.25" customHeight="1" thickBot="1" x14ac:dyDescent="0.25">
      <c r="A597" s="34"/>
      <c r="B597" s="34"/>
      <c r="C597" s="34"/>
      <c r="D597" s="52" t="s">
        <v>1787</v>
      </c>
      <c r="E597" s="53"/>
      <c r="F597" s="53"/>
      <c r="G597" s="53"/>
      <c r="H597" s="53"/>
      <c r="I597" s="53"/>
      <c r="J597" s="53"/>
      <c r="K597" s="53"/>
      <c r="L597" s="54">
        <f>M571+M583+M596</f>
        <v>23167.8</v>
      </c>
      <c r="M597" s="54">
        <f>ROUND(L597,2)</f>
        <v>23167.8</v>
      </c>
    </row>
    <row r="598" spans="1:13" ht="15.25" customHeight="1" thickBot="1" x14ac:dyDescent="0.25">
      <c r="A598" s="55" t="s">
        <v>1788</v>
      </c>
      <c r="B598" s="55" t="s">
        <v>1789</v>
      </c>
      <c r="C598" s="56"/>
      <c r="D598" s="85" t="s">
        <v>1790</v>
      </c>
      <c r="E598" s="85"/>
      <c r="F598" s="85"/>
      <c r="G598" s="85"/>
      <c r="H598" s="85"/>
      <c r="I598" s="85"/>
      <c r="J598" s="85"/>
      <c r="K598" s="56"/>
      <c r="L598" s="57">
        <f>L644</f>
        <v>5659.55</v>
      </c>
      <c r="M598" s="57">
        <f>ROUND(L598,2)</f>
        <v>5659.55</v>
      </c>
    </row>
    <row r="599" spans="1:13" ht="15.25" customHeight="1" thickBot="1" x14ac:dyDescent="0.25">
      <c r="A599" s="20" t="s">
        <v>1791</v>
      </c>
      <c r="B599" s="20" t="s">
        <v>1792</v>
      </c>
      <c r="C599" s="21"/>
      <c r="D599" s="81" t="s">
        <v>1793</v>
      </c>
      <c r="E599" s="81"/>
      <c r="F599" s="81"/>
      <c r="G599" s="81"/>
      <c r="H599" s="81"/>
      <c r="I599" s="81"/>
      <c r="J599" s="81"/>
      <c r="K599" s="21"/>
      <c r="L599" s="22">
        <f>L623</f>
        <v>660.62</v>
      </c>
      <c r="M599" s="22">
        <f>ROUND(L599,2)</f>
        <v>660.62</v>
      </c>
    </row>
    <row r="600" spans="1:13" ht="15.25" customHeight="1" thickBot="1" x14ac:dyDescent="0.25">
      <c r="A600" s="10" t="s">
        <v>1794</v>
      </c>
      <c r="B600" s="5" t="s">
        <v>1795</v>
      </c>
      <c r="C600" s="5" t="s">
        <v>1796</v>
      </c>
      <c r="D600" s="82" t="s">
        <v>1797</v>
      </c>
      <c r="E600" s="82"/>
      <c r="F600" s="82"/>
      <c r="G600" s="82"/>
      <c r="H600" s="82"/>
      <c r="I600" s="82"/>
      <c r="J600" s="82"/>
      <c r="K600" s="23">
        <f>SUM(K603:K604)</f>
        <v>19.260000000000002</v>
      </c>
      <c r="L600" s="24">
        <f>L622</f>
        <v>34.299999999999997</v>
      </c>
      <c r="M600" s="24">
        <f>ROUND(K600*L600,2)</f>
        <v>660.62</v>
      </c>
    </row>
    <row r="601" spans="1:13" ht="113" customHeight="1" thickBot="1" x14ac:dyDescent="0.25">
      <c r="A601" s="25"/>
      <c r="B601" s="25"/>
      <c r="C601" s="25"/>
      <c r="D601" s="82" t="s">
        <v>1798</v>
      </c>
      <c r="E601" s="82"/>
      <c r="F601" s="82"/>
      <c r="G601" s="82"/>
      <c r="H601" s="82"/>
      <c r="I601" s="82"/>
      <c r="J601" s="82"/>
      <c r="K601" s="82"/>
      <c r="L601" s="82"/>
      <c r="M601" s="82"/>
    </row>
    <row r="602" spans="1:13" ht="15" customHeight="1" thickBot="1" x14ac:dyDescent="0.25">
      <c r="A602" s="25"/>
      <c r="B602" s="25"/>
      <c r="C602" s="25"/>
      <c r="D602" s="25"/>
      <c r="E602" s="41"/>
      <c r="F602" s="43" t="s">
        <v>1799</v>
      </c>
      <c r="G602" s="43" t="s">
        <v>1800</v>
      </c>
      <c r="H602" s="43" t="s">
        <v>1801</v>
      </c>
      <c r="I602" s="43" t="s">
        <v>1802</v>
      </c>
      <c r="J602" s="43" t="s">
        <v>1803</v>
      </c>
      <c r="K602" s="43" t="s">
        <v>1804</v>
      </c>
      <c r="L602" s="25"/>
      <c r="M602" s="25"/>
    </row>
    <row r="603" spans="1:13" ht="15" customHeight="1" thickBot="1" x14ac:dyDescent="0.25">
      <c r="A603" s="25"/>
      <c r="B603" s="25"/>
      <c r="C603" s="25"/>
      <c r="D603" s="44"/>
      <c r="E603" s="45" t="s">
        <v>1805</v>
      </c>
      <c r="F603" s="46">
        <v>1</v>
      </c>
      <c r="G603" s="47">
        <v>18.100000000000001</v>
      </c>
      <c r="H603" s="47"/>
      <c r="I603" s="47"/>
      <c r="J603" s="49">
        <f>ROUND(F603*G603,3)</f>
        <v>18.100000000000001</v>
      </c>
      <c r="K603" s="50"/>
      <c r="L603" s="25"/>
      <c r="M603" s="25"/>
    </row>
    <row r="604" spans="1:13" ht="30.5" customHeight="1" thickBot="1" x14ac:dyDescent="0.25">
      <c r="A604" s="25"/>
      <c r="B604" s="25"/>
      <c r="C604" s="25"/>
      <c r="D604" s="44"/>
      <c r="E604" s="5" t="s">
        <v>1806</v>
      </c>
      <c r="F604" s="3">
        <v>1</v>
      </c>
      <c r="G604" s="23">
        <v>1.1599999999999999</v>
      </c>
      <c r="H604" s="23"/>
      <c r="I604" s="23"/>
      <c r="J604" s="48">
        <f>ROUND(F604*G604,3)</f>
        <v>1.1599999999999999</v>
      </c>
      <c r="K604" s="51">
        <f>SUM(J603:J604)</f>
        <v>19.260000000000002</v>
      </c>
      <c r="L604" s="25"/>
      <c r="M604" s="25"/>
    </row>
    <row r="605" spans="1:13" ht="15" customHeight="1" thickBot="1" x14ac:dyDescent="0.25">
      <c r="A605" s="5" t="s">
        <v>1807</v>
      </c>
      <c r="B605" s="5" t="s">
        <v>1808</v>
      </c>
      <c r="C605" s="5" t="s">
        <v>1809</v>
      </c>
      <c r="D605" s="82" t="s">
        <v>1810</v>
      </c>
      <c r="E605" s="82"/>
      <c r="F605" s="82"/>
      <c r="G605" s="82"/>
      <c r="H605" s="82"/>
      <c r="I605" s="82"/>
      <c r="J605" s="82"/>
      <c r="K605" s="23">
        <v>0.4</v>
      </c>
      <c r="L605" s="23">
        <f>ROUND(0.748,3)</f>
        <v>0.748</v>
      </c>
      <c r="M605" s="24">
        <f t="shared" ref="M605:M620" si="26">ROUND(K605*L605,2)</f>
        <v>0.3</v>
      </c>
    </row>
    <row r="606" spans="1:13" ht="15" customHeight="1" thickBot="1" x14ac:dyDescent="0.25">
      <c r="A606" s="5" t="s">
        <v>1811</v>
      </c>
      <c r="B606" s="5" t="s">
        <v>1812</v>
      </c>
      <c r="C606" s="5" t="s">
        <v>1813</v>
      </c>
      <c r="D606" s="82" t="s">
        <v>1814</v>
      </c>
      <c r="E606" s="82"/>
      <c r="F606" s="82"/>
      <c r="G606" s="82"/>
      <c r="H606" s="82"/>
      <c r="I606" s="82"/>
      <c r="J606" s="82"/>
      <c r="K606" s="23">
        <v>2</v>
      </c>
      <c r="L606" s="23">
        <f>ROUND(0.054,3)</f>
        <v>5.3999999999999999E-2</v>
      </c>
      <c r="M606" s="24">
        <f t="shared" si="26"/>
        <v>0.11</v>
      </c>
    </row>
    <row r="607" spans="1:13" ht="15" customHeight="1" thickBot="1" x14ac:dyDescent="0.25">
      <c r="A607" s="5" t="s">
        <v>1815</v>
      </c>
      <c r="B607" s="5" t="s">
        <v>1816</v>
      </c>
      <c r="C607" s="5" t="s">
        <v>1817</v>
      </c>
      <c r="D607" s="82" t="s">
        <v>1818</v>
      </c>
      <c r="E607" s="82"/>
      <c r="F607" s="82"/>
      <c r="G607" s="82"/>
      <c r="H607" s="82"/>
      <c r="I607" s="82"/>
      <c r="J607" s="82"/>
      <c r="K607" s="23">
        <v>1.2</v>
      </c>
      <c r="L607" s="23">
        <f>ROUND(0.316,3)</f>
        <v>0.316</v>
      </c>
      <c r="M607" s="24">
        <f t="shared" si="26"/>
        <v>0.38</v>
      </c>
    </row>
    <row r="608" spans="1:13" ht="15" customHeight="1" thickBot="1" x14ac:dyDescent="0.25">
      <c r="A608" s="5" t="s">
        <v>1819</v>
      </c>
      <c r="B608" s="5" t="s">
        <v>1820</v>
      </c>
      <c r="C608" s="5" t="s">
        <v>1821</v>
      </c>
      <c r="D608" s="82" t="s">
        <v>1822</v>
      </c>
      <c r="E608" s="82"/>
      <c r="F608" s="82"/>
      <c r="G608" s="82"/>
      <c r="H608" s="82"/>
      <c r="I608" s="82"/>
      <c r="J608" s="82"/>
      <c r="K608" s="23">
        <v>1.2</v>
      </c>
      <c r="L608" s="23">
        <f>ROUND(0.028,3)</f>
        <v>2.8000000000000001E-2</v>
      </c>
      <c r="M608" s="24">
        <f t="shared" si="26"/>
        <v>0.03</v>
      </c>
    </row>
    <row r="609" spans="1:13" ht="15" customHeight="1" thickBot="1" x14ac:dyDescent="0.25">
      <c r="A609" s="5" t="s">
        <v>1823</v>
      </c>
      <c r="B609" s="5" t="s">
        <v>1824</v>
      </c>
      <c r="C609" s="5" t="s">
        <v>1825</v>
      </c>
      <c r="D609" s="82" t="s">
        <v>1826</v>
      </c>
      <c r="E609" s="82"/>
      <c r="F609" s="82"/>
      <c r="G609" s="82"/>
      <c r="H609" s="82"/>
      <c r="I609" s="82"/>
      <c r="J609" s="82"/>
      <c r="K609" s="23">
        <v>1.2</v>
      </c>
      <c r="L609" s="23">
        <f>ROUND(0.504,3)</f>
        <v>0.504</v>
      </c>
      <c r="M609" s="24">
        <f t="shared" si="26"/>
        <v>0.6</v>
      </c>
    </row>
    <row r="610" spans="1:13" ht="15" customHeight="1" thickBot="1" x14ac:dyDescent="0.25">
      <c r="A610" s="5" t="s">
        <v>1827</v>
      </c>
      <c r="B610" s="5" t="s">
        <v>1828</v>
      </c>
      <c r="C610" s="5" t="s">
        <v>1829</v>
      </c>
      <c r="D610" s="82" t="s">
        <v>1830</v>
      </c>
      <c r="E610" s="82"/>
      <c r="F610" s="82"/>
      <c r="G610" s="82"/>
      <c r="H610" s="82"/>
      <c r="I610" s="82"/>
      <c r="J610" s="82"/>
      <c r="K610" s="23">
        <v>1.2</v>
      </c>
      <c r="L610" s="23">
        <f>ROUND(0.325,3)</f>
        <v>0.32500000000000001</v>
      </c>
      <c r="M610" s="24">
        <f t="shared" si="26"/>
        <v>0.39</v>
      </c>
    </row>
    <row r="611" spans="1:13" ht="15" customHeight="1" thickBot="1" x14ac:dyDescent="0.25">
      <c r="A611" s="5" t="s">
        <v>1831</v>
      </c>
      <c r="B611" s="5" t="s">
        <v>1832</v>
      </c>
      <c r="C611" s="5" t="s">
        <v>1833</v>
      </c>
      <c r="D611" s="82" t="s">
        <v>1834</v>
      </c>
      <c r="E611" s="82"/>
      <c r="F611" s="82"/>
      <c r="G611" s="82"/>
      <c r="H611" s="82"/>
      <c r="I611" s="82"/>
      <c r="J611" s="82"/>
      <c r="K611" s="23">
        <v>3.2</v>
      </c>
      <c r="L611" s="23">
        <f>ROUND(0.764,3)</f>
        <v>0.76400000000000001</v>
      </c>
      <c r="M611" s="24">
        <f t="shared" si="26"/>
        <v>2.44</v>
      </c>
    </row>
    <row r="612" spans="1:13" ht="15" customHeight="1" thickBot="1" x14ac:dyDescent="0.25">
      <c r="A612" s="5" t="s">
        <v>1835</v>
      </c>
      <c r="B612" s="5" t="s">
        <v>1836</v>
      </c>
      <c r="C612" s="5" t="s">
        <v>1837</v>
      </c>
      <c r="D612" s="82" t="s">
        <v>1838</v>
      </c>
      <c r="E612" s="82"/>
      <c r="F612" s="82"/>
      <c r="G612" s="82"/>
      <c r="H612" s="82"/>
      <c r="I612" s="82"/>
      <c r="J612" s="82"/>
      <c r="K612" s="23">
        <v>0.6</v>
      </c>
      <c r="L612" s="23">
        <f>ROUND(0.157,3)</f>
        <v>0.157</v>
      </c>
      <c r="M612" s="24">
        <f t="shared" si="26"/>
        <v>0.09</v>
      </c>
    </row>
    <row r="613" spans="1:13" ht="15" customHeight="1" thickBot="1" x14ac:dyDescent="0.25">
      <c r="A613" s="5" t="s">
        <v>1839</v>
      </c>
      <c r="B613" s="5" t="s">
        <v>1840</v>
      </c>
      <c r="C613" s="5" t="s">
        <v>1841</v>
      </c>
      <c r="D613" s="82" t="s">
        <v>1842</v>
      </c>
      <c r="E613" s="82"/>
      <c r="F613" s="82"/>
      <c r="G613" s="82"/>
      <c r="H613" s="82"/>
      <c r="I613" s="82"/>
      <c r="J613" s="82"/>
      <c r="K613" s="23">
        <v>2.2999999999999998</v>
      </c>
      <c r="L613" s="23">
        <f>ROUND(0.206,3)</f>
        <v>0.20599999999999999</v>
      </c>
      <c r="M613" s="24">
        <f t="shared" si="26"/>
        <v>0.47</v>
      </c>
    </row>
    <row r="614" spans="1:13" ht="21.25" customHeight="1" thickBot="1" x14ac:dyDescent="0.25">
      <c r="A614" s="5" t="s">
        <v>1843</v>
      </c>
      <c r="B614" s="5" t="s">
        <v>1844</v>
      </c>
      <c r="C614" s="5" t="s">
        <v>1845</v>
      </c>
      <c r="D614" s="82" t="s">
        <v>1846</v>
      </c>
      <c r="E614" s="82"/>
      <c r="F614" s="82"/>
      <c r="G614" s="82"/>
      <c r="H614" s="82"/>
      <c r="I614" s="82"/>
      <c r="J614" s="82"/>
      <c r="K614" s="23">
        <v>1.05</v>
      </c>
      <c r="L614" s="23">
        <f>ROUND(6.585,3)</f>
        <v>6.585</v>
      </c>
      <c r="M614" s="24">
        <f t="shared" si="26"/>
        <v>6.91</v>
      </c>
    </row>
    <row r="615" spans="1:13" ht="15" customHeight="1" thickBot="1" x14ac:dyDescent="0.25">
      <c r="A615" s="5" t="s">
        <v>1847</v>
      </c>
      <c r="B615" s="5" t="s">
        <v>1848</v>
      </c>
      <c r="C615" s="5" t="s">
        <v>1849</v>
      </c>
      <c r="D615" s="82" t="s">
        <v>1850</v>
      </c>
      <c r="E615" s="82"/>
      <c r="F615" s="82"/>
      <c r="G615" s="82"/>
      <c r="H615" s="82"/>
      <c r="I615" s="82"/>
      <c r="J615" s="82"/>
      <c r="K615" s="23">
        <v>17</v>
      </c>
      <c r="L615" s="23">
        <f>ROUND(0.009,3)</f>
        <v>8.9999999999999993E-3</v>
      </c>
      <c r="M615" s="24">
        <f t="shared" si="26"/>
        <v>0.15</v>
      </c>
    </row>
    <row r="616" spans="1:13" ht="21.25" customHeight="1" thickBot="1" x14ac:dyDescent="0.25">
      <c r="A616" s="5" t="s">
        <v>1851</v>
      </c>
      <c r="B616" s="5" t="s">
        <v>1852</v>
      </c>
      <c r="C616" s="5" t="s">
        <v>1853</v>
      </c>
      <c r="D616" s="82" t="s">
        <v>1854</v>
      </c>
      <c r="E616" s="82"/>
      <c r="F616" s="82"/>
      <c r="G616" s="82"/>
      <c r="H616" s="82"/>
      <c r="I616" s="82"/>
      <c r="J616" s="82"/>
      <c r="K616" s="23">
        <v>0.4</v>
      </c>
      <c r="L616" s="23">
        <f>ROUND(0.219,3)</f>
        <v>0.219</v>
      </c>
      <c r="M616" s="24">
        <f t="shared" si="26"/>
        <v>0.09</v>
      </c>
    </row>
    <row r="617" spans="1:13" ht="15" customHeight="1" thickBot="1" x14ac:dyDescent="0.25">
      <c r="A617" s="5" t="s">
        <v>1855</v>
      </c>
      <c r="B617" s="5" t="s">
        <v>1856</v>
      </c>
      <c r="C617" s="5" t="s">
        <v>1857</v>
      </c>
      <c r="D617" s="82" t="s">
        <v>1858</v>
      </c>
      <c r="E617" s="82"/>
      <c r="F617" s="82"/>
      <c r="G617" s="82"/>
      <c r="H617" s="82"/>
      <c r="I617" s="82"/>
      <c r="J617" s="82"/>
      <c r="K617" s="23">
        <v>0.3</v>
      </c>
      <c r="L617" s="23">
        <f>ROUND(0.823,3)</f>
        <v>0.82299999999999995</v>
      </c>
      <c r="M617" s="24">
        <f t="shared" si="26"/>
        <v>0.25</v>
      </c>
    </row>
    <row r="618" spans="1:13" ht="15" customHeight="1" thickBot="1" x14ac:dyDescent="0.25">
      <c r="A618" s="5" t="s">
        <v>1859</v>
      </c>
      <c r="B618" s="5" t="s">
        <v>1860</v>
      </c>
      <c r="C618" s="5" t="s">
        <v>1861</v>
      </c>
      <c r="D618" s="82" t="s">
        <v>1862</v>
      </c>
      <c r="E618" s="82"/>
      <c r="F618" s="82"/>
      <c r="G618" s="82"/>
      <c r="H618" s="82"/>
      <c r="I618" s="82"/>
      <c r="J618" s="82"/>
      <c r="K618" s="23">
        <v>1.2</v>
      </c>
      <c r="L618" s="23">
        <f>ROUND(0.035,3)</f>
        <v>3.5000000000000003E-2</v>
      </c>
      <c r="M618" s="24">
        <f t="shared" si="26"/>
        <v>0.04</v>
      </c>
    </row>
    <row r="619" spans="1:13" ht="15" customHeight="1" thickBot="1" x14ac:dyDescent="0.25">
      <c r="A619" s="5" t="s">
        <v>1863</v>
      </c>
      <c r="B619" s="5" t="s">
        <v>1864</v>
      </c>
      <c r="C619" s="5" t="s">
        <v>1865</v>
      </c>
      <c r="D619" s="82" t="s">
        <v>1866</v>
      </c>
      <c r="E619" s="82"/>
      <c r="F619" s="82"/>
      <c r="G619" s="82"/>
      <c r="H619" s="82"/>
      <c r="I619" s="82"/>
      <c r="J619" s="82"/>
      <c r="K619" s="23">
        <v>0.48199999999999998</v>
      </c>
      <c r="L619" s="23">
        <f>ROUND(22,3)</f>
        <v>22</v>
      </c>
      <c r="M619" s="24">
        <f t="shared" si="26"/>
        <v>10.6</v>
      </c>
    </row>
    <row r="620" spans="1:13" ht="15" customHeight="1" thickBot="1" x14ac:dyDescent="0.25">
      <c r="A620" s="5" t="s">
        <v>1867</v>
      </c>
      <c r="B620" s="5" t="s">
        <v>1868</v>
      </c>
      <c r="C620" s="5" t="s">
        <v>1869</v>
      </c>
      <c r="D620" s="82" t="s">
        <v>1870</v>
      </c>
      <c r="E620" s="82"/>
      <c r="F620" s="82"/>
      <c r="G620" s="82"/>
      <c r="H620" s="82"/>
      <c r="I620" s="82"/>
      <c r="J620" s="82"/>
      <c r="K620" s="23">
        <v>0.48199999999999998</v>
      </c>
      <c r="L620" s="23">
        <f>ROUND(20.34,3)</f>
        <v>20.34</v>
      </c>
      <c r="M620" s="24">
        <f t="shared" si="26"/>
        <v>9.8000000000000007</v>
      </c>
    </row>
    <row r="621" spans="1:13" ht="15" customHeight="1" thickBot="1" x14ac:dyDescent="0.25">
      <c r="A621" s="5" t="s">
        <v>1871</v>
      </c>
      <c r="B621" s="5"/>
      <c r="C621" s="5" t="s">
        <v>1872</v>
      </c>
      <c r="D621" s="82" t="s">
        <v>1873</v>
      </c>
      <c r="E621" s="82"/>
      <c r="F621" s="82"/>
      <c r="G621" s="82"/>
      <c r="H621" s="82"/>
      <c r="I621" s="82"/>
      <c r="J621" s="82"/>
      <c r="K621" s="23">
        <v>2</v>
      </c>
      <c r="L621" s="23">
        <f>ROUND(32.65,3)</f>
        <v>32.65</v>
      </c>
      <c r="M621" s="24">
        <f>ROUND((K621*L621)/100,2)</f>
        <v>0.65</v>
      </c>
    </row>
    <row r="622" spans="1:13" ht="15.25" customHeight="1" thickBot="1" x14ac:dyDescent="0.25">
      <c r="A622" s="26"/>
      <c r="B622" s="26"/>
      <c r="C622" s="26"/>
      <c r="D622" s="27" t="s">
        <v>1874</v>
      </c>
      <c r="E622" s="26"/>
      <c r="F622" s="26"/>
      <c r="G622" s="26"/>
      <c r="H622" s="26"/>
      <c r="I622" s="26"/>
      <c r="J622" s="26"/>
      <c r="K622" s="28">
        <v>19.260000000000002</v>
      </c>
      <c r="L622" s="29">
        <f>ROUND((M605+M606+M607+M608+M609+M610+M611+M612+M613+M614+M615+M616+M617+M618+M619+M620+M621)*(1+M2/100),2)</f>
        <v>34.299999999999997</v>
      </c>
      <c r="M622" s="29">
        <f>ROUND(K622*L622,2)</f>
        <v>660.62</v>
      </c>
    </row>
    <row r="623" spans="1:13" ht="15.25" customHeight="1" thickBot="1" x14ac:dyDescent="0.25">
      <c r="A623" s="34"/>
      <c r="B623" s="34"/>
      <c r="C623" s="34"/>
      <c r="D623" s="35" t="s">
        <v>1875</v>
      </c>
      <c r="E623" s="36"/>
      <c r="F623" s="36"/>
      <c r="G623" s="36"/>
      <c r="H623" s="36"/>
      <c r="I623" s="36"/>
      <c r="J623" s="36"/>
      <c r="K623" s="36"/>
      <c r="L623" s="37">
        <f>M600</f>
        <v>660.62</v>
      </c>
      <c r="M623" s="37">
        <f>ROUND(L623,2)</f>
        <v>660.62</v>
      </c>
    </row>
    <row r="624" spans="1:13" ht="15.25" customHeight="1" thickBot="1" x14ac:dyDescent="0.25">
      <c r="A624" s="38" t="s">
        <v>1876</v>
      </c>
      <c r="B624" s="38" t="s">
        <v>1877</v>
      </c>
      <c r="C624" s="39"/>
      <c r="D624" s="84" t="s">
        <v>1878</v>
      </c>
      <c r="E624" s="84"/>
      <c r="F624" s="84"/>
      <c r="G624" s="84"/>
      <c r="H624" s="84"/>
      <c r="I624" s="84"/>
      <c r="J624" s="84"/>
      <c r="K624" s="39"/>
      <c r="L624" s="40">
        <f>L643</f>
        <v>4998.93</v>
      </c>
      <c r="M624" s="40">
        <f>ROUND(L624,2)</f>
        <v>4998.93</v>
      </c>
    </row>
    <row r="625" spans="1:13" ht="15.25" customHeight="1" thickBot="1" x14ac:dyDescent="0.25">
      <c r="A625" s="10" t="s">
        <v>1879</v>
      </c>
      <c r="B625" s="5" t="s">
        <v>1880</v>
      </c>
      <c r="C625" s="5" t="s">
        <v>1881</v>
      </c>
      <c r="D625" s="82" t="s">
        <v>1882</v>
      </c>
      <c r="E625" s="82"/>
      <c r="F625" s="82"/>
      <c r="G625" s="82"/>
      <c r="H625" s="82"/>
      <c r="I625" s="82"/>
      <c r="J625" s="82"/>
      <c r="K625" s="23">
        <f>SUM(K628:K630)</f>
        <v>126.13999999999999</v>
      </c>
      <c r="L625" s="24">
        <f>L642</f>
        <v>39.630000000000003</v>
      </c>
      <c r="M625" s="24">
        <f>ROUND(K625*L625,2)</f>
        <v>4998.93</v>
      </c>
    </row>
    <row r="626" spans="1:13" ht="113" customHeight="1" thickBot="1" x14ac:dyDescent="0.25">
      <c r="A626" s="25"/>
      <c r="B626" s="25"/>
      <c r="C626" s="25"/>
      <c r="D626" s="82" t="s">
        <v>1883</v>
      </c>
      <c r="E626" s="82"/>
      <c r="F626" s="82"/>
      <c r="G626" s="82"/>
      <c r="H626" s="82"/>
      <c r="I626" s="82"/>
      <c r="J626" s="82"/>
      <c r="K626" s="82"/>
      <c r="L626" s="82"/>
      <c r="M626" s="82"/>
    </row>
    <row r="627" spans="1:13" ht="15" customHeight="1" thickBot="1" x14ac:dyDescent="0.25">
      <c r="A627" s="25"/>
      <c r="B627" s="25"/>
      <c r="C627" s="25"/>
      <c r="D627" s="25"/>
      <c r="E627" s="41"/>
      <c r="F627" s="43" t="s">
        <v>1884</v>
      </c>
      <c r="G627" s="43" t="s">
        <v>1885</v>
      </c>
      <c r="H627" s="43" t="s">
        <v>1886</v>
      </c>
      <c r="I627" s="43" t="s">
        <v>1887</v>
      </c>
      <c r="J627" s="43" t="s">
        <v>1888</v>
      </c>
      <c r="K627" s="43" t="s">
        <v>1889</v>
      </c>
      <c r="L627" s="25"/>
      <c r="M627" s="25"/>
    </row>
    <row r="628" spans="1:13" ht="15" customHeight="1" thickBot="1" x14ac:dyDescent="0.25">
      <c r="A628" s="25"/>
      <c r="B628" s="25"/>
      <c r="C628" s="25"/>
      <c r="D628" s="44"/>
      <c r="E628" s="45" t="s">
        <v>1890</v>
      </c>
      <c r="F628" s="46">
        <v>1</v>
      </c>
      <c r="G628" s="47">
        <v>121.82</v>
      </c>
      <c r="H628" s="47"/>
      <c r="I628" s="47"/>
      <c r="J628" s="49">
        <f>ROUND(F628*G628,3)</f>
        <v>121.82</v>
      </c>
      <c r="K628" s="50"/>
      <c r="L628" s="25"/>
      <c r="M628" s="25"/>
    </row>
    <row r="629" spans="1:13" ht="30.5" customHeight="1" thickBot="1" x14ac:dyDescent="0.25">
      <c r="A629" s="25"/>
      <c r="B629" s="25"/>
      <c r="C629" s="25"/>
      <c r="D629" s="44"/>
      <c r="E629" s="5" t="s">
        <v>1891</v>
      </c>
      <c r="F629" s="3">
        <v>1</v>
      </c>
      <c r="G629" s="23">
        <v>2.16</v>
      </c>
      <c r="H629" s="23"/>
      <c r="I629" s="23"/>
      <c r="J629" s="48">
        <f>ROUND(F629*G629,3)</f>
        <v>2.16</v>
      </c>
      <c r="K629" s="25"/>
      <c r="L629" s="25"/>
      <c r="M629" s="25"/>
    </row>
    <row r="630" spans="1:13" ht="30.5" customHeight="1" thickBot="1" x14ac:dyDescent="0.25">
      <c r="A630" s="25"/>
      <c r="B630" s="25"/>
      <c r="C630" s="25"/>
      <c r="D630" s="44"/>
      <c r="E630" s="5" t="s">
        <v>1892</v>
      </c>
      <c r="F630" s="3">
        <v>1</v>
      </c>
      <c r="G630" s="23">
        <v>2.16</v>
      </c>
      <c r="H630" s="23"/>
      <c r="I630" s="23"/>
      <c r="J630" s="48">
        <f>ROUND(F630*G630,3)</f>
        <v>2.16</v>
      </c>
      <c r="K630" s="51">
        <f>SUM(J628:J630)</f>
        <v>126.13999999999999</v>
      </c>
      <c r="L630" s="25"/>
      <c r="M630" s="25"/>
    </row>
    <row r="631" spans="1:13" ht="30.5" customHeight="1" thickBot="1" x14ac:dyDescent="0.25">
      <c r="A631" s="5" t="s">
        <v>1893</v>
      </c>
      <c r="B631" s="5" t="s">
        <v>1894</v>
      </c>
      <c r="C631" s="5" t="s">
        <v>1895</v>
      </c>
      <c r="D631" s="82" t="s">
        <v>1896</v>
      </c>
      <c r="E631" s="82"/>
      <c r="F631" s="82"/>
      <c r="G631" s="82"/>
      <c r="H631" s="82"/>
      <c r="I631" s="82"/>
      <c r="J631" s="82"/>
      <c r="K631" s="23">
        <v>0.5</v>
      </c>
      <c r="L631" s="23">
        <f>ROUND(1.334,3)</f>
        <v>1.3340000000000001</v>
      </c>
      <c r="M631" s="24">
        <f t="shared" ref="M631:M640" si="27">ROUND(K631*L631,2)</f>
        <v>0.67</v>
      </c>
    </row>
    <row r="632" spans="1:13" ht="15" customHeight="1" thickBot="1" x14ac:dyDescent="0.25">
      <c r="A632" s="5" t="s">
        <v>1897</v>
      </c>
      <c r="B632" s="5" t="s">
        <v>1898</v>
      </c>
      <c r="C632" s="5" t="s">
        <v>1899</v>
      </c>
      <c r="D632" s="82" t="s">
        <v>1900</v>
      </c>
      <c r="E632" s="82"/>
      <c r="F632" s="82"/>
      <c r="G632" s="82"/>
      <c r="H632" s="82"/>
      <c r="I632" s="82"/>
      <c r="J632" s="82"/>
      <c r="K632" s="23">
        <v>0.83</v>
      </c>
      <c r="L632" s="23">
        <f>ROUND(1.665,3)</f>
        <v>1.665</v>
      </c>
      <c r="M632" s="24">
        <f t="shared" si="27"/>
        <v>1.38</v>
      </c>
    </row>
    <row r="633" spans="1:13" ht="15" customHeight="1" thickBot="1" x14ac:dyDescent="0.25">
      <c r="A633" s="5" t="s">
        <v>1901</v>
      </c>
      <c r="B633" s="5" t="s">
        <v>1902</v>
      </c>
      <c r="C633" s="5" t="s">
        <v>1903</v>
      </c>
      <c r="D633" s="82" t="s">
        <v>1904</v>
      </c>
      <c r="E633" s="82"/>
      <c r="F633" s="82"/>
      <c r="G633" s="82"/>
      <c r="H633" s="82"/>
      <c r="I633" s="82"/>
      <c r="J633" s="82"/>
      <c r="K633" s="23">
        <v>0.83</v>
      </c>
      <c r="L633" s="23">
        <f>ROUND(0.054,3)</f>
        <v>5.3999999999999999E-2</v>
      </c>
      <c r="M633" s="24">
        <f t="shared" si="27"/>
        <v>0.04</v>
      </c>
    </row>
    <row r="634" spans="1:13" ht="15" customHeight="1" thickBot="1" x14ac:dyDescent="0.25">
      <c r="A634" s="5" t="s">
        <v>1905</v>
      </c>
      <c r="B634" s="5" t="s">
        <v>1906</v>
      </c>
      <c r="C634" s="5" t="s">
        <v>1907</v>
      </c>
      <c r="D634" s="82" t="s">
        <v>1908</v>
      </c>
      <c r="E634" s="82"/>
      <c r="F634" s="82"/>
      <c r="G634" s="82"/>
      <c r="H634" s="82"/>
      <c r="I634" s="82"/>
      <c r="J634" s="82"/>
      <c r="K634" s="23">
        <v>0.83</v>
      </c>
      <c r="L634" s="23">
        <f>ROUND(1.162,3)</f>
        <v>1.1619999999999999</v>
      </c>
      <c r="M634" s="24">
        <f t="shared" si="27"/>
        <v>0.96</v>
      </c>
    </row>
    <row r="635" spans="1:13" ht="30.5" customHeight="1" thickBot="1" x14ac:dyDescent="0.25">
      <c r="A635" s="5" t="s">
        <v>1909</v>
      </c>
      <c r="B635" s="5" t="s">
        <v>1910</v>
      </c>
      <c r="C635" s="5" t="s">
        <v>1911</v>
      </c>
      <c r="D635" s="82" t="s">
        <v>1912</v>
      </c>
      <c r="E635" s="82"/>
      <c r="F635" s="82"/>
      <c r="G635" s="82"/>
      <c r="H635" s="82"/>
      <c r="I635" s="82"/>
      <c r="J635" s="82"/>
      <c r="K635" s="23">
        <v>0.83</v>
      </c>
      <c r="L635" s="23">
        <f>ROUND(1.656,3)</f>
        <v>1.6559999999999999</v>
      </c>
      <c r="M635" s="24">
        <f t="shared" si="27"/>
        <v>1.37</v>
      </c>
    </row>
    <row r="636" spans="1:13" ht="30.5" customHeight="1" thickBot="1" x14ac:dyDescent="0.25">
      <c r="A636" s="5" t="s">
        <v>1913</v>
      </c>
      <c r="B636" s="5" t="s">
        <v>1914</v>
      </c>
      <c r="C636" s="5" t="s">
        <v>1915</v>
      </c>
      <c r="D636" s="82" t="s">
        <v>1916</v>
      </c>
      <c r="E636" s="82"/>
      <c r="F636" s="82"/>
      <c r="G636" s="82"/>
      <c r="H636" s="82"/>
      <c r="I636" s="82"/>
      <c r="J636" s="82"/>
      <c r="K636" s="23">
        <v>1.66</v>
      </c>
      <c r="L636" s="23">
        <f>ROUND(1.656,3)</f>
        <v>1.6559999999999999</v>
      </c>
      <c r="M636" s="24">
        <f t="shared" si="27"/>
        <v>2.75</v>
      </c>
    </row>
    <row r="637" spans="1:13" ht="21.25" customHeight="1" thickBot="1" x14ac:dyDescent="0.25">
      <c r="A637" s="5" t="s">
        <v>1917</v>
      </c>
      <c r="B637" s="5" t="s">
        <v>1918</v>
      </c>
      <c r="C637" s="5" t="s">
        <v>1919</v>
      </c>
      <c r="D637" s="82" t="s">
        <v>1920</v>
      </c>
      <c r="E637" s="82"/>
      <c r="F637" s="82"/>
      <c r="G637" s="82"/>
      <c r="H637" s="82"/>
      <c r="I637" s="82"/>
      <c r="J637" s="82"/>
      <c r="K637" s="23">
        <v>0.83</v>
      </c>
      <c r="L637" s="23">
        <f>ROUND(1.656,3)</f>
        <v>1.6559999999999999</v>
      </c>
      <c r="M637" s="24">
        <f t="shared" si="27"/>
        <v>1.37</v>
      </c>
    </row>
    <row r="638" spans="1:13" ht="30.5" customHeight="1" thickBot="1" x14ac:dyDescent="0.25">
      <c r="A638" s="5" t="s">
        <v>1921</v>
      </c>
      <c r="B638" s="5" t="s">
        <v>1922</v>
      </c>
      <c r="C638" s="5" t="s">
        <v>1923</v>
      </c>
      <c r="D638" s="82" t="s">
        <v>1924</v>
      </c>
      <c r="E638" s="82"/>
      <c r="F638" s="82"/>
      <c r="G638" s="82"/>
      <c r="H638" s="82"/>
      <c r="I638" s="82"/>
      <c r="J638" s="82"/>
      <c r="K638" s="23">
        <v>1.02</v>
      </c>
      <c r="L638" s="23">
        <f>ROUND(18.49,3)</f>
        <v>18.489999999999998</v>
      </c>
      <c r="M638" s="24">
        <f t="shared" si="27"/>
        <v>18.86</v>
      </c>
    </row>
    <row r="639" spans="1:13" ht="15" customHeight="1" thickBot="1" x14ac:dyDescent="0.25">
      <c r="A639" s="5" t="s">
        <v>1925</v>
      </c>
      <c r="B639" s="5" t="s">
        <v>1926</v>
      </c>
      <c r="C639" s="5" t="s">
        <v>1927</v>
      </c>
      <c r="D639" s="82" t="s">
        <v>1928</v>
      </c>
      <c r="E639" s="82"/>
      <c r="F639" s="82"/>
      <c r="G639" s="82"/>
      <c r="H639" s="82"/>
      <c r="I639" s="82"/>
      <c r="J639" s="82"/>
      <c r="K639" s="23">
        <v>0.24399999999999999</v>
      </c>
      <c r="L639" s="23">
        <f>ROUND(22,3)</f>
        <v>22</v>
      </c>
      <c r="M639" s="24">
        <f t="shared" si="27"/>
        <v>5.37</v>
      </c>
    </row>
    <row r="640" spans="1:13" ht="15" customHeight="1" thickBot="1" x14ac:dyDescent="0.25">
      <c r="A640" s="5" t="s">
        <v>1929</v>
      </c>
      <c r="B640" s="5" t="s">
        <v>1930</v>
      </c>
      <c r="C640" s="5" t="s">
        <v>1931</v>
      </c>
      <c r="D640" s="82" t="s">
        <v>1932</v>
      </c>
      <c r="E640" s="82"/>
      <c r="F640" s="82"/>
      <c r="G640" s="82"/>
      <c r="H640" s="82"/>
      <c r="I640" s="82"/>
      <c r="J640" s="82"/>
      <c r="K640" s="23">
        <v>0.24399999999999999</v>
      </c>
      <c r="L640" s="23">
        <f>ROUND(20.34,3)</f>
        <v>20.34</v>
      </c>
      <c r="M640" s="24">
        <f t="shared" si="27"/>
        <v>4.96</v>
      </c>
    </row>
    <row r="641" spans="1:13" ht="15" customHeight="1" thickBot="1" x14ac:dyDescent="0.25">
      <c r="A641" s="5" t="s">
        <v>1933</v>
      </c>
      <c r="B641" s="5"/>
      <c r="C641" s="5" t="s">
        <v>1934</v>
      </c>
      <c r="D641" s="82" t="s">
        <v>1935</v>
      </c>
      <c r="E641" s="82"/>
      <c r="F641" s="82"/>
      <c r="G641" s="82"/>
      <c r="H641" s="82"/>
      <c r="I641" s="82"/>
      <c r="J641" s="82"/>
      <c r="K641" s="23">
        <v>2</v>
      </c>
      <c r="L641" s="23">
        <f>ROUND(37.73,3)</f>
        <v>37.729999999999997</v>
      </c>
      <c r="M641" s="24">
        <f>ROUND((K641*L641)/100,2)</f>
        <v>0.75</v>
      </c>
    </row>
    <row r="642" spans="1:13" ht="15.25" customHeight="1" thickBot="1" x14ac:dyDescent="0.25">
      <c r="A642" s="26"/>
      <c r="B642" s="26"/>
      <c r="C642" s="26"/>
      <c r="D642" s="27" t="s">
        <v>1936</v>
      </c>
      <c r="E642" s="26"/>
      <c r="F642" s="26"/>
      <c r="G642" s="26"/>
      <c r="H642" s="26"/>
      <c r="I642" s="26"/>
      <c r="J642" s="26"/>
      <c r="K642" s="28">
        <v>126.14</v>
      </c>
      <c r="L642" s="29">
        <f>ROUND((M631+M632+M633+M634+M635+M636+M637+M638+M639+M640+M641)*(1+M2/100),2)</f>
        <v>39.630000000000003</v>
      </c>
      <c r="M642" s="29">
        <f>ROUND(K642*L642,2)</f>
        <v>4998.93</v>
      </c>
    </row>
    <row r="643" spans="1:13" ht="15.25" customHeight="1" thickBot="1" x14ac:dyDescent="0.25">
      <c r="A643" s="34"/>
      <c r="B643" s="34"/>
      <c r="C643" s="34"/>
      <c r="D643" s="35" t="s">
        <v>1937</v>
      </c>
      <c r="E643" s="36"/>
      <c r="F643" s="36"/>
      <c r="G643" s="36"/>
      <c r="H643" s="36"/>
      <c r="I643" s="36"/>
      <c r="J643" s="36"/>
      <c r="K643" s="36"/>
      <c r="L643" s="37">
        <f>M625</f>
        <v>4998.93</v>
      </c>
      <c r="M643" s="37">
        <f>ROUND(L643,2)</f>
        <v>4998.93</v>
      </c>
    </row>
    <row r="644" spans="1:13" ht="15.25" customHeight="1" thickBot="1" x14ac:dyDescent="0.25">
      <c r="A644" s="34"/>
      <c r="B644" s="34"/>
      <c r="C644" s="34"/>
      <c r="D644" s="52" t="s">
        <v>1938</v>
      </c>
      <c r="E644" s="53"/>
      <c r="F644" s="53"/>
      <c r="G644" s="53"/>
      <c r="H644" s="53"/>
      <c r="I644" s="53"/>
      <c r="J644" s="53"/>
      <c r="K644" s="53"/>
      <c r="L644" s="54">
        <f>M623+M643</f>
        <v>5659.55</v>
      </c>
      <c r="M644" s="54">
        <f>ROUND(L644,2)</f>
        <v>5659.55</v>
      </c>
    </row>
    <row r="645" spans="1:13" ht="15.25" customHeight="1" thickBot="1" x14ac:dyDescent="0.25">
      <c r="A645" s="55" t="s">
        <v>1939</v>
      </c>
      <c r="B645" s="55" t="s">
        <v>1940</v>
      </c>
      <c r="C645" s="56"/>
      <c r="D645" s="85" t="s">
        <v>1941</v>
      </c>
      <c r="E645" s="85"/>
      <c r="F645" s="85"/>
      <c r="G645" s="85"/>
      <c r="H645" s="85"/>
      <c r="I645" s="85"/>
      <c r="J645" s="85"/>
      <c r="K645" s="56"/>
      <c r="L645" s="57">
        <f>L661</f>
        <v>3619.2</v>
      </c>
      <c r="M645" s="57">
        <f>ROUND(L645,2)</f>
        <v>3619.2</v>
      </c>
    </row>
    <row r="646" spans="1:13" ht="15.25" customHeight="1" thickBot="1" x14ac:dyDescent="0.25">
      <c r="A646" s="20" t="s">
        <v>1942</v>
      </c>
      <c r="B646" s="20" t="s">
        <v>1943</v>
      </c>
      <c r="C646" s="21"/>
      <c r="D646" s="81" t="s">
        <v>1944</v>
      </c>
      <c r="E646" s="81"/>
      <c r="F646" s="81"/>
      <c r="G646" s="81"/>
      <c r="H646" s="81"/>
      <c r="I646" s="81"/>
      <c r="J646" s="81"/>
      <c r="K646" s="21"/>
      <c r="L646" s="22">
        <f>L660</f>
        <v>3619.2</v>
      </c>
      <c r="M646" s="22">
        <f>ROUND(L646,2)</f>
        <v>3619.2</v>
      </c>
    </row>
    <row r="647" spans="1:13" ht="15.25" customHeight="1" thickBot="1" x14ac:dyDescent="0.25">
      <c r="A647" s="10" t="s">
        <v>1945</v>
      </c>
      <c r="B647" s="5" t="s">
        <v>1946</v>
      </c>
      <c r="C647" s="5" t="s">
        <v>1947</v>
      </c>
      <c r="D647" s="82" t="s">
        <v>1948</v>
      </c>
      <c r="E647" s="82"/>
      <c r="F647" s="82"/>
      <c r="G647" s="82"/>
      <c r="H647" s="82"/>
      <c r="I647" s="82"/>
      <c r="J647" s="82"/>
      <c r="K647" s="23">
        <f>SUM(K650:K651)</f>
        <v>75.400000000000006</v>
      </c>
      <c r="L647" s="24">
        <f>L659</f>
        <v>48</v>
      </c>
      <c r="M647" s="24">
        <f>ROUND(K647*L647,2)</f>
        <v>3619.2</v>
      </c>
    </row>
    <row r="648" spans="1:13" ht="103.75" customHeight="1" thickBot="1" x14ac:dyDescent="0.25">
      <c r="A648" s="25"/>
      <c r="B648" s="25"/>
      <c r="C648" s="25"/>
      <c r="D648" s="82" t="s">
        <v>1949</v>
      </c>
      <c r="E648" s="82"/>
      <c r="F648" s="82"/>
      <c r="G648" s="82"/>
      <c r="H648" s="82"/>
      <c r="I648" s="82"/>
      <c r="J648" s="82"/>
      <c r="K648" s="82"/>
      <c r="L648" s="82"/>
      <c r="M648" s="82"/>
    </row>
    <row r="649" spans="1:13" ht="15" customHeight="1" thickBot="1" x14ac:dyDescent="0.25">
      <c r="A649" s="25"/>
      <c r="B649" s="25"/>
      <c r="C649" s="25"/>
      <c r="D649" s="25"/>
      <c r="E649" s="41"/>
      <c r="F649" s="43" t="s">
        <v>1950</v>
      </c>
      <c r="G649" s="43" t="s">
        <v>1951</v>
      </c>
      <c r="H649" s="43" t="s">
        <v>1952</v>
      </c>
      <c r="I649" s="43" t="s">
        <v>1953</v>
      </c>
      <c r="J649" s="43" t="s">
        <v>1954</v>
      </c>
      <c r="K649" s="43" t="s">
        <v>1955</v>
      </c>
      <c r="L649" s="25"/>
      <c r="M649" s="25"/>
    </row>
    <row r="650" spans="1:13" ht="15" customHeight="1" thickBot="1" x14ac:dyDescent="0.25">
      <c r="A650" s="25"/>
      <c r="B650" s="25"/>
      <c r="C650" s="25"/>
      <c r="D650" s="44"/>
      <c r="E650" s="45" t="s">
        <v>1956</v>
      </c>
      <c r="F650" s="46">
        <v>1</v>
      </c>
      <c r="G650" s="47">
        <v>17.21</v>
      </c>
      <c r="H650" s="47"/>
      <c r="I650" s="47">
        <v>2.5</v>
      </c>
      <c r="J650" s="49">
        <f>ROUND(F650*G650*I650,3)</f>
        <v>43.024999999999999</v>
      </c>
      <c r="K650" s="50"/>
      <c r="L650" s="25"/>
      <c r="M650" s="25"/>
    </row>
    <row r="651" spans="1:13" ht="30.5" customHeight="1" thickBot="1" x14ac:dyDescent="0.25">
      <c r="A651" s="25"/>
      <c r="B651" s="25"/>
      <c r="C651" s="25"/>
      <c r="D651" s="44"/>
      <c r="E651" s="5" t="s">
        <v>1957</v>
      </c>
      <c r="F651" s="3">
        <v>1</v>
      </c>
      <c r="G651" s="23">
        <v>12.95</v>
      </c>
      <c r="H651" s="23"/>
      <c r="I651" s="23">
        <v>2.5</v>
      </c>
      <c r="J651" s="48">
        <f>ROUND(F651*G651*I651,3)</f>
        <v>32.375</v>
      </c>
      <c r="K651" s="51">
        <f>SUM(J650:J651)</f>
        <v>75.400000000000006</v>
      </c>
      <c r="L651" s="25"/>
      <c r="M651" s="25"/>
    </row>
    <row r="652" spans="1:13" ht="21.25" customHeight="1" thickBot="1" x14ac:dyDescent="0.25">
      <c r="A652" s="5" t="s">
        <v>1958</v>
      </c>
      <c r="B652" s="5" t="s">
        <v>1959</v>
      </c>
      <c r="C652" s="5" t="s">
        <v>1960</v>
      </c>
      <c r="D652" s="82" t="s">
        <v>1961</v>
      </c>
      <c r="E652" s="82"/>
      <c r="F652" s="82"/>
      <c r="G652" s="82"/>
      <c r="H652" s="82"/>
      <c r="I652" s="82"/>
      <c r="J652" s="82"/>
      <c r="K652" s="23">
        <v>2.5</v>
      </c>
      <c r="L652" s="23">
        <f>ROUND(1.336,3)</f>
        <v>1.3360000000000001</v>
      </c>
      <c r="M652" s="24">
        <f t="shared" ref="M652:M657" si="28">ROUND(K652*L652,2)</f>
        <v>3.34</v>
      </c>
    </row>
    <row r="653" spans="1:13" ht="21.25" customHeight="1" thickBot="1" x14ac:dyDescent="0.25">
      <c r="A653" s="5" t="s">
        <v>1962</v>
      </c>
      <c r="B653" s="5" t="s">
        <v>1963</v>
      </c>
      <c r="C653" s="5" t="s">
        <v>1964</v>
      </c>
      <c r="D653" s="82" t="s">
        <v>1965</v>
      </c>
      <c r="E653" s="82"/>
      <c r="F653" s="82"/>
      <c r="G653" s="82"/>
      <c r="H653" s="82"/>
      <c r="I653" s="82"/>
      <c r="J653" s="82"/>
      <c r="K653" s="23">
        <v>1.05</v>
      </c>
      <c r="L653" s="23">
        <f>ROUND(26.87,3)</f>
        <v>26.87</v>
      </c>
      <c r="M653" s="24">
        <f t="shared" si="28"/>
        <v>28.21</v>
      </c>
    </row>
    <row r="654" spans="1:13" ht="48.75" customHeight="1" thickBot="1" x14ac:dyDescent="0.25">
      <c r="A654" s="5" t="s">
        <v>1966</v>
      </c>
      <c r="B654" s="5" t="s">
        <v>1967</v>
      </c>
      <c r="C654" s="5" t="s">
        <v>1968</v>
      </c>
      <c r="D654" s="82" t="s">
        <v>1969</v>
      </c>
      <c r="E654" s="82"/>
      <c r="F654" s="82"/>
      <c r="G654" s="82"/>
      <c r="H654" s="82"/>
      <c r="I654" s="82"/>
      <c r="J654" s="82"/>
      <c r="K654" s="23">
        <v>0.25</v>
      </c>
      <c r="L654" s="23">
        <f>ROUND(1.308,3)</f>
        <v>1.3080000000000001</v>
      </c>
      <c r="M654" s="24">
        <f t="shared" si="28"/>
        <v>0.33</v>
      </c>
    </row>
    <row r="655" spans="1:13" ht="21.25" customHeight="1" thickBot="1" x14ac:dyDescent="0.25">
      <c r="A655" s="5" t="s">
        <v>1970</v>
      </c>
      <c r="B655" s="5" t="s">
        <v>1971</v>
      </c>
      <c r="C655" s="5" t="s">
        <v>1972</v>
      </c>
      <c r="D655" s="82" t="s">
        <v>1973</v>
      </c>
      <c r="E655" s="82"/>
      <c r="F655" s="82"/>
      <c r="G655" s="82"/>
      <c r="H655" s="82"/>
      <c r="I655" s="82"/>
      <c r="J655" s="82"/>
      <c r="K655" s="23">
        <v>0.35</v>
      </c>
      <c r="L655" s="23">
        <f>ROUND(2.195,3)</f>
        <v>2.1949999999999998</v>
      </c>
      <c r="M655" s="24">
        <f t="shared" si="28"/>
        <v>0.77</v>
      </c>
    </row>
    <row r="656" spans="1:13" ht="15" customHeight="1" thickBot="1" x14ac:dyDescent="0.25">
      <c r="A656" s="5" t="s">
        <v>1974</v>
      </c>
      <c r="B656" s="5" t="s">
        <v>1975</v>
      </c>
      <c r="C656" s="5" t="s">
        <v>1976</v>
      </c>
      <c r="D656" s="82" t="s">
        <v>1977</v>
      </c>
      <c r="E656" s="82"/>
      <c r="F656" s="82"/>
      <c r="G656" s="82"/>
      <c r="H656" s="82"/>
      <c r="I656" s="82"/>
      <c r="J656" s="82"/>
      <c r="K656" s="23">
        <v>0.42799999999999999</v>
      </c>
      <c r="L656" s="23">
        <f>ROUND(21.41,3)</f>
        <v>21.41</v>
      </c>
      <c r="M656" s="24">
        <f t="shared" si="28"/>
        <v>9.16</v>
      </c>
    </row>
    <row r="657" spans="1:13" ht="15" customHeight="1" thickBot="1" x14ac:dyDescent="0.25">
      <c r="A657" s="5" t="s">
        <v>1978</v>
      </c>
      <c r="B657" s="5" t="s">
        <v>1979</v>
      </c>
      <c r="C657" s="5" t="s">
        <v>1980</v>
      </c>
      <c r="D657" s="82" t="s">
        <v>1981</v>
      </c>
      <c r="E657" s="82"/>
      <c r="F657" s="82"/>
      <c r="G657" s="82"/>
      <c r="H657" s="82"/>
      <c r="I657" s="82"/>
      <c r="J657" s="82"/>
      <c r="K657" s="23">
        <v>0.191</v>
      </c>
      <c r="L657" s="23">
        <f>ROUND(20.34,3)</f>
        <v>20.34</v>
      </c>
      <c r="M657" s="24">
        <f t="shared" si="28"/>
        <v>3.88</v>
      </c>
    </row>
    <row r="658" spans="1:13" ht="15" customHeight="1" thickBot="1" x14ac:dyDescent="0.25">
      <c r="A658" s="5" t="s">
        <v>1982</v>
      </c>
      <c r="B658" s="5"/>
      <c r="C658" s="5" t="s">
        <v>1983</v>
      </c>
      <c r="D658" s="82" t="s">
        <v>1984</v>
      </c>
      <c r="E658" s="82"/>
      <c r="F658" s="82"/>
      <c r="G658" s="82"/>
      <c r="H658" s="82"/>
      <c r="I658" s="82"/>
      <c r="J658" s="82"/>
      <c r="K658" s="23">
        <v>2</v>
      </c>
      <c r="L658" s="23">
        <f>ROUND(45.69,3)</f>
        <v>45.69</v>
      </c>
      <c r="M658" s="24">
        <f>ROUND((K658*L658)/100,2)</f>
        <v>0.91</v>
      </c>
    </row>
    <row r="659" spans="1:13" ht="15.25" customHeight="1" thickBot="1" x14ac:dyDescent="0.25">
      <c r="A659" s="26"/>
      <c r="B659" s="26"/>
      <c r="C659" s="26"/>
      <c r="D659" s="27" t="s">
        <v>1985</v>
      </c>
      <c r="E659" s="26"/>
      <c r="F659" s="26"/>
      <c r="G659" s="26"/>
      <c r="H659" s="26"/>
      <c r="I659" s="26"/>
      <c r="J659" s="26"/>
      <c r="K659" s="28">
        <v>75.400000000000006</v>
      </c>
      <c r="L659" s="29">
        <f>ROUND((M652+M653+M654+M655+M656+M657+M658)*(1+M2/100),2)</f>
        <v>48</v>
      </c>
      <c r="M659" s="29">
        <f>ROUND(K659*L659,2)</f>
        <v>3619.2</v>
      </c>
    </row>
    <row r="660" spans="1:13" ht="15.25" customHeight="1" thickBot="1" x14ac:dyDescent="0.25">
      <c r="A660" s="34"/>
      <c r="B660" s="34"/>
      <c r="C660" s="34"/>
      <c r="D660" s="35" t="s">
        <v>1986</v>
      </c>
      <c r="E660" s="36"/>
      <c r="F660" s="36"/>
      <c r="G660" s="36"/>
      <c r="H660" s="36"/>
      <c r="I660" s="36"/>
      <c r="J660" s="36"/>
      <c r="K660" s="36"/>
      <c r="L660" s="37">
        <f>M647</f>
        <v>3619.2</v>
      </c>
      <c r="M660" s="37">
        <f>ROUND(L660,2)</f>
        <v>3619.2</v>
      </c>
    </row>
    <row r="661" spans="1:13" ht="15.25" customHeight="1" thickBot="1" x14ac:dyDescent="0.25">
      <c r="A661" s="34"/>
      <c r="B661" s="34"/>
      <c r="C661" s="34"/>
      <c r="D661" s="52" t="s">
        <v>1987</v>
      </c>
      <c r="E661" s="53"/>
      <c r="F661" s="53"/>
      <c r="G661" s="53"/>
      <c r="H661" s="53"/>
      <c r="I661" s="53"/>
      <c r="J661" s="53"/>
      <c r="K661" s="53"/>
      <c r="L661" s="54">
        <f>M660</f>
        <v>3619.2</v>
      </c>
      <c r="M661" s="54">
        <f>ROUND(L661,2)</f>
        <v>3619.2</v>
      </c>
    </row>
    <row r="662" spans="1:13" ht="15.25" customHeight="1" thickBot="1" x14ac:dyDescent="0.25">
      <c r="A662" s="55" t="s">
        <v>1988</v>
      </c>
      <c r="B662" s="55" t="s">
        <v>1989</v>
      </c>
      <c r="C662" s="56"/>
      <c r="D662" s="85" t="s">
        <v>1990</v>
      </c>
      <c r="E662" s="85"/>
      <c r="F662" s="85"/>
      <c r="G662" s="85"/>
      <c r="H662" s="85"/>
      <c r="I662" s="85"/>
      <c r="J662" s="85"/>
      <c r="K662" s="56"/>
      <c r="L662" s="57">
        <f>L677</f>
        <v>1044.97</v>
      </c>
      <c r="M662" s="57">
        <f>ROUND(L662,2)</f>
        <v>1044.97</v>
      </c>
    </row>
    <row r="663" spans="1:13" ht="15.25" customHeight="1" thickBot="1" x14ac:dyDescent="0.25">
      <c r="A663" s="20" t="s">
        <v>1991</v>
      </c>
      <c r="B663" s="20" t="s">
        <v>1992</v>
      </c>
      <c r="C663" s="21"/>
      <c r="D663" s="81" t="s">
        <v>1993</v>
      </c>
      <c r="E663" s="81"/>
      <c r="F663" s="81"/>
      <c r="G663" s="81"/>
      <c r="H663" s="81"/>
      <c r="I663" s="81"/>
      <c r="J663" s="81"/>
      <c r="K663" s="21"/>
      <c r="L663" s="22">
        <f>L676</f>
        <v>1044.97</v>
      </c>
      <c r="M663" s="22">
        <f>ROUND(L663,2)</f>
        <v>1044.97</v>
      </c>
    </row>
    <row r="664" spans="1:13" ht="15.25" customHeight="1" thickBot="1" x14ac:dyDescent="0.25">
      <c r="A664" s="10" t="s">
        <v>1994</v>
      </c>
      <c r="B664" s="5" t="s">
        <v>1995</v>
      </c>
      <c r="C664" s="5" t="s">
        <v>1996</v>
      </c>
      <c r="D664" s="82" t="s">
        <v>1997</v>
      </c>
      <c r="E664" s="82"/>
      <c r="F664" s="82"/>
      <c r="G664" s="82"/>
      <c r="H664" s="82"/>
      <c r="I664" s="82"/>
      <c r="J664" s="82"/>
      <c r="K664" s="23">
        <f>SUM(K667:K669)</f>
        <v>53.125</v>
      </c>
      <c r="L664" s="24">
        <f>L675</f>
        <v>19.670000000000002</v>
      </c>
      <c r="M664" s="24">
        <f>ROUND(K664*L664,2)</f>
        <v>1044.97</v>
      </c>
    </row>
    <row r="665" spans="1:13" ht="76.25" customHeight="1" thickBot="1" x14ac:dyDescent="0.25">
      <c r="A665" s="25"/>
      <c r="B665" s="25"/>
      <c r="C665" s="25"/>
      <c r="D665" s="82" t="s">
        <v>1998</v>
      </c>
      <c r="E665" s="82"/>
      <c r="F665" s="82"/>
      <c r="G665" s="82"/>
      <c r="H665" s="82"/>
      <c r="I665" s="82"/>
      <c r="J665" s="82"/>
      <c r="K665" s="82"/>
      <c r="L665" s="82"/>
      <c r="M665" s="82"/>
    </row>
    <row r="666" spans="1:13" ht="15" customHeight="1" thickBot="1" x14ac:dyDescent="0.25">
      <c r="A666" s="25"/>
      <c r="B666" s="25"/>
      <c r="C666" s="25"/>
      <c r="D666" s="25"/>
      <c r="E666" s="41"/>
      <c r="F666" s="43" t="s">
        <v>1999</v>
      </c>
      <c r="G666" s="43" t="s">
        <v>2000</v>
      </c>
      <c r="H666" s="43" t="s">
        <v>2001</v>
      </c>
      <c r="I666" s="43" t="s">
        <v>2002</v>
      </c>
      <c r="J666" s="43" t="s">
        <v>2003</v>
      </c>
      <c r="K666" s="43" t="s">
        <v>2004</v>
      </c>
      <c r="L666" s="25"/>
      <c r="M666" s="25"/>
    </row>
    <row r="667" spans="1:13" ht="15" customHeight="1" thickBot="1" x14ac:dyDescent="0.25">
      <c r="A667" s="25"/>
      <c r="B667" s="25"/>
      <c r="C667" s="25"/>
      <c r="D667" s="44"/>
      <c r="E667" s="45" t="s">
        <v>2005</v>
      </c>
      <c r="F667" s="46">
        <v>1</v>
      </c>
      <c r="G667" s="47">
        <v>15.21</v>
      </c>
      <c r="H667" s="47"/>
      <c r="I667" s="47">
        <v>2.5</v>
      </c>
      <c r="J667" s="49">
        <f>ROUND(F667*G667*I667,3)</f>
        <v>38.024999999999999</v>
      </c>
      <c r="K667" s="50"/>
      <c r="L667" s="25"/>
      <c r="M667" s="25"/>
    </row>
    <row r="668" spans="1:13" ht="15" customHeight="1" thickBot="1" x14ac:dyDescent="0.25">
      <c r="A668" s="25"/>
      <c r="B668" s="25"/>
      <c r="C668" s="25"/>
      <c r="D668" s="44"/>
      <c r="E668" s="5" t="s">
        <v>2006</v>
      </c>
      <c r="F668" s="3">
        <v>1</v>
      </c>
      <c r="G668" s="23">
        <v>4.96</v>
      </c>
      <c r="H668" s="23"/>
      <c r="I668" s="23">
        <v>2.5</v>
      </c>
      <c r="J668" s="48">
        <f>ROUND(F668*G668*I668,3)</f>
        <v>12.4</v>
      </c>
      <c r="K668" s="25"/>
      <c r="L668" s="25"/>
      <c r="M668" s="25"/>
    </row>
    <row r="669" spans="1:13" ht="39.5" customHeight="1" thickBot="1" x14ac:dyDescent="0.25">
      <c r="A669" s="25"/>
      <c r="B669" s="25"/>
      <c r="C669" s="25"/>
      <c r="D669" s="44"/>
      <c r="E669" s="5" t="s">
        <v>2007</v>
      </c>
      <c r="F669" s="3">
        <v>1</v>
      </c>
      <c r="G669" s="23">
        <v>3</v>
      </c>
      <c r="H669" s="23"/>
      <c r="I669" s="23">
        <v>0.9</v>
      </c>
      <c r="J669" s="48">
        <f>ROUND(F669*G669*I669,3)</f>
        <v>2.7</v>
      </c>
      <c r="K669" s="51">
        <f>SUM(J667:J669)</f>
        <v>53.125</v>
      </c>
      <c r="L669" s="25"/>
      <c r="M669" s="25"/>
    </row>
    <row r="670" spans="1:13" ht="15" customHeight="1" thickBot="1" x14ac:dyDescent="0.25">
      <c r="A670" s="5" t="s">
        <v>2008</v>
      </c>
      <c r="B670" s="5" t="s">
        <v>2009</v>
      </c>
      <c r="C670" s="5" t="s">
        <v>2010</v>
      </c>
      <c r="D670" s="82" t="s">
        <v>2011</v>
      </c>
      <c r="E670" s="82"/>
      <c r="F670" s="82"/>
      <c r="G670" s="82"/>
      <c r="H670" s="82"/>
      <c r="I670" s="82"/>
      <c r="J670" s="82"/>
      <c r="K670" s="23">
        <v>5.0000000000000001E-3</v>
      </c>
      <c r="L670" s="23">
        <f>ROUND(1.372,3)</f>
        <v>1.3720000000000001</v>
      </c>
      <c r="M670" s="24">
        <f>ROUND(K670*L670,2)</f>
        <v>0.01</v>
      </c>
    </row>
    <row r="671" spans="1:13" ht="21.25" customHeight="1" thickBot="1" x14ac:dyDescent="0.25">
      <c r="A671" s="5" t="s">
        <v>2012</v>
      </c>
      <c r="B671" s="5" t="s">
        <v>2013</v>
      </c>
      <c r="C671" s="5" t="s">
        <v>2014</v>
      </c>
      <c r="D671" s="82" t="s">
        <v>2015</v>
      </c>
      <c r="E671" s="82"/>
      <c r="F671" s="82"/>
      <c r="G671" s="82"/>
      <c r="H671" s="82"/>
      <c r="I671" s="82"/>
      <c r="J671" s="82"/>
      <c r="K671" s="23">
        <v>2.8000000000000001E-2</v>
      </c>
      <c r="L671" s="23">
        <f>ROUND(41.857,3)</f>
        <v>41.856999999999999</v>
      </c>
      <c r="M671" s="24">
        <f>ROUND(K671*L671,2)</f>
        <v>1.17</v>
      </c>
    </row>
    <row r="672" spans="1:13" ht="15" customHeight="1" thickBot="1" x14ac:dyDescent="0.25">
      <c r="A672" s="5" t="s">
        <v>2016</v>
      </c>
      <c r="B672" s="5" t="s">
        <v>2017</v>
      </c>
      <c r="C672" s="5" t="s">
        <v>2018</v>
      </c>
      <c r="D672" s="82" t="s">
        <v>2019</v>
      </c>
      <c r="E672" s="82"/>
      <c r="F672" s="82"/>
      <c r="G672" s="82"/>
      <c r="H672" s="82"/>
      <c r="I672" s="82"/>
      <c r="J672" s="82"/>
      <c r="K672" s="23">
        <v>0.41099999999999998</v>
      </c>
      <c r="L672" s="23">
        <f>ROUND(21.41,3)</f>
        <v>21.41</v>
      </c>
      <c r="M672" s="24">
        <f>ROUND(K672*L672,2)</f>
        <v>8.8000000000000007</v>
      </c>
    </row>
    <row r="673" spans="1:13" ht="15" customHeight="1" thickBot="1" x14ac:dyDescent="0.25">
      <c r="A673" s="5" t="s">
        <v>2020</v>
      </c>
      <c r="B673" s="5" t="s">
        <v>2021</v>
      </c>
      <c r="C673" s="5" t="s">
        <v>2022</v>
      </c>
      <c r="D673" s="82" t="s">
        <v>2023</v>
      </c>
      <c r="E673" s="82"/>
      <c r="F673" s="82"/>
      <c r="G673" s="82"/>
      <c r="H673" s="82"/>
      <c r="I673" s="82"/>
      <c r="J673" s="82"/>
      <c r="K673" s="23">
        <v>0.36499999999999999</v>
      </c>
      <c r="L673" s="23">
        <f>ROUND(23.97,3)</f>
        <v>23.97</v>
      </c>
      <c r="M673" s="24">
        <f>ROUND(K673*L673,2)</f>
        <v>8.75</v>
      </c>
    </row>
    <row r="674" spans="1:13" ht="15" customHeight="1" thickBot="1" x14ac:dyDescent="0.25">
      <c r="A674" s="5" t="s">
        <v>2024</v>
      </c>
      <c r="B674" s="5"/>
      <c r="C674" s="5" t="s">
        <v>2025</v>
      </c>
      <c r="D674" s="82" t="s">
        <v>2026</v>
      </c>
      <c r="E674" s="82"/>
      <c r="F674" s="82"/>
      <c r="G674" s="82"/>
      <c r="H674" s="82"/>
      <c r="I674" s="82"/>
      <c r="J674" s="82"/>
      <c r="K674" s="23">
        <v>2</v>
      </c>
      <c r="L674" s="23">
        <f>ROUND(18.73,3)</f>
        <v>18.73</v>
      </c>
      <c r="M674" s="24">
        <f>ROUND((K674*L674)/100,2)</f>
        <v>0.37</v>
      </c>
    </row>
    <row r="675" spans="1:13" ht="15.25" customHeight="1" thickBot="1" x14ac:dyDescent="0.25">
      <c r="A675" s="26"/>
      <c r="B675" s="26"/>
      <c r="C675" s="26"/>
      <c r="D675" s="27" t="s">
        <v>2027</v>
      </c>
      <c r="E675" s="26"/>
      <c r="F675" s="26"/>
      <c r="G675" s="26"/>
      <c r="H675" s="26"/>
      <c r="I675" s="26"/>
      <c r="J675" s="26"/>
      <c r="K675" s="28">
        <v>53.125</v>
      </c>
      <c r="L675" s="29">
        <f>ROUND((M670+M671+M672+M673+M674)*(1+M2/100),2)</f>
        <v>19.670000000000002</v>
      </c>
      <c r="M675" s="29">
        <f>ROUND(K675*L675,2)</f>
        <v>1044.97</v>
      </c>
    </row>
    <row r="676" spans="1:13" ht="15.25" customHeight="1" thickBot="1" x14ac:dyDescent="0.25">
      <c r="A676" s="34"/>
      <c r="B676" s="34"/>
      <c r="C676" s="34"/>
      <c r="D676" s="35" t="s">
        <v>2028</v>
      </c>
      <c r="E676" s="36"/>
      <c r="F676" s="36"/>
      <c r="G676" s="36"/>
      <c r="H676" s="36"/>
      <c r="I676" s="36"/>
      <c r="J676" s="36"/>
      <c r="K676" s="36"/>
      <c r="L676" s="37">
        <f>M664</f>
        <v>1044.97</v>
      </c>
      <c r="M676" s="37">
        <f>ROUND(L676,2)</f>
        <v>1044.97</v>
      </c>
    </row>
    <row r="677" spans="1:13" ht="15.25" customHeight="1" thickBot="1" x14ac:dyDescent="0.25">
      <c r="A677" s="34"/>
      <c r="B677" s="34"/>
      <c r="C677" s="34"/>
      <c r="D677" s="52" t="s">
        <v>2029</v>
      </c>
      <c r="E677" s="53"/>
      <c r="F677" s="53"/>
      <c r="G677" s="53"/>
      <c r="H677" s="53"/>
      <c r="I677" s="53"/>
      <c r="J677" s="53"/>
      <c r="K677" s="53"/>
      <c r="L677" s="54">
        <f>M676</f>
        <v>1044.97</v>
      </c>
      <c r="M677" s="54">
        <f>ROUND(L677,2)</f>
        <v>1044.97</v>
      </c>
    </row>
    <row r="678" spans="1:13" ht="15.25" customHeight="1" thickBot="1" x14ac:dyDescent="0.25">
      <c r="A678" s="55" t="s">
        <v>2030</v>
      </c>
      <c r="B678" s="55" t="s">
        <v>2031</v>
      </c>
      <c r="C678" s="56"/>
      <c r="D678" s="85" t="s">
        <v>2032</v>
      </c>
      <c r="E678" s="85"/>
      <c r="F678" s="85"/>
      <c r="G678" s="85"/>
      <c r="H678" s="85"/>
      <c r="I678" s="85"/>
      <c r="J678" s="85"/>
      <c r="K678" s="56"/>
      <c r="L678" s="57">
        <f>L689</f>
        <v>106.95</v>
      </c>
      <c r="M678" s="57">
        <f>ROUND(L678,2)</f>
        <v>106.95</v>
      </c>
    </row>
    <row r="679" spans="1:13" ht="15.25" customHeight="1" thickBot="1" x14ac:dyDescent="0.25">
      <c r="A679" s="20" t="s">
        <v>2033</v>
      </c>
      <c r="B679" s="20" t="s">
        <v>2034</v>
      </c>
      <c r="C679" s="21"/>
      <c r="D679" s="81" t="s">
        <v>2035</v>
      </c>
      <c r="E679" s="81"/>
      <c r="F679" s="81"/>
      <c r="G679" s="81"/>
      <c r="H679" s="81"/>
      <c r="I679" s="81"/>
      <c r="J679" s="81"/>
      <c r="K679" s="21"/>
      <c r="L679" s="22">
        <f>L688</f>
        <v>106.95</v>
      </c>
      <c r="M679" s="22">
        <f>ROUND(L679,2)</f>
        <v>106.95</v>
      </c>
    </row>
    <row r="680" spans="1:13" ht="15.25" customHeight="1" thickBot="1" x14ac:dyDescent="0.25">
      <c r="A680" s="10" t="s">
        <v>2036</v>
      </c>
      <c r="B680" s="5" t="s">
        <v>2037</v>
      </c>
      <c r="C680" s="5" t="s">
        <v>2038</v>
      </c>
      <c r="D680" s="82" t="s">
        <v>2039</v>
      </c>
      <c r="E680" s="82"/>
      <c r="F680" s="82"/>
      <c r="G680" s="82"/>
      <c r="H680" s="82"/>
      <c r="I680" s="82"/>
      <c r="J680" s="82"/>
      <c r="K680" s="23">
        <f>ROUND(5,2)</f>
        <v>5</v>
      </c>
      <c r="L680" s="24">
        <f>L687</f>
        <v>21.39</v>
      </c>
      <c r="M680" s="24">
        <f>ROUND(K680*L680,2)</f>
        <v>106.95</v>
      </c>
    </row>
    <row r="681" spans="1:13" ht="67" customHeight="1" thickBot="1" x14ac:dyDescent="0.25">
      <c r="A681" s="25"/>
      <c r="B681" s="25"/>
      <c r="C681" s="25"/>
      <c r="D681" s="82" t="s">
        <v>2040</v>
      </c>
      <c r="E681" s="82"/>
      <c r="F681" s="82"/>
      <c r="G681" s="82"/>
      <c r="H681" s="82"/>
      <c r="I681" s="82"/>
      <c r="J681" s="82"/>
      <c r="K681" s="82"/>
      <c r="L681" s="82"/>
      <c r="M681" s="82"/>
    </row>
    <row r="682" spans="1:13" ht="30.5" customHeight="1" thickBot="1" x14ac:dyDescent="0.25">
      <c r="A682" s="5" t="s">
        <v>2041</v>
      </c>
      <c r="B682" s="5" t="s">
        <v>2042</v>
      </c>
      <c r="C682" s="5" t="s">
        <v>2043</v>
      </c>
      <c r="D682" s="82" t="s">
        <v>2044</v>
      </c>
      <c r="E682" s="82"/>
      <c r="F682" s="82"/>
      <c r="G682" s="82"/>
      <c r="H682" s="82"/>
      <c r="I682" s="82"/>
      <c r="J682" s="82"/>
      <c r="K682" s="23">
        <v>0.94499999999999995</v>
      </c>
      <c r="L682" s="23">
        <f>ROUND(15.614,3)</f>
        <v>15.614000000000001</v>
      </c>
      <c r="M682" s="24">
        <f>ROUND(K682*L682,2)</f>
        <v>14.76</v>
      </c>
    </row>
    <row r="683" spans="1:13" ht="21.25" customHeight="1" thickBot="1" x14ac:dyDescent="0.25">
      <c r="A683" s="5" t="s">
        <v>2045</v>
      </c>
      <c r="B683" s="5" t="s">
        <v>2046</v>
      </c>
      <c r="C683" s="5" t="s">
        <v>2047</v>
      </c>
      <c r="D683" s="82" t="s">
        <v>2048</v>
      </c>
      <c r="E683" s="82"/>
      <c r="F683" s="82"/>
      <c r="G683" s="82"/>
      <c r="H683" s="82"/>
      <c r="I683" s="82"/>
      <c r="J683" s="82"/>
      <c r="K683" s="23">
        <v>0.106</v>
      </c>
      <c r="L683" s="23">
        <f>ROUND(4.226,3)</f>
        <v>4.226</v>
      </c>
      <c r="M683" s="24">
        <f>ROUND(K683*L683,2)</f>
        <v>0.45</v>
      </c>
    </row>
    <row r="684" spans="1:13" ht="15" customHeight="1" thickBot="1" x14ac:dyDescent="0.25">
      <c r="A684" s="5" t="s">
        <v>2049</v>
      </c>
      <c r="B684" s="5" t="s">
        <v>2050</v>
      </c>
      <c r="C684" s="5" t="s">
        <v>2051</v>
      </c>
      <c r="D684" s="82" t="s">
        <v>2052</v>
      </c>
      <c r="E684" s="82"/>
      <c r="F684" s="82"/>
      <c r="G684" s="82"/>
      <c r="H684" s="82"/>
      <c r="I684" s="82"/>
      <c r="J684" s="82"/>
      <c r="K684" s="23">
        <v>0.13700000000000001</v>
      </c>
      <c r="L684" s="23">
        <f>ROUND(27.41,3)</f>
        <v>27.41</v>
      </c>
      <c r="M684" s="24">
        <f>ROUND(K684*L684,2)</f>
        <v>3.76</v>
      </c>
    </row>
    <row r="685" spans="1:13" ht="15" customHeight="1" thickBot="1" x14ac:dyDescent="0.25">
      <c r="A685" s="5" t="s">
        <v>2053</v>
      </c>
      <c r="B685" s="5" t="s">
        <v>2054</v>
      </c>
      <c r="C685" s="5" t="s">
        <v>2055</v>
      </c>
      <c r="D685" s="82" t="s">
        <v>2056</v>
      </c>
      <c r="E685" s="82"/>
      <c r="F685" s="82"/>
      <c r="G685" s="82"/>
      <c r="H685" s="82"/>
      <c r="I685" s="82"/>
      <c r="J685" s="82"/>
      <c r="K685" s="23">
        <v>6.2E-2</v>
      </c>
      <c r="L685" s="23">
        <f>ROUND(22.34,3)</f>
        <v>22.34</v>
      </c>
      <c r="M685" s="24">
        <f>ROUND(K685*L685,2)</f>
        <v>1.39</v>
      </c>
    </row>
    <row r="686" spans="1:13" ht="15" customHeight="1" thickBot="1" x14ac:dyDescent="0.25">
      <c r="A686" s="5" t="s">
        <v>2057</v>
      </c>
      <c r="B686" s="5"/>
      <c r="C686" s="5" t="s">
        <v>2058</v>
      </c>
      <c r="D686" s="82" t="s">
        <v>2059</v>
      </c>
      <c r="E686" s="82"/>
      <c r="F686" s="82"/>
      <c r="G686" s="82"/>
      <c r="H686" s="82"/>
      <c r="I686" s="82"/>
      <c r="J686" s="82"/>
      <c r="K686" s="23">
        <v>2</v>
      </c>
      <c r="L686" s="23">
        <f>ROUND(20.36,3)</f>
        <v>20.36</v>
      </c>
      <c r="M686" s="24">
        <f>ROUND((K686*L686)/100,2)</f>
        <v>0.41</v>
      </c>
    </row>
    <row r="687" spans="1:13" ht="15.25" customHeight="1" thickBot="1" x14ac:dyDescent="0.25">
      <c r="A687" s="26"/>
      <c r="B687" s="26"/>
      <c r="C687" s="26"/>
      <c r="D687" s="27" t="s">
        <v>2060</v>
      </c>
      <c r="E687" s="26"/>
      <c r="F687" s="26"/>
      <c r="G687" s="26"/>
      <c r="H687" s="26"/>
      <c r="I687" s="26"/>
      <c r="J687" s="26"/>
      <c r="K687" s="28">
        <v>5</v>
      </c>
      <c r="L687" s="29">
        <f>ROUND((M682+M683+M684+M685+M686)*(1+M2/100),2)</f>
        <v>21.39</v>
      </c>
      <c r="M687" s="29">
        <f>ROUND(K687*L687,2)</f>
        <v>106.95</v>
      </c>
    </row>
    <row r="688" spans="1:13" ht="15.25" customHeight="1" thickBot="1" x14ac:dyDescent="0.25">
      <c r="A688" s="34"/>
      <c r="B688" s="34"/>
      <c r="C688" s="34"/>
      <c r="D688" s="35" t="s">
        <v>2061</v>
      </c>
      <c r="E688" s="36"/>
      <c r="F688" s="36"/>
      <c r="G688" s="36"/>
      <c r="H688" s="36"/>
      <c r="I688" s="36"/>
      <c r="J688" s="36"/>
      <c r="K688" s="36"/>
      <c r="L688" s="37">
        <f>M680</f>
        <v>106.95</v>
      </c>
      <c r="M688" s="37">
        <f t="shared" ref="M688:M693" si="29">ROUND(L688,2)</f>
        <v>106.95</v>
      </c>
    </row>
    <row r="689" spans="1:13" ht="15.25" customHeight="1" thickBot="1" x14ac:dyDescent="0.25">
      <c r="A689" s="34"/>
      <c r="B689" s="34"/>
      <c r="C689" s="34"/>
      <c r="D689" s="52" t="s">
        <v>2062</v>
      </c>
      <c r="E689" s="53"/>
      <c r="F689" s="53"/>
      <c r="G689" s="53"/>
      <c r="H689" s="53"/>
      <c r="I689" s="53"/>
      <c r="J689" s="53"/>
      <c r="K689" s="53"/>
      <c r="L689" s="54">
        <f>M688</f>
        <v>106.95</v>
      </c>
      <c r="M689" s="54">
        <f t="shared" si="29"/>
        <v>106.95</v>
      </c>
    </row>
    <row r="690" spans="1:13" ht="15.25" customHeight="1" thickBot="1" x14ac:dyDescent="0.25">
      <c r="A690" s="34"/>
      <c r="B690" s="34"/>
      <c r="C690" s="34"/>
      <c r="D690" s="59" t="s">
        <v>2063</v>
      </c>
      <c r="E690" s="60"/>
      <c r="F690" s="60"/>
      <c r="G690" s="60"/>
      <c r="H690" s="60"/>
      <c r="I690" s="60"/>
      <c r="J690" s="60"/>
      <c r="K690" s="60"/>
      <c r="L690" s="61">
        <f>M556+M597+M644+M661+M677+M689</f>
        <v>34339.21</v>
      </c>
      <c r="M690" s="61">
        <f t="shared" si="29"/>
        <v>34339.21</v>
      </c>
    </row>
    <row r="691" spans="1:13" ht="15.25" customHeight="1" thickBot="1" x14ac:dyDescent="0.25">
      <c r="A691" s="62" t="s">
        <v>2064</v>
      </c>
      <c r="B691" s="62" t="s">
        <v>2065</v>
      </c>
      <c r="C691" s="63"/>
      <c r="D691" s="86" t="s">
        <v>2066</v>
      </c>
      <c r="E691" s="86"/>
      <c r="F691" s="86"/>
      <c r="G691" s="86"/>
      <c r="H691" s="86"/>
      <c r="I691" s="86"/>
      <c r="J691" s="86"/>
      <c r="K691" s="63"/>
      <c r="L691" s="64">
        <f>L1214</f>
        <v>68542.5</v>
      </c>
      <c r="M691" s="64">
        <f t="shared" si="29"/>
        <v>68542.5</v>
      </c>
    </row>
    <row r="692" spans="1:13" ht="15.25" customHeight="1" thickBot="1" x14ac:dyDescent="0.25">
      <c r="A692" s="17" t="s">
        <v>2067</v>
      </c>
      <c r="B692" s="17" t="s">
        <v>2068</v>
      </c>
      <c r="C692" s="18"/>
      <c r="D692" s="80" t="s">
        <v>2069</v>
      </c>
      <c r="E692" s="80"/>
      <c r="F692" s="80"/>
      <c r="G692" s="80"/>
      <c r="H692" s="80"/>
      <c r="I692" s="80"/>
      <c r="J692" s="80"/>
      <c r="K692" s="18"/>
      <c r="L692" s="19">
        <f>L831</f>
        <v>17958.2</v>
      </c>
      <c r="M692" s="19">
        <f t="shared" si="29"/>
        <v>17958.2</v>
      </c>
    </row>
    <row r="693" spans="1:13" ht="15.25" customHeight="1" thickBot="1" x14ac:dyDescent="0.25">
      <c r="A693" s="20" t="s">
        <v>2070</v>
      </c>
      <c r="B693" s="20" t="s">
        <v>2071</v>
      </c>
      <c r="C693" s="21"/>
      <c r="D693" s="81" t="s">
        <v>2072</v>
      </c>
      <c r="E693" s="81"/>
      <c r="F693" s="81"/>
      <c r="G693" s="81"/>
      <c r="H693" s="81"/>
      <c r="I693" s="81"/>
      <c r="J693" s="81"/>
      <c r="K693" s="21"/>
      <c r="L693" s="22">
        <f>L746</f>
        <v>4581.75</v>
      </c>
      <c r="M693" s="22">
        <f t="shared" si="29"/>
        <v>4581.75</v>
      </c>
    </row>
    <row r="694" spans="1:13" ht="15.25" customHeight="1" thickBot="1" x14ac:dyDescent="0.25">
      <c r="A694" s="10" t="s">
        <v>2073</v>
      </c>
      <c r="B694" s="5" t="s">
        <v>2074</v>
      </c>
      <c r="C694" s="5" t="s">
        <v>2075</v>
      </c>
      <c r="D694" s="82" t="s">
        <v>2076</v>
      </c>
      <c r="E694" s="82"/>
      <c r="F694" s="82"/>
      <c r="G694" s="82"/>
      <c r="H694" s="82"/>
      <c r="I694" s="82"/>
      <c r="J694" s="82"/>
      <c r="K694" s="23">
        <f>ROUND(1,2)</f>
        <v>1</v>
      </c>
      <c r="L694" s="24">
        <f>ROUND(395.185*(1+M2/100),2)</f>
        <v>407.04</v>
      </c>
      <c r="M694" s="24">
        <f>ROUND(K694*L694,2)</f>
        <v>407.04</v>
      </c>
    </row>
    <row r="695" spans="1:13" ht="21.25" customHeight="1" thickBot="1" x14ac:dyDescent="0.25">
      <c r="A695" s="25"/>
      <c r="B695" s="25"/>
      <c r="C695" s="25"/>
      <c r="D695" s="82" t="s">
        <v>2077</v>
      </c>
      <c r="E695" s="82"/>
      <c r="F695" s="82"/>
      <c r="G695" s="82"/>
      <c r="H695" s="82"/>
      <c r="I695" s="82"/>
      <c r="J695" s="82"/>
      <c r="K695" s="82"/>
      <c r="L695" s="82"/>
      <c r="M695" s="82"/>
    </row>
    <row r="696" spans="1:13" ht="15.25" customHeight="1" thickBot="1" x14ac:dyDescent="0.25">
      <c r="A696" s="10" t="s">
        <v>2078</v>
      </c>
      <c r="B696" s="5" t="s">
        <v>2079</v>
      </c>
      <c r="C696" s="5" t="s">
        <v>2080</v>
      </c>
      <c r="D696" s="82" t="s">
        <v>2081</v>
      </c>
      <c r="E696" s="82"/>
      <c r="F696" s="82"/>
      <c r="G696" s="82"/>
      <c r="H696" s="82"/>
      <c r="I696" s="82"/>
      <c r="J696" s="82"/>
      <c r="K696" s="23">
        <f>ROUND(57,2)</f>
        <v>57</v>
      </c>
      <c r="L696" s="24">
        <f>L705</f>
        <v>22.33</v>
      </c>
      <c r="M696" s="24">
        <f>ROUND(K696*L696,2)</f>
        <v>1272.81</v>
      </c>
    </row>
    <row r="697" spans="1:13" ht="30.5" customHeight="1" thickBot="1" x14ac:dyDescent="0.25">
      <c r="A697" s="25"/>
      <c r="B697" s="25"/>
      <c r="C697" s="25"/>
      <c r="D697" s="82" t="s">
        <v>2082</v>
      </c>
      <c r="E697" s="82"/>
      <c r="F697" s="82"/>
      <c r="G697" s="82"/>
      <c r="H697" s="82"/>
      <c r="I697" s="82"/>
      <c r="J697" s="82"/>
      <c r="K697" s="82"/>
      <c r="L697" s="82"/>
      <c r="M697" s="82"/>
    </row>
    <row r="698" spans="1:13" ht="21.25" customHeight="1" thickBot="1" x14ac:dyDescent="0.25">
      <c r="A698" s="5" t="s">
        <v>2083</v>
      </c>
      <c r="B698" s="5" t="s">
        <v>2084</v>
      </c>
      <c r="C698" s="5" t="s">
        <v>2085</v>
      </c>
      <c r="D698" s="82" t="s">
        <v>2086</v>
      </c>
      <c r="E698" s="82"/>
      <c r="F698" s="82"/>
      <c r="G698" s="82"/>
      <c r="H698" s="82"/>
      <c r="I698" s="82"/>
      <c r="J698" s="82"/>
      <c r="K698" s="23">
        <v>1</v>
      </c>
      <c r="L698" s="23">
        <f>ROUND(0.11,3)</f>
        <v>0.11</v>
      </c>
      <c r="M698" s="24">
        <f t="shared" ref="M698:M703" si="30">ROUND(K698*L698,2)</f>
        <v>0.11</v>
      </c>
    </row>
    <row r="699" spans="1:13" ht="30.5" customHeight="1" thickBot="1" x14ac:dyDescent="0.25">
      <c r="A699" s="5" t="s">
        <v>2087</v>
      </c>
      <c r="B699" s="5" t="s">
        <v>2088</v>
      </c>
      <c r="C699" s="5" t="s">
        <v>2089</v>
      </c>
      <c r="D699" s="82" t="s">
        <v>2090</v>
      </c>
      <c r="E699" s="82"/>
      <c r="F699" s="82"/>
      <c r="G699" s="82"/>
      <c r="H699" s="82"/>
      <c r="I699" s="82"/>
      <c r="J699" s="82"/>
      <c r="K699" s="23">
        <v>1</v>
      </c>
      <c r="L699" s="23">
        <f>ROUND(2.662,3)</f>
        <v>2.6619999999999999</v>
      </c>
      <c r="M699" s="24">
        <f t="shared" si="30"/>
        <v>2.66</v>
      </c>
    </row>
    <row r="700" spans="1:13" ht="21.25" customHeight="1" thickBot="1" x14ac:dyDescent="0.25">
      <c r="A700" s="5" t="s">
        <v>2091</v>
      </c>
      <c r="B700" s="5" t="s">
        <v>2092</v>
      </c>
      <c r="C700" s="5" t="s">
        <v>2093</v>
      </c>
      <c r="D700" s="82" t="s">
        <v>2094</v>
      </c>
      <c r="E700" s="82"/>
      <c r="F700" s="82"/>
      <c r="G700" s="82"/>
      <c r="H700" s="82"/>
      <c r="I700" s="82"/>
      <c r="J700" s="82"/>
      <c r="K700" s="23">
        <v>1</v>
      </c>
      <c r="L700" s="23">
        <f>ROUND(13.126,3)</f>
        <v>13.125999999999999</v>
      </c>
      <c r="M700" s="24">
        <f t="shared" si="30"/>
        <v>13.13</v>
      </c>
    </row>
    <row r="701" spans="1:13" ht="15" customHeight="1" thickBot="1" x14ac:dyDescent="0.25">
      <c r="A701" s="5" t="s">
        <v>2095</v>
      </c>
      <c r="B701" s="5" t="s">
        <v>2096</v>
      </c>
      <c r="C701" s="5" t="s">
        <v>2097</v>
      </c>
      <c r="D701" s="82" t="s">
        <v>2098</v>
      </c>
      <c r="E701" s="82"/>
      <c r="F701" s="82"/>
      <c r="G701" s="82"/>
      <c r="H701" s="82"/>
      <c r="I701" s="82"/>
      <c r="J701" s="82"/>
      <c r="K701" s="23">
        <v>2.5000000000000001E-2</v>
      </c>
      <c r="L701" s="23">
        <f>ROUND(10.983,3)</f>
        <v>10.983000000000001</v>
      </c>
      <c r="M701" s="24">
        <f t="shared" si="30"/>
        <v>0.27</v>
      </c>
    </row>
    <row r="702" spans="1:13" ht="15" customHeight="1" thickBot="1" x14ac:dyDescent="0.25">
      <c r="A702" s="5" t="s">
        <v>2099</v>
      </c>
      <c r="B702" s="5" t="s">
        <v>2100</v>
      </c>
      <c r="C702" s="5" t="s">
        <v>2101</v>
      </c>
      <c r="D702" s="82" t="s">
        <v>2102</v>
      </c>
      <c r="E702" s="82"/>
      <c r="F702" s="82"/>
      <c r="G702" s="82"/>
      <c r="H702" s="82"/>
      <c r="I702" s="82"/>
      <c r="J702" s="82"/>
      <c r="K702" s="23">
        <v>0.10100000000000001</v>
      </c>
      <c r="L702" s="23">
        <f>ROUND(28,3)</f>
        <v>28</v>
      </c>
      <c r="M702" s="24">
        <f t="shared" si="30"/>
        <v>2.83</v>
      </c>
    </row>
    <row r="703" spans="1:13" ht="15" customHeight="1" thickBot="1" x14ac:dyDescent="0.25">
      <c r="A703" s="5" t="s">
        <v>2103</v>
      </c>
      <c r="B703" s="5" t="s">
        <v>2104</v>
      </c>
      <c r="C703" s="5" t="s">
        <v>2105</v>
      </c>
      <c r="D703" s="82" t="s">
        <v>2106</v>
      </c>
      <c r="E703" s="82"/>
      <c r="F703" s="82"/>
      <c r="G703" s="82"/>
      <c r="H703" s="82"/>
      <c r="I703" s="82"/>
      <c r="J703" s="82"/>
      <c r="K703" s="23">
        <v>0.10100000000000001</v>
      </c>
      <c r="L703" s="23">
        <f>ROUND(22.3,3)</f>
        <v>22.3</v>
      </c>
      <c r="M703" s="24">
        <f t="shared" si="30"/>
        <v>2.25</v>
      </c>
    </row>
    <row r="704" spans="1:13" ht="15" customHeight="1" thickBot="1" x14ac:dyDescent="0.25">
      <c r="A704" s="5" t="s">
        <v>2107</v>
      </c>
      <c r="B704" s="5"/>
      <c r="C704" s="5" t="s">
        <v>2108</v>
      </c>
      <c r="D704" s="82" t="s">
        <v>2109</v>
      </c>
      <c r="E704" s="82"/>
      <c r="F704" s="82"/>
      <c r="G704" s="82"/>
      <c r="H704" s="82"/>
      <c r="I704" s="82"/>
      <c r="J704" s="82"/>
      <c r="K704" s="23">
        <v>2</v>
      </c>
      <c r="L704" s="23">
        <f>ROUND(21.25,3)</f>
        <v>21.25</v>
      </c>
      <c r="M704" s="24">
        <f>ROUND((K704*L704)/100,2)</f>
        <v>0.43</v>
      </c>
    </row>
    <row r="705" spans="1:13" ht="15.25" customHeight="1" thickBot="1" x14ac:dyDescent="0.25">
      <c r="A705" s="26"/>
      <c r="B705" s="26"/>
      <c r="C705" s="26"/>
      <c r="D705" s="27" t="s">
        <v>2110</v>
      </c>
      <c r="E705" s="26"/>
      <c r="F705" s="26"/>
      <c r="G705" s="26"/>
      <c r="H705" s="26"/>
      <c r="I705" s="26"/>
      <c r="J705" s="26"/>
      <c r="K705" s="28">
        <v>57</v>
      </c>
      <c r="L705" s="29">
        <f>ROUND((M698+M699+M700+M701+M702+M703+M704)*(1+M2/100),2)</f>
        <v>22.33</v>
      </c>
      <c r="M705" s="29">
        <f>ROUND(K705*L705,2)</f>
        <v>1272.81</v>
      </c>
    </row>
    <row r="706" spans="1:13" ht="15.25" customHeight="1" thickBot="1" x14ac:dyDescent="0.25">
      <c r="A706" s="30" t="s">
        <v>2111</v>
      </c>
      <c r="B706" s="31" t="s">
        <v>2112</v>
      </c>
      <c r="C706" s="31" t="s">
        <v>2113</v>
      </c>
      <c r="D706" s="83" t="s">
        <v>2114</v>
      </c>
      <c r="E706" s="83"/>
      <c r="F706" s="83"/>
      <c r="G706" s="83"/>
      <c r="H706" s="83"/>
      <c r="I706" s="83"/>
      <c r="J706" s="83"/>
      <c r="K706" s="32">
        <f>ROUND(39,2)</f>
        <v>39</v>
      </c>
      <c r="L706" s="33">
        <f>L715</f>
        <v>24.25</v>
      </c>
      <c r="M706" s="33">
        <f>ROUND(K706*L706,2)</f>
        <v>945.75</v>
      </c>
    </row>
    <row r="707" spans="1:13" ht="30.5" customHeight="1" thickBot="1" x14ac:dyDescent="0.25">
      <c r="A707" s="25"/>
      <c r="B707" s="25"/>
      <c r="C707" s="25"/>
      <c r="D707" s="82" t="s">
        <v>2115</v>
      </c>
      <c r="E707" s="82"/>
      <c r="F707" s="82"/>
      <c r="G707" s="82"/>
      <c r="H707" s="82"/>
      <c r="I707" s="82"/>
      <c r="J707" s="82"/>
      <c r="K707" s="82"/>
      <c r="L707" s="82"/>
      <c r="M707" s="82"/>
    </row>
    <row r="708" spans="1:13" ht="21.25" customHeight="1" thickBot="1" x14ac:dyDescent="0.25">
      <c r="A708" s="5" t="s">
        <v>2116</v>
      </c>
      <c r="B708" s="5" t="s">
        <v>2117</v>
      </c>
      <c r="C708" s="5" t="s">
        <v>2118</v>
      </c>
      <c r="D708" s="82" t="s">
        <v>2119</v>
      </c>
      <c r="E708" s="82"/>
      <c r="F708" s="82"/>
      <c r="G708" s="82"/>
      <c r="H708" s="82"/>
      <c r="I708" s="82"/>
      <c r="J708" s="82"/>
      <c r="K708" s="23">
        <v>1</v>
      </c>
      <c r="L708" s="23">
        <f>ROUND(0.142,3)</f>
        <v>0.14199999999999999</v>
      </c>
      <c r="M708" s="24">
        <f t="shared" ref="M708:M713" si="31">ROUND(K708*L708,2)</f>
        <v>0.14000000000000001</v>
      </c>
    </row>
    <row r="709" spans="1:13" ht="30.5" customHeight="1" thickBot="1" x14ac:dyDescent="0.25">
      <c r="A709" s="5" t="s">
        <v>2120</v>
      </c>
      <c r="B709" s="5" t="s">
        <v>2121</v>
      </c>
      <c r="C709" s="5" t="s">
        <v>2122</v>
      </c>
      <c r="D709" s="82" t="s">
        <v>2123</v>
      </c>
      <c r="E709" s="82"/>
      <c r="F709" s="82"/>
      <c r="G709" s="82"/>
      <c r="H709" s="82"/>
      <c r="I709" s="82"/>
      <c r="J709" s="82"/>
      <c r="K709" s="23">
        <v>1</v>
      </c>
      <c r="L709" s="23">
        <f>ROUND(3.453,3)</f>
        <v>3.4529999999999998</v>
      </c>
      <c r="M709" s="24">
        <f t="shared" si="31"/>
        <v>3.45</v>
      </c>
    </row>
    <row r="710" spans="1:13" ht="21.25" customHeight="1" thickBot="1" x14ac:dyDescent="0.25">
      <c r="A710" s="5" t="s">
        <v>2124</v>
      </c>
      <c r="B710" s="5" t="s">
        <v>2125</v>
      </c>
      <c r="C710" s="5" t="s">
        <v>2126</v>
      </c>
      <c r="D710" s="82" t="s">
        <v>2127</v>
      </c>
      <c r="E710" s="82"/>
      <c r="F710" s="82"/>
      <c r="G710" s="82"/>
      <c r="H710" s="82"/>
      <c r="I710" s="82"/>
      <c r="J710" s="82"/>
      <c r="K710" s="23">
        <v>1</v>
      </c>
      <c r="L710" s="23">
        <f>ROUND(14.031,3)</f>
        <v>14.031000000000001</v>
      </c>
      <c r="M710" s="24">
        <f t="shared" si="31"/>
        <v>14.03</v>
      </c>
    </row>
    <row r="711" spans="1:13" ht="15" customHeight="1" thickBot="1" x14ac:dyDescent="0.25">
      <c r="A711" s="5" t="s">
        <v>2128</v>
      </c>
      <c r="B711" s="5" t="s">
        <v>2129</v>
      </c>
      <c r="C711" s="5" t="s">
        <v>2130</v>
      </c>
      <c r="D711" s="82" t="s">
        <v>2131</v>
      </c>
      <c r="E711" s="82"/>
      <c r="F711" s="82"/>
      <c r="G711" s="82"/>
      <c r="H711" s="82"/>
      <c r="I711" s="82"/>
      <c r="J711" s="82"/>
      <c r="K711" s="23">
        <v>3.5000000000000003E-2</v>
      </c>
      <c r="L711" s="23">
        <f>ROUND(10.983,3)</f>
        <v>10.983000000000001</v>
      </c>
      <c r="M711" s="24">
        <f t="shared" si="31"/>
        <v>0.38</v>
      </c>
    </row>
    <row r="712" spans="1:13" ht="15" customHeight="1" thickBot="1" x14ac:dyDescent="0.25">
      <c r="A712" s="5" t="s">
        <v>2132</v>
      </c>
      <c r="B712" s="5" t="s">
        <v>2133</v>
      </c>
      <c r="C712" s="5" t="s">
        <v>2134</v>
      </c>
      <c r="D712" s="82" t="s">
        <v>2135</v>
      </c>
      <c r="E712" s="82"/>
      <c r="F712" s="82"/>
      <c r="G712" s="82"/>
      <c r="H712" s="82"/>
      <c r="I712" s="82"/>
      <c r="J712" s="82"/>
      <c r="K712" s="23">
        <v>0.10100000000000001</v>
      </c>
      <c r="L712" s="23">
        <f>ROUND(28,3)</f>
        <v>28</v>
      </c>
      <c r="M712" s="24">
        <f t="shared" si="31"/>
        <v>2.83</v>
      </c>
    </row>
    <row r="713" spans="1:13" ht="15" customHeight="1" thickBot="1" x14ac:dyDescent="0.25">
      <c r="A713" s="5" t="s">
        <v>2136</v>
      </c>
      <c r="B713" s="5" t="s">
        <v>2137</v>
      </c>
      <c r="C713" s="5" t="s">
        <v>2138</v>
      </c>
      <c r="D713" s="82" t="s">
        <v>2139</v>
      </c>
      <c r="E713" s="82"/>
      <c r="F713" s="82"/>
      <c r="G713" s="82"/>
      <c r="H713" s="82"/>
      <c r="I713" s="82"/>
      <c r="J713" s="82"/>
      <c r="K713" s="23">
        <v>0.10100000000000001</v>
      </c>
      <c r="L713" s="23">
        <f>ROUND(22.3,3)</f>
        <v>22.3</v>
      </c>
      <c r="M713" s="24">
        <f t="shared" si="31"/>
        <v>2.25</v>
      </c>
    </row>
    <row r="714" spans="1:13" ht="15" customHeight="1" thickBot="1" x14ac:dyDescent="0.25">
      <c r="A714" s="5" t="s">
        <v>2140</v>
      </c>
      <c r="B714" s="5"/>
      <c r="C714" s="5" t="s">
        <v>2141</v>
      </c>
      <c r="D714" s="82" t="s">
        <v>2142</v>
      </c>
      <c r="E714" s="82"/>
      <c r="F714" s="82"/>
      <c r="G714" s="82"/>
      <c r="H714" s="82"/>
      <c r="I714" s="82"/>
      <c r="J714" s="82"/>
      <c r="K714" s="23">
        <v>2</v>
      </c>
      <c r="L714" s="23">
        <f>ROUND(23.08,3)</f>
        <v>23.08</v>
      </c>
      <c r="M714" s="24">
        <f>ROUND((K714*L714)/100,2)</f>
        <v>0.46</v>
      </c>
    </row>
    <row r="715" spans="1:13" ht="15.25" customHeight="1" thickBot="1" x14ac:dyDescent="0.25">
      <c r="A715" s="26"/>
      <c r="B715" s="26"/>
      <c r="C715" s="26"/>
      <c r="D715" s="27" t="s">
        <v>2143</v>
      </c>
      <c r="E715" s="26"/>
      <c r="F715" s="26"/>
      <c r="G715" s="26"/>
      <c r="H715" s="26"/>
      <c r="I715" s="26"/>
      <c r="J715" s="26"/>
      <c r="K715" s="28">
        <v>39</v>
      </c>
      <c r="L715" s="29">
        <f>ROUND((M708+M709+M710+M711+M712+M713+M714)*(1+M2/100),2)</f>
        <v>24.25</v>
      </c>
      <c r="M715" s="29">
        <f>ROUND(K715*L715,2)</f>
        <v>945.75</v>
      </c>
    </row>
    <row r="716" spans="1:13" ht="15.25" customHeight="1" thickBot="1" x14ac:dyDescent="0.25">
      <c r="A716" s="30" t="s">
        <v>2144</v>
      </c>
      <c r="B716" s="31" t="s">
        <v>2145</v>
      </c>
      <c r="C716" s="31" t="s">
        <v>2146</v>
      </c>
      <c r="D716" s="83" t="s">
        <v>2147</v>
      </c>
      <c r="E716" s="83"/>
      <c r="F716" s="83"/>
      <c r="G716" s="83"/>
      <c r="H716" s="83"/>
      <c r="I716" s="83"/>
      <c r="J716" s="83"/>
      <c r="K716" s="32">
        <f>ROUND(10,2)</f>
        <v>10</v>
      </c>
      <c r="L716" s="33">
        <f>L725</f>
        <v>29.21</v>
      </c>
      <c r="M716" s="33">
        <f>ROUND(K716*L716,2)</f>
        <v>292.10000000000002</v>
      </c>
    </row>
    <row r="717" spans="1:13" ht="30.5" customHeight="1" thickBot="1" x14ac:dyDescent="0.25">
      <c r="A717" s="25"/>
      <c r="B717" s="25"/>
      <c r="C717" s="25"/>
      <c r="D717" s="82" t="s">
        <v>2148</v>
      </c>
      <c r="E717" s="82"/>
      <c r="F717" s="82"/>
      <c r="G717" s="82"/>
      <c r="H717" s="82"/>
      <c r="I717" s="82"/>
      <c r="J717" s="82"/>
      <c r="K717" s="82"/>
      <c r="L717" s="82"/>
      <c r="M717" s="82"/>
    </row>
    <row r="718" spans="1:13" ht="21.25" customHeight="1" thickBot="1" x14ac:dyDescent="0.25">
      <c r="A718" s="5" t="s">
        <v>2149</v>
      </c>
      <c r="B718" s="5" t="s">
        <v>2150</v>
      </c>
      <c r="C718" s="5" t="s">
        <v>2151</v>
      </c>
      <c r="D718" s="82" t="s">
        <v>2152</v>
      </c>
      <c r="E718" s="82"/>
      <c r="F718" s="82"/>
      <c r="G718" s="82"/>
      <c r="H718" s="82"/>
      <c r="I718" s="82"/>
      <c r="J718" s="82"/>
      <c r="K718" s="23">
        <v>1</v>
      </c>
      <c r="L718" s="23">
        <f>ROUND(0.177,3)</f>
        <v>0.17699999999999999</v>
      </c>
      <c r="M718" s="24">
        <f t="shared" ref="M718:M723" si="32">ROUND(K718*L718,2)</f>
        <v>0.18</v>
      </c>
    </row>
    <row r="719" spans="1:13" ht="30.5" customHeight="1" thickBot="1" x14ac:dyDescent="0.25">
      <c r="A719" s="5" t="s">
        <v>2153</v>
      </c>
      <c r="B719" s="5" t="s">
        <v>2154</v>
      </c>
      <c r="C719" s="5" t="s">
        <v>2155</v>
      </c>
      <c r="D719" s="82" t="s">
        <v>2156</v>
      </c>
      <c r="E719" s="82"/>
      <c r="F719" s="82"/>
      <c r="G719" s="82"/>
      <c r="H719" s="82"/>
      <c r="I719" s="82"/>
      <c r="J719" s="82"/>
      <c r="K719" s="23">
        <v>1</v>
      </c>
      <c r="L719" s="23">
        <f>ROUND(5.08,3)</f>
        <v>5.08</v>
      </c>
      <c r="M719" s="24">
        <f t="shared" si="32"/>
        <v>5.08</v>
      </c>
    </row>
    <row r="720" spans="1:13" ht="21.25" customHeight="1" thickBot="1" x14ac:dyDescent="0.25">
      <c r="A720" s="5" t="s">
        <v>2157</v>
      </c>
      <c r="B720" s="5" t="s">
        <v>2158</v>
      </c>
      <c r="C720" s="5" t="s">
        <v>2159</v>
      </c>
      <c r="D720" s="82" t="s">
        <v>2160</v>
      </c>
      <c r="E720" s="82"/>
      <c r="F720" s="82"/>
      <c r="G720" s="82"/>
      <c r="H720" s="82"/>
      <c r="I720" s="82"/>
      <c r="J720" s="82"/>
      <c r="K720" s="23">
        <v>1</v>
      </c>
      <c r="L720" s="23">
        <f>ROUND(16.973,3)</f>
        <v>16.972999999999999</v>
      </c>
      <c r="M720" s="24">
        <f t="shared" si="32"/>
        <v>16.97</v>
      </c>
    </row>
    <row r="721" spans="1:13" ht="15" customHeight="1" thickBot="1" x14ac:dyDescent="0.25">
      <c r="A721" s="5" t="s">
        <v>2161</v>
      </c>
      <c r="B721" s="5" t="s">
        <v>2162</v>
      </c>
      <c r="C721" s="5" t="s">
        <v>2163</v>
      </c>
      <c r="D721" s="82" t="s">
        <v>2164</v>
      </c>
      <c r="E721" s="82"/>
      <c r="F721" s="82"/>
      <c r="G721" s="82"/>
      <c r="H721" s="82"/>
      <c r="I721" s="82"/>
      <c r="J721" s="82"/>
      <c r="K721" s="23">
        <v>4.4999999999999998E-2</v>
      </c>
      <c r="L721" s="23">
        <f>ROUND(10.983,3)</f>
        <v>10.983000000000001</v>
      </c>
      <c r="M721" s="24">
        <f t="shared" si="32"/>
        <v>0.49</v>
      </c>
    </row>
    <row r="722" spans="1:13" ht="15" customHeight="1" thickBot="1" x14ac:dyDescent="0.25">
      <c r="A722" s="5" t="s">
        <v>2165</v>
      </c>
      <c r="B722" s="5" t="s">
        <v>2166</v>
      </c>
      <c r="C722" s="5" t="s">
        <v>2167</v>
      </c>
      <c r="D722" s="82" t="s">
        <v>2168</v>
      </c>
      <c r="E722" s="82"/>
      <c r="F722" s="82"/>
      <c r="G722" s="82"/>
      <c r="H722" s="82"/>
      <c r="I722" s="82"/>
      <c r="J722" s="82"/>
      <c r="K722" s="23">
        <v>0.10100000000000001</v>
      </c>
      <c r="L722" s="23">
        <f>ROUND(28,3)</f>
        <v>28</v>
      </c>
      <c r="M722" s="24">
        <f t="shared" si="32"/>
        <v>2.83</v>
      </c>
    </row>
    <row r="723" spans="1:13" ht="15" customHeight="1" thickBot="1" x14ac:dyDescent="0.25">
      <c r="A723" s="5" t="s">
        <v>2169</v>
      </c>
      <c r="B723" s="5" t="s">
        <v>2170</v>
      </c>
      <c r="C723" s="5" t="s">
        <v>2171</v>
      </c>
      <c r="D723" s="82" t="s">
        <v>2172</v>
      </c>
      <c r="E723" s="82"/>
      <c r="F723" s="82"/>
      <c r="G723" s="82"/>
      <c r="H723" s="82"/>
      <c r="I723" s="82"/>
      <c r="J723" s="82"/>
      <c r="K723" s="23">
        <v>0.10100000000000001</v>
      </c>
      <c r="L723" s="23">
        <f>ROUND(22.3,3)</f>
        <v>22.3</v>
      </c>
      <c r="M723" s="24">
        <f t="shared" si="32"/>
        <v>2.25</v>
      </c>
    </row>
    <row r="724" spans="1:13" ht="15" customHeight="1" thickBot="1" x14ac:dyDescent="0.25">
      <c r="A724" s="5" t="s">
        <v>2173</v>
      </c>
      <c r="B724" s="5"/>
      <c r="C724" s="5" t="s">
        <v>2174</v>
      </c>
      <c r="D724" s="82" t="s">
        <v>2175</v>
      </c>
      <c r="E724" s="82"/>
      <c r="F724" s="82"/>
      <c r="G724" s="82"/>
      <c r="H724" s="82"/>
      <c r="I724" s="82"/>
      <c r="J724" s="82"/>
      <c r="K724" s="23">
        <v>2</v>
      </c>
      <c r="L724" s="23">
        <f>ROUND(27.8,3)</f>
        <v>27.8</v>
      </c>
      <c r="M724" s="24">
        <f>ROUND((K724*L724)/100,2)</f>
        <v>0.56000000000000005</v>
      </c>
    </row>
    <row r="725" spans="1:13" ht="15.25" customHeight="1" thickBot="1" x14ac:dyDescent="0.25">
      <c r="A725" s="26"/>
      <c r="B725" s="26"/>
      <c r="C725" s="26"/>
      <c r="D725" s="27" t="s">
        <v>2176</v>
      </c>
      <c r="E725" s="26"/>
      <c r="F725" s="26"/>
      <c r="G725" s="26"/>
      <c r="H725" s="26"/>
      <c r="I725" s="26"/>
      <c r="J725" s="26"/>
      <c r="K725" s="28">
        <v>10</v>
      </c>
      <c r="L725" s="29">
        <f>ROUND((M718+M719+M720+M721+M722+M723+M724)*(1+M2/100),2)</f>
        <v>29.21</v>
      </c>
      <c r="M725" s="29">
        <f>ROUND(K725*L725,2)</f>
        <v>292.10000000000002</v>
      </c>
    </row>
    <row r="726" spans="1:13" ht="15.25" customHeight="1" thickBot="1" x14ac:dyDescent="0.25">
      <c r="A726" s="30" t="s">
        <v>2177</v>
      </c>
      <c r="B726" s="31" t="s">
        <v>2178</v>
      </c>
      <c r="C726" s="31" t="s">
        <v>2179</v>
      </c>
      <c r="D726" s="83" t="s">
        <v>2180</v>
      </c>
      <c r="E726" s="83"/>
      <c r="F726" s="83"/>
      <c r="G726" s="83"/>
      <c r="H726" s="83"/>
      <c r="I726" s="83"/>
      <c r="J726" s="83"/>
      <c r="K726" s="32">
        <f>ROUND(25,2)</f>
        <v>25</v>
      </c>
      <c r="L726" s="33">
        <f>L735</f>
        <v>37.33</v>
      </c>
      <c r="M726" s="33">
        <f>ROUND(K726*L726,2)</f>
        <v>933.25</v>
      </c>
    </row>
    <row r="727" spans="1:13" ht="30.5" customHeight="1" thickBot="1" x14ac:dyDescent="0.25">
      <c r="A727" s="25"/>
      <c r="B727" s="25"/>
      <c r="C727" s="25"/>
      <c r="D727" s="82" t="s">
        <v>2181</v>
      </c>
      <c r="E727" s="82"/>
      <c r="F727" s="82"/>
      <c r="G727" s="82"/>
      <c r="H727" s="82"/>
      <c r="I727" s="82"/>
      <c r="J727" s="82"/>
      <c r="K727" s="82"/>
      <c r="L727" s="82"/>
      <c r="M727" s="82"/>
    </row>
    <row r="728" spans="1:13" ht="21.25" customHeight="1" thickBot="1" x14ac:dyDescent="0.25">
      <c r="A728" s="5" t="s">
        <v>2182</v>
      </c>
      <c r="B728" s="5" t="s">
        <v>2183</v>
      </c>
      <c r="C728" s="5" t="s">
        <v>2184</v>
      </c>
      <c r="D728" s="82" t="s">
        <v>2185</v>
      </c>
      <c r="E728" s="82"/>
      <c r="F728" s="82"/>
      <c r="G728" s="82"/>
      <c r="H728" s="82"/>
      <c r="I728" s="82"/>
      <c r="J728" s="82"/>
      <c r="K728" s="23">
        <v>1</v>
      </c>
      <c r="L728" s="23">
        <f>ROUND(0.424,3)</f>
        <v>0.42399999999999999</v>
      </c>
      <c r="M728" s="24">
        <f t="shared" ref="M728:M733" si="33">ROUND(K728*L728,2)</f>
        <v>0.42</v>
      </c>
    </row>
    <row r="729" spans="1:13" ht="30.5" customHeight="1" thickBot="1" x14ac:dyDescent="0.25">
      <c r="A729" s="5" t="s">
        <v>2186</v>
      </c>
      <c r="B729" s="5" t="s">
        <v>2187</v>
      </c>
      <c r="C729" s="5" t="s">
        <v>2188</v>
      </c>
      <c r="D729" s="82" t="s">
        <v>2189</v>
      </c>
      <c r="E729" s="82"/>
      <c r="F729" s="82"/>
      <c r="G729" s="82"/>
      <c r="H729" s="82"/>
      <c r="I729" s="82"/>
      <c r="J729" s="82"/>
      <c r="K729" s="23">
        <v>1</v>
      </c>
      <c r="L729" s="23">
        <f>ROUND(10.422,3)</f>
        <v>10.422000000000001</v>
      </c>
      <c r="M729" s="24">
        <f t="shared" si="33"/>
        <v>10.42</v>
      </c>
    </row>
    <row r="730" spans="1:13" ht="21.25" customHeight="1" thickBot="1" x14ac:dyDescent="0.25">
      <c r="A730" s="5" t="s">
        <v>2190</v>
      </c>
      <c r="B730" s="5" t="s">
        <v>2191</v>
      </c>
      <c r="C730" s="5" t="s">
        <v>2192</v>
      </c>
      <c r="D730" s="82" t="s">
        <v>2193</v>
      </c>
      <c r="E730" s="82"/>
      <c r="F730" s="82"/>
      <c r="G730" s="82"/>
      <c r="H730" s="82"/>
      <c r="I730" s="82"/>
      <c r="J730" s="82"/>
      <c r="K730" s="23">
        <v>1</v>
      </c>
      <c r="L730" s="23">
        <f>ROUND(19.01,3)</f>
        <v>19.010000000000002</v>
      </c>
      <c r="M730" s="24">
        <f t="shared" si="33"/>
        <v>19.010000000000002</v>
      </c>
    </row>
    <row r="731" spans="1:13" ht="15" customHeight="1" thickBot="1" x14ac:dyDescent="0.25">
      <c r="A731" s="5" t="s">
        <v>2194</v>
      </c>
      <c r="B731" s="5" t="s">
        <v>2195</v>
      </c>
      <c r="C731" s="5" t="s">
        <v>2196</v>
      </c>
      <c r="D731" s="82" t="s">
        <v>2197</v>
      </c>
      <c r="E731" s="82"/>
      <c r="F731" s="82"/>
      <c r="G731" s="82"/>
      <c r="H731" s="82"/>
      <c r="I731" s="82"/>
      <c r="J731" s="82"/>
      <c r="K731" s="23">
        <v>5.5E-2</v>
      </c>
      <c r="L731" s="23">
        <f>ROUND(10.983,3)</f>
        <v>10.983000000000001</v>
      </c>
      <c r="M731" s="24">
        <f t="shared" si="33"/>
        <v>0.6</v>
      </c>
    </row>
    <row r="732" spans="1:13" ht="15" customHeight="1" thickBot="1" x14ac:dyDescent="0.25">
      <c r="A732" s="5" t="s">
        <v>2198</v>
      </c>
      <c r="B732" s="5" t="s">
        <v>2199</v>
      </c>
      <c r="C732" s="5" t="s">
        <v>2200</v>
      </c>
      <c r="D732" s="82" t="s">
        <v>2201</v>
      </c>
      <c r="E732" s="82"/>
      <c r="F732" s="82"/>
      <c r="G732" s="82"/>
      <c r="H732" s="82"/>
      <c r="I732" s="82"/>
      <c r="J732" s="82"/>
      <c r="K732" s="23">
        <v>0.10100000000000001</v>
      </c>
      <c r="L732" s="23">
        <f>ROUND(28,3)</f>
        <v>28</v>
      </c>
      <c r="M732" s="24">
        <f t="shared" si="33"/>
        <v>2.83</v>
      </c>
    </row>
    <row r="733" spans="1:13" ht="15" customHeight="1" thickBot="1" x14ac:dyDescent="0.25">
      <c r="A733" s="5" t="s">
        <v>2202</v>
      </c>
      <c r="B733" s="5" t="s">
        <v>2203</v>
      </c>
      <c r="C733" s="5" t="s">
        <v>2204</v>
      </c>
      <c r="D733" s="82" t="s">
        <v>2205</v>
      </c>
      <c r="E733" s="82"/>
      <c r="F733" s="82"/>
      <c r="G733" s="82"/>
      <c r="H733" s="82"/>
      <c r="I733" s="82"/>
      <c r="J733" s="82"/>
      <c r="K733" s="23">
        <v>0.10100000000000001</v>
      </c>
      <c r="L733" s="23">
        <f>ROUND(22.3,3)</f>
        <v>22.3</v>
      </c>
      <c r="M733" s="24">
        <f t="shared" si="33"/>
        <v>2.25</v>
      </c>
    </row>
    <row r="734" spans="1:13" ht="15" customHeight="1" thickBot="1" x14ac:dyDescent="0.25">
      <c r="A734" s="5" t="s">
        <v>2206</v>
      </c>
      <c r="B734" s="5"/>
      <c r="C734" s="5" t="s">
        <v>2207</v>
      </c>
      <c r="D734" s="82" t="s">
        <v>2208</v>
      </c>
      <c r="E734" s="82"/>
      <c r="F734" s="82"/>
      <c r="G734" s="82"/>
      <c r="H734" s="82"/>
      <c r="I734" s="82"/>
      <c r="J734" s="82"/>
      <c r="K734" s="23">
        <v>2</v>
      </c>
      <c r="L734" s="23">
        <f>ROUND(35.53,3)</f>
        <v>35.53</v>
      </c>
      <c r="M734" s="24">
        <f>ROUND((K734*L734)/100,2)</f>
        <v>0.71</v>
      </c>
    </row>
    <row r="735" spans="1:13" ht="15.25" customHeight="1" thickBot="1" x14ac:dyDescent="0.25">
      <c r="A735" s="26"/>
      <c r="B735" s="26"/>
      <c r="C735" s="26"/>
      <c r="D735" s="27" t="s">
        <v>2209</v>
      </c>
      <c r="E735" s="26"/>
      <c r="F735" s="26"/>
      <c r="G735" s="26"/>
      <c r="H735" s="26"/>
      <c r="I735" s="26"/>
      <c r="J735" s="26"/>
      <c r="K735" s="28">
        <v>25</v>
      </c>
      <c r="L735" s="29">
        <f>ROUND((M728+M729+M730+M731+M732+M733+M734)*(1+M2/100),2)</f>
        <v>37.33</v>
      </c>
      <c r="M735" s="29">
        <f>ROUND(K735*L735,2)</f>
        <v>933.25</v>
      </c>
    </row>
    <row r="736" spans="1:13" ht="15.25" customHeight="1" thickBot="1" x14ac:dyDescent="0.25">
      <c r="A736" s="30" t="s">
        <v>2210</v>
      </c>
      <c r="B736" s="31" t="s">
        <v>2211</v>
      </c>
      <c r="C736" s="31" t="s">
        <v>2212</v>
      </c>
      <c r="D736" s="83" t="s">
        <v>2213</v>
      </c>
      <c r="E736" s="83"/>
      <c r="F736" s="83"/>
      <c r="G736" s="83"/>
      <c r="H736" s="83"/>
      <c r="I736" s="83"/>
      <c r="J736" s="83"/>
      <c r="K736" s="32">
        <f>ROUND(15,2)</f>
        <v>15</v>
      </c>
      <c r="L736" s="33">
        <f>L745</f>
        <v>48.72</v>
      </c>
      <c r="M736" s="33">
        <f>ROUND(K736*L736,2)</f>
        <v>730.8</v>
      </c>
    </row>
    <row r="737" spans="1:13" ht="30.5" customHeight="1" thickBot="1" x14ac:dyDescent="0.25">
      <c r="A737" s="25"/>
      <c r="B737" s="25"/>
      <c r="C737" s="25"/>
      <c r="D737" s="82" t="s">
        <v>2214</v>
      </c>
      <c r="E737" s="82"/>
      <c r="F737" s="82"/>
      <c r="G737" s="82"/>
      <c r="H737" s="82"/>
      <c r="I737" s="82"/>
      <c r="J737" s="82"/>
      <c r="K737" s="82"/>
      <c r="L737" s="82"/>
      <c r="M737" s="82"/>
    </row>
    <row r="738" spans="1:13" ht="21.25" customHeight="1" thickBot="1" x14ac:dyDescent="0.25">
      <c r="A738" s="5" t="s">
        <v>2215</v>
      </c>
      <c r="B738" s="5" t="s">
        <v>2216</v>
      </c>
      <c r="C738" s="5" t="s">
        <v>2217</v>
      </c>
      <c r="D738" s="82" t="s">
        <v>2218</v>
      </c>
      <c r="E738" s="82"/>
      <c r="F738" s="82"/>
      <c r="G738" s="82"/>
      <c r="H738" s="82"/>
      <c r="I738" s="82"/>
      <c r="J738" s="82"/>
      <c r="K738" s="23">
        <v>1</v>
      </c>
      <c r="L738" s="23">
        <f>ROUND(0.627,3)</f>
        <v>0.627</v>
      </c>
      <c r="M738" s="24">
        <f t="shared" ref="M738:M743" si="34">ROUND(K738*L738,2)</f>
        <v>0.63</v>
      </c>
    </row>
    <row r="739" spans="1:13" ht="30.5" customHeight="1" thickBot="1" x14ac:dyDescent="0.25">
      <c r="A739" s="5" t="s">
        <v>2219</v>
      </c>
      <c r="B739" s="5" t="s">
        <v>2220</v>
      </c>
      <c r="C739" s="5" t="s">
        <v>2221</v>
      </c>
      <c r="D739" s="82" t="s">
        <v>2222</v>
      </c>
      <c r="E739" s="82"/>
      <c r="F739" s="82"/>
      <c r="G739" s="82"/>
      <c r="H739" s="82"/>
      <c r="I739" s="82"/>
      <c r="J739" s="82"/>
      <c r="K739" s="23">
        <v>1</v>
      </c>
      <c r="L739" s="23">
        <f>ROUND(15.638,3)</f>
        <v>15.638</v>
      </c>
      <c r="M739" s="24">
        <f t="shared" si="34"/>
        <v>15.64</v>
      </c>
    </row>
    <row r="740" spans="1:13" ht="21.25" customHeight="1" thickBot="1" x14ac:dyDescent="0.25">
      <c r="A740" s="5" t="s">
        <v>2223</v>
      </c>
      <c r="B740" s="5" t="s">
        <v>2224</v>
      </c>
      <c r="C740" s="5" t="s">
        <v>2225</v>
      </c>
      <c r="D740" s="82" t="s">
        <v>2226</v>
      </c>
      <c r="E740" s="82"/>
      <c r="F740" s="82"/>
      <c r="G740" s="82"/>
      <c r="H740" s="82"/>
      <c r="I740" s="82"/>
      <c r="J740" s="82"/>
      <c r="K740" s="23">
        <v>1</v>
      </c>
      <c r="L740" s="23">
        <f>ROUND(23.825,3)</f>
        <v>23.824999999999999</v>
      </c>
      <c r="M740" s="24">
        <f t="shared" si="34"/>
        <v>23.83</v>
      </c>
    </row>
    <row r="741" spans="1:13" ht="15" customHeight="1" thickBot="1" x14ac:dyDescent="0.25">
      <c r="A741" s="5" t="s">
        <v>2227</v>
      </c>
      <c r="B741" s="5" t="s">
        <v>2228</v>
      </c>
      <c r="C741" s="5" t="s">
        <v>2229</v>
      </c>
      <c r="D741" s="82" t="s">
        <v>2230</v>
      </c>
      <c r="E741" s="82"/>
      <c r="F741" s="82"/>
      <c r="G741" s="82"/>
      <c r="H741" s="82"/>
      <c r="I741" s="82"/>
      <c r="J741" s="82"/>
      <c r="K741" s="23">
        <v>6.7000000000000004E-2</v>
      </c>
      <c r="L741" s="23">
        <f>ROUND(10.983,3)</f>
        <v>10.983000000000001</v>
      </c>
      <c r="M741" s="24">
        <f t="shared" si="34"/>
        <v>0.74</v>
      </c>
    </row>
    <row r="742" spans="1:13" ht="15" customHeight="1" thickBot="1" x14ac:dyDescent="0.25">
      <c r="A742" s="5" t="s">
        <v>2231</v>
      </c>
      <c r="B742" s="5" t="s">
        <v>2232</v>
      </c>
      <c r="C742" s="5" t="s">
        <v>2233</v>
      </c>
      <c r="D742" s="82" t="s">
        <v>2234</v>
      </c>
      <c r="E742" s="82"/>
      <c r="F742" s="82"/>
      <c r="G742" s="82"/>
      <c r="H742" s="82"/>
      <c r="I742" s="82"/>
      <c r="J742" s="82"/>
      <c r="K742" s="23">
        <v>0.11</v>
      </c>
      <c r="L742" s="23">
        <f>ROUND(28,3)</f>
        <v>28</v>
      </c>
      <c r="M742" s="24">
        <f t="shared" si="34"/>
        <v>3.08</v>
      </c>
    </row>
    <row r="743" spans="1:13" ht="15" customHeight="1" thickBot="1" x14ac:dyDescent="0.25">
      <c r="A743" s="5" t="s">
        <v>2235</v>
      </c>
      <c r="B743" s="5" t="s">
        <v>2236</v>
      </c>
      <c r="C743" s="5" t="s">
        <v>2237</v>
      </c>
      <c r="D743" s="82" t="s">
        <v>2238</v>
      </c>
      <c r="E743" s="82"/>
      <c r="F743" s="82"/>
      <c r="G743" s="82"/>
      <c r="H743" s="82"/>
      <c r="I743" s="82"/>
      <c r="J743" s="82"/>
      <c r="K743" s="23">
        <v>0.11</v>
      </c>
      <c r="L743" s="23">
        <f>ROUND(22.3,3)</f>
        <v>22.3</v>
      </c>
      <c r="M743" s="24">
        <f t="shared" si="34"/>
        <v>2.4500000000000002</v>
      </c>
    </row>
    <row r="744" spans="1:13" ht="15" customHeight="1" thickBot="1" x14ac:dyDescent="0.25">
      <c r="A744" s="5" t="s">
        <v>2239</v>
      </c>
      <c r="B744" s="5"/>
      <c r="C744" s="5" t="s">
        <v>2240</v>
      </c>
      <c r="D744" s="82" t="s">
        <v>2241</v>
      </c>
      <c r="E744" s="82"/>
      <c r="F744" s="82"/>
      <c r="G744" s="82"/>
      <c r="H744" s="82"/>
      <c r="I744" s="82"/>
      <c r="J744" s="82"/>
      <c r="K744" s="23">
        <v>2</v>
      </c>
      <c r="L744" s="23">
        <f>ROUND(46.37,3)</f>
        <v>46.37</v>
      </c>
      <c r="M744" s="24">
        <f>ROUND((K744*L744)/100,2)</f>
        <v>0.93</v>
      </c>
    </row>
    <row r="745" spans="1:13" ht="15.25" customHeight="1" thickBot="1" x14ac:dyDescent="0.25">
      <c r="A745" s="26"/>
      <c r="B745" s="26"/>
      <c r="C745" s="26"/>
      <c r="D745" s="27" t="s">
        <v>2242</v>
      </c>
      <c r="E745" s="26"/>
      <c r="F745" s="26"/>
      <c r="G745" s="26"/>
      <c r="H745" s="26"/>
      <c r="I745" s="26"/>
      <c r="J745" s="26"/>
      <c r="K745" s="28">
        <v>15</v>
      </c>
      <c r="L745" s="29">
        <f>ROUND((M738+M739+M740+M741+M742+M743+M744)*(1+M2/100),2)</f>
        <v>48.72</v>
      </c>
      <c r="M745" s="29">
        <f>ROUND(K745*L745,2)</f>
        <v>730.8</v>
      </c>
    </row>
    <row r="746" spans="1:13" ht="15.25" customHeight="1" thickBot="1" x14ac:dyDescent="0.25">
      <c r="A746" s="34"/>
      <c r="B746" s="34"/>
      <c r="C746" s="34"/>
      <c r="D746" s="35" t="s">
        <v>2243</v>
      </c>
      <c r="E746" s="36"/>
      <c r="F746" s="36"/>
      <c r="G746" s="36"/>
      <c r="H746" s="36"/>
      <c r="I746" s="36"/>
      <c r="J746" s="36"/>
      <c r="K746" s="36"/>
      <c r="L746" s="37">
        <f>M694+M696+M706+M716+M726+M736</f>
        <v>4581.75</v>
      </c>
      <c r="M746" s="37">
        <f>ROUND(L746,2)</f>
        <v>4581.75</v>
      </c>
    </row>
    <row r="747" spans="1:13" ht="15.25" customHeight="1" thickBot="1" x14ac:dyDescent="0.25">
      <c r="A747" s="38" t="s">
        <v>2244</v>
      </c>
      <c r="B747" s="38" t="s">
        <v>2245</v>
      </c>
      <c r="C747" s="39"/>
      <c r="D747" s="84" t="s">
        <v>2246</v>
      </c>
      <c r="E747" s="84"/>
      <c r="F747" s="84"/>
      <c r="G747" s="84"/>
      <c r="H747" s="84"/>
      <c r="I747" s="84"/>
      <c r="J747" s="84"/>
      <c r="K747" s="39"/>
      <c r="L747" s="40">
        <f>L772</f>
        <v>1697.9699999999998</v>
      </c>
      <c r="M747" s="40">
        <f>ROUND(L747,2)</f>
        <v>1697.97</v>
      </c>
    </row>
    <row r="748" spans="1:13" ht="15.25" customHeight="1" thickBot="1" x14ac:dyDescent="0.25">
      <c r="A748" s="10" t="s">
        <v>2247</v>
      </c>
      <c r="B748" s="5" t="s">
        <v>2248</v>
      </c>
      <c r="C748" s="5" t="s">
        <v>2249</v>
      </c>
      <c r="D748" s="82" t="s">
        <v>2250</v>
      </c>
      <c r="E748" s="82"/>
      <c r="F748" s="82"/>
      <c r="G748" s="82"/>
      <c r="H748" s="82"/>
      <c r="I748" s="82"/>
      <c r="J748" s="82"/>
      <c r="K748" s="23">
        <f>ROUND(1,2)</f>
        <v>1</v>
      </c>
      <c r="L748" s="24">
        <f>ROUND(839.213*(1+M2/100),2)</f>
        <v>864.39</v>
      </c>
      <c r="M748" s="24">
        <f>ROUND(K748*L748,2)</f>
        <v>864.39</v>
      </c>
    </row>
    <row r="749" spans="1:13" ht="21.25" customHeight="1" thickBot="1" x14ac:dyDescent="0.25">
      <c r="A749" s="25"/>
      <c r="B749" s="25"/>
      <c r="C749" s="25"/>
      <c r="D749" s="82" t="s">
        <v>2251</v>
      </c>
      <c r="E749" s="82"/>
      <c r="F749" s="82"/>
      <c r="G749" s="82"/>
      <c r="H749" s="82"/>
      <c r="I749" s="82"/>
      <c r="J749" s="82"/>
      <c r="K749" s="82"/>
      <c r="L749" s="82"/>
      <c r="M749" s="82"/>
    </row>
    <row r="750" spans="1:13" ht="15.25" customHeight="1" thickBot="1" x14ac:dyDescent="0.25">
      <c r="A750" s="10" t="s">
        <v>2252</v>
      </c>
      <c r="B750" s="5" t="s">
        <v>2253</v>
      </c>
      <c r="C750" s="5" t="s">
        <v>2254</v>
      </c>
      <c r="D750" s="82" t="s">
        <v>2255</v>
      </c>
      <c r="E750" s="82"/>
      <c r="F750" s="82"/>
      <c r="G750" s="82"/>
      <c r="H750" s="82"/>
      <c r="I750" s="82"/>
      <c r="J750" s="82"/>
      <c r="K750" s="23">
        <f>ROUND(1,2)</f>
        <v>1</v>
      </c>
      <c r="L750" s="24">
        <f>L756</f>
        <v>604.5</v>
      </c>
      <c r="M750" s="24">
        <f>ROUND(K750*L750,2)</f>
        <v>604.5</v>
      </c>
    </row>
    <row r="751" spans="1:13" ht="21.25" customHeight="1" thickBot="1" x14ac:dyDescent="0.25">
      <c r="A751" s="25"/>
      <c r="B751" s="25"/>
      <c r="C751" s="25"/>
      <c r="D751" s="82" t="s">
        <v>2256</v>
      </c>
      <c r="E751" s="82"/>
      <c r="F751" s="82"/>
      <c r="G751" s="82"/>
      <c r="H751" s="82"/>
      <c r="I751" s="82"/>
      <c r="J751" s="82"/>
      <c r="K751" s="82"/>
      <c r="L751" s="82"/>
      <c r="M751" s="82"/>
    </row>
    <row r="752" spans="1:13" ht="15" customHeight="1" thickBot="1" x14ac:dyDescent="0.25">
      <c r="A752" s="5" t="s">
        <v>2257</v>
      </c>
      <c r="B752" s="5" t="s">
        <v>2258</v>
      </c>
      <c r="C752" s="5" t="s">
        <v>2259</v>
      </c>
      <c r="D752" s="82" t="s">
        <v>2260</v>
      </c>
      <c r="E752" s="82"/>
      <c r="F752" s="82"/>
      <c r="G752" s="82"/>
      <c r="H752" s="82"/>
      <c r="I752" s="82"/>
      <c r="J752" s="82"/>
      <c r="K752" s="23">
        <v>1</v>
      </c>
      <c r="L752" s="23">
        <f>ROUND(438.075,3)</f>
        <v>438.07499999999999</v>
      </c>
      <c r="M752" s="24">
        <f>ROUND(K752*L752,2)</f>
        <v>438.08</v>
      </c>
    </row>
    <row r="753" spans="1:13" ht="15" customHeight="1" thickBot="1" x14ac:dyDescent="0.25">
      <c r="A753" s="5" t="s">
        <v>2261</v>
      </c>
      <c r="B753" s="5" t="s">
        <v>2262</v>
      </c>
      <c r="C753" s="5" t="s">
        <v>2263</v>
      </c>
      <c r="D753" s="82" t="s">
        <v>2264</v>
      </c>
      <c r="E753" s="82"/>
      <c r="F753" s="82"/>
      <c r="G753" s="82"/>
      <c r="H753" s="82"/>
      <c r="I753" s="82"/>
      <c r="J753" s="82"/>
      <c r="K753" s="23">
        <v>4.2679999999999998</v>
      </c>
      <c r="L753" s="23">
        <f>ROUND(17.45,3)</f>
        <v>17.45</v>
      </c>
      <c r="M753" s="24">
        <f>ROUND(K753*L753,2)</f>
        <v>74.48</v>
      </c>
    </row>
    <row r="754" spans="1:13" ht="15" customHeight="1" thickBot="1" x14ac:dyDescent="0.25">
      <c r="A754" s="5" t="s">
        <v>2265</v>
      </c>
      <c r="B754" s="5" t="s">
        <v>2266</v>
      </c>
      <c r="C754" s="5" t="s">
        <v>2267</v>
      </c>
      <c r="D754" s="82" t="s">
        <v>2268</v>
      </c>
      <c r="E754" s="82"/>
      <c r="F754" s="82"/>
      <c r="G754" s="82"/>
      <c r="H754" s="82"/>
      <c r="I754" s="82"/>
      <c r="J754" s="82"/>
      <c r="K754" s="23">
        <v>4.2679999999999998</v>
      </c>
      <c r="L754" s="23">
        <f>ROUND(14.72,3)</f>
        <v>14.72</v>
      </c>
      <c r="M754" s="24">
        <f>ROUND(K754*L754,2)</f>
        <v>62.82</v>
      </c>
    </row>
    <row r="755" spans="1:13" ht="15" customHeight="1" thickBot="1" x14ac:dyDescent="0.25">
      <c r="A755" s="5" t="s">
        <v>2269</v>
      </c>
      <c r="B755" s="5"/>
      <c r="C755" s="5" t="s">
        <v>2270</v>
      </c>
      <c r="D755" s="82" t="s">
        <v>2271</v>
      </c>
      <c r="E755" s="82"/>
      <c r="F755" s="82"/>
      <c r="G755" s="82"/>
      <c r="H755" s="82"/>
      <c r="I755" s="82"/>
      <c r="J755" s="82"/>
      <c r="K755" s="23">
        <v>2</v>
      </c>
      <c r="L755" s="23">
        <f>ROUND(575.38,3)</f>
        <v>575.38</v>
      </c>
      <c r="M755" s="24">
        <f>ROUND((K755*L755)/100,2)</f>
        <v>11.51</v>
      </c>
    </row>
    <row r="756" spans="1:13" ht="15.25" customHeight="1" thickBot="1" x14ac:dyDescent="0.25">
      <c r="A756" s="26"/>
      <c r="B756" s="26"/>
      <c r="C756" s="26"/>
      <c r="D756" s="27" t="s">
        <v>2272</v>
      </c>
      <c r="E756" s="26"/>
      <c r="F756" s="26"/>
      <c r="G756" s="26"/>
      <c r="H756" s="26"/>
      <c r="I756" s="26"/>
      <c r="J756" s="26"/>
      <c r="K756" s="28">
        <v>1</v>
      </c>
      <c r="L756" s="29">
        <f>ROUND((M752+M753+M754+M755)*(1+M2/100),2)</f>
        <v>604.5</v>
      </c>
      <c r="M756" s="29">
        <f>ROUND(K756*L756,2)</f>
        <v>604.5</v>
      </c>
    </row>
    <row r="757" spans="1:13" ht="15.25" customHeight="1" thickBot="1" x14ac:dyDescent="0.25">
      <c r="A757" s="30" t="s">
        <v>2273</v>
      </c>
      <c r="B757" s="31" t="s">
        <v>2274</v>
      </c>
      <c r="C757" s="31" t="s">
        <v>2275</v>
      </c>
      <c r="D757" s="83" t="s">
        <v>2276</v>
      </c>
      <c r="E757" s="83"/>
      <c r="F757" s="83"/>
      <c r="G757" s="83"/>
      <c r="H757" s="83"/>
      <c r="I757" s="83"/>
      <c r="J757" s="83"/>
      <c r="K757" s="32">
        <f>ROUND(15,2)</f>
        <v>15</v>
      </c>
      <c r="L757" s="33">
        <f>L764</f>
        <v>8.3000000000000007</v>
      </c>
      <c r="M757" s="33">
        <f>ROUND(K757*L757,2)</f>
        <v>124.5</v>
      </c>
    </row>
    <row r="758" spans="1:13" ht="30.5" customHeight="1" thickBot="1" x14ac:dyDescent="0.25">
      <c r="A758" s="25"/>
      <c r="B758" s="25"/>
      <c r="C758" s="25"/>
      <c r="D758" s="82" t="s">
        <v>2277</v>
      </c>
      <c r="E758" s="82"/>
      <c r="F758" s="82"/>
      <c r="G758" s="82"/>
      <c r="H758" s="82"/>
      <c r="I758" s="82"/>
      <c r="J758" s="82"/>
      <c r="K758" s="82"/>
      <c r="L758" s="82"/>
      <c r="M758" s="82"/>
    </row>
    <row r="759" spans="1:13" ht="21.25" customHeight="1" thickBot="1" x14ac:dyDescent="0.25">
      <c r="A759" s="5" t="s">
        <v>2278</v>
      </c>
      <c r="B759" s="5" t="s">
        <v>2279</v>
      </c>
      <c r="C759" s="5" t="s">
        <v>2280</v>
      </c>
      <c r="D759" s="82" t="s">
        <v>2281</v>
      </c>
      <c r="E759" s="82"/>
      <c r="F759" s="82"/>
      <c r="G759" s="82"/>
      <c r="H759" s="82"/>
      <c r="I759" s="82"/>
      <c r="J759" s="82"/>
      <c r="K759" s="23">
        <v>1.05</v>
      </c>
      <c r="L759" s="23">
        <f>ROUND(5.741,3)</f>
        <v>5.7409999999999997</v>
      </c>
      <c r="M759" s="24">
        <f>ROUND(K759*L759,2)</f>
        <v>6.03</v>
      </c>
    </row>
    <row r="760" spans="1:13" ht="21.25" customHeight="1" thickBot="1" x14ac:dyDescent="0.25">
      <c r="A760" s="5" t="s">
        <v>2282</v>
      </c>
      <c r="B760" s="5" t="s">
        <v>2283</v>
      </c>
      <c r="C760" s="5" t="s">
        <v>2284</v>
      </c>
      <c r="D760" s="82" t="s">
        <v>2285</v>
      </c>
      <c r="E760" s="82"/>
      <c r="F760" s="82"/>
      <c r="G760" s="82"/>
      <c r="H760" s="82"/>
      <c r="I760" s="82"/>
      <c r="J760" s="82"/>
      <c r="K760" s="23">
        <v>7.4999999999999997E-2</v>
      </c>
      <c r="L760" s="23">
        <f>ROUND(4.253,3)</f>
        <v>4.2530000000000001</v>
      </c>
      <c r="M760" s="24">
        <f>ROUND(K760*L760,2)</f>
        <v>0.32</v>
      </c>
    </row>
    <row r="761" spans="1:13" ht="15" customHeight="1" thickBot="1" x14ac:dyDescent="0.25">
      <c r="A761" s="5" t="s">
        <v>2286</v>
      </c>
      <c r="B761" s="5" t="s">
        <v>2287</v>
      </c>
      <c r="C761" s="5" t="s">
        <v>2288</v>
      </c>
      <c r="D761" s="82" t="s">
        <v>2289</v>
      </c>
      <c r="E761" s="82"/>
      <c r="F761" s="82"/>
      <c r="G761" s="82"/>
      <c r="H761" s="82"/>
      <c r="I761" s="82"/>
      <c r="J761" s="82"/>
      <c r="K761" s="23">
        <v>4.8000000000000001E-2</v>
      </c>
      <c r="L761" s="23">
        <f>ROUND(17.45,3)</f>
        <v>17.45</v>
      </c>
      <c r="M761" s="24">
        <f>ROUND(K761*L761,2)</f>
        <v>0.84</v>
      </c>
    </row>
    <row r="762" spans="1:13" ht="15" customHeight="1" thickBot="1" x14ac:dyDescent="0.25">
      <c r="A762" s="5" t="s">
        <v>2290</v>
      </c>
      <c r="B762" s="5" t="s">
        <v>2291</v>
      </c>
      <c r="C762" s="5" t="s">
        <v>2292</v>
      </c>
      <c r="D762" s="82" t="s">
        <v>2293</v>
      </c>
      <c r="E762" s="82"/>
      <c r="F762" s="82"/>
      <c r="G762" s="82"/>
      <c r="H762" s="82"/>
      <c r="I762" s="82"/>
      <c r="J762" s="82"/>
      <c r="K762" s="23">
        <v>4.8000000000000001E-2</v>
      </c>
      <c r="L762" s="23">
        <f>ROUND(14.72,3)</f>
        <v>14.72</v>
      </c>
      <c r="M762" s="24">
        <f>ROUND(K762*L762,2)</f>
        <v>0.71</v>
      </c>
    </row>
    <row r="763" spans="1:13" ht="15" customHeight="1" thickBot="1" x14ac:dyDescent="0.25">
      <c r="A763" s="5" t="s">
        <v>2294</v>
      </c>
      <c r="B763" s="5"/>
      <c r="C763" s="5" t="s">
        <v>2295</v>
      </c>
      <c r="D763" s="82" t="s">
        <v>2296</v>
      </c>
      <c r="E763" s="82"/>
      <c r="F763" s="82"/>
      <c r="G763" s="82"/>
      <c r="H763" s="82"/>
      <c r="I763" s="82"/>
      <c r="J763" s="82"/>
      <c r="K763" s="23">
        <v>2</v>
      </c>
      <c r="L763" s="23">
        <f>ROUND(7.9,3)</f>
        <v>7.9</v>
      </c>
      <c r="M763" s="24">
        <f>ROUND((K763*L763)/100,2)</f>
        <v>0.16</v>
      </c>
    </row>
    <row r="764" spans="1:13" ht="15.25" customHeight="1" thickBot="1" x14ac:dyDescent="0.25">
      <c r="A764" s="26"/>
      <c r="B764" s="26"/>
      <c r="C764" s="26"/>
      <c r="D764" s="27" t="s">
        <v>2297</v>
      </c>
      <c r="E764" s="26"/>
      <c r="F764" s="26"/>
      <c r="G764" s="26"/>
      <c r="H764" s="26"/>
      <c r="I764" s="26"/>
      <c r="J764" s="26"/>
      <c r="K764" s="28">
        <v>15</v>
      </c>
      <c r="L764" s="29">
        <f>ROUND((M759+M760+M761+M762+M763)*(1+M2/100),2)</f>
        <v>8.3000000000000007</v>
      </c>
      <c r="M764" s="29">
        <f>ROUND(K764*L764,2)</f>
        <v>124.5</v>
      </c>
    </row>
    <row r="765" spans="1:13" ht="21.25" customHeight="1" thickBot="1" x14ac:dyDescent="0.25">
      <c r="A765" s="30" t="s">
        <v>2298</v>
      </c>
      <c r="B765" s="31" t="s">
        <v>2299</v>
      </c>
      <c r="C765" s="31" t="s">
        <v>2300</v>
      </c>
      <c r="D765" s="83" t="s">
        <v>2301</v>
      </c>
      <c r="E765" s="83"/>
      <c r="F765" s="83"/>
      <c r="G765" s="83"/>
      <c r="H765" s="83"/>
      <c r="I765" s="83"/>
      <c r="J765" s="83"/>
      <c r="K765" s="32">
        <f>ROUND(1,2)</f>
        <v>1</v>
      </c>
      <c r="L765" s="33">
        <f>L771</f>
        <v>104.58</v>
      </c>
      <c r="M765" s="33">
        <f>ROUND(K765*L765,2)</f>
        <v>104.58</v>
      </c>
    </row>
    <row r="766" spans="1:13" ht="30.5" customHeight="1" thickBot="1" x14ac:dyDescent="0.25">
      <c r="A766" s="25"/>
      <c r="B766" s="25"/>
      <c r="C766" s="25"/>
      <c r="D766" s="82" t="s">
        <v>2302</v>
      </c>
      <c r="E766" s="82"/>
      <c r="F766" s="82"/>
      <c r="G766" s="82"/>
      <c r="H766" s="82"/>
      <c r="I766" s="82"/>
      <c r="J766" s="82"/>
      <c r="K766" s="82"/>
      <c r="L766" s="82"/>
      <c r="M766" s="82"/>
    </row>
    <row r="767" spans="1:13" ht="30.5" customHeight="1" thickBot="1" x14ac:dyDescent="0.25">
      <c r="A767" s="5" t="s">
        <v>2303</v>
      </c>
      <c r="B767" s="5" t="s">
        <v>2304</v>
      </c>
      <c r="C767" s="5" t="s">
        <v>2305</v>
      </c>
      <c r="D767" s="82" t="s">
        <v>2306</v>
      </c>
      <c r="E767" s="82"/>
      <c r="F767" s="82"/>
      <c r="G767" s="82"/>
      <c r="H767" s="82"/>
      <c r="I767" s="82"/>
      <c r="J767" s="82"/>
      <c r="K767" s="23">
        <v>1</v>
      </c>
      <c r="L767" s="23">
        <f>ROUND(91.954,3)</f>
        <v>91.953999999999994</v>
      </c>
      <c r="M767" s="24">
        <f>ROUND(K767*L767,2)</f>
        <v>91.95</v>
      </c>
    </row>
    <row r="768" spans="1:13" ht="15" customHeight="1" thickBot="1" x14ac:dyDescent="0.25">
      <c r="A768" s="5" t="s">
        <v>2307</v>
      </c>
      <c r="B768" s="5" t="s">
        <v>2308</v>
      </c>
      <c r="C768" s="5" t="s">
        <v>2309</v>
      </c>
      <c r="D768" s="82" t="s">
        <v>2310</v>
      </c>
      <c r="E768" s="82"/>
      <c r="F768" s="82"/>
      <c r="G768" s="82"/>
      <c r="H768" s="82"/>
      <c r="I768" s="82"/>
      <c r="J768" s="82"/>
      <c r="K768" s="23">
        <v>0.23599999999999999</v>
      </c>
      <c r="L768" s="23">
        <f>ROUND(17.45,3)</f>
        <v>17.45</v>
      </c>
      <c r="M768" s="24">
        <f>ROUND(K768*L768,2)</f>
        <v>4.12</v>
      </c>
    </row>
    <row r="769" spans="1:13" ht="15" customHeight="1" thickBot="1" x14ac:dyDescent="0.25">
      <c r="A769" s="5" t="s">
        <v>2311</v>
      </c>
      <c r="B769" s="5" t="s">
        <v>2312</v>
      </c>
      <c r="C769" s="5" t="s">
        <v>2313</v>
      </c>
      <c r="D769" s="82" t="s">
        <v>2314</v>
      </c>
      <c r="E769" s="82"/>
      <c r="F769" s="82"/>
      <c r="G769" s="82"/>
      <c r="H769" s="82"/>
      <c r="I769" s="82"/>
      <c r="J769" s="82"/>
      <c r="K769" s="23">
        <v>0.23599999999999999</v>
      </c>
      <c r="L769" s="23">
        <f>ROUND(14.72,3)</f>
        <v>14.72</v>
      </c>
      <c r="M769" s="24">
        <f>ROUND(K769*L769,2)</f>
        <v>3.47</v>
      </c>
    </row>
    <row r="770" spans="1:13" ht="15" customHeight="1" thickBot="1" x14ac:dyDescent="0.25">
      <c r="A770" s="5" t="s">
        <v>2315</v>
      </c>
      <c r="B770" s="5"/>
      <c r="C770" s="5" t="s">
        <v>2316</v>
      </c>
      <c r="D770" s="82" t="s">
        <v>2317</v>
      </c>
      <c r="E770" s="82"/>
      <c r="F770" s="82"/>
      <c r="G770" s="82"/>
      <c r="H770" s="82"/>
      <c r="I770" s="82"/>
      <c r="J770" s="82"/>
      <c r="K770" s="23">
        <v>2</v>
      </c>
      <c r="L770" s="23">
        <f>ROUND(99.54,3)</f>
        <v>99.54</v>
      </c>
      <c r="M770" s="24">
        <f>ROUND((K770*L770)/100,2)</f>
        <v>1.99</v>
      </c>
    </row>
    <row r="771" spans="1:13" ht="15.25" customHeight="1" thickBot="1" x14ac:dyDescent="0.25">
      <c r="A771" s="26"/>
      <c r="B771" s="26"/>
      <c r="C771" s="26"/>
      <c r="D771" s="27" t="s">
        <v>2318</v>
      </c>
      <c r="E771" s="26"/>
      <c r="F771" s="26"/>
      <c r="G771" s="26"/>
      <c r="H771" s="26"/>
      <c r="I771" s="26"/>
      <c r="J771" s="26"/>
      <c r="K771" s="28">
        <v>1</v>
      </c>
      <c r="L771" s="29">
        <f>ROUND((M767+M768+M769+M770)*(1+M2/100),2)</f>
        <v>104.58</v>
      </c>
      <c r="M771" s="29">
        <f>ROUND(K771*L771,2)</f>
        <v>104.58</v>
      </c>
    </row>
    <row r="772" spans="1:13" ht="15.25" customHeight="1" thickBot="1" x14ac:dyDescent="0.25">
      <c r="A772" s="34"/>
      <c r="B772" s="34"/>
      <c r="C772" s="34"/>
      <c r="D772" s="35" t="s">
        <v>2319</v>
      </c>
      <c r="E772" s="36"/>
      <c r="F772" s="36"/>
      <c r="G772" s="36"/>
      <c r="H772" s="36"/>
      <c r="I772" s="36"/>
      <c r="J772" s="36"/>
      <c r="K772" s="36"/>
      <c r="L772" s="37">
        <f>M748+M750+M757+M765</f>
        <v>1697.9699999999998</v>
      </c>
      <c r="M772" s="37">
        <f>ROUND(L772,2)</f>
        <v>1697.97</v>
      </c>
    </row>
    <row r="773" spans="1:13" ht="15.25" customHeight="1" thickBot="1" x14ac:dyDescent="0.25">
      <c r="A773" s="38" t="s">
        <v>2320</v>
      </c>
      <c r="B773" s="38" t="s">
        <v>2321</v>
      </c>
      <c r="C773" s="39"/>
      <c r="D773" s="84" t="s">
        <v>2322</v>
      </c>
      <c r="E773" s="84"/>
      <c r="F773" s="84"/>
      <c r="G773" s="84"/>
      <c r="H773" s="84"/>
      <c r="I773" s="84"/>
      <c r="J773" s="84"/>
      <c r="K773" s="39"/>
      <c r="L773" s="40">
        <f>L830</f>
        <v>11678.48</v>
      </c>
      <c r="M773" s="40">
        <f>ROUND(L773,2)</f>
        <v>11678.48</v>
      </c>
    </row>
    <row r="774" spans="1:13" ht="39.5" customHeight="1" thickBot="1" x14ac:dyDescent="0.25">
      <c r="A774" s="10" t="s">
        <v>2323</v>
      </c>
      <c r="B774" s="5" t="s">
        <v>2324</v>
      </c>
      <c r="C774" s="5" t="s">
        <v>2325</v>
      </c>
      <c r="D774" s="82" t="s">
        <v>2326</v>
      </c>
      <c r="E774" s="82"/>
      <c r="F774" s="82"/>
      <c r="G774" s="82"/>
      <c r="H774" s="82"/>
      <c r="I774" s="82"/>
      <c r="J774" s="82"/>
      <c r="K774" s="23">
        <f>SUM(K777:K777)</f>
        <v>30</v>
      </c>
      <c r="L774" s="24">
        <f>L786</f>
        <v>46.56</v>
      </c>
      <c r="M774" s="24">
        <f>ROUND(K774*L774,2)</f>
        <v>1396.8</v>
      </c>
    </row>
    <row r="775" spans="1:13" ht="48.75" customHeight="1" thickBot="1" x14ac:dyDescent="0.25">
      <c r="A775" s="25"/>
      <c r="B775" s="25"/>
      <c r="C775" s="25"/>
      <c r="D775" s="82" t="s">
        <v>2327</v>
      </c>
      <c r="E775" s="82"/>
      <c r="F775" s="82"/>
      <c r="G775" s="82"/>
      <c r="H775" s="82"/>
      <c r="I775" s="82"/>
      <c r="J775" s="82"/>
      <c r="K775" s="82"/>
      <c r="L775" s="82"/>
      <c r="M775" s="82"/>
    </row>
    <row r="776" spans="1:13" ht="15" customHeight="1" thickBot="1" x14ac:dyDescent="0.25">
      <c r="A776" s="25"/>
      <c r="B776" s="25"/>
      <c r="C776" s="25"/>
      <c r="D776" s="25"/>
      <c r="E776" s="41"/>
      <c r="F776" s="43" t="s">
        <v>2328</v>
      </c>
      <c r="G776" s="43" t="s">
        <v>2329</v>
      </c>
      <c r="H776" s="43" t="s">
        <v>2330</v>
      </c>
      <c r="I776" s="43" t="s">
        <v>2331</v>
      </c>
      <c r="J776" s="43" t="s">
        <v>2332</v>
      </c>
      <c r="K776" s="43" t="s">
        <v>2333</v>
      </c>
      <c r="L776" s="25"/>
      <c r="M776" s="25"/>
    </row>
    <row r="777" spans="1:13" ht="15" customHeight="1" thickBot="1" x14ac:dyDescent="0.25">
      <c r="A777" s="25"/>
      <c r="B777" s="25"/>
      <c r="C777" s="25"/>
      <c r="D777" s="44"/>
      <c r="E777" s="45"/>
      <c r="F777" s="46">
        <v>2</v>
      </c>
      <c r="G777" s="47">
        <v>15</v>
      </c>
      <c r="H777" s="47"/>
      <c r="I777" s="47"/>
      <c r="J777" s="49">
        <f>ROUND(F777*G777,3)</f>
        <v>30</v>
      </c>
      <c r="K777" s="58">
        <f>SUM(J777:J777)</f>
        <v>30</v>
      </c>
      <c r="L777" s="25"/>
      <c r="M777" s="25"/>
    </row>
    <row r="778" spans="1:13" ht="15" customHeight="1" thickBot="1" x14ac:dyDescent="0.25">
      <c r="A778" s="5" t="s">
        <v>2334</v>
      </c>
      <c r="B778" s="5" t="s">
        <v>2335</v>
      </c>
      <c r="C778" s="5" t="s">
        <v>2336</v>
      </c>
      <c r="D778" s="82" t="s">
        <v>2337</v>
      </c>
      <c r="E778" s="82"/>
      <c r="F778" s="82"/>
      <c r="G778" s="82"/>
      <c r="H778" s="82"/>
      <c r="I778" s="82"/>
      <c r="J778" s="82"/>
      <c r="K778" s="23">
        <v>1</v>
      </c>
      <c r="L778" s="23">
        <f>ROUND(3.242,3)</f>
        <v>3.242</v>
      </c>
      <c r="M778" s="24">
        <f t="shared" ref="M778:M784" si="35">ROUND(K778*L778,2)</f>
        <v>3.24</v>
      </c>
    </row>
    <row r="779" spans="1:13" ht="21.25" customHeight="1" thickBot="1" x14ac:dyDescent="0.25">
      <c r="A779" s="5" t="s">
        <v>2338</v>
      </c>
      <c r="B779" s="5" t="s">
        <v>2339</v>
      </c>
      <c r="C779" s="5" t="s">
        <v>2340</v>
      </c>
      <c r="D779" s="82" t="s">
        <v>2341</v>
      </c>
      <c r="E779" s="82"/>
      <c r="F779" s="82"/>
      <c r="G779" s="82"/>
      <c r="H779" s="82"/>
      <c r="I779" s="82"/>
      <c r="J779" s="82"/>
      <c r="K779" s="23">
        <v>1.05</v>
      </c>
      <c r="L779" s="23">
        <f>ROUND(8.67,3)</f>
        <v>8.67</v>
      </c>
      <c r="M779" s="24">
        <f t="shared" si="35"/>
        <v>9.1</v>
      </c>
    </row>
    <row r="780" spans="1:13" ht="15" customHeight="1" thickBot="1" x14ac:dyDescent="0.25">
      <c r="A780" s="5" t="s">
        <v>2342</v>
      </c>
      <c r="B780" s="5" t="s">
        <v>2343</v>
      </c>
      <c r="C780" s="5" t="s">
        <v>2344</v>
      </c>
      <c r="D780" s="82" t="s">
        <v>2345</v>
      </c>
      <c r="E780" s="82"/>
      <c r="F780" s="82"/>
      <c r="G780" s="82"/>
      <c r="H780" s="82"/>
      <c r="I780" s="82"/>
      <c r="J780" s="82"/>
      <c r="K780" s="23">
        <v>0.03</v>
      </c>
      <c r="L780" s="23">
        <f>ROUND(10.983,3)</f>
        <v>10.983000000000001</v>
      </c>
      <c r="M780" s="24">
        <f t="shared" si="35"/>
        <v>0.33</v>
      </c>
    </row>
    <row r="781" spans="1:13" ht="15" customHeight="1" thickBot="1" x14ac:dyDescent="0.25">
      <c r="A781" s="5" t="s">
        <v>2346</v>
      </c>
      <c r="B781" s="5" t="s">
        <v>2347</v>
      </c>
      <c r="C781" s="5" t="s">
        <v>2348</v>
      </c>
      <c r="D781" s="82" t="s">
        <v>2349</v>
      </c>
      <c r="E781" s="82"/>
      <c r="F781" s="82"/>
      <c r="G781" s="82"/>
      <c r="H781" s="82"/>
      <c r="I781" s="82"/>
      <c r="J781" s="82"/>
      <c r="K781" s="23">
        <v>1</v>
      </c>
      <c r="L781" s="23">
        <f>ROUND(6.663,3)</f>
        <v>6.6630000000000003</v>
      </c>
      <c r="M781" s="24">
        <f t="shared" si="35"/>
        <v>6.66</v>
      </c>
    </row>
    <row r="782" spans="1:13" ht="21.25" customHeight="1" thickBot="1" x14ac:dyDescent="0.25">
      <c r="A782" s="5" t="s">
        <v>2350</v>
      </c>
      <c r="B782" s="5" t="s">
        <v>2351</v>
      </c>
      <c r="C782" s="5" t="s">
        <v>2352</v>
      </c>
      <c r="D782" s="82" t="s">
        <v>2353</v>
      </c>
      <c r="E782" s="82"/>
      <c r="F782" s="82"/>
      <c r="G782" s="82"/>
      <c r="H782" s="82"/>
      <c r="I782" s="82"/>
      <c r="J782" s="82"/>
      <c r="K782" s="23">
        <v>1.05</v>
      </c>
      <c r="L782" s="23">
        <f>ROUND(14.46,3)</f>
        <v>14.46</v>
      </c>
      <c r="M782" s="24">
        <f t="shared" si="35"/>
        <v>15.18</v>
      </c>
    </row>
    <row r="783" spans="1:13" ht="15" customHeight="1" thickBot="1" x14ac:dyDescent="0.25">
      <c r="A783" s="5" t="s">
        <v>2354</v>
      </c>
      <c r="B783" s="5" t="s">
        <v>2355</v>
      </c>
      <c r="C783" s="5" t="s">
        <v>2356</v>
      </c>
      <c r="D783" s="82" t="s">
        <v>2357</v>
      </c>
      <c r="E783" s="82"/>
      <c r="F783" s="82"/>
      <c r="G783" s="82"/>
      <c r="H783" s="82"/>
      <c r="I783" s="82"/>
      <c r="J783" s="82"/>
      <c r="K783" s="23">
        <v>0.188</v>
      </c>
      <c r="L783" s="23">
        <f>ROUND(27.45,3)</f>
        <v>27.45</v>
      </c>
      <c r="M783" s="24">
        <f t="shared" si="35"/>
        <v>5.16</v>
      </c>
    </row>
    <row r="784" spans="1:13" ht="15" customHeight="1" thickBot="1" x14ac:dyDescent="0.25">
      <c r="A784" s="5" t="s">
        <v>2358</v>
      </c>
      <c r="B784" s="5" t="s">
        <v>2359</v>
      </c>
      <c r="C784" s="5" t="s">
        <v>2360</v>
      </c>
      <c r="D784" s="82" t="s">
        <v>2361</v>
      </c>
      <c r="E784" s="82"/>
      <c r="F784" s="82"/>
      <c r="G784" s="82"/>
      <c r="H784" s="82"/>
      <c r="I784" s="82"/>
      <c r="J784" s="82"/>
      <c r="K784" s="23">
        <v>0.188</v>
      </c>
      <c r="L784" s="23">
        <f>ROUND(24.7,3)</f>
        <v>24.7</v>
      </c>
      <c r="M784" s="24">
        <f t="shared" si="35"/>
        <v>4.6399999999999997</v>
      </c>
    </row>
    <row r="785" spans="1:13" ht="15" customHeight="1" thickBot="1" x14ac:dyDescent="0.25">
      <c r="A785" s="5" t="s">
        <v>2362</v>
      </c>
      <c r="B785" s="5"/>
      <c r="C785" s="5" t="s">
        <v>2363</v>
      </c>
      <c r="D785" s="82" t="s">
        <v>2364</v>
      </c>
      <c r="E785" s="82"/>
      <c r="F785" s="82"/>
      <c r="G785" s="82"/>
      <c r="H785" s="82"/>
      <c r="I785" s="82"/>
      <c r="J785" s="82"/>
      <c r="K785" s="23">
        <v>2</v>
      </c>
      <c r="L785" s="23">
        <f>ROUND(44.31,3)</f>
        <v>44.31</v>
      </c>
      <c r="M785" s="24">
        <f>ROUND((K785*L785)/100,2)</f>
        <v>0.89</v>
      </c>
    </row>
    <row r="786" spans="1:13" ht="15.25" customHeight="1" thickBot="1" x14ac:dyDescent="0.25">
      <c r="A786" s="26"/>
      <c r="B786" s="26"/>
      <c r="C786" s="26"/>
      <c r="D786" s="27" t="s">
        <v>2365</v>
      </c>
      <c r="E786" s="26"/>
      <c r="F786" s="26"/>
      <c r="G786" s="26"/>
      <c r="H786" s="26"/>
      <c r="I786" s="26"/>
      <c r="J786" s="26"/>
      <c r="K786" s="28">
        <v>30</v>
      </c>
      <c r="L786" s="29">
        <f>ROUND((M778+M779+M780+M781+M782+M783+M784+M785)*(1+M2/100),2)</f>
        <v>46.56</v>
      </c>
      <c r="M786" s="29">
        <f>ROUND(K786*L786,2)</f>
        <v>1396.8</v>
      </c>
    </row>
    <row r="787" spans="1:13" ht="39.5" customHeight="1" thickBot="1" x14ac:dyDescent="0.25">
      <c r="A787" s="30" t="s">
        <v>2366</v>
      </c>
      <c r="B787" s="31" t="s">
        <v>2367</v>
      </c>
      <c r="C787" s="31" t="s">
        <v>2368</v>
      </c>
      <c r="D787" s="83" t="s">
        <v>2369</v>
      </c>
      <c r="E787" s="83"/>
      <c r="F787" s="83"/>
      <c r="G787" s="83"/>
      <c r="H787" s="83"/>
      <c r="I787" s="83"/>
      <c r="J787" s="83"/>
      <c r="K787" s="32">
        <f>SUM(K790:K790)</f>
        <v>20</v>
      </c>
      <c r="L787" s="33">
        <f>L799</f>
        <v>36.590000000000003</v>
      </c>
      <c r="M787" s="33">
        <f>ROUND(K787*L787,2)</f>
        <v>731.8</v>
      </c>
    </row>
    <row r="788" spans="1:13" ht="48.75" customHeight="1" thickBot="1" x14ac:dyDescent="0.25">
      <c r="A788" s="25"/>
      <c r="B788" s="25"/>
      <c r="C788" s="25"/>
      <c r="D788" s="82" t="s">
        <v>2370</v>
      </c>
      <c r="E788" s="82"/>
      <c r="F788" s="82"/>
      <c r="G788" s="82"/>
      <c r="H788" s="82"/>
      <c r="I788" s="82"/>
      <c r="J788" s="82"/>
      <c r="K788" s="82"/>
      <c r="L788" s="82"/>
      <c r="M788" s="82"/>
    </row>
    <row r="789" spans="1:13" ht="15" customHeight="1" thickBot="1" x14ac:dyDescent="0.25">
      <c r="A789" s="25"/>
      <c r="B789" s="25"/>
      <c r="C789" s="25"/>
      <c r="D789" s="25"/>
      <c r="E789" s="41"/>
      <c r="F789" s="43" t="s">
        <v>2371</v>
      </c>
      <c r="G789" s="43" t="s">
        <v>2372</v>
      </c>
      <c r="H789" s="43" t="s">
        <v>2373</v>
      </c>
      <c r="I789" s="43" t="s">
        <v>2374</v>
      </c>
      <c r="J789" s="43" t="s">
        <v>2375</v>
      </c>
      <c r="K789" s="43" t="s">
        <v>2376</v>
      </c>
      <c r="L789" s="25"/>
      <c r="M789" s="25"/>
    </row>
    <row r="790" spans="1:13" ht="15" customHeight="1" thickBot="1" x14ac:dyDescent="0.25">
      <c r="A790" s="25"/>
      <c r="B790" s="25"/>
      <c r="C790" s="25"/>
      <c r="D790" s="44"/>
      <c r="E790" s="45"/>
      <c r="F790" s="46">
        <v>1</v>
      </c>
      <c r="G790" s="47">
        <v>20</v>
      </c>
      <c r="H790" s="47"/>
      <c r="I790" s="47"/>
      <c r="J790" s="49">
        <f>ROUND(F790*G790,3)</f>
        <v>20</v>
      </c>
      <c r="K790" s="58">
        <f>SUM(J790:J790)</f>
        <v>20</v>
      </c>
      <c r="L790" s="25"/>
      <c r="M790" s="25"/>
    </row>
    <row r="791" spans="1:13" ht="15" customHeight="1" thickBot="1" x14ac:dyDescent="0.25">
      <c r="A791" s="5" t="s">
        <v>2377</v>
      </c>
      <c r="B791" s="5" t="s">
        <v>2378</v>
      </c>
      <c r="C791" s="5" t="s">
        <v>2379</v>
      </c>
      <c r="D791" s="82" t="s">
        <v>2380</v>
      </c>
      <c r="E791" s="82"/>
      <c r="F791" s="82"/>
      <c r="G791" s="82"/>
      <c r="H791" s="82"/>
      <c r="I791" s="82"/>
      <c r="J791" s="82"/>
      <c r="K791" s="23">
        <v>1</v>
      </c>
      <c r="L791" s="23">
        <f>ROUND(2.819,3)</f>
        <v>2.819</v>
      </c>
      <c r="M791" s="24">
        <f t="shared" ref="M791:M797" si="36">ROUND(K791*L791,2)</f>
        <v>2.82</v>
      </c>
    </row>
    <row r="792" spans="1:13" ht="21.25" customHeight="1" thickBot="1" x14ac:dyDescent="0.25">
      <c r="A792" s="5" t="s">
        <v>2381</v>
      </c>
      <c r="B792" s="5" t="s">
        <v>2382</v>
      </c>
      <c r="C792" s="5" t="s">
        <v>2383</v>
      </c>
      <c r="D792" s="82" t="s">
        <v>2384</v>
      </c>
      <c r="E792" s="82"/>
      <c r="F792" s="82"/>
      <c r="G792" s="82"/>
      <c r="H792" s="82"/>
      <c r="I792" s="82"/>
      <c r="J792" s="82"/>
      <c r="K792" s="23">
        <v>1.05</v>
      </c>
      <c r="L792" s="23">
        <f>ROUND(7.504,3)</f>
        <v>7.5039999999999996</v>
      </c>
      <c r="M792" s="24">
        <f t="shared" si="36"/>
        <v>7.88</v>
      </c>
    </row>
    <row r="793" spans="1:13" ht="15" customHeight="1" thickBot="1" x14ac:dyDescent="0.25">
      <c r="A793" s="5" t="s">
        <v>2385</v>
      </c>
      <c r="B793" s="5" t="s">
        <v>2386</v>
      </c>
      <c r="C793" s="5" t="s">
        <v>2387</v>
      </c>
      <c r="D793" s="82" t="s">
        <v>2388</v>
      </c>
      <c r="E793" s="82"/>
      <c r="F793" s="82"/>
      <c r="G793" s="82"/>
      <c r="H793" s="82"/>
      <c r="I793" s="82"/>
      <c r="J793" s="82"/>
      <c r="K793" s="23">
        <v>2.1000000000000001E-2</v>
      </c>
      <c r="L793" s="23">
        <f>ROUND(10.983,3)</f>
        <v>10.983000000000001</v>
      </c>
      <c r="M793" s="24">
        <f t="shared" si="36"/>
        <v>0.23</v>
      </c>
    </row>
    <row r="794" spans="1:13" ht="15" customHeight="1" thickBot="1" x14ac:dyDescent="0.25">
      <c r="A794" s="5" t="s">
        <v>2389</v>
      </c>
      <c r="B794" s="5" t="s">
        <v>2390</v>
      </c>
      <c r="C794" s="5" t="s">
        <v>2391</v>
      </c>
      <c r="D794" s="82" t="s">
        <v>2392</v>
      </c>
      <c r="E794" s="82"/>
      <c r="F794" s="82"/>
      <c r="G794" s="82"/>
      <c r="H794" s="82"/>
      <c r="I794" s="82"/>
      <c r="J794" s="82"/>
      <c r="K794" s="23">
        <v>1</v>
      </c>
      <c r="L794" s="23">
        <f>ROUND(4.392,3)</f>
        <v>4.3920000000000003</v>
      </c>
      <c r="M794" s="24">
        <f t="shared" si="36"/>
        <v>4.3899999999999997</v>
      </c>
    </row>
    <row r="795" spans="1:13" ht="21.25" customHeight="1" thickBot="1" x14ac:dyDescent="0.25">
      <c r="A795" s="5" t="s">
        <v>2393</v>
      </c>
      <c r="B795" s="5" t="s">
        <v>2394</v>
      </c>
      <c r="C795" s="5" t="s">
        <v>2395</v>
      </c>
      <c r="D795" s="82" t="s">
        <v>2396</v>
      </c>
      <c r="E795" s="82"/>
      <c r="F795" s="82"/>
      <c r="G795" s="82"/>
      <c r="H795" s="82"/>
      <c r="I795" s="82"/>
      <c r="J795" s="82"/>
      <c r="K795" s="23">
        <v>1.05</v>
      </c>
      <c r="L795" s="23">
        <f>ROUND(9.242,3)</f>
        <v>9.2420000000000009</v>
      </c>
      <c r="M795" s="24">
        <f t="shared" si="36"/>
        <v>9.6999999999999993</v>
      </c>
    </row>
    <row r="796" spans="1:13" ht="15" customHeight="1" thickBot="1" x14ac:dyDescent="0.25">
      <c r="A796" s="5" t="s">
        <v>2397</v>
      </c>
      <c r="B796" s="5" t="s">
        <v>2398</v>
      </c>
      <c r="C796" s="5" t="s">
        <v>2399</v>
      </c>
      <c r="D796" s="82" t="s">
        <v>2400</v>
      </c>
      <c r="E796" s="82"/>
      <c r="F796" s="82"/>
      <c r="G796" s="82"/>
      <c r="H796" s="82"/>
      <c r="I796" s="82"/>
      <c r="J796" s="82"/>
      <c r="K796" s="23">
        <v>0.188</v>
      </c>
      <c r="L796" s="23">
        <f>ROUND(27.45,3)</f>
        <v>27.45</v>
      </c>
      <c r="M796" s="24">
        <f t="shared" si="36"/>
        <v>5.16</v>
      </c>
    </row>
    <row r="797" spans="1:13" ht="15" customHeight="1" thickBot="1" x14ac:dyDescent="0.25">
      <c r="A797" s="5" t="s">
        <v>2401</v>
      </c>
      <c r="B797" s="5" t="s">
        <v>2402</v>
      </c>
      <c r="C797" s="5" t="s">
        <v>2403</v>
      </c>
      <c r="D797" s="82" t="s">
        <v>2404</v>
      </c>
      <c r="E797" s="82"/>
      <c r="F797" s="82"/>
      <c r="G797" s="82"/>
      <c r="H797" s="82"/>
      <c r="I797" s="82"/>
      <c r="J797" s="82"/>
      <c r="K797" s="23">
        <v>0.188</v>
      </c>
      <c r="L797" s="23">
        <f>ROUND(24.7,3)</f>
        <v>24.7</v>
      </c>
      <c r="M797" s="24">
        <f t="shared" si="36"/>
        <v>4.6399999999999997</v>
      </c>
    </row>
    <row r="798" spans="1:13" ht="15" customHeight="1" thickBot="1" x14ac:dyDescent="0.25">
      <c r="A798" s="5" t="s">
        <v>2405</v>
      </c>
      <c r="B798" s="5"/>
      <c r="C798" s="5" t="s">
        <v>2406</v>
      </c>
      <c r="D798" s="82" t="s">
        <v>2407</v>
      </c>
      <c r="E798" s="82"/>
      <c r="F798" s="82"/>
      <c r="G798" s="82"/>
      <c r="H798" s="82"/>
      <c r="I798" s="82"/>
      <c r="J798" s="82"/>
      <c r="K798" s="23">
        <v>2</v>
      </c>
      <c r="L798" s="23">
        <f>ROUND(34.82,3)</f>
        <v>34.82</v>
      </c>
      <c r="M798" s="24">
        <f>ROUND((K798*L798)/100,2)</f>
        <v>0.7</v>
      </c>
    </row>
    <row r="799" spans="1:13" ht="15.25" customHeight="1" thickBot="1" x14ac:dyDescent="0.25">
      <c r="A799" s="26"/>
      <c r="B799" s="26"/>
      <c r="C799" s="26"/>
      <c r="D799" s="27" t="s">
        <v>2408</v>
      </c>
      <c r="E799" s="26"/>
      <c r="F799" s="26"/>
      <c r="G799" s="26"/>
      <c r="H799" s="26"/>
      <c r="I799" s="26"/>
      <c r="J799" s="26"/>
      <c r="K799" s="28">
        <v>20</v>
      </c>
      <c r="L799" s="29">
        <f>ROUND((M791+M792+M793+M794+M795+M796+M797+M798)*(1+M2/100),2)</f>
        <v>36.590000000000003</v>
      </c>
      <c r="M799" s="29">
        <f>ROUND(K799*L799,2)</f>
        <v>731.8</v>
      </c>
    </row>
    <row r="800" spans="1:13" ht="39.5" customHeight="1" thickBot="1" x14ac:dyDescent="0.25">
      <c r="A800" s="30" t="s">
        <v>2409</v>
      </c>
      <c r="B800" s="31" t="s">
        <v>2410</v>
      </c>
      <c r="C800" s="31" t="s">
        <v>2411</v>
      </c>
      <c r="D800" s="83" t="s">
        <v>2412</v>
      </c>
      <c r="E800" s="83"/>
      <c r="F800" s="83"/>
      <c r="G800" s="83"/>
      <c r="H800" s="83"/>
      <c r="I800" s="83"/>
      <c r="J800" s="83"/>
      <c r="K800" s="32">
        <f>SUM(K803:K804)</f>
        <v>50</v>
      </c>
      <c r="L800" s="33">
        <f>L809</f>
        <v>2.12</v>
      </c>
      <c r="M800" s="33">
        <f>ROUND(K800*L800,2)</f>
        <v>106</v>
      </c>
    </row>
    <row r="801" spans="1:13" ht="39.5" customHeight="1" thickBot="1" x14ac:dyDescent="0.25">
      <c r="A801" s="25"/>
      <c r="B801" s="25"/>
      <c r="C801" s="25"/>
      <c r="D801" s="82" t="s">
        <v>2413</v>
      </c>
      <c r="E801" s="82"/>
      <c r="F801" s="82"/>
      <c r="G801" s="82"/>
      <c r="H801" s="82"/>
      <c r="I801" s="82"/>
      <c r="J801" s="82"/>
      <c r="K801" s="82"/>
      <c r="L801" s="82"/>
      <c r="M801" s="82"/>
    </row>
    <row r="802" spans="1:13" ht="15" customHeight="1" thickBot="1" x14ac:dyDescent="0.25">
      <c r="A802" s="25"/>
      <c r="B802" s="25"/>
      <c r="C802" s="25"/>
      <c r="D802" s="25"/>
      <c r="E802" s="41"/>
      <c r="F802" s="43" t="s">
        <v>2414</v>
      </c>
      <c r="G802" s="43" t="s">
        <v>2415</v>
      </c>
      <c r="H802" s="43" t="s">
        <v>2416</v>
      </c>
      <c r="I802" s="43" t="s">
        <v>2417</v>
      </c>
      <c r="J802" s="43" t="s">
        <v>2418</v>
      </c>
      <c r="K802" s="43" t="s">
        <v>2419</v>
      </c>
      <c r="L802" s="25"/>
      <c r="M802" s="25"/>
    </row>
    <row r="803" spans="1:13" ht="15" customHeight="1" thickBot="1" x14ac:dyDescent="0.25">
      <c r="A803" s="25"/>
      <c r="B803" s="25"/>
      <c r="C803" s="25"/>
      <c r="D803" s="44"/>
      <c r="E803" s="45"/>
      <c r="F803" s="46">
        <v>1</v>
      </c>
      <c r="G803" s="47">
        <v>20</v>
      </c>
      <c r="H803" s="47"/>
      <c r="I803" s="47"/>
      <c r="J803" s="49">
        <f>ROUND(F803*G803,3)</f>
        <v>20</v>
      </c>
      <c r="K803" s="50"/>
      <c r="L803" s="25"/>
      <c r="M803" s="25"/>
    </row>
    <row r="804" spans="1:13" ht="15" customHeight="1" thickBot="1" x14ac:dyDescent="0.25">
      <c r="A804" s="25"/>
      <c r="B804" s="25"/>
      <c r="C804" s="25"/>
      <c r="D804" s="44"/>
      <c r="E804" s="5"/>
      <c r="F804" s="3">
        <v>2</v>
      </c>
      <c r="G804" s="23">
        <v>15</v>
      </c>
      <c r="H804" s="23"/>
      <c r="I804" s="23"/>
      <c r="J804" s="48">
        <f>ROUND(F804*G804,3)</f>
        <v>30</v>
      </c>
      <c r="K804" s="51">
        <f>SUM(J803:J804)</f>
        <v>50</v>
      </c>
      <c r="L804" s="25"/>
      <c r="M804" s="25"/>
    </row>
    <row r="805" spans="1:13" ht="39.5" customHeight="1" thickBot="1" x14ac:dyDescent="0.25">
      <c r="A805" s="5" t="s">
        <v>2420</v>
      </c>
      <c r="B805" s="5" t="s">
        <v>2421</v>
      </c>
      <c r="C805" s="5" t="s">
        <v>2422</v>
      </c>
      <c r="D805" s="82" t="s">
        <v>2423</v>
      </c>
      <c r="E805" s="82"/>
      <c r="F805" s="82"/>
      <c r="G805" s="82"/>
      <c r="H805" s="82"/>
      <c r="I805" s="82"/>
      <c r="J805" s="82"/>
      <c r="K805" s="23">
        <v>1</v>
      </c>
      <c r="L805" s="23">
        <f>ROUND(0.984,3)</f>
        <v>0.98399999999999999</v>
      </c>
      <c r="M805" s="24">
        <f>ROUND(K805*L805,2)</f>
        <v>0.98</v>
      </c>
    </row>
    <row r="806" spans="1:13" ht="15" customHeight="1" thickBot="1" x14ac:dyDescent="0.25">
      <c r="A806" s="5" t="s">
        <v>2424</v>
      </c>
      <c r="B806" s="5" t="s">
        <v>2425</v>
      </c>
      <c r="C806" s="5" t="s">
        <v>2426</v>
      </c>
      <c r="D806" s="82" t="s">
        <v>2427</v>
      </c>
      <c r="E806" s="82"/>
      <c r="F806" s="82"/>
      <c r="G806" s="82"/>
      <c r="H806" s="82"/>
      <c r="I806" s="82"/>
      <c r="J806" s="82"/>
      <c r="K806" s="23">
        <v>0.02</v>
      </c>
      <c r="L806" s="23">
        <f>ROUND(27.45,3)</f>
        <v>27.45</v>
      </c>
      <c r="M806" s="24">
        <f>ROUND(K806*L806,2)</f>
        <v>0.55000000000000004</v>
      </c>
    </row>
    <row r="807" spans="1:13" ht="15" customHeight="1" thickBot="1" x14ac:dyDescent="0.25">
      <c r="A807" s="5" t="s">
        <v>2428</v>
      </c>
      <c r="B807" s="5" t="s">
        <v>2429</v>
      </c>
      <c r="C807" s="5" t="s">
        <v>2430</v>
      </c>
      <c r="D807" s="82" t="s">
        <v>2431</v>
      </c>
      <c r="E807" s="82"/>
      <c r="F807" s="82"/>
      <c r="G807" s="82"/>
      <c r="H807" s="82"/>
      <c r="I807" s="82"/>
      <c r="J807" s="82"/>
      <c r="K807" s="23">
        <v>0.02</v>
      </c>
      <c r="L807" s="23">
        <f>ROUND(24.7,3)</f>
        <v>24.7</v>
      </c>
      <c r="M807" s="24">
        <f>ROUND(K807*L807,2)</f>
        <v>0.49</v>
      </c>
    </row>
    <row r="808" spans="1:13" ht="15" customHeight="1" thickBot="1" x14ac:dyDescent="0.25">
      <c r="A808" s="5" t="s">
        <v>2432</v>
      </c>
      <c r="B808" s="5"/>
      <c r="C808" s="5" t="s">
        <v>2433</v>
      </c>
      <c r="D808" s="82" t="s">
        <v>2434</v>
      </c>
      <c r="E808" s="82"/>
      <c r="F808" s="82"/>
      <c r="G808" s="82"/>
      <c r="H808" s="82"/>
      <c r="I808" s="82"/>
      <c r="J808" s="82"/>
      <c r="K808" s="23">
        <v>2</v>
      </c>
      <c r="L808" s="23">
        <f>ROUND(2.02,3)</f>
        <v>2.02</v>
      </c>
      <c r="M808" s="24">
        <f>ROUND((K808*L808)/100,2)</f>
        <v>0.04</v>
      </c>
    </row>
    <row r="809" spans="1:13" ht="15.25" customHeight="1" thickBot="1" x14ac:dyDescent="0.25">
      <c r="A809" s="26"/>
      <c r="B809" s="26"/>
      <c r="C809" s="26"/>
      <c r="D809" s="27" t="s">
        <v>2435</v>
      </c>
      <c r="E809" s="26"/>
      <c r="F809" s="26"/>
      <c r="G809" s="26"/>
      <c r="H809" s="26"/>
      <c r="I809" s="26"/>
      <c r="J809" s="26"/>
      <c r="K809" s="28">
        <v>50</v>
      </c>
      <c r="L809" s="29">
        <f>ROUND((M805+M806+M807+M808)*(1+M2/100),2)</f>
        <v>2.12</v>
      </c>
      <c r="M809" s="29">
        <f>ROUND(K809*L809,2)</f>
        <v>106</v>
      </c>
    </row>
    <row r="810" spans="1:13" ht="15.25" customHeight="1" thickBot="1" x14ac:dyDescent="0.25">
      <c r="A810" s="30" t="s">
        <v>2436</v>
      </c>
      <c r="B810" s="31" t="s">
        <v>2437</v>
      </c>
      <c r="C810" s="31" t="s">
        <v>2438</v>
      </c>
      <c r="D810" s="83" t="s">
        <v>2439</v>
      </c>
      <c r="E810" s="83"/>
      <c r="F810" s="83"/>
      <c r="G810" s="83"/>
      <c r="H810" s="83"/>
      <c r="I810" s="83"/>
      <c r="J810" s="83"/>
      <c r="K810" s="32">
        <f>SUM(K813:K814)</f>
        <v>50</v>
      </c>
      <c r="L810" s="33">
        <f>L819</f>
        <v>1.47</v>
      </c>
      <c r="M810" s="33">
        <f>ROUND(K810*L810,2)</f>
        <v>73.5</v>
      </c>
    </row>
    <row r="811" spans="1:13" ht="21.25" customHeight="1" thickBot="1" x14ac:dyDescent="0.25">
      <c r="A811" s="25"/>
      <c r="B811" s="25"/>
      <c r="C811" s="25"/>
      <c r="D811" s="82" t="s">
        <v>2440</v>
      </c>
      <c r="E811" s="82"/>
      <c r="F811" s="82"/>
      <c r="G811" s="82"/>
      <c r="H811" s="82"/>
      <c r="I811" s="82"/>
      <c r="J811" s="82"/>
      <c r="K811" s="82"/>
      <c r="L811" s="82"/>
      <c r="M811" s="82"/>
    </row>
    <row r="812" spans="1:13" ht="15" customHeight="1" thickBot="1" x14ac:dyDescent="0.25">
      <c r="A812" s="25"/>
      <c r="B812" s="25"/>
      <c r="C812" s="25"/>
      <c r="D812" s="25"/>
      <c r="E812" s="41"/>
      <c r="F812" s="43" t="s">
        <v>2441</v>
      </c>
      <c r="G812" s="43" t="s">
        <v>2442</v>
      </c>
      <c r="H812" s="43" t="s">
        <v>2443</v>
      </c>
      <c r="I812" s="43" t="s">
        <v>2444</v>
      </c>
      <c r="J812" s="43" t="s">
        <v>2445</v>
      </c>
      <c r="K812" s="43" t="s">
        <v>2446</v>
      </c>
      <c r="L812" s="25"/>
      <c r="M812" s="25"/>
    </row>
    <row r="813" spans="1:13" ht="15" customHeight="1" thickBot="1" x14ac:dyDescent="0.25">
      <c r="A813" s="25"/>
      <c r="B813" s="25"/>
      <c r="C813" s="25"/>
      <c r="D813" s="44"/>
      <c r="E813" s="45"/>
      <c r="F813" s="46">
        <v>1</v>
      </c>
      <c r="G813" s="47">
        <v>20</v>
      </c>
      <c r="H813" s="47"/>
      <c r="I813" s="47"/>
      <c r="J813" s="49">
        <f>ROUND(F813*G813,3)</f>
        <v>20</v>
      </c>
      <c r="K813" s="50"/>
      <c r="L813" s="25"/>
      <c r="M813" s="25"/>
    </row>
    <row r="814" spans="1:13" ht="15" customHeight="1" thickBot="1" x14ac:dyDescent="0.25">
      <c r="A814" s="25"/>
      <c r="B814" s="25"/>
      <c r="C814" s="25"/>
      <c r="D814" s="44"/>
      <c r="E814" s="5"/>
      <c r="F814" s="3">
        <v>2</v>
      </c>
      <c r="G814" s="23">
        <v>15</v>
      </c>
      <c r="H814" s="23"/>
      <c r="I814" s="23"/>
      <c r="J814" s="48">
        <f>ROUND(F814*G814,3)</f>
        <v>30</v>
      </c>
      <c r="K814" s="51">
        <f>SUM(J813:J814)</f>
        <v>50</v>
      </c>
      <c r="L814" s="25"/>
      <c r="M814" s="25"/>
    </row>
    <row r="815" spans="1:13" ht="39.5" customHeight="1" thickBot="1" x14ac:dyDescent="0.25">
      <c r="A815" s="5" t="s">
        <v>2447</v>
      </c>
      <c r="B815" s="5" t="s">
        <v>2448</v>
      </c>
      <c r="C815" s="5" t="s">
        <v>2449</v>
      </c>
      <c r="D815" s="82" t="s">
        <v>2450</v>
      </c>
      <c r="E815" s="82"/>
      <c r="F815" s="82"/>
      <c r="G815" s="82"/>
      <c r="H815" s="82"/>
      <c r="I815" s="82"/>
      <c r="J815" s="82"/>
      <c r="K815" s="23">
        <v>1</v>
      </c>
      <c r="L815" s="23">
        <f>ROUND(0.363,3)</f>
        <v>0.36299999999999999</v>
      </c>
      <c r="M815" s="24">
        <f>ROUND(K815*L815,2)</f>
        <v>0.36</v>
      </c>
    </row>
    <row r="816" spans="1:13" ht="15" customHeight="1" thickBot="1" x14ac:dyDescent="0.25">
      <c r="A816" s="5" t="s">
        <v>2451</v>
      </c>
      <c r="B816" s="5" t="s">
        <v>2452</v>
      </c>
      <c r="C816" s="5" t="s">
        <v>2453</v>
      </c>
      <c r="D816" s="82" t="s">
        <v>2454</v>
      </c>
      <c r="E816" s="82"/>
      <c r="F816" s="82"/>
      <c r="G816" s="82"/>
      <c r="H816" s="82"/>
      <c r="I816" s="82"/>
      <c r="J816" s="82"/>
      <c r="K816" s="23">
        <v>0.02</v>
      </c>
      <c r="L816" s="23">
        <f>ROUND(27.45,3)</f>
        <v>27.45</v>
      </c>
      <c r="M816" s="24">
        <f>ROUND(K816*L816,2)</f>
        <v>0.55000000000000004</v>
      </c>
    </row>
    <row r="817" spans="1:13" ht="15" customHeight="1" thickBot="1" x14ac:dyDescent="0.25">
      <c r="A817" s="5" t="s">
        <v>2455</v>
      </c>
      <c r="B817" s="5" t="s">
        <v>2456</v>
      </c>
      <c r="C817" s="5" t="s">
        <v>2457</v>
      </c>
      <c r="D817" s="82" t="s">
        <v>2458</v>
      </c>
      <c r="E817" s="82"/>
      <c r="F817" s="82"/>
      <c r="G817" s="82"/>
      <c r="H817" s="82"/>
      <c r="I817" s="82"/>
      <c r="J817" s="82"/>
      <c r="K817" s="23">
        <v>0.02</v>
      </c>
      <c r="L817" s="23">
        <f>ROUND(24.7,3)</f>
        <v>24.7</v>
      </c>
      <c r="M817" s="24">
        <f>ROUND(K817*L817,2)</f>
        <v>0.49</v>
      </c>
    </row>
    <row r="818" spans="1:13" ht="15" customHeight="1" thickBot="1" x14ac:dyDescent="0.25">
      <c r="A818" s="5" t="s">
        <v>2459</v>
      </c>
      <c r="B818" s="5"/>
      <c r="C818" s="5" t="s">
        <v>2460</v>
      </c>
      <c r="D818" s="82" t="s">
        <v>2461</v>
      </c>
      <c r="E818" s="82"/>
      <c r="F818" s="82"/>
      <c r="G818" s="82"/>
      <c r="H818" s="82"/>
      <c r="I818" s="82"/>
      <c r="J818" s="82"/>
      <c r="K818" s="23">
        <v>2</v>
      </c>
      <c r="L818" s="23">
        <f>ROUND(1.4,3)</f>
        <v>1.4</v>
      </c>
      <c r="M818" s="24">
        <f>ROUND((K818*L818)/100,2)</f>
        <v>0.03</v>
      </c>
    </row>
    <row r="819" spans="1:13" ht="15.25" customHeight="1" thickBot="1" x14ac:dyDescent="0.25">
      <c r="A819" s="26"/>
      <c r="B819" s="26"/>
      <c r="C819" s="26"/>
      <c r="D819" s="27" t="s">
        <v>2462</v>
      </c>
      <c r="E819" s="26"/>
      <c r="F819" s="26"/>
      <c r="G819" s="26"/>
      <c r="H819" s="26"/>
      <c r="I819" s="26"/>
      <c r="J819" s="26"/>
      <c r="K819" s="28">
        <v>50</v>
      </c>
      <c r="L819" s="29">
        <f>ROUND((M815+M816+M817+M818)*(1+M2/100),2)</f>
        <v>1.47</v>
      </c>
      <c r="M819" s="29">
        <f>ROUND(K819*L819,2)</f>
        <v>73.5</v>
      </c>
    </row>
    <row r="820" spans="1:13" ht="15.25" customHeight="1" thickBot="1" x14ac:dyDescent="0.25">
      <c r="A820" s="30" t="s">
        <v>2463</v>
      </c>
      <c r="B820" s="31" t="s">
        <v>2464</v>
      </c>
      <c r="C820" s="31" t="s">
        <v>2465</v>
      </c>
      <c r="D820" s="83" t="s">
        <v>2466</v>
      </c>
      <c r="E820" s="83"/>
      <c r="F820" s="83"/>
      <c r="G820" s="83"/>
      <c r="H820" s="83"/>
      <c r="I820" s="83"/>
      <c r="J820" s="83"/>
      <c r="K820" s="32">
        <f>ROUND(1,2)</f>
        <v>1</v>
      </c>
      <c r="L820" s="33">
        <f>L827</f>
        <v>1471.44</v>
      </c>
      <c r="M820" s="33">
        <f>ROUND(K820*L820,2)</f>
        <v>1471.44</v>
      </c>
    </row>
    <row r="821" spans="1:13" ht="85.5" customHeight="1" thickBot="1" x14ac:dyDescent="0.25">
      <c r="A821" s="25"/>
      <c r="B821" s="25"/>
      <c r="C821" s="25"/>
      <c r="D821" s="82" t="s">
        <v>2467</v>
      </c>
      <c r="E821" s="82"/>
      <c r="F821" s="82"/>
      <c r="G821" s="82"/>
      <c r="H821" s="82"/>
      <c r="I821" s="82"/>
      <c r="J821" s="82"/>
      <c r="K821" s="82"/>
      <c r="L821" s="82"/>
      <c r="M821" s="82"/>
    </row>
    <row r="822" spans="1:13" ht="113" customHeight="1" thickBot="1" x14ac:dyDescent="0.25">
      <c r="A822" s="5" t="s">
        <v>2468</v>
      </c>
      <c r="B822" s="5" t="s">
        <v>2469</v>
      </c>
      <c r="C822" s="5" t="s">
        <v>2470</v>
      </c>
      <c r="D822" s="82" t="s">
        <v>2471</v>
      </c>
      <c r="E822" s="82"/>
      <c r="F822" s="82"/>
      <c r="G822" s="82"/>
      <c r="H822" s="82"/>
      <c r="I822" s="82"/>
      <c r="J822" s="82"/>
      <c r="K822" s="23">
        <v>1</v>
      </c>
      <c r="L822" s="23">
        <f>ROUND(1287.893,3)</f>
        <v>1287.893</v>
      </c>
      <c r="M822" s="24">
        <f>ROUND(K822*L822,2)</f>
        <v>1287.8900000000001</v>
      </c>
    </row>
    <row r="823" spans="1:13" ht="21.25" customHeight="1" thickBot="1" x14ac:dyDescent="0.25">
      <c r="A823" s="5" t="s">
        <v>2472</v>
      </c>
      <c r="B823" s="5" t="s">
        <v>2473</v>
      </c>
      <c r="C823" s="5" t="s">
        <v>2474</v>
      </c>
      <c r="D823" s="82" t="s">
        <v>2475</v>
      </c>
      <c r="E823" s="82"/>
      <c r="F823" s="82"/>
      <c r="G823" s="82"/>
      <c r="H823" s="82"/>
      <c r="I823" s="82"/>
      <c r="J823" s="82"/>
      <c r="K823" s="23">
        <v>1</v>
      </c>
      <c r="L823" s="23">
        <f>ROUND(17.288,3)</f>
        <v>17.288</v>
      </c>
      <c r="M823" s="24">
        <f>ROUND(K823*L823,2)</f>
        <v>17.29</v>
      </c>
    </row>
    <row r="824" spans="1:13" ht="15" customHeight="1" thickBot="1" x14ac:dyDescent="0.25">
      <c r="A824" s="5" t="s">
        <v>2476</v>
      </c>
      <c r="B824" s="5" t="s">
        <v>2477</v>
      </c>
      <c r="C824" s="5" t="s">
        <v>2478</v>
      </c>
      <c r="D824" s="82" t="s">
        <v>2479</v>
      </c>
      <c r="E824" s="82"/>
      <c r="F824" s="82"/>
      <c r="G824" s="82"/>
      <c r="H824" s="82"/>
      <c r="I824" s="82"/>
      <c r="J824" s="82"/>
      <c r="K824" s="23">
        <v>1.829</v>
      </c>
      <c r="L824" s="23">
        <f>ROUND(27.45,3)</f>
        <v>27.45</v>
      </c>
      <c r="M824" s="24">
        <f>ROUND(K824*L824,2)</f>
        <v>50.21</v>
      </c>
    </row>
    <row r="825" spans="1:13" ht="15" customHeight="1" thickBot="1" x14ac:dyDescent="0.25">
      <c r="A825" s="5" t="s">
        <v>2480</v>
      </c>
      <c r="B825" s="5" t="s">
        <v>2481</v>
      </c>
      <c r="C825" s="5" t="s">
        <v>2482</v>
      </c>
      <c r="D825" s="82" t="s">
        <v>2483</v>
      </c>
      <c r="E825" s="82"/>
      <c r="F825" s="82"/>
      <c r="G825" s="82"/>
      <c r="H825" s="82"/>
      <c r="I825" s="82"/>
      <c r="J825" s="82"/>
      <c r="K825" s="23">
        <v>1.829</v>
      </c>
      <c r="L825" s="23">
        <f>ROUND(24.7,3)</f>
        <v>24.7</v>
      </c>
      <c r="M825" s="24">
        <f>ROUND(K825*L825,2)</f>
        <v>45.18</v>
      </c>
    </row>
    <row r="826" spans="1:13" ht="15" customHeight="1" thickBot="1" x14ac:dyDescent="0.25">
      <c r="A826" s="5" t="s">
        <v>2484</v>
      </c>
      <c r="B826" s="5"/>
      <c r="C826" s="5" t="s">
        <v>2485</v>
      </c>
      <c r="D826" s="82" t="s">
        <v>2486</v>
      </c>
      <c r="E826" s="82"/>
      <c r="F826" s="82"/>
      <c r="G826" s="82"/>
      <c r="H826" s="82"/>
      <c r="I826" s="82"/>
      <c r="J826" s="82"/>
      <c r="K826" s="23">
        <v>2</v>
      </c>
      <c r="L826" s="23">
        <f>ROUND(1400.57,3)</f>
        <v>1400.57</v>
      </c>
      <c r="M826" s="24">
        <f>ROUND((K826*L826)/100,2)</f>
        <v>28.01</v>
      </c>
    </row>
    <row r="827" spans="1:13" ht="15.25" customHeight="1" thickBot="1" x14ac:dyDescent="0.25">
      <c r="A827" s="26"/>
      <c r="B827" s="26"/>
      <c r="C827" s="26"/>
      <c r="D827" s="27" t="s">
        <v>2487</v>
      </c>
      <c r="E827" s="26"/>
      <c r="F827" s="26"/>
      <c r="G827" s="26"/>
      <c r="H827" s="26"/>
      <c r="I827" s="26"/>
      <c r="J827" s="26"/>
      <c r="K827" s="28">
        <v>1</v>
      </c>
      <c r="L827" s="29">
        <f>ROUND((M822+M823+M824+M825+M826)*(1+M2/100),2)</f>
        <v>1471.44</v>
      </c>
      <c r="M827" s="29">
        <f>ROUND(K827*L827,2)</f>
        <v>1471.44</v>
      </c>
    </row>
    <row r="828" spans="1:13" ht="15.25" customHeight="1" thickBot="1" x14ac:dyDescent="0.25">
      <c r="A828" s="30" t="s">
        <v>2488</v>
      </c>
      <c r="B828" s="31" t="s">
        <v>2489</v>
      </c>
      <c r="C828" s="31" t="s">
        <v>2490</v>
      </c>
      <c r="D828" s="83" t="s">
        <v>2491</v>
      </c>
      <c r="E828" s="83"/>
      <c r="F828" s="83"/>
      <c r="G828" s="83"/>
      <c r="H828" s="83"/>
      <c r="I828" s="83"/>
      <c r="J828" s="83"/>
      <c r="K828" s="32">
        <f>ROUND(2,2)</f>
        <v>2</v>
      </c>
      <c r="L828" s="33">
        <f>ROUND(3834.437*(1+M2/100),2)</f>
        <v>3949.47</v>
      </c>
      <c r="M828" s="33">
        <f>ROUND(K828*L828,2)</f>
        <v>7898.94</v>
      </c>
    </row>
    <row r="829" spans="1:13" ht="94.75" customHeight="1" thickBot="1" x14ac:dyDescent="0.25">
      <c r="A829" s="25"/>
      <c r="B829" s="25"/>
      <c r="C829" s="25"/>
      <c r="D829" s="82" t="s">
        <v>2492</v>
      </c>
      <c r="E829" s="82"/>
      <c r="F829" s="82"/>
      <c r="G829" s="82"/>
      <c r="H829" s="82"/>
      <c r="I829" s="82"/>
      <c r="J829" s="82"/>
      <c r="K829" s="82"/>
      <c r="L829" s="82"/>
      <c r="M829" s="82"/>
    </row>
    <row r="830" spans="1:13" ht="15.25" customHeight="1" thickBot="1" x14ac:dyDescent="0.25">
      <c r="A830" s="26"/>
      <c r="B830" s="26"/>
      <c r="C830" s="26"/>
      <c r="D830" s="65" t="s">
        <v>2493</v>
      </c>
      <c r="E830" s="66"/>
      <c r="F830" s="66"/>
      <c r="G830" s="66"/>
      <c r="H830" s="66"/>
      <c r="I830" s="66"/>
      <c r="J830" s="66"/>
      <c r="K830" s="66"/>
      <c r="L830" s="67">
        <f>M774+M787+M800+M810+M820+M828</f>
        <v>11678.48</v>
      </c>
      <c r="M830" s="67">
        <f>ROUND(L830,2)</f>
        <v>11678.48</v>
      </c>
    </row>
    <row r="831" spans="1:13" ht="15.25" customHeight="1" thickBot="1" x14ac:dyDescent="0.25">
      <c r="A831" s="34"/>
      <c r="B831" s="34"/>
      <c r="C831" s="34"/>
      <c r="D831" s="52" t="s">
        <v>2494</v>
      </c>
      <c r="E831" s="53"/>
      <c r="F831" s="53"/>
      <c r="G831" s="53"/>
      <c r="H831" s="53"/>
      <c r="I831" s="53"/>
      <c r="J831" s="53"/>
      <c r="K831" s="53"/>
      <c r="L831" s="54">
        <f>M746+M772+M830</f>
        <v>17958.2</v>
      </c>
      <c r="M831" s="54">
        <f>ROUND(L831,2)</f>
        <v>17958.2</v>
      </c>
    </row>
    <row r="832" spans="1:13" ht="15.25" customHeight="1" thickBot="1" x14ac:dyDescent="0.25">
      <c r="A832" s="55" t="s">
        <v>2495</v>
      </c>
      <c r="B832" s="55" t="s">
        <v>2496</v>
      </c>
      <c r="C832" s="56"/>
      <c r="D832" s="85" t="s">
        <v>2497</v>
      </c>
      <c r="E832" s="85"/>
      <c r="F832" s="85"/>
      <c r="G832" s="85"/>
      <c r="H832" s="85"/>
      <c r="I832" s="85"/>
      <c r="J832" s="85"/>
      <c r="K832" s="56"/>
      <c r="L832" s="57">
        <f>L1030</f>
        <v>33219.550000000003</v>
      </c>
      <c r="M832" s="57">
        <f>ROUND(L832,2)</f>
        <v>33219.550000000003</v>
      </c>
    </row>
    <row r="833" spans="1:13" ht="15.25" customHeight="1" thickBot="1" x14ac:dyDescent="0.25">
      <c r="A833" s="20" t="s">
        <v>2498</v>
      </c>
      <c r="B833" s="20" t="s">
        <v>2499</v>
      </c>
      <c r="C833" s="21"/>
      <c r="D833" s="81" t="s">
        <v>2500</v>
      </c>
      <c r="E833" s="81"/>
      <c r="F833" s="81"/>
      <c r="G833" s="81"/>
      <c r="H833" s="81"/>
      <c r="I833" s="81"/>
      <c r="J833" s="81"/>
      <c r="K833" s="21"/>
      <c r="L833" s="22">
        <f>L902</f>
        <v>15311.84</v>
      </c>
      <c r="M833" s="22">
        <f>ROUND(L833,2)</f>
        <v>15311.84</v>
      </c>
    </row>
    <row r="834" spans="1:13" ht="15.25" customHeight="1" thickBot="1" x14ac:dyDescent="0.25">
      <c r="A834" s="10" t="s">
        <v>2501</v>
      </c>
      <c r="B834" s="5" t="s">
        <v>2502</v>
      </c>
      <c r="C834" s="5" t="s">
        <v>2503</v>
      </c>
      <c r="D834" s="82" t="s">
        <v>2504</v>
      </c>
      <c r="E834" s="82"/>
      <c r="F834" s="82"/>
      <c r="G834" s="82"/>
      <c r="H834" s="82"/>
      <c r="I834" s="82"/>
      <c r="J834" s="82"/>
      <c r="K834" s="23">
        <f>ROUND(1,2)</f>
        <v>1</v>
      </c>
      <c r="L834" s="24">
        <f>ROUND(1793.078*(1+M2/100),2)</f>
        <v>1846.87</v>
      </c>
      <c r="M834" s="24">
        <f>ROUND(K834*L834,2)</f>
        <v>1846.87</v>
      </c>
    </row>
    <row r="835" spans="1:13" ht="30.5" customHeight="1" thickBot="1" x14ac:dyDescent="0.25">
      <c r="A835" s="25"/>
      <c r="B835" s="25"/>
      <c r="C835" s="25"/>
      <c r="D835" s="82" t="s">
        <v>2505</v>
      </c>
      <c r="E835" s="82"/>
      <c r="F835" s="82"/>
      <c r="G835" s="82"/>
      <c r="H835" s="82"/>
      <c r="I835" s="82"/>
      <c r="J835" s="82"/>
      <c r="K835" s="82"/>
      <c r="L835" s="82"/>
      <c r="M835" s="82"/>
    </row>
    <row r="836" spans="1:13" ht="15.25" customHeight="1" thickBot="1" x14ac:dyDescent="0.25">
      <c r="A836" s="10" t="s">
        <v>2506</v>
      </c>
      <c r="B836" s="5" t="s">
        <v>2507</v>
      </c>
      <c r="C836" s="5" t="s">
        <v>2508</v>
      </c>
      <c r="D836" s="82" t="s">
        <v>2509</v>
      </c>
      <c r="E836" s="82"/>
      <c r="F836" s="82"/>
      <c r="G836" s="82"/>
      <c r="H836" s="82"/>
      <c r="I836" s="82"/>
      <c r="J836" s="82"/>
      <c r="K836" s="23">
        <f>ROUND(1,2)</f>
        <v>1</v>
      </c>
      <c r="L836" s="24">
        <f>L839</f>
        <v>3330.67</v>
      </c>
      <c r="M836" s="24">
        <f>ROUND(K836*L836,2)</f>
        <v>3330.67</v>
      </c>
    </row>
    <row r="837" spans="1:13" ht="21.25" customHeight="1" thickBot="1" x14ac:dyDescent="0.25">
      <c r="A837" s="25"/>
      <c r="B837" s="25"/>
      <c r="C837" s="25"/>
      <c r="D837" s="82" t="s">
        <v>2510</v>
      </c>
      <c r="E837" s="82"/>
      <c r="F837" s="82"/>
      <c r="G837" s="82"/>
      <c r="H837" s="82"/>
      <c r="I837" s="82"/>
      <c r="J837" s="82"/>
      <c r="K837" s="82"/>
      <c r="L837" s="82"/>
      <c r="M837" s="82"/>
    </row>
    <row r="838" spans="1:13" ht="15" customHeight="1" thickBot="1" x14ac:dyDescent="0.25">
      <c r="A838" s="5" t="s">
        <v>2511</v>
      </c>
      <c r="B838" s="5" t="s">
        <v>2512</v>
      </c>
      <c r="C838" s="5" t="s">
        <v>2513</v>
      </c>
      <c r="D838" s="82" t="s">
        <v>2514</v>
      </c>
      <c r="E838" s="82"/>
      <c r="F838" s="82"/>
      <c r="G838" s="82"/>
      <c r="H838" s="82"/>
      <c r="I838" s="82"/>
      <c r="J838" s="82"/>
      <c r="K838" s="23">
        <v>1</v>
      </c>
      <c r="L838" s="23">
        <f>ROUND(3233.66,3)</f>
        <v>3233.66</v>
      </c>
      <c r="M838" s="24">
        <f>ROUND(K838*L838,2)</f>
        <v>3233.66</v>
      </c>
    </row>
    <row r="839" spans="1:13" ht="15.25" customHeight="1" thickBot="1" x14ac:dyDescent="0.25">
      <c r="A839" s="26"/>
      <c r="B839" s="26"/>
      <c r="C839" s="26"/>
      <c r="D839" s="27" t="s">
        <v>2515</v>
      </c>
      <c r="E839" s="26"/>
      <c r="F839" s="26"/>
      <c r="G839" s="26"/>
      <c r="H839" s="26"/>
      <c r="I839" s="26"/>
      <c r="J839" s="26"/>
      <c r="K839" s="28">
        <v>1</v>
      </c>
      <c r="L839" s="29">
        <f>ROUND((M838)*(1+M2/100),2)</f>
        <v>3330.67</v>
      </c>
      <c r="M839" s="29">
        <f>ROUND(K839*L839,2)</f>
        <v>3330.67</v>
      </c>
    </row>
    <row r="840" spans="1:13" ht="15.25" customHeight="1" thickBot="1" x14ac:dyDescent="0.25">
      <c r="A840" s="30" t="s">
        <v>2516</v>
      </c>
      <c r="B840" s="31" t="s">
        <v>2517</v>
      </c>
      <c r="C840" s="31" t="s">
        <v>2518</v>
      </c>
      <c r="D840" s="83" t="s">
        <v>2519</v>
      </c>
      <c r="E840" s="83"/>
      <c r="F840" s="83"/>
      <c r="G840" s="83"/>
      <c r="H840" s="83"/>
      <c r="I840" s="83"/>
      <c r="J840" s="83"/>
      <c r="K840" s="32">
        <f>ROUND(2,2)</f>
        <v>2</v>
      </c>
      <c r="L840" s="33">
        <f>L845</f>
        <v>168.56</v>
      </c>
      <c r="M840" s="33">
        <f>ROUND(K840*L840,2)</f>
        <v>337.12</v>
      </c>
    </row>
    <row r="841" spans="1:13" ht="39.5" customHeight="1" thickBot="1" x14ac:dyDescent="0.25">
      <c r="A841" s="25"/>
      <c r="B841" s="25"/>
      <c r="C841" s="25"/>
      <c r="D841" s="82" t="s">
        <v>2520</v>
      </c>
      <c r="E841" s="82"/>
      <c r="F841" s="82"/>
      <c r="G841" s="82"/>
      <c r="H841" s="82"/>
      <c r="I841" s="82"/>
      <c r="J841" s="82"/>
      <c r="K841" s="82"/>
      <c r="L841" s="82"/>
      <c r="M841" s="82"/>
    </row>
    <row r="842" spans="1:13" ht="15" customHeight="1" thickBot="1" x14ac:dyDescent="0.25">
      <c r="A842" s="5" t="s">
        <v>2521</v>
      </c>
      <c r="B842" s="5" t="s">
        <v>2522</v>
      </c>
      <c r="C842" s="5" t="s">
        <v>2523</v>
      </c>
      <c r="D842" s="82" t="s">
        <v>2524</v>
      </c>
      <c r="E842" s="82"/>
      <c r="F842" s="82"/>
      <c r="G842" s="82"/>
      <c r="H842" s="82"/>
      <c r="I842" s="82"/>
      <c r="J842" s="82"/>
      <c r="K842" s="23">
        <v>0.36599999999999999</v>
      </c>
      <c r="L842" s="23">
        <f>ROUND(18.24,3)</f>
        <v>18.239999999999998</v>
      </c>
      <c r="M842" s="24">
        <f>ROUND(K842*L842,2)</f>
        <v>6.68</v>
      </c>
    </row>
    <row r="843" spans="1:13" ht="15" customHeight="1" thickBot="1" x14ac:dyDescent="0.25">
      <c r="A843" s="5" t="s">
        <v>2525</v>
      </c>
      <c r="B843" s="5" t="s">
        <v>2526</v>
      </c>
      <c r="C843" s="5" t="s">
        <v>2527</v>
      </c>
      <c r="D843" s="82" t="s">
        <v>2528</v>
      </c>
      <c r="E843" s="82"/>
      <c r="F843" s="82"/>
      <c r="G843" s="82"/>
      <c r="H843" s="82"/>
      <c r="I843" s="82"/>
      <c r="J843" s="82"/>
      <c r="K843" s="23">
        <v>0.36599999999999999</v>
      </c>
      <c r="L843" s="23">
        <f>ROUND(16.4,3)</f>
        <v>16.399999999999999</v>
      </c>
      <c r="M843" s="24">
        <f>ROUND(K843*L843,2)</f>
        <v>6</v>
      </c>
    </row>
    <row r="844" spans="1:13" ht="15" customHeight="1" thickBot="1" x14ac:dyDescent="0.25">
      <c r="A844" s="5" t="s">
        <v>2529</v>
      </c>
      <c r="B844" s="5" t="s">
        <v>2530</v>
      </c>
      <c r="C844" s="5" t="s">
        <v>2531</v>
      </c>
      <c r="D844" s="82" t="s">
        <v>2532</v>
      </c>
      <c r="E844" s="82"/>
      <c r="F844" s="82"/>
      <c r="G844" s="82"/>
      <c r="H844" s="82"/>
      <c r="I844" s="82"/>
      <c r="J844" s="82"/>
      <c r="K844" s="23">
        <v>1</v>
      </c>
      <c r="L844" s="23">
        <f>ROUND(150.967,3)</f>
        <v>150.96700000000001</v>
      </c>
      <c r="M844" s="24">
        <f>ROUND(K844*L844,2)</f>
        <v>150.97</v>
      </c>
    </row>
    <row r="845" spans="1:13" ht="15.25" customHeight="1" thickBot="1" x14ac:dyDescent="0.25">
      <c r="A845" s="26"/>
      <c r="B845" s="26"/>
      <c r="C845" s="26"/>
      <c r="D845" s="27" t="s">
        <v>2533</v>
      </c>
      <c r="E845" s="26"/>
      <c r="F845" s="26"/>
      <c r="G845" s="26"/>
      <c r="H845" s="26"/>
      <c r="I845" s="26"/>
      <c r="J845" s="26"/>
      <c r="K845" s="28">
        <v>2</v>
      </c>
      <c r="L845" s="29">
        <f>ROUND((M842+M843+M844)*(1+M2/100),2)</f>
        <v>168.56</v>
      </c>
      <c r="M845" s="29">
        <f>ROUND(K845*L845,2)</f>
        <v>337.12</v>
      </c>
    </row>
    <row r="846" spans="1:13" ht="15.25" customHeight="1" thickBot="1" x14ac:dyDescent="0.25">
      <c r="A846" s="30" t="s">
        <v>2534</v>
      </c>
      <c r="B846" s="31" t="s">
        <v>2535</v>
      </c>
      <c r="C846" s="31" t="s">
        <v>2536</v>
      </c>
      <c r="D846" s="83" t="s">
        <v>2537</v>
      </c>
      <c r="E846" s="83"/>
      <c r="F846" s="83"/>
      <c r="G846" s="83"/>
      <c r="H846" s="83"/>
      <c r="I846" s="83"/>
      <c r="J846" s="83"/>
      <c r="K846" s="32">
        <f>ROUND(59,2)</f>
        <v>59</v>
      </c>
      <c r="L846" s="33">
        <f>ROUND(57.087*(1+M2/100),2)</f>
        <v>58.8</v>
      </c>
      <c r="M846" s="33">
        <f>ROUND(K846*L846,2)</f>
        <v>3469.2</v>
      </c>
    </row>
    <row r="847" spans="1:13" ht="76.25" customHeight="1" thickBot="1" x14ac:dyDescent="0.25">
      <c r="A847" s="25"/>
      <c r="B847" s="25"/>
      <c r="C847" s="25"/>
      <c r="D847" s="82" t="s">
        <v>2538</v>
      </c>
      <c r="E847" s="82"/>
      <c r="F847" s="82"/>
      <c r="G847" s="82"/>
      <c r="H847" s="82"/>
      <c r="I847" s="82"/>
      <c r="J847" s="82"/>
      <c r="K847" s="82"/>
      <c r="L847" s="82"/>
      <c r="M847" s="82"/>
    </row>
    <row r="848" spans="1:13" ht="15.25" customHeight="1" thickBot="1" x14ac:dyDescent="0.25">
      <c r="A848" s="10" t="s">
        <v>2539</v>
      </c>
      <c r="B848" s="5" t="s">
        <v>2540</v>
      </c>
      <c r="C848" s="5" t="s">
        <v>2541</v>
      </c>
      <c r="D848" s="82" t="s">
        <v>2542</v>
      </c>
      <c r="E848" s="82"/>
      <c r="F848" s="82"/>
      <c r="G848" s="82"/>
      <c r="H848" s="82"/>
      <c r="I848" s="82"/>
      <c r="J848" s="82"/>
      <c r="K848" s="23">
        <f>ROUND(27,2)</f>
        <v>27</v>
      </c>
      <c r="L848" s="24">
        <f>L853</f>
        <v>69.69</v>
      </c>
      <c r="M848" s="24">
        <f>ROUND(K848*L848,2)</f>
        <v>1881.63</v>
      </c>
    </row>
    <row r="849" spans="1:13" ht="48.75" customHeight="1" thickBot="1" x14ac:dyDescent="0.25">
      <c r="A849" s="25"/>
      <c r="B849" s="25"/>
      <c r="C849" s="25"/>
      <c r="D849" s="82" t="s">
        <v>2543</v>
      </c>
      <c r="E849" s="82"/>
      <c r="F849" s="82"/>
      <c r="G849" s="82"/>
      <c r="H849" s="82"/>
      <c r="I849" s="82"/>
      <c r="J849" s="82"/>
      <c r="K849" s="82"/>
      <c r="L849" s="82"/>
      <c r="M849" s="82"/>
    </row>
    <row r="850" spans="1:13" ht="15" customHeight="1" thickBot="1" x14ac:dyDescent="0.25">
      <c r="A850" s="5" t="s">
        <v>2544</v>
      </c>
      <c r="B850" s="5" t="s">
        <v>2545</v>
      </c>
      <c r="C850" s="5" t="s">
        <v>2546</v>
      </c>
      <c r="D850" s="82" t="s">
        <v>2547</v>
      </c>
      <c r="E850" s="82"/>
      <c r="F850" s="82"/>
      <c r="G850" s="82"/>
      <c r="H850" s="82"/>
      <c r="I850" s="82"/>
      <c r="J850" s="82"/>
      <c r="K850" s="23">
        <v>0.90400000000000003</v>
      </c>
      <c r="L850" s="23">
        <f>ROUND(18.24,3)</f>
        <v>18.239999999999998</v>
      </c>
      <c r="M850" s="24">
        <f>ROUND(K850*L850,2)</f>
        <v>16.489999999999998</v>
      </c>
    </row>
    <row r="851" spans="1:13" ht="15" customHeight="1" thickBot="1" x14ac:dyDescent="0.25">
      <c r="A851" s="5" t="s">
        <v>2548</v>
      </c>
      <c r="B851" s="5" t="s">
        <v>2549</v>
      </c>
      <c r="C851" s="5" t="s">
        <v>2550</v>
      </c>
      <c r="D851" s="82" t="s">
        <v>2551</v>
      </c>
      <c r="E851" s="82"/>
      <c r="F851" s="82"/>
      <c r="G851" s="82"/>
      <c r="H851" s="82"/>
      <c r="I851" s="82"/>
      <c r="J851" s="82"/>
      <c r="K851" s="23">
        <v>0.90400000000000003</v>
      </c>
      <c r="L851" s="23">
        <f>ROUND(16.4,3)</f>
        <v>16.399999999999999</v>
      </c>
      <c r="M851" s="24">
        <f>ROUND(K851*L851,2)</f>
        <v>14.83</v>
      </c>
    </row>
    <row r="852" spans="1:13" ht="15" customHeight="1" thickBot="1" x14ac:dyDescent="0.25">
      <c r="A852" s="5" t="s">
        <v>2552</v>
      </c>
      <c r="B852" s="5" t="s">
        <v>2553</v>
      </c>
      <c r="C852" s="5" t="s">
        <v>2554</v>
      </c>
      <c r="D852" s="82" t="s">
        <v>2555</v>
      </c>
      <c r="E852" s="82"/>
      <c r="F852" s="82"/>
      <c r="G852" s="82"/>
      <c r="H852" s="82"/>
      <c r="I852" s="82"/>
      <c r="J852" s="82"/>
      <c r="K852" s="23">
        <v>1</v>
      </c>
      <c r="L852" s="23">
        <f>ROUND(36.34,3)</f>
        <v>36.340000000000003</v>
      </c>
      <c r="M852" s="24">
        <f>ROUND(K852*L852,2)</f>
        <v>36.340000000000003</v>
      </c>
    </row>
    <row r="853" spans="1:13" ht="15.25" customHeight="1" thickBot="1" x14ac:dyDescent="0.25">
      <c r="A853" s="26"/>
      <c r="B853" s="26"/>
      <c r="C853" s="26"/>
      <c r="D853" s="27" t="s">
        <v>2556</v>
      </c>
      <c r="E853" s="26"/>
      <c r="F853" s="26"/>
      <c r="G853" s="26"/>
      <c r="H853" s="26"/>
      <c r="I853" s="26"/>
      <c r="J853" s="26"/>
      <c r="K853" s="28">
        <v>27</v>
      </c>
      <c r="L853" s="29">
        <f>ROUND((M850+M851+M852)*(1+M2/100),2)</f>
        <v>69.69</v>
      </c>
      <c r="M853" s="29">
        <f>ROUND(K853*L853,2)</f>
        <v>1881.63</v>
      </c>
    </row>
    <row r="854" spans="1:13" ht="15.25" customHeight="1" thickBot="1" x14ac:dyDescent="0.25">
      <c r="A854" s="30" t="s">
        <v>2557</v>
      </c>
      <c r="B854" s="31" t="s">
        <v>2558</v>
      </c>
      <c r="C854" s="31" t="s">
        <v>2559</v>
      </c>
      <c r="D854" s="83" t="s">
        <v>2560</v>
      </c>
      <c r="E854" s="83"/>
      <c r="F854" s="83"/>
      <c r="G854" s="83"/>
      <c r="H854" s="83"/>
      <c r="I854" s="83"/>
      <c r="J854" s="83"/>
      <c r="K854" s="32">
        <f>ROUND(4,2)</f>
        <v>4</v>
      </c>
      <c r="L854" s="33">
        <f>ROUND(109.466*(1+M2/100),2)</f>
        <v>112.75</v>
      </c>
      <c r="M854" s="33">
        <f>ROUND(K854*L854,2)</f>
        <v>451</v>
      </c>
    </row>
    <row r="855" spans="1:13" ht="58" customHeight="1" thickBot="1" x14ac:dyDescent="0.25">
      <c r="A855" s="25"/>
      <c r="B855" s="25"/>
      <c r="C855" s="25"/>
      <c r="D855" s="82" t="s">
        <v>2561</v>
      </c>
      <c r="E855" s="82"/>
      <c r="F855" s="82"/>
      <c r="G855" s="82"/>
      <c r="H855" s="82"/>
      <c r="I855" s="82"/>
      <c r="J855" s="82"/>
      <c r="K855" s="82"/>
      <c r="L855" s="82"/>
      <c r="M855" s="82"/>
    </row>
    <row r="856" spans="1:13" ht="15.25" customHeight="1" thickBot="1" x14ac:dyDescent="0.25">
      <c r="A856" s="10" t="s">
        <v>2562</v>
      </c>
      <c r="B856" s="5" t="s">
        <v>2563</v>
      </c>
      <c r="C856" s="5" t="s">
        <v>2564</v>
      </c>
      <c r="D856" s="82" t="s">
        <v>2565</v>
      </c>
      <c r="E856" s="82"/>
      <c r="F856" s="82"/>
      <c r="G856" s="82"/>
      <c r="H856" s="82"/>
      <c r="I856" s="82"/>
      <c r="J856" s="82"/>
      <c r="K856" s="23">
        <f>ROUND(1,2)</f>
        <v>1</v>
      </c>
      <c r="L856" s="24">
        <f>ROUND(130.544*(1+M2/100),2)</f>
        <v>134.46</v>
      </c>
      <c r="M856" s="24">
        <f>ROUND(K856*L856,2)</f>
        <v>134.46</v>
      </c>
    </row>
    <row r="857" spans="1:13" ht="48.75" customHeight="1" thickBot="1" x14ac:dyDescent="0.25">
      <c r="A857" s="25"/>
      <c r="B857" s="25"/>
      <c r="C857" s="25"/>
      <c r="D857" s="82" t="s">
        <v>2566</v>
      </c>
      <c r="E857" s="82"/>
      <c r="F857" s="82"/>
      <c r="G857" s="82"/>
      <c r="H857" s="82"/>
      <c r="I857" s="82"/>
      <c r="J857" s="82"/>
      <c r="K857" s="82"/>
      <c r="L857" s="82"/>
      <c r="M857" s="82"/>
    </row>
    <row r="858" spans="1:13" ht="15.25" customHeight="1" thickBot="1" x14ac:dyDescent="0.25">
      <c r="A858" s="10" t="s">
        <v>2567</v>
      </c>
      <c r="B858" s="5" t="s">
        <v>2568</v>
      </c>
      <c r="C858" s="5" t="s">
        <v>2569</v>
      </c>
      <c r="D858" s="82" t="s">
        <v>2570</v>
      </c>
      <c r="E858" s="82"/>
      <c r="F858" s="82"/>
      <c r="G858" s="82"/>
      <c r="H858" s="82"/>
      <c r="I858" s="82"/>
      <c r="J858" s="82"/>
      <c r="K858" s="23">
        <f>ROUND(1,2)</f>
        <v>1</v>
      </c>
      <c r="L858" s="24">
        <f>ROUND(151.32*(1+M2/100),2)</f>
        <v>155.86000000000001</v>
      </c>
      <c r="M858" s="24">
        <f>ROUND(K858*L858,2)</f>
        <v>155.86000000000001</v>
      </c>
    </row>
    <row r="859" spans="1:13" ht="48.75" customHeight="1" thickBot="1" x14ac:dyDescent="0.25">
      <c r="A859" s="25"/>
      <c r="B859" s="25"/>
      <c r="C859" s="25"/>
      <c r="D859" s="82" t="s">
        <v>2571</v>
      </c>
      <c r="E859" s="82"/>
      <c r="F859" s="82"/>
      <c r="G859" s="82"/>
      <c r="H859" s="82"/>
      <c r="I859" s="82"/>
      <c r="J859" s="82"/>
      <c r="K859" s="82"/>
      <c r="L859" s="82"/>
      <c r="M859" s="82"/>
    </row>
    <row r="860" spans="1:13" ht="15.25" customHeight="1" thickBot="1" x14ac:dyDescent="0.25">
      <c r="A860" s="10" t="s">
        <v>2572</v>
      </c>
      <c r="B860" s="5" t="s">
        <v>2573</v>
      </c>
      <c r="C860" s="5" t="s">
        <v>2574</v>
      </c>
      <c r="D860" s="82" t="s">
        <v>2575</v>
      </c>
      <c r="E860" s="82"/>
      <c r="F860" s="82"/>
      <c r="G860" s="82"/>
      <c r="H860" s="82"/>
      <c r="I860" s="82"/>
      <c r="J860" s="82"/>
      <c r="K860" s="23">
        <f>ROUND(3,2)</f>
        <v>3</v>
      </c>
      <c r="L860" s="24">
        <f>ROUND(486.194*(1+M2/100),2)</f>
        <v>500.78</v>
      </c>
      <c r="M860" s="24">
        <f>ROUND(K860*L860,2)</f>
        <v>1502.34</v>
      </c>
    </row>
    <row r="861" spans="1:13" ht="48.75" customHeight="1" thickBot="1" x14ac:dyDescent="0.25">
      <c r="A861" s="25"/>
      <c r="B861" s="25"/>
      <c r="C861" s="25"/>
      <c r="D861" s="82" t="s">
        <v>2576</v>
      </c>
      <c r="E861" s="82"/>
      <c r="F861" s="82"/>
      <c r="G861" s="82"/>
      <c r="H861" s="82"/>
      <c r="I861" s="82"/>
      <c r="J861" s="82"/>
      <c r="K861" s="82"/>
      <c r="L861" s="82"/>
      <c r="M861" s="82"/>
    </row>
    <row r="862" spans="1:13" ht="15.25" customHeight="1" thickBot="1" x14ac:dyDescent="0.25">
      <c r="A862" s="10" t="s">
        <v>2577</v>
      </c>
      <c r="B862" s="5" t="s">
        <v>2578</v>
      </c>
      <c r="C862" s="5" t="s">
        <v>2579</v>
      </c>
      <c r="D862" s="82" t="s">
        <v>2580</v>
      </c>
      <c r="E862" s="82"/>
      <c r="F862" s="82"/>
      <c r="G862" s="82"/>
      <c r="H862" s="82"/>
      <c r="I862" s="82"/>
      <c r="J862" s="82"/>
      <c r="K862" s="23">
        <f>ROUND(1,2)</f>
        <v>1</v>
      </c>
      <c r="L862" s="24">
        <f>ROUND(821.087*(1+M2/100),2)</f>
        <v>845.72</v>
      </c>
      <c r="M862" s="24">
        <f>ROUND(K862*L862,2)</f>
        <v>845.72</v>
      </c>
    </row>
    <row r="863" spans="1:13" ht="58" customHeight="1" thickBot="1" x14ac:dyDescent="0.25">
      <c r="A863" s="25"/>
      <c r="B863" s="25"/>
      <c r="C863" s="25"/>
      <c r="D863" s="82" t="s">
        <v>2581</v>
      </c>
      <c r="E863" s="82"/>
      <c r="F863" s="82"/>
      <c r="G863" s="82"/>
      <c r="H863" s="82"/>
      <c r="I863" s="82"/>
      <c r="J863" s="82"/>
      <c r="K863" s="82"/>
      <c r="L863" s="82"/>
      <c r="M863" s="82"/>
    </row>
    <row r="864" spans="1:13" ht="15.25" customHeight="1" thickBot="1" x14ac:dyDescent="0.25">
      <c r="A864" s="10" t="s">
        <v>2582</v>
      </c>
      <c r="B864" s="5" t="s">
        <v>2583</v>
      </c>
      <c r="C864" s="5" t="s">
        <v>2584</v>
      </c>
      <c r="D864" s="82" t="s">
        <v>2585</v>
      </c>
      <c r="E864" s="82"/>
      <c r="F864" s="82"/>
      <c r="G864" s="82"/>
      <c r="H864" s="82"/>
      <c r="I864" s="82"/>
      <c r="J864" s="82"/>
      <c r="K864" s="23">
        <f>ROUND(2,2)</f>
        <v>2</v>
      </c>
      <c r="L864" s="24">
        <f>L869</f>
        <v>69.69</v>
      </c>
      <c r="M864" s="24">
        <f>ROUND(K864*L864,2)</f>
        <v>139.38</v>
      </c>
    </row>
    <row r="865" spans="1:13" ht="48.75" customHeight="1" thickBot="1" x14ac:dyDescent="0.25">
      <c r="A865" s="25"/>
      <c r="B865" s="25"/>
      <c r="C865" s="25"/>
      <c r="D865" s="82" t="s">
        <v>2586</v>
      </c>
      <c r="E865" s="82"/>
      <c r="F865" s="82"/>
      <c r="G865" s="82"/>
      <c r="H865" s="82"/>
      <c r="I865" s="82"/>
      <c r="J865" s="82"/>
      <c r="K865" s="82"/>
      <c r="L865" s="82"/>
      <c r="M865" s="82"/>
    </row>
    <row r="866" spans="1:13" ht="15" customHeight="1" thickBot="1" x14ac:dyDescent="0.25">
      <c r="A866" s="5" t="s">
        <v>2587</v>
      </c>
      <c r="B866" s="5" t="s">
        <v>2588</v>
      </c>
      <c r="C866" s="5" t="s">
        <v>2589</v>
      </c>
      <c r="D866" s="82" t="s">
        <v>2590</v>
      </c>
      <c r="E866" s="82"/>
      <c r="F866" s="82"/>
      <c r="G866" s="82"/>
      <c r="H866" s="82"/>
      <c r="I866" s="82"/>
      <c r="J866" s="82"/>
      <c r="K866" s="23">
        <v>0.90400000000000003</v>
      </c>
      <c r="L866" s="23">
        <f>ROUND(18.24,3)</f>
        <v>18.239999999999998</v>
      </c>
      <c r="M866" s="24">
        <f>ROUND(K866*L866,2)</f>
        <v>16.489999999999998</v>
      </c>
    </row>
    <row r="867" spans="1:13" ht="15" customHeight="1" thickBot="1" x14ac:dyDescent="0.25">
      <c r="A867" s="5" t="s">
        <v>2591</v>
      </c>
      <c r="B867" s="5" t="s">
        <v>2592</v>
      </c>
      <c r="C867" s="5" t="s">
        <v>2593</v>
      </c>
      <c r="D867" s="82" t="s">
        <v>2594</v>
      </c>
      <c r="E867" s="82"/>
      <c r="F867" s="82"/>
      <c r="G867" s="82"/>
      <c r="H867" s="82"/>
      <c r="I867" s="82"/>
      <c r="J867" s="82"/>
      <c r="K867" s="23">
        <v>0.90400000000000003</v>
      </c>
      <c r="L867" s="23">
        <f>ROUND(16.4,3)</f>
        <v>16.399999999999999</v>
      </c>
      <c r="M867" s="24">
        <f>ROUND(K867*L867,2)</f>
        <v>14.83</v>
      </c>
    </row>
    <row r="868" spans="1:13" ht="15" customHeight="1" thickBot="1" x14ac:dyDescent="0.25">
      <c r="A868" s="5" t="s">
        <v>2595</v>
      </c>
      <c r="B868" s="5" t="s">
        <v>2596</v>
      </c>
      <c r="C868" s="5" t="s">
        <v>2597</v>
      </c>
      <c r="D868" s="82" t="s">
        <v>2598</v>
      </c>
      <c r="E868" s="82"/>
      <c r="F868" s="82"/>
      <c r="G868" s="82"/>
      <c r="H868" s="82"/>
      <c r="I868" s="82"/>
      <c r="J868" s="82"/>
      <c r="K868" s="23">
        <v>1</v>
      </c>
      <c r="L868" s="23">
        <f>ROUND(36.34,3)</f>
        <v>36.340000000000003</v>
      </c>
      <c r="M868" s="24">
        <f>ROUND(K868*L868,2)</f>
        <v>36.340000000000003</v>
      </c>
    </row>
    <row r="869" spans="1:13" ht="15.25" customHeight="1" thickBot="1" x14ac:dyDescent="0.25">
      <c r="A869" s="26"/>
      <c r="B869" s="26"/>
      <c r="C869" s="26"/>
      <c r="D869" s="27" t="s">
        <v>2599</v>
      </c>
      <c r="E869" s="26"/>
      <c r="F869" s="26"/>
      <c r="G869" s="26"/>
      <c r="H869" s="26"/>
      <c r="I869" s="26"/>
      <c r="J869" s="26"/>
      <c r="K869" s="28">
        <v>2</v>
      </c>
      <c r="L869" s="29">
        <f>ROUND((M866+M867+M868)*(1+M2/100),2)</f>
        <v>69.69</v>
      </c>
      <c r="M869" s="29">
        <f>ROUND(K869*L869,2)</f>
        <v>139.38</v>
      </c>
    </row>
    <row r="870" spans="1:13" ht="15.25" customHeight="1" thickBot="1" x14ac:dyDescent="0.25">
      <c r="A870" s="30" t="s">
        <v>2600</v>
      </c>
      <c r="B870" s="31" t="s">
        <v>2601</v>
      </c>
      <c r="C870" s="31" t="s">
        <v>2602</v>
      </c>
      <c r="D870" s="83" t="s">
        <v>2603</v>
      </c>
      <c r="E870" s="83"/>
      <c r="F870" s="83"/>
      <c r="G870" s="83"/>
      <c r="H870" s="83"/>
      <c r="I870" s="83"/>
      <c r="J870" s="83"/>
      <c r="K870" s="32">
        <f>ROUND(1,2)</f>
        <v>1</v>
      </c>
      <c r="L870" s="33">
        <f>L875</f>
        <v>69.69</v>
      </c>
      <c r="M870" s="33">
        <f>ROUND(K870*L870,2)</f>
        <v>69.69</v>
      </c>
    </row>
    <row r="871" spans="1:13" ht="48.75" customHeight="1" thickBot="1" x14ac:dyDescent="0.25">
      <c r="A871" s="25"/>
      <c r="B871" s="25"/>
      <c r="C871" s="25"/>
      <c r="D871" s="82" t="s">
        <v>2604</v>
      </c>
      <c r="E871" s="82"/>
      <c r="F871" s="82"/>
      <c r="G871" s="82"/>
      <c r="H871" s="82"/>
      <c r="I871" s="82"/>
      <c r="J871" s="82"/>
      <c r="K871" s="82"/>
      <c r="L871" s="82"/>
      <c r="M871" s="82"/>
    </row>
    <row r="872" spans="1:13" ht="15" customHeight="1" thickBot="1" x14ac:dyDescent="0.25">
      <c r="A872" s="5" t="s">
        <v>2605</v>
      </c>
      <c r="B872" s="5" t="s">
        <v>2606</v>
      </c>
      <c r="C872" s="5" t="s">
        <v>2607</v>
      </c>
      <c r="D872" s="82" t="s">
        <v>2608</v>
      </c>
      <c r="E872" s="82"/>
      <c r="F872" s="82"/>
      <c r="G872" s="82"/>
      <c r="H872" s="82"/>
      <c r="I872" s="82"/>
      <c r="J872" s="82"/>
      <c r="K872" s="23">
        <v>0.90400000000000003</v>
      </c>
      <c r="L872" s="23">
        <f>ROUND(18.24,3)</f>
        <v>18.239999999999998</v>
      </c>
      <c r="M872" s="24">
        <f>ROUND(K872*L872,2)</f>
        <v>16.489999999999998</v>
      </c>
    </row>
    <row r="873" spans="1:13" ht="15" customHeight="1" thickBot="1" x14ac:dyDescent="0.25">
      <c r="A873" s="5" t="s">
        <v>2609</v>
      </c>
      <c r="B873" s="5" t="s">
        <v>2610</v>
      </c>
      <c r="C873" s="5" t="s">
        <v>2611</v>
      </c>
      <c r="D873" s="82" t="s">
        <v>2612</v>
      </c>
      <c r="E873" s="82"/>
      <c r="F873" s="82"/>
      <c r="G873" s="82"/>
      <c r="H873" s="82"/>
      <c r="I873" s="82"/>
      <c r="J873" s="82"/>
      <c r="K873" s="23">
        <v>0.90400000000000003</v>
      </c>
      <c r="L873" s="23">
        <f>ROUND(16.4,3)</f>
        <v>16.399999999999999</v>
      </c>
      <c r="M873" s="24">
        <f>ROUND(K873*L873,2)</f>
        <v>14.83</v>
      </c>
    </row>
    <row r="874" spans="1:13" ht="15" customHeight="1" thickBot="1" x14ac:dyDescent="0.25">
      <c r="A874" s="5" t="s">
        <v>2613</v>
      </c>
      <c r="B874" s="5" t="s">
        <v>2614</v>
      </c>
      <c r="C874" s="5" t="s">
        <v>2615</v>
      </c>
      <c r="D874" s="82" t="s">
        <v>2616</v>
      </c>
      <c r="E874" s="82"/>
      <c r="F874" s="82"/>
      <c r="G874" s="82"/>
      <c r="H874" s="82"/>
      <c r="I874" s="82"/>
      <c r="J874" s="82"/>
      <c r="K874" s="23">
        <v>1</v>
      </c>
      <c r="L874" s="23">
        <f>ROUND(36.34,3)</f>
        <v>36.340000000000003</v>
      </c>
      <c r="M874" s="24">
        <f>ROUND(K874*L874,2)</f>
        <v>36.340000000000003</v>
      </c>
    </row>
    <row r="875" spans="1:13" ht="15.25" customHeight="1" thickBot="1" x14ac:dyDescent="0.25">
      <c r="A875" s="26"/>
      <c r="B875" s="26"/>
      <c r="C875" s="26"/>
      <c r="D875" s="27" t="s">
        <v>2617</v>
      </c>
      <c r="E875" s="26"/>
      <c r="F875" s="26"/>
      <c r="G875" s="26"/>
      <c r="H875" s="26"/>
      <c r="I875" s="26"/>
      <c r="J875" s="26"/>
      <c r="K875" s="28">
        <v>1</v>
      </c>
      <c r="L875" s="29">
        <f>ROUND((M872+M873+M874)*(1+M2/100),2)</f>
        <v>69.69</v>
      </c>
      <c r="M875" s="29">
        <f>ROUND(K875*L875,2)</f>
        <v>69.69</v>
      </c>
    </row>
    <row r="876" spans="1:13" ht="15.25" customHeight="1" thickBot="1" x14ac:dyDescent="0.25">
      <c r="A876" s="30" t="s">
        <v>2618</v>
      </c>
      <c r="B876" s="31" t="s">
        <v>2619</v>
      </c>
      <c r="C876" s="31" t="s">
        <v>2620</v>
      </c>
      <c r="D876" s="83" t="s">
        <v>2621</v>
      </c>
      <c r="E876" s="83"/>
      <c r="F876" s="83"/>
      <c r="G876" s="83"/>
      <c r="H876" s="83"/>
      <c r="I876" s="83"/>
      <c r="J876" s="83"/>
      <c r="K876" s="32">
        <f>ROUND(1,2)</f>
        <v>1</v>
      </c>
      <c r="L876" s="33">
        <f>L881</f>
        <v>69.69</v>
      </c>
      <c r="M876" s="33">
        <f>ROUND(K876*L876,2)</f>
        <v>69.69</v>
      </c>
    </row>
    <row r="877" spans="1:13" ht="58" customHeight="1" thickBot="1" x14ac:dyDescent="0.25">
      <c r="A877" s="25"/>
      <c r="B877" s="25"/>
      <c r="C877" s="25"/>
      <c r="D877" s="82" t="s">
        <v>2622</v>
      </c>
      <c r="E877" s="82"/>
      <c r="F877" s="82"/>
      <c r="G877" s="82"/>
      <c r="H877" s="82"/>
      <c r="I877" s="82"/>
      <c r="J877" s="82"/>
      <c r="K877" s="82"/>
      <c r="L877" s="82"/>
      <c r="M877" s="82"/>
    </row>
    <row r="878" spans="1:13" ht="15" customHeight="1" thickBot="1" x14ac:dyDescent="0.25">
      <c r="A878" s="5" t="s">
        <v>2623</v>
      </c>
      <c r="B878" s="5" t="s">
        <v>2624</v>
      </c>
      <c r="C878" s="5" t="s">
        <v>2625</v>
      </c>
      <c r="D878" s="82" t="s">
        <v>2626</v>
      </c>
      <c r="E878" s="82"/>
      <c r="F878" s="82"/>
      <c r="G878" s="82"/>
      <c r="H878" s="82"/>
      <c r="I878" s="82"/>
      <c r="J878" s="82"/>
      <c r="K878" s="23">
        <v>0.90400000000000003</v>
      </c>
      <c r="L878" s="23">
        <f>ROUND(18.24,3)</f>
        <v>18.239999999999998</v>
      </c>
      <c r="M878" s="24">
        <f>ROUND(K878*L878,2)</f>
        <v>16.489999999999998</v>
      </c>
    </row>
    <row r="879" spans="1:13" ht="15" customHeight="1" thickBot="1" x14ac:dyDescent="0.25">
      <c r="A879" s="5" t="s">
        <v>2627</v>
      </c>
      <c r="B879" s="5" t="s">
        <v>2628</v>
      </c>
      <c r="C879" s="5" t="s">
        <v>2629</v>
      </c>
      <c r="D879" s="82" t="s">
        <v>2630</v>
      </c>
      <c r="E879" s="82"/>
      <c r="F879" s="82"/>
      <c r="G879" s="82"/>
      <c r="H879" s="82"/>
      <c r="I879" s="82"/>
      <c r="J879" s="82"/>
      <c r="K879" s="23">
        <v>0.90400000000000003</v>
      </c>
      <c r="L879" s="23">
        <f>ROUND(16.4,3)</f>
        <v>16.399999999999999</v>
      </c>
      <c r="M879" s="24">
        <f>ROUND(K879*L879,2)</f>
        <v>14.83</v>
      </c>
    </row>
    <row r="880" spans="1:13" ht="15" customHeight="1" thickBot="1" x14ac:dyDescent="0.25">
      <c r="A880" s="5" t="s">
        <v>2631</v>
      </c>
      <c r="B880" s="5" t="s">
        <v>2632</v>
      </c>
      <c r="C880" s="5" t="s">
        <v>2633</v>
      </c>
      <c r="D880" s="82" t="s">
        <v>2634</v>
      </c>
      <c r="E880" s="82"/>
      <c r="F880" s="82"/>
      <c r="G880" s="82"/>
      <c r="H880" s="82"/>
      <c r="I880" s="82"/>
      <c r="J880" s="82"/>
      <c r="K880" s="23">
        <v>1</v>
      </c>
      <c r="L880" s="23">
        <f>ROUND(36.34,3)</f>
        <v>36.340000000000003</v>
      </c>
      <c r="M880" s="24">
        <f>ROUND(K880*L880,2)</f>
        <v>36.340000000000003</v>
      </c>
    </row>
    <row r="881" spans="1:13" ht="15.25" customHeight="1" thickBot="1" x14ac:dyDescent="0.25">
      <c r="A881" s="26"/>
      <c r="B881" s="26"/>
      <c r="C881" s="26"/>
      <c r="D881" s="27" t="s">
        <v>2635</v>
      </c>
      <c r="E881" s="26"/>
      <c r="F881" s="26"/>
      <c r="G881" s="26"/>
      <c r="H881" s="26"/>
      <c r="I881" s="26"/>
      <c r="J881" s="26"/>
      <c r="K881" s="28">
        <v>1</v>
      </c>
      <c r="L881" s="29">
        <f>ROUND((M878+M879+M880)*(1+M2/100),2)</f>
        <v>69.69</v>
      </c>
      <c r="M881" s="29">
        <f>ROUND(K881*L881,2)</f>
        <v>69.69</v>
      </c>
    </row>
    <row r="882" spans="1:13" ht="21.25" customHeight="1" thickBot="1" x14ac:dyDescent="0.25">
      <c r="A882" s="30" t="s">
        <v>2636</v>
      </c>
      <c r="B882" s="31" t="s">
        <v>2637</v>
      </c>
      <c r="C882" s="31" t="s">
        <v>2638</v>
      </c>
      <c r="D882" s="83" t="s">
        <v>2639</v>
      </c>
      <c r="E882" s="83"/>
      <c r="F882" s="83"/>
      <c r="G882" s="83"/>
      <c r="H882" s="83"/>
      <c r="I882" s="83"/>
      <c r="J882" s="83"/>
      <c r="K882" s="32">
        <f>SUM(K885:K893)</f>
        <v>9</v>
      </c>
      <c r="L882" s="33">
        <f>L897</f>
        <v>69.69</v>
      </c>
      <c r="M882" s="33">
        <f>ROUND(K882*L882,2)</f>
        <v>627.21</v>
      </c>
    </row>
    <row r="883" spans="1:13" ht="58" customHeight="1" thickBot="1" x14ac:dyDescent="0.25">
      <c r="A883" s="25"/>
      <c r="B883" s="25"/>
      <c r="C883" s="25"/>
      <c r="D883" s="82" t="s">
        <v>2640</v>
      </c>
      <c r="E883" s="82"/>
      <c r="F883" s="82"/>
      <c r="G883" s="82"/>
      <c r="H883" s="82"/>
      <c r="I883" s="82"/>
      <c r="J883" s="82"/>
      <c r="K883" s="82"/>
      <c r="L883" s="82"/>
      <c r="M883" s="82"/>
    </row>
    <row r="884" spans="1:13" ht="15" customHeight="1" thickBot="1" x14ac:dyDescent="0.25">
      <c r="A884" s="25"/>
      <c r="B884" s="25"/>
      <c r="C884" s="25"/>
      <c r="D884" s="25"/>
      <c r="E884" s="41"/>
      <c r="F884" s="43" t="s">
        <v>2641</v>
      </c>
      <c r="G884" s="43" t="s">
        <v>2642</v>
      </c>
      <c r="H884" s="43" t="s">
        <v>2643</v>
      </c>
      <c r="I884" s="43" t="s">
        <v>2644</v>
      </c>
      <c r="J884" s="43" t="s">
        <v>2645</v>
      </c>
      <c r="K884" s="43" t="s">
        <v>2646</v>
      </c>
      <c r="L884" s="25"/>
      <c r="M884" s="25"/>
    </row>
    <row r="885" spans="1:13" ht="21.25" customHeight="1" thickBot="1" x14ac:dyDescent="0.25">
      <c r="A885" s="25"/>
      <c r="B885" s="25"/>
      <c r="C885" s="25"/>
      <c r="D885" s="44"/>
      <c r="E885" s="45" t="s">
        <v>2647</v>
      </c>
      <c r="F885" s="46">
        <v>1</v>
      </c>
      <c r="G885" s="47"/>
      <c r="H885" s="47"/>
      <c r="I885" s="47"/>
      <c r="J885" s="49">
        <f t="shared" ref="J885:J893" si="37">ROUND(F885,3)</f>
        <v>1</v>
      </c>
      <c r="K885" s="50"/>
      <c r="L885" s="25"/>
      <c r="M885" s="25"/>
    </row>
    <row r="886" spans="1:13" ht="21.25" customHeight="1" thickBot="1" x14ac:dyDescent="0.25">
      <c r="A886" s="25"/>
      <c r="B886" s="25"/>
      <c r="C886" s="25"/>
      <c r="D886" s="44"/>
      <c r="E886" s="5" t="s">
        <v>2648</v>
      </c>
      <c r="F886" s="3">
        <v>1</v>
      </c>
      <c r="G886" s="23"/>
      <c r="H886" s="23"/>
      <c r="I886" s="23"/>
      <c r="J886" s="48">
        <f t="shared" si="37"/>
        <v>1</v>
      </c>
      <c r="K886" s="25"/>
      <c r="L886" s="25"/>
      <c r="M886" s="25"/>
    </row>
    <row r="887" spans="1:13" ht="21.25" customHeight="1" thickBot="1" x14ac:dyDescent="0.25">
      <c r="A887" s="25"/>
      <c r="B887" s="25"/>
      <c r="C887" s="25"/>
      <c r="D887" s="44"/>
      <c r="E887" s="5" t="s">
        <v>2649</v>
      </c>
      <c r="F887" s="3">
        <v>1</v>
      </c>
      <c r="G887" s="23"/>
      <c r="H887" s="23"/>
      <c r="I887" s="23"/>
      <c r="J887" s="48">
        <f t="shared" si="37"/>
        <v>1</v>
      </c>
      <c r="K887" s="25"/>
      <c r="L887" s="25"/>
      <c r="M887" s="25"/>
    </row>
    <row r="888" spans="1:13" ht="21.25" customHeight="1" thickBot="1" x14ac:dyDescent="0.25">
      <c r="A888" s="25"/>
      <c r="B888" s="25"/>
      <c r="C888" s="25"/>
      <c r="D888" s="44"/>
      <c r="E888" s="5" t="s">
        <v>2650</v>
      </c>
      <c r="F888" s="3">
        <v>1</v>
      </c>
      <c r="G888" s="23"/>
      <c r="H888" s="23"/>
      <c r="I888" s="23"/>
      <c r="J888" s="48">
        <f t="shared" si="37"/>
        <v>1</v>
      </c>
      <c r="K888" s="25"/>
      <c r="L888" s="25"/>
      <c r="M888" s="25"/>
    </row>
    <row r="889" spans="1:13" ht="21.25" customHeight="1" thickBot="1" x14ac:dyDescent="0.25">
      <c r="A889" s="25"/>
      <c r="B889" s="25"/>
      <c r="C889" s="25"/>
      <c r="D889" s="44"/>
      <c r="E889" s="5" t="s">
        <v>2651</v>
      </c>
      <c r="F889" s="3">
        <v>1</v>
      </c>
      <c r="G889" s="23"/>
      <c r="H889" s="23"/>
      <c r="I889" s="23"/>
      <c r="J889" s="48">
        <f t="shared" si="37"/>
        <v>1</v>
      </c>
      <c r="K889" s="25"/>
      <c r="L889" s="25"/>
      <c r="M889" s="25"/>
    </row>
    <row r="890" spans="1:13" ht="21.25" customHeight="1" thickBot="1" x14ac:dyDescent="0.25">
      <c r="A890" s="25"/>
      <c r="B890" s="25"/>
      <c r="C890" s="25"/>
      <c r="D890" s="44"/>
      <c r="E890" s="5" t="s">
        <v>2652</v>
      </c>
      <c r="F890" s="3">
        <v>1</v>
      </c>
      <c r="G890" s="23"/>
      <c r="H890" s="23"/>
      <c r="I890" s="23"/>
      <c r="J890" s="48">
        <f t="shared" si="37"/>
        <v>1</v>
      </c>
      <c r="K890" s="25"/>
      <c r="L890" s="25"/>
      <c r="M890" s="25"/>
    </row>
    <row r="891" spans="1:13" ht="21.25" customHeight="1" thickBot="1" x14ac:dyDescent="0.25">
      <c r="A891" s="25"/>
      <c r="B891" s="25"/>
      <c r="C891" s="25"/>
      <c r="D891" s="44"/>
      <c r="E891" s="5" t="s">
        <v>2653</v>
      </c>
      <c r="F891" s="3">
        <v>1</v>
      </c>
      <c r="G891" s="23"/>
      <c r="H891" s="23"/>
      <c r="I891" s="23"/>
      <c r="J891" s="48">
        <f t="shared" si="37"/>
        <v>1</v>
      </c>
      <c r="K891" s="25"/>
      <c r="L891" s="25"/>
      <c r="M891" s="25"/>
    </row>
    <row r="892" spans="1:13" ht="15" customHeight="1" thickBot="1" x14ac:dyDescent="0.25">
      <c r="A892" s="25"/>
      <c r="B892" s="25"/>
      <c r="C892" s="25"/>
      <c r="D892" s="44"/>
      <c r="E892" s="5" t="s">
        <v>2654</v>
      </c>
      <c r="F892" s="3">
        <v>1</v>
      </c>
      <c r="G892" s="23"/>
      <c r="H892" s="23"/>
      <c r="I892" s="23"/>
      <c r="J892" s="48">
        <f t="shared" si="37"/>
        <v>1</v>
      </c>
      <c r="K892" s="25"/>
      <c r="L892" s="25"/>
      <c r="M892" s="25"/>
    </row>
    <row r="893" spans="1:13" ht="15" customHeight="1" thickBot="1" x14ac:dyDescent="0.25">
      <c r="A893" s="25"/>
      <c r="B893" s="25"/>
      <c r="C893" s="25"/>
      <c r="D893" s="44"/>
      <c r="E893" s="5" t="s">
        <v>2655</v>
      </c>
      <c r="F893" s="3">
        <v>1</v>
      </c>
      <c r="G893" s="23"/>
      <c r="H893" s="23"/>
      <c r="I893" s="23"/>
      <c r="J893" s="48">
        <f t="shared" si="37"/>
        <v>1</v>
      </c>
      <c r="K893" s="51">
        <f>SUM(J885:J893)</f>
        <v>9</v>
      </c>
      <c r="L893" s="25"/>
      <c r="M893" s="25"/>
    </row>
    <row r="894" spans="1:13" ht="15" customHeight="1" thickBot="1" x14ac:dyDescent="0.25">
      <c r="A894" s="5" t="s">
        <v>2656</v>
      </c>
      <c r="B894" s="5" t="s">
        <v>2657</v>
      </c>
      <c r="C894" s="5" t="s">
        <v>2658</v>
      </c>
      <c r="D894" s="82" t="s">
        <v>2659</v>
      </c>
      <c r="E894" s="82"/>
      <c r="F894" s="82"/>
      <c r="G894" s="82"/>
      <c r="H894" s="82"/>
      <c r="I894" s="82"/>
      <c r="J894" s="82"/>
      <c r="K894" s="23">
        <v>0.90400000000000003</v>
      </c>
      <c r="L894" s="23">
        <f>ROUND(18.24,3)</f>
        <v>18.239999999999998</v>
      </c>
      <c r="M894" s="24">
        <f>ROUND(K894*L894,2)</f>
        <v>16.489999999999998</v>
      </c>
    </row>
    <row r="895" spans="1:13" ht="15" customHeight="1" thickBot="1" x14ac:dyDescent="0.25">
      <c r="A895" s="5" t="s">
        <v>2660</v>
      </c>
      <c r="B895" s="5" t="s">
        <v>2661</v>
      </c>
      <c r="C895" s="5" t="s">
        <v>2662</v>
      </c>
      <c r="D895" s="82" t="s">
        <v>2663</v>
      </c>
      <c r="E895" s="82"/>
      <c r="F895" s="82"/>
      <c r="G895" s="82"/>
      <c r="H895" s="82"/>
      <c r="I895" s="82"/>
      <c r="J895" s="82"/>
      <c r="K895" s="23">
        <v>0.90400000000000003</v>
      </c>
      <c r="L895" s="23">
        <f>ROUND(16.4,3)</f>
        <v>16.399999999999999</v>
      </c>
      <c r="M895" s="24">
        <f>ROUND(K895*L895,2)</f>
        <v>14.83</v>
      </c>
    </row>
    <row r="896" spans="1:13" ht="15" customHeight="1" thickBot="1" x14ac:dyDescent="0.25">
      <c r="A896" s="5" t="s">
        <v>2664</v>
      </c>
      <c r="B896" s="5" t="s">
        <v>2665</v>
      </c>
      <c r="C896" s="5" t="s">
        <v>2666</v>
      </c>
      <c r="D896" s="82" t="s">
        <v>2667</v>
      </c>
      <c r="E896" s="82"/>
      <c r="F896" s="82"/>
      <c r="G896" s="82"/>
      <c r="H896" s="82"/>
      <c r="I896" s="82"/>
      <c r="J896" s="82"/>
      <c r="K896" s="23">
        <v>1</v>
      </c>
      <c r="L896" s="23">
        <f>ROUND(36.34,3)</f>
        <v>36.340000000000003</v>
      </c>
      <c r="M896" s="24">
        <f>ROUND(K896*L896,2)</f>
        <v>36.340000000000003</v>
      </c>
    </row>
    <row r="897" spans="1:13" ht="15.25" customHeight="1" thickBot="1" x14ac:dyDescent="0.25">
      <c r="A897" s="26"/>
      <c r="B897" s="26"/>
      <c r="C897" s="26"/>
      <c r="D897" s="27" t="s">
        <v>2668</v>
      </c>
      <c r="E897" s="26"/>
      <c r="F897" s="26"/>
      <c r="G897" s="26"/>
      <c r="H897" s="26"/>
      <c r="I897" s="26"/>
      <c r="J897" s="26"/>
      <c r="K897" s="28">
        <v>9</v>
      </c>
      <c r="L897" s="29">
        <f>ROUND((M894+M895+M896)*(1+M2/100),2)</f>
        <v>69.69</v>
      </c>
      <c r="M897" s="29">
        <f>ROUND(K897*L897,2)</f>
        <v>627.21</v>
      </c>
    </row>
    <row r="898" spans="1:13" ht="21.25" customHeight="1" thickBot="1" x14ac:dyDescent="0.25">
      <c r="A898" s="30" t="s">
        <v>2669</v>
      </c>
      <c r="B898" s="31" t="s">
        <v>2670</v>
      </c>
      <c r="C898" s="31" t="s">
        <v>2671</v>
      </c>
      <c r="D898" s="83" t="s">
        <v>2672</v>
      </c>
      <c r="E898" s="83"/>
      <c r="F898" s="83"/>
      <c r="G898" s="83"/>
      <c r="H898" s="83"/>
      <c r="I898" s="83"/>
      <c r="J898" s="83"/>
      <c r="K898" s="32">
        <f>SUM(K901:K901)</f>
        <v>4</v>
      </c>
      <c r="L898" s="33">
        <f>ROUND(109.466*(1+M2/100),2)</f>
        <v>112.75</v>
      </c>
      <c r="M898" s="33">
        <f>ROUND(K898*L898,2)</f>
        <v>451</v>
      </c>
    </row>
    <row r="899" spans="1:13" ht="58" customHeight="1" thickBot="1" x14ac:dyDescent="0.25">
      <c r="A899" s="25"/>
      <c r="B899" s="25"/>
      <c r="C899" s="25"/>
      <c r="D899" s="82" t="s">
        <v>2673</v>
      </c>
      <c r="E899" s="82"/>
      <c r="F899" s="82"/>
      <c r="G899" s="82"/>
      <c r="H899" s="82"/>
      <c r="I899" s="82"/>
      <c r="J899" s="82"/>
      <c r="K899" s="82"/>
      <c r="L899" s="82"/>
      <c r="M899" s="82"/>
    </row>
    <row r="900" spans="1:13" ht="15" customHeight="1" thickBot="1" x14ac:dyDescent="0.25">
      <c r="A900" s="25"/>
      <c r="B900" s="25"/>
      <c r="C900" s="25"/>
      <c r="D900" s="25"/>
      <c r="E900" s="41"/>
      <c r="F900" s="43" t="s">
        <v>2674</v>
      </c>
      <c r="G900" s="43" t="s">
        <v>2675</v>
      </c>
      <c r="H900" s="43" t="s">
        <v>2676</v>
      </c>
      <c r="I900" s="43" t="s">
        <v>2677</v>
      </c>
      <c r="J900" s="43" t="s">
        <v>2678</v>
      </c>
      <c r="K900" s="43" t="s">
        <v>2679</v>
      </c>
      <c r="L900" s="25"/>
      <c r="M900" s="25"/>
    </row>
    <row r="901" spans="1:13" ht="21.25" customHeight="1" thickBot="1" x14ac:dyDescent="0.25">
      <c r="A901" s="25"/>
      <c r="B901" s="25"/>
      <c r="C901" s="25"/>
      <c r="D901" s="44"/>
      <c r="E901" s="45" t="s">
        <v>2680</v>
      </c>
      <c r="F901" s="46">
        <v>4</v>
      </c>
      <c r="G901" s="47"/>
      <c r="H901" s="47"/>
      <c r="I901" s="47"/>
      <c r="J901" s="49">
        <f>ROUND(F901,3)</f>
        <v>4</v>
      </c>
      <c r="K901" s="58">
        <f>SUM(J901:J901)</f>
        <v>4</v>
      </c>
      <c r="L901" s="25"/>
      <c r="M901" s="25"/>
    </row>
    <row r="902" spans="1:13" ht="15.25" customHeight="1" thickBot="1" x14ac:dyDescent="0.25">
      <c r="A902" s="26"/>
      <c r="B902" s="26"/>
      <c r="C902" s="26"/>
      <c r="D902" s="65" t="s">
        <v>2681</v>
      </c>
      <c r="E902" s="66"/>
      <c r="F902" s="66"/>
      <c r="G902" s="66"/>
      <c r="H902" s="66"/>
      <c r="I902" s="66"/>
      <c r="J902" s="66"/>
      <c r="K902" s="66"/>
      <c r="L902" s="67">
        <f>M834+M836+M840+M846+M848+M854+M856+M858+M860+M862+M864+M870+M876+M882+M898</f>
        <v>15311.84</v>
      </c>
      <c r="M902" s="67">
        <f>ROUND(L902,2)</f>
        <v>15311.84</v>
      </c>
    </row>
    <row r="903" spans="1:13" ht="15.25" customHeight="1" thickBot="1" x14ac:dyDescent="0.25">
      <c r="A903" s="38" t="s">
        <v>2682</v>
      </c>
      <c r="B903" s="38" t="s">
        <v>2683</v>
      </c>
      <c r="C903" s="39"/>
      <c r="D903" s="84" t="s">
        <v>2684</v>
      </c>
      <c r="E903" s="84"/>
      <c r="F903" s="84"/>
      <c r="G903" s="84"/>
      <c r="H903" s="84"/>
      <c r="I903" s="84"/>
      <c r="J903" s="84"/>
      <c r="K903" s="39"/>
      <c r="L903" s="40">
        <f>L997</f>
        <v>16233.68</v>
      </c>
      <c r="M903" s="40">
        <f>ROUND(L903,2)</f>
        <v>16233.68</v>
      </c>
    </row>
    <row r="904" spans="1:13" ht="15.25" customHeight="1" thickBot="1" x14ac:dyDescent="0.25">
      <c r="A904" s="10" t="s">
        <v>2685</v>
      </c>
      <c r="B904" s="5" t="s">
        <v>2686</v>
      </c>
      <c r="C904" s="5" t="s">
        <v>2687</v>
      </c>
      <c r="D904" s="82" t="s">
        <v>2688</v>
      </c>
      <c r="E904" s="82"/>
      <c r="F904" s="82"/>
      <c r="G904" s="82"/>
      <c r="H904" s="82"/>
      <c r="I904" s="82"/>
      <c r="J904" s="82"/>
      <c r="K904" s="23">
        <f>ROUND(1,2)</f>
        <v>1</v>
      </c>
      <c r="L904" s="24">
        <f>ROUND(572.796*(1+M2/100),2)</f>
        <v>589.98</v>
      </c>
      <c r="M904" s="24">
        <f>ROUND(K904*L904,2)</f>
        <v>589.98</v>
      </c>
    </row>
    <row r="905" spans="1:13" ht="30.5" customHeight="1" thickBot="1" x14ac:dyDescent="0.25">
      <c r="A905" s="25"/>
      <c r="B905" s="25"/>
      <c r="C905" s="25"/>
      <c r="D905" s="82" t="s">
        <v>2689</v>
      </c>
      <c r="E905" s="82"/>
      <c r="F905" s="82"/>
      <c r="G905" s="82"/>
      <c r="H905" s="82"/>
      <c r="I905" s="82"/>
      <c r="J905" s="82"/>
      <c r="K905" s="82"/>
      <c r="L905" s="82"/>
      <c r="M905" s="82"/>
    </row>
    <row r="906" spans="1:13" ht="15.25" customHeight="1" thickBot="1" x14ac:dyDescent="0.25">
      <c r="A906" s="10" t="s">
        <v>2690</v>
      </c>
      <c r="B906" s="5" t="s">
        <v>2691</v>
      </c>
      <c r="C906" s="5" t="s">
        <v>2692</v>
      </c>
      <c r="D906" s="82" t="s">
        <v>2693</v>
      </c>
      <c r="E906" s="82"/>
      <c r="F906" s="82"/>
      <c r="G906" s="82"/>
      <c r="H906" s="82"/>
      <c r="I906" s="82"/>
      <c r="J906" s="82"/>
      <c r="K906" s="23">
        <f>ROUND(6,2)</f>
        <v>6</v>
      </c>
      <c r="L906" s="24">
        <f>L911</f>
        <v>70.459999999999994</v>
      </c>
      <c r="M906" s="24">
        <f>ROUND(K906*L906,2)</f>
        <v>422.76</v>
      </c>
    </row>
    <row r="907" spans="1:13" ht="21.25" customHeight="1" thickBot="1" x14ac:dyDescent="0.25">
      <c r="A907" s="25"/>
      <c r="B907" s="25"/>
      <c r="C907" s="25"/>
      <c r="D907" s="82" t="s">
        <v>2694</v>
      </c>
      <c r="E907" s="82"/>
      <c r="F907" s="82"/>
      <c r="G907" s="82"/>
      <c r="H907" s="82"/>
      <c r="I907" s="82"/>
      <c r="J907" s="82"/>
      <c r="K907" s="82"/>
      <c r="L907" s="82"/>
      <c r="M907" s="82"/>
    </row>
    <row r="908" spans="1:13" ht="30.5" customHeight="1" thickBot="1" x14ac:dyDescent="0.25">
      <c r="A908" s="5" t="s">
        <v>2695</v>
      </c>
      <c r="B908" s="5" t="s">
        <v>2696</v>
      </c>
      <c r="C908" s="5" t="s">
        <v>2697</v>
      </c>
      <c r="D908" s="82" t="s">
        <v>2698</v>
      </c>
      <c r="E908" s="82"/>
      <c r="F908" s="82"/>
      <c r="G908" s="82"/>
      <c r="H908" s="82"/>
      <c r="I908" s="82"/>
      <c r="J908" s="82"/>
      <c r="K908" s="23">
        <v>1</v>
      </c>
      <c r="L908" s="23">
        <f>ROUND(60.589,3)</f>
        <v>60.588999999999999</v>
      </c>
      <c r="M908" s="24">
        <f>ROUND(K908*L908,2)</f>
        <v>60.59</v>
      </c>
    </row>
    <row r="909" spans="1:13" ht="15" customHeight="1" thickBot="1" x14ac:dyDescent="0.25">
      <c r="A909" s="5" t="s">
        <v>2699</v>
      </c>
      <c r="B909" s="5" t="s">
        <v>2700</v>
      </c>
      <c r="C909" s="5" t="s">
        <v>2701</v>
      </c>
      <c r="D909" s="82" t="s">
        <v>2702</v>
      </c>
      <c r="E909" s="82"/>
      <c r="F909" s="82"/>
      <c r="G909" s="82"/>
      <c r="H909" s="82"/>
      <c r="I909" s="82"/>
      <c r="J909" s="82"/>
      <c r="K909" s="23">
        <v>0.23599999999999999</v>
      </c>
      <c r="L909" s="23">
        <f>ROUND(27.45,3)</f>
        <v>27.45</v>
      </c>
      <c r="M909" s="24">
        <f>ROUND(K909*L909,2)</f>
        <v>6.48</v>
      </c>
    </row>
    <row r="910" spans="1:13" ht="15" customHeight="1" thickBot="1" x14ac:dyDescent="0.25">
      <c r="A910" s="5" t="s">
        <v>2703</v>
      </c>
      <c r="B910" s="5"/>
      <c r="C910" s="5" t="s">
        <v>2704</v>
      </c>
      <c r="D910" s="82" t="s">
        <v>2705</v>
      </c>
      <c r="E910" s="82"/>
      <c r="F910" s="82"/>
      <c r="G910" s="82"/>
      <c r="H910" s="82"/>
      <c r="I910" s="82"/>
      <c r="J910" s="82"/>
      <c r="K910" s="23">
        <v>2</v>
      </c>
      <c r="L910" s="23">
        <f>ROUND(67.07,3)</f>
        <v>67.069999999999993</v>
      </c>
      <c r="M910" s="24">
        <f>ROUND((K910*L910)/100,2)</f>
        <v>1.34</v>
      </c>
    </row>
    <row r="911" spans="1:13" ht="15.25" customHeight="1" thickBot="1" x14ac:dyDescent="0.25">
      <c r="A911" s="26"/>
      <c r="B911" s="26"/>
      <c r="C911" s="26"/>
      <c r="D911" s="27" t="s">
        <v>2706</v>
      </c>
      <c r="E911" s="26"/>
      <c r="F911" s="26"/>
      <c r="G911" s="26"/>
      <c r="H911" s="26"/>
      <c r="I911" s="26"/>
      <c r="J911" s="26"/>
      <c r="K911" s="28">
        <v>6</v>
      </c>
      <c r="L911" s="29">
        <f>ROUND((M908+M909+M910)*(1+M2/100),2)</f>
        <v>70.459999999999994</v>
      </c>
      <c r="M911" s="29">
        <f>ROUND(K911*L911,2)</f>
        <v>422.76</v>
      </c>
    </row>
    <row r="912" spans="1:13" ht="15.25" customHeight="1" thickBot="1" x14ac:dyDescent="0.25">
      <c r="A912" s="30" t="s">
        <v>2707</v>
      </c>
      <c r="B912" s="31" t="s">
        <v>2708</v>
      </c>
      <c r="C912" s="31" t="s">
        <v>2709</v>
      </c>
      <c r="D912" s="83" t="s">
        <v>2710</v>
      </c>
      <c r="E912" s="83"/>
      <c r="F912" s="83"/>
      <c r="G912" s="83"/>
      <c r="H912" s="83"/>
      <c r="I912" s="83"/>
      <c r="J912" s="83"/>
      <c r="K912" s="32">
        <f>ROUND(24,2)</f>
        <v>24</v>
      </c>
      <c r="L912" s="33">
        <f>L917</f>
        <v>71.650000000000006</v>
      </c>
      <c r="M912" s="33">
        <f>ROUND(K912*L912,2)</f>
        <v>1719.6</v>
      </c>
    </row>
    <row r="913" spans="1:13" ht="21.25" customHeight="1" thickBot="1" x14ac:dyDescent="0.25">
      <c r="A913" s="25"/>
      <c r="B913" s="25"/>
      <c r="C913" s="25"/>
      <c r="D913" s="82" t="s">
        <v>2711</v>
      </c>
      <c r="E913" s="82"/>
      <c r="F913" s="82"/>
      <c r="G913" s="82"/>
      <c r="H913" s="82"/>
      <c r="I913" s="82"/>
      <c r="J913" s="82"/>
      <c r="K913" s="82"/>
      <c r="L913" s="82"/>
      <c r="M913" s="82"/>
    </row>
    <row r="914" spans="1:13" ht="30.5" customHeight="1" thickBot="1" x14ac:dyDescent="0.25">
      <c r="A914" s="5" t="s">
        <v>2712</v>
      </c>
      <c r="B914" s="5" t="s">
        <v>2713</v>
      </c>
      <c r="C914" s="5" t="s">
        <v>2714</v>
      </c>
      <c r="D914" s="82" t="s">
        <v>2715</v>
      </c>
      <c r="E914" s="82"/>
      <c r="F914" s="82"/>
      <c r="G914" s="82"/>
      <c r="H914" s="82"/>
      <c r="I914" s="82"/>
      <c r="J914" s="82"/>
      <c r="K914" s="23">
        <v>1</v>
      </c>
      <c r="L914" s="23">
        <f>ROUND(61.718,3)</f>
        <v>61.718000000000004</v>
      </c>
      <c r="M914" s="24">
        <f>ROUND(K914*L914,2)</f>
        <v>61.72</v>
      </c>
    </row>
    <row r="915" spans="1:13" ht="15" customHeight="1" thickBot="1" x14ac:dyDescent="0.25">
      <c r="A915" s="5" t="s">
        <v>2716</v>
      </c>
      <c r="B915" s="5" t="s">
        <v>2717</v>
      </c>
      <c r="C915" s="5" t="s">
        <v>2718</v>
      </c>
      <c r="D915" s="82" t="s">
        <v>2719</v>
      </c>
      <c r="E915" s="82"/>
      <c r="F915" s="82"/>
      <c r="G915" s="82"/>
      <c r="H915" s="82"/>
      <c r="I915" s="82"/>
      <c r="J915" s="82"/>
      <c r="K915" s="23">
        <v>0.23599999999999999</v>
      </c>
      <c r="L915" s="23">
        <f>ROUND(27.45,3)</f>
        <v>27.45</v>
      </c>
      <c r="M915" s="24">
        <f>ROUND(K915*L915,2)</f>
        <v>6.48</v>
      </c>
    </row>
    <row r="916" spans="1:13" ht="15" customHeight="1" thickBot="1" x14ac:dyDescent="0.25">
      <c r="A916" s="5" t="s">
        <v>2720</v>
      </c>
      <c r="B916" s="5"/>
      <c r="C916" s="5" t="s">
        <v>2721</v>
      </c>
      <c r="D916" s="82" t="s">
        <v>2722</v>
      </c>
      <c r="E916" s="82"/>
      <c r="F916" s="82"/>
      <c r="G916" s="82"/>
      <c r="H916" s="82"/>
      <c r="I916" s="82"/>
      <c r="J916" s="82"/>
      <c r="K916" s="23">
        <v>2</v>
      </c>
      <c r="L916" s="23">
        <f>ROUND(68.2,3)</f>
        <v>68.2</v>
      </c>
      <c r="M916" s="24">
        <f>ROUND((K916*L916)/100,2)</f>
        <v>1.36</v>
      </c>
    </row>
    <row r="917" spans="1:13" ht="15.25" customHeight="1" thickBot="1" x14ac:dyDescent="0.25">
      <c r="A917" s="26"/>
      <c r="B917" s="26"/>
      <c r="C917" s="26"/>
      <c r="D917" s="27" t="s">
        <v>2723</v>
      </c>
      <c r="E917" s="26"/>
      <c r="F917" s="26"/>
      <c r="G917" s="26"/>
      <c r="H917" s="26"/>
      <c r="I917" s="26"/>
      <c r="J917" s="26"/>
      <c r="K917" s="28">
        <v>24</v>
      </c>
      <c r="L917" s="29">
        <f>ROUND((M914+M915+M916)*(1+M2/100),2)</f>
        <v>71.650000000000006</v>
      </c>
      <c r="M917" s="29">
        <f>ROUND(K917*L917,2)</f>
        <v>1719.6</v>
      </c>
    </row>
    <row r="918" spans="1:13" ht="15.25" customHeight="1" thickBot="1" x14ac:dyDescent="0.25">
      <c r="A918" s="30" t="s">
        <v>2724</v>
      </c>
      <c r="B918" s="31" t="s">
        <v>2725</v>
      </c>
      <c r="C918" s="31" t="s">
        <v>2726</v>
      </c>
      <c r="D918" s="83" t="s">
        <v>2727</v>
      </c>
      <c r="E918" s="83"/>
      <c r="F918" s="83"/>
      <c r="G918" s="83"/>
      <c r="H918" s="83"/>
      <c r="I918" s="83"/>
      <c r="J918" s="83"/>
      <c r="K918" s="32">
        <f>ROUND(7,2)</f>
        <v>7</v>
      </c>
      <c r="L918" s="33">
        <f>L923</f>
        <v>143.13</v>
      </c>
      <c r="M918" s="33">
        <f>ROUND(K918*L918,2)</f>
        <v>1001.91</v>
      </c>
    </row>
    <row r="919" spans="1:13" ht="21.25" customHeight="1" thickBot="1" x14ac:dyDescent="0.25">
      <c r="A919" s="25"/>
      <c r="B919" s="25"/>
      <c r="C919" s="25"/>
      <c r="D919" s="82" t="s">
        <v>2728</v>
      </c>
      <c r="E919" s="82"/>
      <c r="F919" s="82"/>
      <c r="G919" s="82"/>
      <c r="H919" s="82"/>
      <c r="I919" s="82"/>
      <c r="J919" s="82"/>
      <c r="K919" s="82"/>
      <c r="L919" s="82"/>
      <c r="M919" s="82"/>
    </row>
    <row r="920" spans="1:13" ht="30.5" customHeight="1" thickBot="1" x14ac:dyDescent="0.25">
      <c r="A920" s="5" t="s">
        <v>2729</v>
      </c>
      <c r="B920" s="5" t="s">
        <v>2730</v>
      </c>
      <c r="C920" s="5" t="s">
        <v>2731</v>
      </c>
      <c r="D920" s="82" t="s">
        <v>2732</v>
      </c>
      <c r="E920" s="82"/>
      <c r="F920" s="82"/>
      <c r="G920" s="82"/>
      <c r="H920" s="82"/>
      <c r="I920" s="82"/>
      <c r="J920" s="82"/>
      <c r="K920" s="23">
        <v>1</v>
      </c>
      <c r="L920" s="23">
        <f>ROUND(127.181,3)</f>
        <v>127.181</v>
      </c>
      <c r="M920" s="24">
        <f>ROUND(K920*L920,2)</f>
        <v>127.18</v>
      </c>
    </row>
    <row r="921" spans="1:13" ht="15" customHeight="1" thickBot="1" x14ac:dyDescent="0.25">
      <c r="A921" s="5" t="s">
        <v>2733</v>
      </c>
      <c r="B921" s="5" t="s">
        <v>2734</v>
      </c>
      <c r="C921" s="5" t="s">
        <v>2735</v>
      </c>
      <c r="D921" s="82" t="s">
        <v>2736</v>
      </c>
      <c r="E921" s="82"/>
      <c r="F921" s="82"/>
      <c r="G921" s="82"/>
      <c r="H921" s="82"/>
      <c r="I921" s="82"/>
      <c r="J921" s="82"/>
      <c r="K921" s="23">
        <v>0.33</v>
      </c>
      <c r="L921" s="23">
        <f>ROUND(27.45,3)</f>
        <v>27.45</v>
      </c>
      <c r="M921" s="24">
        <f>ROUND(K921*L921,2)</f>
        <v>9.06</v>
      </c>
    </row>
    <row r="922" spans="1:13" ht="15" customHeight="1" thickBot="1" x14ac:dyDescent="0.25">
      <c r="A922" s="5" t="s">
        <v>2737</v>
      </c>
      <c r="B922" s="5"/>
      <c r="C922" s="5" t="s">
        <v>2738</v>
      </c>
      <c r="D922" s="82" t="s">
        <v>2739</v>
      </c>
      <c r="E922" s="82"/>
      <c r="F922" s="82"/>
      <c r="G922" s="82"/>
      <c r="H922" s="82"/>
      <c r="I922" s="82"/>
      <c r="J922" s="82"/>
      <c r="K922" s="23">
        <v>2</v>
      </c>
      <c r="L922" s="23">
        <f>ROUND(136.24,3)</f>
        <v>136.24</v>
      </c>
      <c r="M922" s="24">
        <f>ROUND((K922*L922)/100,2)</f>
        <v>2.72</v>
      </c>
    </row>
    <row r="923" spans="1:13" ht="15.25" customHeight="1" thickBot="1" x14ac:dyDescent="0.25">
      <c r="A923" s="26"/>
      <c r="B923" s="26"/>
      <c r="C923" s="26"/>
      <c r="D923" s="27" t="s">
        <v>2740</v>
      </c>
      <c r="E923" s="26"/>
      <c r="F923" s="26"/>
      <c r="G923" s="26"/>
      <c r="H923" s="26"/>
      <c r="I923" s="26"/>
      <c r="J923" s="26"/>
      <c r="K923" s="28">
        <v>7</v>
      </c>
      <c r="L923" s="29">
        <f>ROUND((M920+M921+M922)*(1+M2/100),2)</f>
        <v>143.13</v>
      </c>
      <c r="M923" s="29">
        <f>ROUND(K923*L923,2)</f>
        <v>1001.91</v>
      </c>
    </row>
    <row r="924" spans="1:13" ht="15.25" customHeight="1" thickBot="1" x14ac:dyDescent="0.25">
      <c r="A924" s="30" t="s">
        <v>2741</v>
      </c>
      <c r="B924" s="31" t="s">
        <v>2742</v>
      </c>
      <c r="C924" s="31" t="s">
        <v>2743</v>
      </c>
      <c r="D924" s="83" t="s">
        <v>2744</v>
      </c>
      <c r="E924" s="83"/>
      <c r="F924" s="83"/>
      <c r="G924" s="83"/>
      <c r="H924" s="83"/>
      <c r="I924" s="83"/>
      <c r="J924" s="83"/>
      <c r="K924" s="32">
        <f>ROUND(1,2)</f>
        <v>1</v>
      </c>
      <c r="L924" s="33">
        <f>L929</f>
        <v>146.97</v>
      </c>
      <c r="M924" s="33">
        <f>ROUND(K924*L924,2)</f>
        <v>146.97</v>
      </c>
    </row>
    <row r="925" spans="1:13" ht="21.25" customHeight="1" thickBot="1" x14ac:dyDescent="0.25">
      <c r="A925" s="25"/>
      <c r="B925" s="25"/>
      <c r="C925" s="25"/>
      <c r="D925" s="82" t="s">
        <v>2745</v>
      </c>
      <c r="E925" s="82"/>
      <c r="F925" s="82"/>
      <c r="G925" s="82"/>
      <c r="H925" s="82"/>
      <c r="I925" s="82"/>
      <c r="J925" s="82"/>
      <c r="K925" s="82"/>
      <c r="L925" s="82"/>
      <c r="M925" s="82"/>
    </row>
    <row r="926" spans="1:13" ht="30.5" customHeight="1" thickBot="1" x14ac:dyDescent="0.25">
      <c r="A926" s="5" t="s">
        <v>2746</v>
      </c>
      <c r="B926" s="5" t="s">
        <v>2747</v>
      </c>
      <c r="C926" s="5" t="s">
        <v>2748</v>
      </c>
      <c r="D926" s="82" t="s">
        <v>2749</v>
      </c>
      <c r="E926" s="82"/>
      <c r="F926" s="82"/>
      <c r="G926" s="82"/>
      <c r="H926" s="82"/>
      <c r="I926" s="82"/>
      <c r="J926" s="82"/>
      <c r="K926" s="23">
        <v>1</v>
      </c>
      <c r="L926" s="23">
        <f>ROUND(130.829,3)</f>
        <v>130.82900000000001</v>
      </c>
      <c r="M926" s="24">
        <f>ROUND(K926*L926,2)</f>
        <v>130.83000000000001</v>
      </c>
    </row>
    <row r="927" spans="1:13" ht="15" customHeight="1" thickBot="1" x14ac:dyDescent="0.25">
      <c r="A927" s="5" t="s">
        <v>2750</v>
      </c>
      <c r="B927" s="5" t="s">
        <v>2751</v>
      </c>
      <c r="C927" s="5" t="s">
        <v>2752</v>
      </c>
      <c r="D927" s="82" t="s">
        <v>2753</v>
      </c>
      <c r="E927" s="82"/>
      <c r="F927" s="82"/>
      <c r="G927" s="82"/>
      <c r="H927" s="82"/>
      <c r="I927" s="82"/>
      <c r="J927" s="82"/>
      <c r="K927" s="23">
        <v>0.33</v>
      </c>
      <c r="L927" s="23">
        <f>ROUND(27.45,3)</f>
        <v>27.45</v>
      </c>
      <c r="M927" s="24">
        <f>ROUND(K927*L927,2)</f>
        <v>9.06</v>
      </c>
    </row>
    <row r="928" spans="1:13" ht="15" customHeight="1" thickBot="1" x14ac:dyDescent="0.25">
      <c r="A928" s="5" t="s">
        <v>2754</v>
      </c>
      <c r="B928" s="5"/>
      <c r="C928" s="5" t="s">
        <v>2755</v>
      </c>
      <c r="D928" s="82" t="s">
        <v>2756</v>
      </c>
      <c r="E928" s="82"/>
      <c r="F928" s="82"/>
      <c r="G928" s="82"/>
      <c r="H928" s="82"/>
      <c r="I928" s="82"/>
      <c r="J928" s="82"/>
      <c r="K928" s="23">
        <v>2</v>
      </c>
      <c r="L928" s="23">
        <f>ROUND(139.89,3)</f>
        <v>139.88999999999999</v>
      </c>
      <c r="M928" s="24">
        <f>ROUND((K928*L928)/100,2)</f>
        <v>2.8</v>
      </c>
    </row>
    <row r="929" spans="1:13" ht="15.25" customHeight="1" thickBot="1" x14ac:dyDescent="0.25">
      <c r="A929" s="26"/>
      <c r="B929" s="26"/>
      <c r="C929" s="26"/>
      <c r="D929" s="27" t="s">
        <v>2757</v>
      </c>
      <c r="E929" s="26"/>
      <c r="F929" s="26"/>
      <c r="G929" s="26"/>
      <c r="H929" s="26"/>
      <c r="I929" s="26"/>
      <c r="J929" s="26"/>
      <c r="K929" s="28">
        <v>1</v>
      </c>
      <c r="L929" s="29">
        <f>ROUND((M926+M927+M928)*(1+M2/100),2)</f>
        <v>146.97</v>
      </c>
      <c r="M929" s="29">
        <f>ROUND(K929*L929,2)</f>
        <v>146.97</v>
      </c>
    </row>
    <row r="930" spans="1:13" ht="15.25" customHeight="1" thickBot="1" x14ac:dyDescent="0.25">
      <c r="A930" s="30" t="s">
        <v>2758</v>
      </c>
      <c r="B930" s="31" t="s">
        <v>2759</v>
      </c>
      <c r="C930" s="31" t="s">
        <v>2760</v>
      </c>
      <c r="D930" s="83" t="s">
        <v>2761</v>
      </c>
      <c r="E930" s="83"/>
      <c r="F930" s="83"/>
      <c r="G930" s="83"/>
      <c r="H930" s="83"/>
      <c r="I930" s="83"/>
      <c r="J930" s="83"/>
      <c r="K930" s="32">
        <f>ROUND(1,2)</f>
        <v>1</v>
      </c>
      <c r="L930" s="33">
        <f>L935</f>
        <v>152.06</v>
      </c>
      <c r="M930" s="33">
        <f>ROUND(K930*L930,2)</f>
        <v>152.06</v>
      </c>
    </row>
    <row r="931" spans="1:13" ht="21.25" customHeight="1" thickBot="1" x14ac:dyDescent="0.25">
      <c r="A931" s="25"/>
      <c r="B931" s="25"/>
      <c r="C931" s="25"/>
      <c r="D931" s="82" t="s">
        <v>2762</v>
      </c>
      <c r="E931" s="82"/>
      <c r="F931" s="82"/>
      <c r="G931" s="82"/>
      <c r="H931" s="82"/>
      <c r="I931" s="82"/>
      <c r="J931" s="82"/>
      <c r="K931" s="82"/>
      <c r="L931" s="82"/>
      <c r="M931" s="82"/>
    </row>
    <row r="932" spans="1:13" ht="30.5" customHeight="1" thickBot="1" x14ac:dyDescent="0.25">
      <c r="A932" s="5" t="s">
        <v>2763</v>
      </c>
      <c r="B932" s="5" t="s">
        <v>2764</v>
      </c>
      <c r="C932" s="5" t="s">
        <v>2765</v>
      </c>
      <c r="D932" s="82" t="s">
        <v>2766</v>
      </c>
      <c r="E932" s="82"/>
      <c r="F932" s="82"/>
      <c r="G932" s="82"/>
      <c r="H932" s="82"/>
      <c r="I932" s="82"/>
      <c r="J932" s="82"/>
      <c r="K932" s="23">
        <v>1</v>
      </c>
      <c r="L932" s="23">
        <f>ROUND(135.677,3)</f>
        <v>135.67699999999999</v>
      </c>
      <c r="M932" s="24">
        <f>ROUND(K932*L932,2)</f>
        <v>135.68</v>
      </c>
    </row>
    <row r="933" spans="1:13" ht="15" customHeight="1" thickBot="1" x14ac:dyDescent="0.25">
      <c r="A933" s="5" t="s">
        <v>2767</v>
      </c>
      <c r="B933" s="5" t="s">
        <v>2768</v>
      </c>
      <c r="C933" s="5" t="s">
        <v>2769</v>
      </c>
      <c r="D933" s="82" t="s">
        <v>2770</v>
      </c>
      <c r="E933" s="82"/>
      <c r="F933" s="82"/>
      <c r="G933" s="82"/>
      <c r="H933" s="82"/>
      <c r="I933" s="82"/>
      <c r="J933" s="82"/>
      <c r="K933" s="23">
        <v>0.33</v>
      </c>
      <c r="L933" s="23">
        <f>ROUND(27.45,3)</f>
        <v>27.45</v>
      </c>
      <c r="M933" s="24">
        <f>ROUND(K933*L933,2)</f>
        <v>9.06</v>
      </c>
    </row>
    <row r="934" spans="1:13" ht="15" customHeight="1" thickBot="1" x14ac:dyDescent="0.25">
      <c r="A934" s="5" t="s">
        <v>2771</v>
      </c>
      <c r="B934" s="5"/>
      <c r="C934" s="5" t="s">
        <v>2772</v>
      </c>
      <c r="D934" s="82" t="s">
        <v>2773</v>
      </c>
      <c r="E934" s="82"/>
      <c r="F934" s="82"/>
      <c r="G934" s="82"/>
      <c r="H934" s="82"/>
      <c r="I934" s="82"/>
      <c r="J934" s="82"/>
      <c r="K934" s="23">
        <v>2</v>
      </c>
      <c r="L934" s="23">
        <f>ROUND(144.74,3)</f>
        <v>144.74</v>
      </c>
      <c r="M934" s="24">
        <f>ROUND((K934*L934)/100,2)</f>
        <v>2.89</v>
      </c>
    </row>
    <row r="935" spans="1:13" ht="15.25" customHeight="1" thickBot="1" x14ac:dyDescent="0.25">
      <c r="A935" s="26"/>
      <c r="B935" s="26"/>
      <c r="C935" s="26"/>
      <c r="D935" s="27" t="s">
        <v>2774</v>
      </c>
      <c r="E935" s="26"/>
      <c r="F935" s="26"/>
      <c r="G935" s="26"/>
      <c r="H935" s="26"/>
      <c r="I935" s="26"/>
      <c r="J935" s="26"/>
      <c r="K935" s="28">
        <v>1</v>
      </c>
      <c r="L935" s="29">
        <f>ROUND((M932+M933+M934)*(1+M2/100),2)</f>
        <v>152.06</v>
      </c>
      <c r="M935" s="29">
        <f>ROUND(K935*L935,2)</f>
        <v>152.06</v>
      </c>
    </row>
    <row r="936" spans="1:13" ht="21.25" customHeight="1" thickBot="1" x14ac:dyDescent="0.25">
      <c r="A936" s="30" t="s">
        <v>2775</v>
      </c>
      <c r="B936" s="31" t="s">
        <v>2776</v>
      </c>
      <c r="C936" s="31" t="s">
        <v>2777</v>
      </c>
      <c r="D936" s="83" t="s">
        <v>2778</v>
      </c>
      <c r="E936" s="83"/>
      <c r="F936" s="83"/>
      <c r="G936" s="83"/>
      <c r="H936" s="83"/>
      <c r="I936" s="83"/>
      <c r="J936" s="83"/>
      <c r="K936" s="32">
        <f>ROUND(3,2)</f>
        <v>3</v>
      </c>
      <c r="L936" s="33">
        <f>L942</f>
        <v>831.16</v>
      </c>
      <c r="M936" s="33">
        <f>ROUND(K936*L936,2)</f>
        <v>2493.48</v>
      </c>
    </row>
    <row r="937" spans="1:13" ht="30.5" customHeight="1" thickBot="1" x14ac:dyDescent="0.25">
      <c r="A937" s="25"/>
      <c r="B937" s="25"/>
      <c r="C937" s="25"/>
      <c r="D937" s="82" t="s">
        <v>2779</v>
      </c>
      <c r="E937" s="82"/>
      <c r="F937" s="82"/>
      <c r="G937" s="82"/>
      <c r="H937" s="82"/>
      <c r="I937" s="82"/>
      <c r="J937" s="82"/>
      <c r="K937" s="82"/>
      <c r="L937" s="82"/>
      <c r="M937" s="82"/>
    </row>
    <row r="938" spans="1:13" ht="30.5" customHeight="1" thickBot="1" x14ac:dyDescent="0.25">
      <c r="A938" s="5" t="s">
        <v>2780</v>
      </c>
      <c r="B938" s="5" t="s">
        <v>2781</v>
      </c>
      <c r="C938" s="5" t="s">
        <v>2782</v>
      </c>
      <c r="D938" s="82" t="s">
        <v>2783</v>
      </c>
      <c r="E938" s="82"/>
      <c r="F938" s="82"/>
      <c r="G938" s="82"/>
      <c r="H938" s="82"/>
      <c r="I938" s="82"/>
      <c r="J938" s="82"/>
      <c r="K938" s="23">
        <v>1</v>
      </c>
      <c r="L938" s="23">
        <f>ROUND(375.117,3)</f>
        <v>375.11700000000002</v>
      </c>
      <c r="M938" s="24">
        <f>ROUND(K938*L938,2)</f>
        <v>375.12</v>
      </c>
    </row>
    <row r="939" spans="1:13" ht="21.25" customHeight="1" thickBot="1" x14ac:dyDescent="0.25">
      <c r="A939" s="5" t="s">
        <v>2784</v>
      </c>
      <c r="B939" s="5" t="s">
        <v>2785</v>
      </c>
      <c r="C939" s="5" t="s">
        <v>2786</v>
      </c>
      <c r="D939" s="82" t="s">
        <v>2787</v>
      </c>
      <c r="E939" s="82"/>
      <c r="F939" s="82"/>
      <c r="G939" s="82"/>
      <c r="H939" s="82"/>
      <c r="I939" s="82"/>
      <c r="J939" s="82"/>
      <c r="K939" s="23">
        <v>1</v>
      </c>
      <c r="L939" s="23">
        <f>ROUND(406.949,3)</f>
        <v>406.94900000000001</v>
      </c>
      <c r="M939" s="24">
        <f>ROUND(K939*L939,2)</f>
        <v>406.95</v>
      </c>
    </row>
    <row r="940" spans="1:13" ht="15" customHeight="1" thickBot="1" x14ac:dyDescent="0.25">
      <c r="A940" s="5" t="s">
        <v>2788</v>
      </c>
      <c r="B940" s="5" t="s">
        <v>2789</v>
      </c>
      <c r="C940" s="5" t="s">
        <v>2790</v>
      </c>
      <c r="D940" s="82" t="s">
        <v>2791</v>
      </c>
      <c r="E940" s="82"/>
      <c r="F940" s="82"/>
      <c r="G940" s="82"/>
      <c r="H940" s="82"/>
      <c r="I940" s="82"/>
      <c r="J940" s="82"/>
      <c r="K940" s="23">
        <v>0.33</v>
      </c>
      <c r="L940" s="23">
        <f>ROUND(27.45,3)</f>
        <v>27.45</v>
      </c>
      <c r="M940" s="24">
        <f>ROUND(K940*L940,2)</f>
        <v>9.06</v>
      </c>
    </row>
    <row r="941" spans="1:13" ht="15" customHeight="1" thickBot="1" x14ac:dyDescent="0.25">
      <c r="A941" s="5" t="s">
        <v>2792</v>
      </c>
      <c r="B941" s="5"/>
      <c r="C941" s="5" t="s">
        <v>2793</v>
      </c>
      <c r="D941" s="82" t="s">
        <v>2794</v>
      </c>
      <c r="E941" s="82"/>
      <c r="F941" s="82"/>
      <c r="G941" s="82"/>
      <c r="H941" s="82"/>
      <c r="I941" s="82"/>
      <c r="J941" s="82"/>
      <c r="K941" s="23">
        <v>2</v>
      </c>
      <c r="L941" s="23">
        <f>ROUND(791.13,3)</f>
        <v>791.13</v>
      </c>
      <c r="M941" s="24">
        <f>ROUND((K941*L941)/100,2)</f>
        <v>15.82</v>
      </c>
    </row>
    <row r="942" spans="1:13" ht="15.25" customHeight="1" thickBot="1" x14ac:dyDescent="0.25">
      <c r="A942" s="26"/>
      <c r="B942" s="26"/>
      <c r="C942" s="26"/>
      <c r="D942" s="27" t="s">
        <v>2795</v>
      </c>
      <c r="E942" s="26"/>
      <c r="F942" s="26"/>
      <c r="G942" s="26"/>
      <c r="H942" s="26"/>
      <c r="I942" s="26"/>
      <c r="J942" s="26"/>
      <c r="K942" s="28">
        <v>3</v>
      </c>
      <c r="L942" s="29">
        <f>ROUND((M938+M939+M940+M941)*(1+M2/100),2)</f>
        <v>831.16</v>
      </c>
      <c r="M942" s="29">
        <f>ROUND(K942*L942,2)</f>
        <v>2493.48</v>
      </c>
    </row>
    <row r="943" spans="1:13" ht="21.25" customHeight="1" thickBot="1" x14ac:dyDescent="0.25">
      <c r="A943" s="30" t="s">
        <v>2796</v>
      </c>
      <c r="B943" s="31" t="s">
        <v>2797</v>
      </c>
      <c r="C943" s="31" t="s">
        <v>2798</v>
      </c>
      <c r="D943" s="83" t="s">
        <v>2799</v>
      </c>
      <c r="E943" s="83"/>
      <c r="F943" s="83"/>
      <c r="G943" s="83"/>
      <c r="H943" s="83"/>
      <c r="I943" s="83"/>
      <c r="J943" s="83"/>
      <c r="K943" s="32">
        <f>ROUND(1,2)</f>
        <v>1</v>
      </c>
      <c r="L943" s="33">
        <f>L949</f>
        <v>880.32</v>
      </c>
      <c r="M943" s="33">
        <f>ROUND(K943*L943,2)</f>
        <v>880.32</v>
      </c>
    </row>
    <row r="944" spans="1:13" ht="30.5" customHeight="1" thickBot="1" x14ac:dyDescent="0.25">
      <c r="A944" s="25"/>
      <c r="B944" s="25"/>
      <c r="C944" s="25"/>
      <c r="D944" s="82" t="s">
        <v>2800</v>
      </c>
      <c r="E944" s="82"/>
      <c r="F944" s="82"/>
      <c r="G944" s="82"/>
      <c r="H944" s="82"/>
      <c r="I944" s="82"/>
      <c r="J944" s="82"/>
      <c r="K944" s="82"/>
      <c r="L944" s="82"/>
      <c r="M944" s="82"/>
    </row>
    <row r="945" spans="1:13" ht="30.5" customHeight="1" thickBot="1" x14ac:dyDescent="0.25">
      <c r="A945" s="5" t="s">
        <v>2801</v>
      </c>
      <c r="B945" s="5" t="s">
        <v>2802</v>
      </c>
      <c r="C945" s="5" t="s">
        <v>2803</v>
      </c>
      <c r="D945" s="82" t="s">
        <v>2804</v>
      </c>
      <c r="E945" s="82"/>
      <c r="F945" s="82"/>
      <c r="G945" s="82"/>
      <c r="H945" s="82"/>
      <c r="I945" s="82"/>
      <c r="J945" s="82"/>
      <c r="K945" s="23">
        <v>1</v>
      </c>
      <c r="L945" s="23">
        <f>ROUND(483.564,3)</f>
        <v>483.56400000000002</v>
      </c>
      <c r="M945" s="24">
        <f>ROUND(K945*L945,2)</f>
        <v>483.56</v>
      </c>
    </row>
    <row r="946" spans="1:13" ht="21.25" customHeight="1" thickBot="1" x14ac:dyDescent="0.25">
      <c r="A946" s="5" t="s">
        <v>2805</v>
      </c>
      <c r="B946" s="5" t="s">
        <v>2806</v>
      </c>
      <c r="C946" s="5" t="s">
        <v>2807</v>
      </c>
      <c r="D946" s="82" t="s">
        <v>2808</v>
      </c>
      <c r="E946" s="82"/>
      <c r="F946" s="82"/>
      <c r="G946" s="82"/>
      <c r="H946" s="82"/>
      <c r="I946" s="82"/>
      <c r="J946" s="82"/>
      <c r="K946" s="23">
        <v>1</v>
      </c>
      <c r="L946" s="23">
        <f>ROUND(345.298,3)</f>
        <v>345.298</v>
      </c>
      <c r="M946" s="24">
        <f>ROUND(K946*L946,2)</f>
        <v>345.3</v>
      </c>
    </row>
    <row r="947" spans="1:13" ht="15" customHeight="1" thickBot="1" x14ac:dyDescent="0.25">
      <c r="A947" s="5" t="s">
        <v>2809</v>
      </c>
      <c r="B947" s="5" t="s">
        <v>2810</v>
      </c>
      <c r="C947" s="5" t="s">
        <v>2811</v>
      </c>
      <c r="D947" s="82" t="s">
        <v>2812</v>
      </c>
      <c r="E947" s="82"/>
      <c r="F947" s="82"/>
      <c r="G947" s="82"/>
      <c r="H947" s="82"/>
      <c r="I947" s="82"/>
      <c r="J947" s="82"/>
      <c r="K947" s="23">
        <v>0.33</v>
      </c>
      <c r="L947" s="23">
        <f>ROUND(27.45,3)</f>
        <v>27.45</v>
      </c>
      <c r="M947" s="24">
        <f>ROUND(K947*L947,2)</f>
        <v>9.06</v>
      </c>
    </row>
    <row r="948" spans="1:13" ht="15" customHeight="1" thickBot="1" x14ac:dyDescent="0.25">
      <c r="A948" s="5" t="s">
        <v>2813</v>
      </c>
      <c r="B948" s="5"/>
      <c r="C948" s="5" t="s">
        <v>2814</v>
      </c>
      <c r="D948" s="82" t="s">
        <v>2815</v>
      </c>
      <c r="E948" s="82"/>
      <c r="F948" s="82"/>
      <c r="G948" s="82"/>
      <c r="H948" s="82"/>
      <c r="I948" s="82"/>
      <c r="J948" s="82"/>
      <c r="K948" s="23">
        <v>2</v>
      </c>
      <c r="L948" s="23">
        <f>ROUND(837.92,3)</f>
        <v>837.92</v>
      </c>
      <c r="M948" s="24">
        <f>ROUND((K948*L948)/100,2)</f>
        <v>16.760000000000002</v>
      </c>
    </row>
    <row r="949" spans="1:13" ht="15.25" customHeight="1" thickBot="1" x14ac:dyDescent="0.25">
      <c r="A949" s="26"/>
      <c r="B949" s="26"/>
      <c r="C949" s="26"/>
      <c r="D949" s="27" t="s">
        <v>2816</v>
      </c>
      <c r="E949" s="26"/>
      <c r="F949" s="26"/>
      <c r="G949" s="26"/>
      <c r="H949" s="26"/>
      <c r="I949" s="26"/>
      <c r="J949" s="26"/>
      <c r="K949" s="28">
        <v>1</v>
      </c>
      <c r="L949" s="29">
        <f>ROUND((M945+M946+M947+M948)*(1+M2/100),2)</f>
        <v>880.32</v>
      </c>
      <c r="M949" s="29">
        <f>ROUND(K949*L949,2)</f>
        <v>880.32</v>
      </c>
    </row>
    <row r="950" spans="1:13" ht="15.25" customHeight="1" thickBot="1" x14ac:dyDescent="0.25">
      <c r="A950" s="30" t="s">
        <v>2817</v>
      </c>
      <c r="B950" s="31" t="s">
        <v>2818</v>
      </c>
      <c r="C950" s="31" t="s">
        <v>2819</v>
      </c>
      <c r="D950" s="83" t="s">
        <v>2820</v>
      </c>
      <c r="E950" s="83"/>
      <c r="F950" s="83"/>
      <c r="G950" s="83"/>
      <c r="H950" s="83"/>
      <c r="I950" s="83"/>
      <c r="J950" s="83"/>
      <c r="K950" s="32">
        <f>ROUND(8,2)</f>
        <v>8</v>
      </c>
      <c r="L950" s="33">
        <f>L955</f>
        <v>195.33</v>
      </c>
      <c r="M950" s="33">
        <f>ROUND(K950*L950,2)</f>
        <v>1562.64</v>
      </c>
    </row>
    <row r="951" spans="1:13" ht="30.5" customHeight="1" thickBot="1" x14ac:dyDescent="0.25">
      <c r="A951" s="25"/>
      <c r="B951" s="25"/>
      <c r="C951" s="25"/>
      <c r="D951" s="82" t="s">
        <v>2821</v>
      </c>
      <c r="E951" s="82"/>
      <c r="F951" s="82"/>
      <c r="G951" s="82"/>
      <c r="H951" s="82"/>
      <c r="I951" s="82"/>
      <c r="J951" s="82"/>
      <c r="K951" s="82"/>
      <c r="L951" s="82"/>
      <c r="M951" s="82"/>
    </row>
    <row r="952" spans="1:13" ht="30.5" customHeight="1" thickBot="1" x14ac:dyDescent="0.25">
      <c r="A952" s="5" t="s">
        <v>2822</v>
      </c>
      <c r="B952" s="5" t="s">
        <v>2823</v>
      </c>
      <c r="C952" s="5" t="s">
        <v>2824</v>
      </c>
      <c r="D952" s="82" t="s">
        <v>2825</v>
      </c>
      <c r="E952" s="82"/>
      <c r="F952" s="82"/>
      <c r="G952" s="82"/>
      <c r="H952" s="82"/>
      <c r="I952" s="82"/>
      <c r="J952" s="82"/>
      <c r="K952" s="23">
        <v>1</v>
      </c>
      <c r="L952" s="23">
        <f>ROUND(179.441,3)</f>
        <v>179.441</v>
      </c>
      <c r="M952" s="24">
        <f>ROUND(K952*L952,2)</f>
        <v>179.44</v>
      </c>
    </row>
    <row r="953" spans="1:13" ht="15" customHeight="1" thickBot="1" x14ac:dyDescent="0.25">
      <c r="A953" s="5" t="s">
        <v>2826</v>
      </c>
      <c r="B953" s="5" t="s">
        <v>2827</v>
      </c>
      <c r="C953" s="5" t="s">
        <v>2828</v>
      </c>
      <c r="D953" s="82" t="s">
        <v>2829</v>
      </c>
      <c r="E953" s="82"/>
      <c r="F953" s="82"/>
      <c r="G953" s="82"/>
      <c r="H953" s="82"/>
      <c r="I953" s="82"/>
      <c r="J953" s="82"/>
      <c r="K953" s="23">
        <v>0.23599999999999999</v>
      </c>
      <c r="L953" s="23">
        <f>ROUND(27.45,3)</f>
        <v>27.45</v>
      </c>
      <c r="M953" s="24">
        <f>ROUND(K953*L953,2)</f>
        <v>6.48</v>
      </c>
    </row>
    <row r="954" spans="1:13" ht="15" customHeight="1" thickBot="1" x14ac:dyDescent="0.25">
      <c r="A954" s="5" t="s">
        <v>2830</v>
      </c>
      <c r="B954" s="5"/>
      <c r="C954" s="5" t="s">
        <v>2831</v>
      </c>
      <c r="D954" s="82" t="s">
        <v>2832</v>
      </c>
      <c r="E954" s="82"/>
      <c r="F954" s="82"/>
      <c r="G954" s="82"/>
      <c r="H954" s="82"/>
      <c r="I954" s="82"/>
      <c r="J954" s="82"/>
      <c r="K954" s="23">
        <v>2</v>
      </c>
      <c r="L954" s="23">
        <f>ROUND(185.92,3)</f>
        <v>185.92</v>
      </c>
      <c r="M954" s="24">
        <f>ROUND((K954*L954)/100,2)</f>
        <v>3.72</v>
      </c>
    </row>
    <row r="955" spans="1:13" ht="15.25" customHeight="1" thickBot="1" x14ac:dyDescent="0.25">
      <c r="A955" s="26"/>
      <c r="B955" s="26"/>
      <c r="C955" s="26"/>
      <c r="D955" s="27" t="s">
        <v>2833</v>
      </c>
      <c r="E955" s="26"/>
      <c r="F955" s="26"/>
      <c r="G955" s="26"/>
      <c r="H955" s="26"/>
      <c r="I955" s="26"/>
      <c r="J955" s="26"/>
      <c r="K955" s="28">
        <v>8</v>
      </c>
      <c r="L955" s="29">
        <f>ROUND((M952+M953+M954)*(1+M2/100),2)</f>
        <v>195.33</v>
      </c>
      <c r="M955" s="29">
        <f>ROUND(K955*L955,2)</f>
        <v>1562.64</v>
      </c>
    </row>
    <row r="956" spans="1:13" ht="15.25" customHeight="1" thickBot="1" x14ac:dyDescent="0.25">
      <c r="A956" s="30" t="s">
        <v>2834</v>
      </c>
      <c r="B956" s="31" t="s">
        <v>2835</v>
      </c>
      <c r="C956" s="31" t="s">
        <v>2836</v>
      </c>
      <c r="D956" s="83" t="s">
        <v>2837</v>
      </c>
      <c r="E956" s="83"/>
      <c r="F956" s="83"/>
      <c r="G956" s="83"/>
      <c r="H956" s="83"/>
      <c r="I956" s="83"/>
      <c r="J956" s="83"/>
      <c r="K956" s="32">
        <f>ROUND(5,2)</f>
        <v>5</v>
      </c>
      <c r="L956" s="33">
        <f>L961</f>
        <v>189.45</v>
      </c>
      <c r="M956" s="33">
        <f>ROUND(K956*L956,2)</f>
        <v>947.25</v>
      </c>
    </row>
    <row r="957" spans="1:13" ht="30.5" customHeight="1" thickBot="1" x14ac:dyDescent="0.25">
      <c r="A957" s="25"/>
      <c r="B957" s="25"/>
      <c r="C957" s="25"/>
      <c r="D957" s="82" t="s">
        <v>2838</v>
      </c>
      <c r="E957" s="82"/>
      <c r="F957" s="82"/>
      <c r="G957" s="82"/>
      <c r="H957" s="82"/>
      <c r="I957" s="82"/>
      <c r="J957" s="82"/>
      <c r="K957" s="82"/>
      <c r="L957" s="82"/>
      <c r="M957" s="82"/>
    </row>
    <row r="958" spans="1:13" ht="30.5" customHeight="1" thickBot="1" x14ac:dyDescent="0.25">
      <c r="A958" s="5" t="s">
        <v>2839</v>
      </c>
      <c r="B958" s="5" t="s">
        <v>2840</v>
      </c>
      <c r="C958" s="5" t="s">
        <v>2841</v>
      </c>
      <c r="D958" s="82" t="s">
        <v>2842</v>
      </c>
      <c r="E958" s="82"/>
      <c r="F958" s="82"/>
      <c r="G958" s="82"/>
      <c r="H958" s="82"/>
      <c r="I958" s="82"/>
      <c r="J958" s="82"/>
      <c r="K958" s="23">
        <v>1</v>
      </c>
      <c r="L958" s="23">
        <f>ROUND(173.844,3)</f>
        <v>173.84399999999999</v>
      </c>
      <c r="M958" s="24">
        <f>ROUND(K958*L958,2)</f>
        <v>173.84</v>
      </c>
    </row>
    <row r="959" spans="1:13" ht="15" customHeight="1" thickBot="1" x14ac:dyDescent="0.25">
      <c r="A959" s="5" t="s">
        <v>2843</v>
      </c>
      <c r="B959" s="5" t="s">
        <v>2844</v>
      </c>
      <c r="C959" s="5" t="s">
        <v>2845</v>
      </c>
      <c r="D959" s="82" t="s">
        <v>2846</v>
      </c>
      <c r="E959" s="82"/>
      <c r="F959" s="82"/>
      <c r="G959" s="82"/>
      <c r="H959" s="82"/>
      <c r="I959" s="82"/>
      <c r="J959" s="82"/>
      <c r="K959" s="23">
        <v>0.23599999999999999</v>
      </c>
      <c r="L959" s="23">
        <f>ROUND(27.45,3)</f>
        <v>27.45</v>
      </c>
      <c r="M959" s="24">
        <f>ROUND(K959*L959,2)</f>
        <v>6.48</v>
      </c>
    </row>
    <row r="960" spans="1:13" ht="15" customHeight="1" thickBot="1" x14ac:dyDescent="0.25">
      <c r="A960" s="5" t="s">
        <v>2847</v>
      </c>
      <c r="B960" s="5"/>
      <c r="C960" s="5" t="s">
        <v>2848</v>
      </c>
      <c r="D960" s="82" t="s">
        <v>2849</v>
      </c>
      <c r="E960" s="82"/>
      <c r="F960" s="82"/>
      <c r="G960" s="82"/>
      <c r="H960" s="82"/>
      <c r="I960" s="82"/>
      <c r="J960" s="82"/>
      <c r="K960" s="23">
        <v>2</v>
      </c>
      <c r="L960" s="23">
        <f>ROUND(180.32,3)</f>
        <v>180.32</v>
      </c>
      <c r="M960" s="24">
        <f>ROUND((K960*L960)/100,2)</f>
        <v>3.61</v>
      </c>
    </row>
    <row r="961" spans="1:13" ht="15.25" customHeight="1" thickBot="1" x14ac:dyDescent="0.25">
      <c r="A961" s="26"/>
      <c r="B961" s="26"/>
      <c r="C961" s="26"/>
      <c r="D961" s="27" t="s">
        <v>2850</v>
      </c>
      <c r="E961" s="26"/>
      <c r="F961" s="26"/>
      <c r="G961" s="26"/>
      <c r="H961" s="26"/>
      <c r="I961" s="26"/>
      <c r="J961" s="26"/>
      <c r="K961" s="28">
        <v>5</v>
      </c>
      <c r="L961" s="29">
        <f>ROUND((M958+M959+M960)*(1+M2/100),2)</f>
        <v>189.45</v>
      </c>
      <c r="M961" s="29">
        <f>ROUND(K961*L961,2)</f>
        <v>947.25</v>
      </c>
    </row>
    <row r="962" spans="1:13" ht="15.25" customHeight="1" thickBot="1" x14ac:dyDescent="0.25">
      <c r="A962" s="30" t="s">
        <v>2851</v>
      </c>
      <c r="B962" s="31" t="s">
        <v>2852</v>
      </c>
      <c r="C962" s="31" t="s">
        <v>2853</v>
      </c>
      <c r="D962" s="83" t="s">
        <v>2854</v>
      </c>
      <c r="E962" s="83"/>
      <c r="F962" s="83"/>
      <c r="G962" s="83"/>
      <c r="H962" s="83"/>
      <c r="I962" s="83"/>
      <c r="J962" s="83"/>
      <c r="K962" s="32">
        <f>ROUND(1,2)</f>
        <v>1</v>
      </c>
      <c r="L962" s="33">
        <f>L967</f>
        <v>348.52</v>
      </c>
      <c r="M962" s="33">
        <f>ROUND(K962*L962,2)</f>
        <v>348.52</v>
      </c>
    </row>
    <row r="963" spans="1:13" ht="30.5" customHeight="1" thickBot="1" x14ac:dyDescent="0.25">
      <c r="A963" s="25"/>
      <c r="B963" s="25"/>
      <c r="C963" s="25"/>
      <c r="D963" s="82" t="s">
        <v>2855</v>
      </c>
      <c r="E963" s="82"/>
      <c r="F963" s="82"/>
      <c r="G963" s="82"/>
      <c r="H963" s="82"/>
      <c r="I963" s="82"/>
      <c r="J963" s="82"/>
      <c r="K963" s="82"/>
      <c r="L963" s="82"/>
      <c r="M963" s="82"/>
    </row>
    <row r="964" spans="1:13" ht="30.5" customHeight="1" thickBot="1" x14ac:dyDescent="0.25">
      <c r="A964" s="5" t="s">
        <v>2856</v>
      </c>
      <c r="B964" s="5" t="s">
        <v>2857</v>
      </c>
      <c r="C964" s="5" t="s">
        <v>2858</v>
      </c>
      <c r="D964" s="82" t="s">
        <v>2859</v>
      </c>
      <c r="E964" s="82"/>
      <c r="F964" s="82"/>
      <c r="G964" s="82"/>
      <c r="H964" s="82"/>
      <c r="I964" s="82"/>
      <c r="J964" s="82"/>
      <c r="K964" s="23">
        <v>1</v>
      </c>
      <c r="L964" s="23">
        <f>ROUND(322.678,3)</f>
        <v>322.678</v>
      </c>
      <c r="M964" s="24">
        <f>ROUND(K964*L964,2)</f>
        <v>322.68</v>
      </c>
    </row>
    <row r="965" spans="1:13" ht="15" customHeight="1" thickBot="1" x14ac:dyDescent="0.25">
      <c r="A965" s="5" t="s">
        <v>2860</v>
      </c>
      <c r="B965" s="5" t="s">
        <v>2861</v>
      </c>
      <c r="C965" s="5" t="s">
        <v>2862</v>
      </c>
      <c r="D965" s="82" t="s">
        <v>2863</v>
      </c>
      <c r="E965" s="82"/>
      <c r="F965" s="82"/>
      <c r="G965" s="82"/>
      <c r="H965" s="82"/>
      <c r="I965" s="82"/>
      <c r="J965" s="82"/>
      <c r="K965" s="23">
        <v>0.33</v>
      </c>
      <c r="L965" s="23">
        <f>ROUND(27.45,3)</f>
        <v>27.45</v>
      </c>
      <c r="M965" s="24">
        <f>ROUND(K965*L965,2)</f>
        <v>9.06</v>
      </c>
    </row>
    <row r="966" spans="1:13" ht="15" customHeight="1" thickBot="1" x14ac:dyDescent="0.25">
      <c r="A966" s="5" t="s">
        <v>2864</v>
      </c>
      <c r="B966" s="5"/>
      <c r="C966" s="5" t="s">
        <v>2865</v>
      </c>
      <c r="D966" s="82" t="s">
        <v>2866</v>
      </c>
      <c r="E966" s="82"/>
      <c r="F966" s="82"/>
      <c r="G966" s="82"/>
      <c r="H966" s="82"/>
      <c r="I966" s="82"/>
      <c r="J966" s="82"/>
      <c r="K966" s="23">
        <v>2</v>
      </c>
      <c r="L966" s="23">
        <f>ROUND(331.74,3)</f>
        <v>331.74</v>
      </c>
      <c r="M966" s="24">
        <f>ROUND((K966*L966)/100,2)</f>
        <v>6.63</v>
      </c>
    </row>
    <row r="967" spans="1:13" ht="15.25" customHeight="1" thickBot="1" x14ac:dyDescent="0.25">
      <c r="A967" s="26"/>
      <c r="B967" s="26"/>
      <c r="C967" s="26"/>
      <c r="D967" s="27" t="s">
        <v>2867</v>
      </c>
      <c r="E967" s="26"/>
      <c r="F967" s="26"/>
      <c r="G967" s="26"/>
      <c r="H967" s="26"/>
      <c r="I967" s="26"/>
      <c r="J967" s="26"/>
      <c r="K967" s="28">
        <v>1</v>
      </c>
      <c r="L967" s="29">
        <f>ROUND((M964+M965+M966)*(1+M2/100),2)</f>
        <v>348.52</v>
      </c>
      <c r="M967" s="29">
        <f>ROUND(K967*L967,2)</f>
        <v>348.52</v>
      </c>
    </row>
    <row r="968" spans="1:13" ht="15.25" customHeight="1" thickBot="1" x14ac:dyDescent="0.25">
      <c r="A968" s="30" t="s">
        <v>2868</v>
      </c>
      <c r="B968" s="31" t="s">
        <v>2869</v>
      </c>
      <c r="C968" s="31" t="s">
        <v>2870</v>
      </c>
      <c r="D968" s="83" t="s">
        <v>2871</v>
      </c>
      <c r="E968" s="83"/>
      <c r="F968" s="83"/>
      <c r="G968" s="83"/>
      <c r="H968" s="83"/>
      <c r="I968" s="83"/>
      <c r="J968" s="83"/>
      <c r="K968" s="32">
        <f>ROUND(5,2)</f>
        <v>5</v>
      </c>
      <c r="L968" s="33">
        <f>L973</f>
        <v>296.16000000000003</v>
      </c>
      <c r="M968" s="33">
        <f>ROUND(K968*L968,2)</f>
        <v>1480.8</v>
      </c>
    </row>
    <row r="969" spans="1:13" ht="30.5" customHeight="1" thickBot="1" x14ac:dyDescent="0.25">
      <c r="A969" s="25"/>
      <c r="B969" s="25"/>
      <c r="C969" s="25"/>
      <c r="D969" s="82" t="s">
        <v>2872</v>
      </c>
      <c r="E969" s="82"/>
      <c r="F969" s="82"/>
      <c r="G969" s="82"/>
      <c r="H969" s="82"/>
      <c r="I969" s="82"/>
      <c r="J969" s="82"/>
      <c r="K969" s="82"/>
      <c r="L969" s="82"/>
      <c r="M969" s="82"/>
    </row>
    <row r="970" spans="1:13" ht="30.5" customHeight="1" thickBot="1" x14ac:dyDescent="0.25">
      <c r="A970" s="5" t="s">
        <v>2873</v>
      </c>
      <c r="B970" s="5" t="s">
        <v>2874</v>
      </c>
      <c r="C970" s="5" t="s">
        <v>2875</v>
      </c>
      <c r="D970" s="82" t="s">
        <v>2876</v>
      </c>
      <c r="E970" s="82"/>
      <c r="F970" s="82"/>
      <c r="G970" s="82"/>
      <c r="H970" s="82"/>
      <c r="I970" s="82"/>
      <c r="J970" s="82"/>
      <c r="K970" s="23">
        <v>1</v>
      </c>
      <c r="L970" s="23">
        <f>ROUND(272.83,3)</f>
        <v>272.83</v>
      </c>
      <c r="M970" s="24">
        <f>ROUND(K970*L970,2)</f>
        <v>272.83</v>
      </c>
    </row>
    <row r="971" spans="1:13" ht="15" customHeight="1" thickBot="1" x14ac:dyDescent="0.25">
      <c r="A971" s="5" t="s">
        <v>2877</v>
      </c>
      <c r="B971" s="5" t="s">
        <v>2878</v>
      </c>
      <c r="C971" s="5" t="s">
        <v>2879</v>
      </c>
      <c r="D971" s="82" t="s">
        <v>2880</v>
      </c>
      <c r="E971" s="82"/>
      <c r="F971" s="82"/>
      <c r="G971" s="82"/>
      <c r="H971" s="82"/>
      <c r="I971" s="82"/>
      <c r="J971" s="82"/>
      <c r="K971" s="23">
        <v>0.33</v>
      </c>
      <c r="L971" s="23">
        <f>ROUND(27.45,3)</f>
        <v>27.45</v>
      </c>
      <c r="M971" s="24">
        <f>ROUND(K971*L971,2)</f>
        <v>9.06</v>
      </c>
    </row>
    <row r="972" spans="1:13" ht="15" customHeight="1" thickBot="1" x14ac:dyDescent="0.25">
      <c r="A972" s="5" t="s">
        <v>2881</v>
      </c>
      <c r="B972" s="5"/>
      <c r="C972" s="5" t="s">
        <v>2882</v>
      </c>
      <c r="D972" s="82" t="s">
        <v>2883</v>
      </c>
      <c r="E972" s="82"/>
      <c r="F972" s="82"/>
      <c r="G972" s="82"/>
      <c r="H972" s="82"/>
      <c r="I972" s="82"/>
      <c r="J972" s="82"/>
      <c r="K972" s="23">
        <v>2</v>
      </c>
      <c r="L972" s="23">
        <f>ROUND(281.89,3)</f>
        <v>281.89</v>
      </c>
      <c r="M972" s="24">
        <f>ROUND((K972*L972)/100,2)</f>
        <v>5.64</v>
      </c>
    </row>
    <row r="973" spans="1:13" ht="15.25" customHeight="1" thickBot="1" x14ac:dyDescent="0.25">
      <c r="A973" s="26"/>
      <c r="B973" s="26"/>
      <c r="C973" s="26"/>
      <c r="D973" s="27" t="s">
        <v>2884</v>
      </c>
      <c r="E973" s="26"/>
      <c r="F973" s="26"/>
      <c r="G973" s="26"/>
      <c r="H973" s="26"/>
      <c r="I973" s="26"/>
      <c r="J973" s="26"/>
      <c r="K973" s="28">
        <v>5</v>
      </c>
      <c r="L973" s="29">
        <f>ROUND((M970+M971+M972)*(1+M2/100),2)</f>
        <v>296.16000000000003</v>
      </c>
      <c r="M973" s="29">
        <f>ROUND(K973*L973,2)</f>
        <v>1480.8</v>
      </c>
    </row>
    <row r="974" spans="1:13" ht="15.25" customHeight="1" thickBot="1" x14ac:dyDescent="0.25">
      <c r="A974" s="30" t="s">
        <v>2885</v>
      </c>
      <c r="B974" s="31" t="s">
        <v>2886</v>
      </c>
      <c r="C974" s="31" t="s">
        <v>2887</v>
      </c>
      <c r="D974" s="83" t="s">
        <v>2888</v>
      </c>
      <c r="E974" s="83"/>
      <c r="F974" s="83"/>
      <c r="G974" s="83"/>
      <c r="H974" s="83"/>
      <c r="I974" s="83"/>
      <c r="J974" s="83"/>
      <c r="K974" s="32">
        <f>ROUND(1,2)</f>
        <v>1</v>
      </c>
      <c r="L974" s="33">
        <f>L979</f>
        <v>484.18</v>
      </c>
      <c r="M974" s="33">
        <f>ROUND(K974*L974,2)</f>
        <v>484.18</v>
      </c>
    </row>
    <row r="975" spans="1:13" ht="30.5" customHeight="1" thickBot="1" x14ac:dyDescent="0.25">
      <c r="A975" s="25"/>
      <c r="B975" s="25"/>
      <c r="C975" s="25"/>
      <c r="D975" s="82" t="s">
        <v>2889</v>
      </c>
      <c r="E975" s="82"/>
      <c r="F975" s="82"/>
      <c r="G975" s="82"/>
      <c r="H975" s="82"/>
      <c r="I975" s="82"/>
      <c r="J975" s="82"/>
      <c r="K975" s="82"/>
      <c r="L975" s="82"/>
      <c r="M975" s="82"/>
    </row>
    <row r="976" spans="1:13" ht="30.5" customHeight="1" thickBot="1" x14ac:dyDescent="0.25">
      <c r="A976" s="5" t="s">
        <v>2890</v>
      </c>
      <c r="B976" s="5" t="s">
        <v>2891</v>
      </c>
      <c r="C976" s="5" t="s">
        <v>2892</v>
      </c>
      <c r="D976" s="82" t="s">
        <v>2893</v>
      </c>
      <c r="E976" s="82"/>
      <c r="F976" s="82"/>
      <c r="G976" s="82"/>
      <c r="H976" s="82"/>
      <c r="I976" s="82"/>
      <c r="J976" s="82"/>
      <c r="K976" s="23">
        <v>1</v>
      </c>
      <c r="L976" s="23">
        <f>ROUND(451.796,3)</f>
        <v>451.79599999999999</v>
      </c>
      <c r="M976" s="24">
        <f>ROUND(K976*L976,2)</f>
        <v>451.8</v>
      </c>
    </row>
    <row r="977" spans="1:13" ht="15" customHeight="1" thickBot="1" x14ac:dyDescent="0.25">
      <c r="A977" s="5" t="s">
        <v>2894</v>
      </c>
      <c r="B977" s="5" t="s">
        <v>2895</v>
      </c>
      <c r="C977" s="5" t="s">
        <v>2896</v>
      </c>
      <c r="D977" s="82" t="s">
        <v>2897</v>
      </c>
      <c r="E977" s="82"/>
      <c r="F977" s="82"/>
      <c r="G977" s="82"/>
      <c r="H977" s="82"/>
      <c r="I977" s="82"/>
      <c r="J977" s="82"/>
      <c r="K977" s="23">
        <v>0.33</v>
      </c>
      <c r="L977" s="23">
        <f>ROUND(27.45,3)</f>
        <v>27.45</v>
      </c>
      <c r="M977" s="24">
        <f>ROUND(K977*L977,2)</f>
        <v>9.06</v>
      </c>
    </row>
    <row r="978" spans="1:13" ht="15" customHeight="1" thickBot="1" x14ac:dyDescent="0.25">
      <c r="A978" s="5" t="s">
        <v>2898</v>
      </c>
      <c r="B978" s="5"/>
      <c r="C978" s="5" t="s">
        <v>2899</v>
      </c>
      <c r="D978" s="82" t="s">
        <v>2900</v>
      </c>
      <c r="E978" s="82"/>
      <c r="F978" s="82"/>
      <c r="G978" s="82"/>
      <c r="H978" s="82"/>
      <c r="I978" s="82"/>
      <c r="J978" s="82"/>
      <c r="K978" s="23">
        <v>2</v>
      </c>
      <c r="L978" s="23">
        <f>ROUND(460.86,3)</f>
        <v>460.86</v>
      </c>
      <c r="M978" s="24">
        <f>ROUND((K978*L978)/100,2)</f>
        <v>9.2200000000000006</v>
      </c>
    </row>
    <row r="979" spans="1:13" ht="15.25" customHeight="1" thickBot="1" x14ac:dyDescent="0.25">
      <c r="A979" s="26"/>
      <c r="B979" s="26"/>
      <c r="C979" s="26"/>
      <c r="D979" s="27" t="s">
        <v>2901</v>
      </c>
      <c r="E979" s="26"/>
      <c r="F979" s="26"/>
      <c r="G979" s="26"/>
      <c r="H979" s="26"/>
      <c r="I979" s="26"/>
      <c r="J979" s="26"/>
      <c r="K979" s="28">
        <v>1</v>
      </c>
      <c r="L979" s="29">
        <f>ROUND((M976+M977+M978)*(1+M2/100),2)</f>
        <v>484.18</v>
      </c>
      <c r="M979" s="29">
        <f>ROUND(K979*L979,2)</f>
        <v>484.18</v>
      </c>
    </row>
    <row r="980" spans="1:13" ht="30.5" customHeight="1" thickBot="1" x14ac:dyDescent="0.25">
      <c r="A980" s="30" t="s">
        <v>2902</v>
      </c>
      <c r="B980" s="31" t="s">
        <v>2903</v>
      </c>
      <c r="C980" s="31" t="s">
        <v>2904</v>
      </c>
      <c r="D980" s="83" t="s">
        <v>2905</v>
      </c>
      <c r="E980" s="83"/>
      <c r="F980" s="83"/>
      <c r="G980" s="83"/>
      <c r="H980" s="83"/>
      <c r="I980" s="83"/>
      <c r="J980" s="83"/>
      <c r="K980" s="32">
        <f>ROUND(1,2)</f>
        <v>1</v>
      </c>
      <c r="L980" s="33">
        <f>L985</f>
        <v>2188.2600000000002</v>
      </c>
      <c r="M980" s="33">
        <f>ROUND(K980*L980,2)</f>
        <v>2188.2600000000002</v>
      </c>
    </row>
    <row r="981" spans="1:13" ht="30.5" customHeight="1" thickBot="1" x14ac:dyDescent="0.25">
      <c r="A981" s="25"/>
      <c r="B981" s="25"/>
      <c r="C981" s="25"/>
      <c r="D981" s="82" t="s">
        <v>2906</v>
      </c>
      <c r="E981" s="82"/>
      <c r="F981" s="82"/>
      <c r="G981" s="82"/>
      <c r="H981" s="82"/>
      <c r="I981" s="82"/>
      <c r="J981" s="82"/>
      <c r="K981" s="82"/>
      <c r="L981" s="82"/>
      <c r="M981" s="82"/>
    </row>
    <row r="982" spans="1:13" ht="30.5" customHeight="1" thickBot="1" x14ac:dyDescent="0.25">
      <c r="A982" s="5" t="s">
        <v>2907</v>
      </c>
      <c r="B982" s="5" t="s">
        <v>2908</v>
      </c>
      <c r="C982" s="5" t="s">
        <v>2909</v>
      </c>
      <c r="D982" s="82" t="s">
        <v>2910</v>
      </c>
      <c r="E982" s="82"/>
      <c r="F982" s="82"/>
      <c r="G982" s="82"/>
      <c r="H982" s="82"/>
      <c r="I982" s="82"/>
      <c r="J982" s="82"/>
      <c r="K982" s="23">
        <v>1</v>
      </c>
      <c r="L982" s="23">
        <f>ROUND(2067.324,3)</f>
        <v>2067.3240000000001</v>
      </c>
      <c r="M982" s="24">
        <f>ROUND(K982*L982,2)</f>
        <v>2067.3200000000002</v>
      </c>
    </row>
    <row r="983" spans="1:13" ht="15" customHeight="1" thickBot="1" x14ac:dyDescent="0.25">
      <c r="A983" s="5" t="s">
        <v>2911</v>
      </c>
      <c r="B983" s="5" t="s">
        <v>2912</v>
      </c>
      <c r="C983" s="5" t="s">
        <v>2913</v>
      </c>
      <c r="D983" s="82" t="s">
        <v>2914</v>
      </c>
      <c r="E983" s="82"/>
      <c r="F983" s="82"/>
      <c r="G983" s="82"/>
      <c r="H983" s="82"/>
      <c r="I983" s="82"/>
      <c r="J983" s="82"/>
      <c r="K983" s="23">
        <v>0.56599999999999995</v>
      </c>
      <c r="L983" s="23">
        <f>ROUND(27.45,3)</f>
        <v>27.45</v>
      </c>
      <c r="M983" s="24">
        <f>ROUND(K983*L983,2)</f>
        <v>15.54</v>
      </c>
    </row>
    <row r="984" spans="1:13" ht="15" customHeight="1" thickBot="1" x14ac:dyDescent="0.25">
      <c r="A984" s="5" t="s">
        <v>2915</v>
      </c>
      <c r="B984" s="5"/>
      <c r="C984" s="5" t="s">
        <v>2916</v>
      </c>
      <c r="D984" s="82" t="s">
        <v>2917</v>
      </c>
      <c r="E984" s="82"/>
      <c r="F984" s="82"/>
      <c r="G984" s="82"/>
      <c r="H984" s="82"/>
      <c r="I984" s="82"/>
      <c r="J984" s="82"/>
      <c r="K984" s="23">
        <v>2</v>
      </c>
      <c r="L984" s="23">
        <f>ROUND(2082.86,3)</f>
        <v>2082.86</v>
      </c>
      <c r="M984" s="24">
        <f>ROUND((K984*L984)/100,2)</f>
        <v>41.66</v>
      </c>
    </row>
    <row r="985" spans="1:13" ht="15.25" customHeight="1" thickBot="1" x14ac:dyDescent="0.25">
      <c r="A985" s="26"/>
      <c r="B985" s="26"/>
      <c r="C985" s="26"/>
      <c r="D985" s="27" t="s">
        <v>2918</v>
      </c>
      <c r="E985" s="26"/>
      <c r="F985" s="26"/>
      <c r="G985" s="26"/>
      <c r="H985" s="26"/>
      <c r="I985" s="26"/>
      <c r="J985" s="26"/>
      <c r="K985" s="28">
        <v>1</v>
      </c>
      <c r="L985" s="29">
        <f>ROUND((M982+M983+M984)*(1+M2/100),2)</f>
        <v>2188.2600000000002</v>
      </c>
      <c r="M985" s="29">
        <f>ROUND(K985*L985,2)</f>
        <v>2188.2600000000002</v>
      </c>
    </row>
    <row r="986" spans="1:13" ht="21.25" customHeight="1" thickBot="1" x14ac:dyDescent="0.25">
      <c r="A986" s="30" t="s">
        <v>2919</v>
      </c>
      <c r="B986" s="31" t="s">
        <v>2920</v>
      </c>
      <c r="C986" s="31" t="s">
        <v>2921</v>
      </c>
      <c r="D986" s="83" t="s">
        <v>2922</v>
      </c>
      <c r="E986" s="83"/>
      <c r="F986" s="83"/>
      <c r="G986" s="83"/>
      <c r="H986" s="83"/>
      <c r="I986" s="83"/>
      <c r="J986" s="83"/>
      <c r="K986" s="32">
        <f>ROUND(1,2)</f>
        <v>1</v>
      </c>
      <c r="L986" s="33">
        <f>L996</f>
        <v>1814.95</v>
      </c>
      <c r="M986" s="33">
        <f>ROUND(K986*L986,2)</f>
        <v>1814.95</v>
      </c>
    </row>
    <row r="987" spans="1:13" ht="30.5" customHeight="1" thickBot="1" x14ac:dyDescent="0.25">
      <c r="A987" s="25"/>
      <c r="B987" s="25"/>
      <c r="C987" s="25"/>
      <c r="D987" s="82" t="s">
        <v>2923</v>
      </c>
      <c r="E987" s="82"/>
      <c r="F987" s="82"/>
      <c r="G987" s="82"/>
      <c r="H987" s="82"/>
      <c r="I987" s="82"/>
      <c r="J987" s="82"/>
      <c r="K987" s="82"/>
      <c r="L987" s="82"/>
      <c r="M987" s="82"/>
    </row>
    <row r="988" spans="1:13" ht="39.5" customHeight="1" thickBot="1" x14ac:dyDescent="0.25">
      <c r="A988" s="5" t="s">
        <v>2924</v>
      </c>
      <c r="B988" s="5" t="s">
        <v>2925</v>
      </c>
      <c r="C988" s="5" t="s">
        <v>2926</v>
      </c>
      <c r="D988" s="82" t="s">
        <v>2927</v>
      </c>
      <c r="E988" s="82"/>
      <c r="F988" s="82"/>
      <c r="G988" s="82"/>
      <c r="H988" s="82"/>
      <c r="I988" s="82"/>
      <c r="J988" s="82"/>
      <c r="K988" s="23">
        <v>1</v>
      </c>
      <c r="L988" s="23">
        <f>ROUND(905.504,3)</f>
        <v>905.50400000000002</v>
      </c>
      <c r="M988" s="24">
        <f t="shared" ref="M988:M994" si="38">ROUND(K988*L988,2)</f>
        <v>905.5</v>
      </c>
    </row>
    <row r="989" spans="1:13" ht="15" customHeight="1" thickBot="1" x14ac:dyDescent="0.25">
      <c r="A989" s="5" t="s">
        <v>2928</v>
      </c>
      <c r="B989" s="5" t="s">
        <v>2929</v>
      </c>
      <c r="C989" s="5" t="s">
        <v>2930</v>
      </c>
      <c r="D989" s="82" t="s">
        <v>2931</v>
      </c>
      <c r="E989" s="82"/>
      <c r="F989" s="82"/>
      <c r="G989" s="82"/>
      <c r="H989" s="82"/>
      <c r="I989" s="82"/>
      <c r="J989" s="82"/>
      <c r="K989" s="23">
        <v>13</v>
      </c>
      <c r="L989" s="23">
        <f>ROUND(15.351,3)</f>
        <v>15.351000000000001</v>
      </c>
      <c r="M989" s="24">
        <f t="shared" si="38"/>
        <v>199.56</v>
      </c>
    </row>
    <row r="990" spans="1:13" ht="15" customHeight="1" thickBot="1" x14ac:dyDescent="0.25">
      <c r="A990" s="5" t="s">
        <v>2932</v>
      </c>
      <c r="B990" s="5" t="s">
        <v>2933</v>
      </c>
      <c r="C990" s="5" t="s">
        <v>2934</v>
      </c>
      <c r="D990" s="82" t="s">
        <v>2935</v>
      </c>
      <c r="E990" s="82"/>
      <c r="F990" s="82"/>
      <c r="G990" s="82"/>
      <c r="H990" s="82"/>
      <c r="I990" s="82"/>
      <c r="J990" s="82"/>
      <c r="K990" s="23">
        <v>13</v>
      </c>
      <c r="L990" s="23">
        <f>ROUND(16.458,3)</f>
        <v>16.457999999999998</v>
      </c>
      <c r="M990" s="24">
        <f t="shared" si="38"/>
        <v>213.95</v>
      </c>
    </row>
    <row r="991" spans="1:13" ht="24.25" customHeight="1" thickBot="1" x14ac:dyDescent="0.25">
      <c r="A991" s="5" t="s">
        <v>2936</v>
      </c>
      <c r="B991" s="5" t="s">
        <v>2937</v>
      </c>
      <c r="C991" s="5" t="s">
        <v>2938</v>
      </c>
      <c r="D991" s="82" t="s">
        <v>2939</v>
      </c>
      <c r="E991" s="82"/>
      <c r="F991" s="82"/>
      <c r="G991" s="82"/>
      <c r="H991" s="82"/>
      <c r="I991" s="82"/>
      <c r="J991" s="82"/>
      <c r="K991" s="23">
        <v>1</v>
      </c>
      <c r="L991" s="23">
        <f>ROUND(67.001,3)</f>
        <v>67.001000000000005</v>
      </c>
      <c r="M991" s="24">
        <f t="shared" si="38"/>
        <v>67</v>
      </c>
    </row>
    <row r="992" spans="1:13" ht="15" customHeight="1" thickBot="1" x14ac:dyDescent="0.25">
      <c r="A992" s="5" t="s">
        <v>2940</v>
      </c>
      <c r="B992" s="5" t="s">
        <v>2941</v>
      </c>
      <c r="C992" s="5" t="s">
        <v>2942</v>
      </c>
      <c r="D992" s="82" t="s">
        <v>2943</v>
      </c>
      <c r="E992" s="82"/>
      <c r="F992" s="82"/>
      <c r="G992" s="82"/>
      <c r="H992" s="82"/>
      <c r="I992" s="82"/>
      <c r="J992" s="82"/>
      <c r="K992" s="23">
        <v>7</v>
      </c>
      <c r="L992" s="23">
        <f>ROUND(36.596,3)</f>
        <v>36.595999999999997</v>
      </c>
      <c r="M992" s="24">
        <f t="shared" si="38"/>
        <v>256.17</v>
      </c>
    </row>
    <row r="993" spans="1:13" ht="15" customHeight="1" thickBot="1" x14ac:dyDescent="0.25">
      <c r="A993" s="5" t="s">
        <v>2944</v>
      </c>
      <c r="B993" s="5" t="s">
        <v>2945</v>
      </c>
      <c r="C993" s="5" t="s">
        <v>2946</v>
      </c>
      <c r="D993" s="82" t="s">
        <v>2947</v>
      </c>
      <c r="E993" s="82"/>
      <c r="F993" s="82"/>
      <c r="G993" s="82"/>
      <c r="H993" s="82"/>
      <c r="I993" s="82"/>
      <c r="J993" s="82"/>
      <c r="K993" s="23">
        <v>1</v>
      </c>
      <c r="L993" s="23">
        <f>ROUND(72.097,3)</f>
        <v>72.096999999999994</v>
      </c>
      <c r="M993" s="24">
        <f t="shared" si="38"/>
        <v>72.099999999999994</v>
      </c>
    </row>
    <row r="994" spans="1:13" ht="15" customHeight="1" thickBot="1" x14ac:dyDescent="0.25">
      <c r="A994" s="5" t="s">
        <v>2948</v>
      </c>
      <c r="B994" s="5" t="s">
        <v>2949</v>
      </c>
      <c r="C994" s="5" t="s">
        <v>2950</v>
      </c>
      <c r="D994" s="82" t="s">
        <v>2951</v>
      </c>
      <c r="E994" s="82"/>
      <c r="F994" s="82"/>
      <c r="G994" s="82"/>
      <c r="H994" s="82"/>
      <c r="I994" s="82"/>
      <c r="J994" s="82"/>
      <c r="K994" s="23">
        <v>0.48299999999999998</v>
      </c>
      <c r="L994" s="23">
        <f>ROUND(27.45,3)</f>
        <v>27.45</v>
      </c>
      <c r="M994" s="24">
        <f t="shared" si="38"/>
        <v>13.26</v>
      </c>
    </row>
    <row r="995" spans="1:13" ht="15" customHeight="1" thickBot="1" x14ac:dyDescent="0.25">
      <c r="A995" s="5" t="s">
        <v>2952</v>
      </c>
      <c r="B995" s="5"/>
      <c r="C995" s="5" t="s">
        <v>2953</v>
      </c>
      <c r="D995" s="82" t="s">
        <v>2954</v>
      </c>
      <c r="E995" s="82"/>
      <c r="F995" s="82"/>
      <c r="G995" s="82"/>
      <c r="H995" s="82"/>
      <c r="I995" s="82"/>
      <c r="J995" s="82"/>
      <c r="K995" s="23">
        <v>2</v>
      </c>
      <c r="L995" s="23">
        <f>ROUND(1727.54,3)</f>
        <v>1727.54</v>
      </c>
      <c r="M995" s="24">
        <f>ROUND((K995*L995)/100,2)</f>
        <v>34.549999999999997</v>
      </c>
    </row>
    <row r="996" spans="1:13" ht="15.25" customHeight="1" thickBot="1" x14ac:dyDescent="0.25">
      <c r="A996" s="26"/>
      <c r="B996" s="26"/>
      <c r="C996" s="26"/>
      <c r="D996" s="27" t="s">
        <v>2955</v>
      </c>
      <c r="E996" s="26"/>
      <c r="F996" s="26"/>
      <c r="G996" s="26"/>
      <c r="H996" s="26"/>
      <c r="I996" s="26"/>
      <c r="J996" s="26"/>
      <c r="K996" s="28">
        <v>1</v>
      </c>
      <c r="L996" s="29">
        <f>ROUND((M988+M989+M990+M991+M992+M993+M994+M995)*(1+M2/100),2)</f>
        <v>1814.95</v>
      </c>
      <c r="M996" s="29">
        <f>ROUND(K996*L996,2)</f>
        <v>1814.95</v>
      </c>
    </row>
    <row r="997" spans="1:13" ht="15.25" customHeight="1" thickBot="1" x14ac:dyDescent="0.25">
      <c r="A997" s="34"/>
      <c r="B997" s="34"/>
      <c r="C997" s="34"/>
      <c r="D997" s="35" t="s">
        <v>2956</v>
      </c>
      <c r="E997" s="36"/>
      <c r="F997" s="36"/>
      <c r="G997" s="36"/>
      <c r="H997" s="36"/>
      <c r="I997" s="36"/>
      <c r="J997" s="36"/>
      <c r="K997" s="36"/>
      <c r="L997" s="37">
        <f>M904+M906+M912+M918+M924+M930+M936+M943+M950+M956+M962+M968+M974+M980+M986</f>
        <v>16233.68</v>
      </c>
      <c r="M997" s="37">
        <f>ROUND(L997,2)</f>
        <v>16233.68</v>
      </c>
    </row>
    <row r="998" spans="1:13" ht="15.25" customHeight="1" thickBot="1" x14ac:dyDescent="0.25">
      <c r="A998" s="38" t="s">
        <v>2957</v>
      </c>
      <c r="B998" s="38" t="s">
        <v>2958</v>
      </c>
      <c r="C998" s="39"/>
      <c r="D998" s="84" t="s">
        <v>2959</v>
      </c>
      <c r="E998" s="84"/>
      <c r="F998" s="84"/>
      <c r="G998" s="84"/>
      <c r="H998" s="84"/>
      <c r="I998" s="84"/>
      <c r="J998" s="84"/>
      <c r="K998" s="39"/>
      <c r="L998" s="40">
        <f>L1029</f>
        <v>1674.0300000000002</v>
      </c>
      <c r="M998" s="40">
        <f>ROUND(L998,2)</f>
        <v>1674.03</v>
      </c>
    </row>
    <row r="999" spans="1:13" ht="21.25" customHeight="1" thickBot="1" x14ac:dyDescent="0.25">
      <c r="A999" s="10" t="s">
        <v>2960</v>
      </c>
      <c r="B999" s="5" t="s">
        <v>2961</v>
      </c>
      <c r="C999" s="5" t="s">
        <v>2962</v>
      </c>
      <c r="D999" s="82" t="s">
        <v>2963</v>
      </c>
      <c r="E999" s="82"/>
      <c r="F999" s="82"/>
      <c r="G999" s="82"/>
      <c r="H999" s="82"/>
      <c r="I999" s="82"/>
      <c r="J999" s="82"/>
      <c r="K999" s="23">
        <f>ROUND(8,2)</f>
        <v>8</v>
      </c>
      <c r="L999" s="24">
        <f>L1004</f>
        <v>15.47</v>
      </c>
      <c r="M999" s="24">
        <f>ROUND(K999*L999,2)</f>
        <v>123.76</v>
      </c>
    </row>
    <row r="1000" spans="1:13" ht="21.25" customHeight="1" thickBot="1" x14ac:dyDescent="0.25">
      <c r="A1000" s="25"/>
      <c r="B1000" s="25"/>
      <c r="C1000" s="25"/>
      <c r="D1000" s="82" t="s">
        <v>2964</v>
      </c>
      <c r="E1000" s="82"/>
      <c r="F1000" s="82"/>
      <c r="G1000" s="82"/>
      <c r="H1000" s="82"/>
      <c r="I1000" s="82"/>
      <c r="J1000" s="82"/>
      <c r="K1000" s="82"/>
      <c r="L1000" s="82"/>
      <c r="M1000" s="82"/>
    </row>
    <row r="1001" spans="1:13" ht="21.25" customHeight="1" thickBot="1" x14ac:dyDescent="0.25">
      <c r="A1001" s="5" t="s">
        <v>2965</v>
      </c>
      <c r="B1001" s="5" t="s">
        <v>2966</v>
      </c>
      <c r="C1001" s="5" t="s">
        <v>2967</v>
      </c>
      <c r="D1001" s="82" t="s">
        <v>2968</v>
      </c>
      <c r="E1001" s="82"/>
      <c r="F1001" s="82"/>
      <c r="G1001" s="82"/>
      <c r="H1001" s="82"/>
      <c r="I1001" s="82"/>
      <c r="J1001" s="82"/>
      <c r="K1001" s="23">
        <v>1</v>
      </c>
      <c r="L1001" s="23">
        <f>ROUND(8.246,3)</f>
        <v>8.2460000000000004</v>
      </c>
      <c r="M1001" s="24">
        <f>ROUND(K1001*L1001,2)</f>
        <v>8.25</v>
      </c>
    </row>
    <row r="1002" spans="1:13" ht="15" customHeight="1" thickBot="1" x14ac:dyDescent="0.25">
      <c r="A1002" s="5" t="s">
        <v>2969</v>
      </c>
      <c r="B1002" s="5" t="s">
        <v>2970</v>
      </c>
      <c r="C1002" s="5" t="s">
        <v>2971</v>
      </c>
      <c r="D1002" s="82" t="s">
        <v>2972</v>
      </c>
      <c r="E1002" s="82"/>
      <c r="F1002" s="82"/>
      <c r="G1002" s="82"/>
      <c r="H1002" s="82"/>
      <c r="I1002" s="82"/>
      <c r="J1002" s="82"/>
      <c r="K1002" s="23">
        <v>0.23599999999999999</v>
      </c>
      <c r="L1002" s="23">
        <f>ROUND(27.45,3)</f>
        <v>27.45</v>
      </c>
      <c r="M1002" s="24">
        <f>ROUND(K1002*L1002,2)</f>
        <v>6.48</v>
      </c>
    </row>
    <row r="1003" spans="1:13" ht="15" customHeight="1" thickBot="1" x14ac:dyDescent="0.25">
      <c r="A1003" s="5" t="s">
        <v>2973</v>
      </c>
      <c r="B1003" s="5"/>
      <c r="C1003" s="5" t="s">
        <v>2974</v>
      </c>
      <c r="D1003" s="82" t="s">
        <v>2975</v>
      </c>
      <c r="E1003" s="82"/>
      <c r="F1003" s="82"/>
      <c r="G1003" s="82"/>
      <c r="H1003" s="82"/>
      <c r="I1003" s="82"/>
      <c r="J1003" s="82"/>
      <c r="K1003" s="23">
        <v>2</v>
      </c>
      <c r="L1003" s="23">
        <f>ROUND(14.73,3)</f>
        <v>14.73</v>
      </c>
      <c r="M1003" s="24">
        <f>ROUND((K1003*L1003)/100,2)</f>
        <v>0.28999999999999998</v>
      </c>
    </row>
    <row r="1004" spans="1:13" ht="15.25" customHeight="1" thickBot="1" x14ac:dyDescent="0.25">
      <c r="A1004" s="26"/>
      <c r="B1004" s="26"/>
      <c r="C1004" s="26"/>
      <c r="D1004" s="27" t="s">
        <v>2976</v>
      </c>
      <c r="E1004" s="26"/>
      <c r="F1004" s="26"/>
      <c r="G1004" s="26"/>
      <c r="H1004" s="26"/>
      <c r="I1004" s="26"/>
      <c r="J1004" s="26"/>
      <c r="K1004" s="28">
        <v>8</v>
      </c>
      <c r="L1004" s="29">
        <f>ROUND((M1001+M1002+M1003)*(1+M2/100),2)</f>
        <v>15.47</v>
      </c>
      <c r="M1004" s="29">
        <f>ROUND(K1004*L1004,2)</f>
        <v>123.76</v>
      </c>
    </row>
    <row r="1005" spans="1:13" ht="21.25" customHeight="1" thickBot="1" x14ac:dyDescent="0.25">
      <c r="A1005" s="30" t="s">
        <v>2977</v>
      </c>
      <c r="B1005" s="31" t="s">
        <v>2978</v>
      </c>
      <c r="C1005" s="31" t="s">
        <v>2979</v>
      </c>
      <c r="D1005" s="83" t="s">
        <v>2980</v>
      </c>
      <c r="E1005" s="83"/>
      <c r="F1005" s="83"/>
      <c r="G1005" s="83"/>
      <c r="H1005" s="83"/>
      <c r="I1005" s="83"/>
      <c r="J1005" s="83"/>
      <c r="K1005" s="32">
        <f>ROUND(8,2)</f>
        <v>8</v>
      </c>
      <c r="L1005" s="33">
        <f>L1010</f>
        <v>15.47</v>
      </c>
      <c r="M1005" s="33">
        <f>ROUND(K1005*L1005,2)</f>
        <v>123.76</v>
      </c>
    </row>
    <row r="1006" spans="1:13" ht="21.25" customHeight="1" thickBot="1" x14ac:dyDescent="0.25">
      <c r="A1006" s="25"/>
      <c r="B1006" s="25"/>
      <c r="C1006" s="25"/>
      <c r="D1006" s="82" t="s">
        <v>2981</v>
      </c>
      <c r="E1006" s="82"/>
      <c r="F1006" s="82"/>
      <c r="G1006" s="82"/>
      <c r="H1006" s="82"/>
      <c r="I1006" s="82"/>
      <c r="J1006" s="82"/>
      <c r="K1006" s="82"/>
      <c r="L1006" s="82"/>
      <c r="M1006" s="82"/>
    </row>
    <row r="1007" spans="1:13" ht="21.25" customHeight="1" thickBot="1" x14ac:dyDescent="0.25">
      <c r="A1007" s="5" t="s">
        <v>2982</v>
      </c>
      <c r="B1007" s="5" t="s">
        <v>2983</v>
      </c>
      <c r="C1007" s="5" t="s">
        <v>2984</v>
      </c>
      <c r="D1007" s="82" t="s">
        <v>2985</v>
      </c>
      <c r="E1007" s="82"/>
      <c r="F1007" s="82"/>
      <c r="G1007" s="82"/>
      <c r="H1007" s="82"/>
      <c r="I1007" s="82"/>
      <c r="J1007" s="82"/>
      <c r="K1007" s="23">
        <v>1</v>
      </c>
      <c r="L1007" s="23">
        <f>ROUND(8.246,3)</f>
        <v>8.2460000000000004</v>
      </c>
      <c r="M1007" s="24">
        <f>ROUND(K1007*L1007,2)</f>
        <v>8.25</v>
      </c>
    </row>
    <row r="1008" spans="1:13" ht="15" customHeight="1" thickBot="1" x14ac:dyDescent="0.25">
      <c r="A1008" s="5" t="s">
        <v>2986</v>
      </c>
      <c r="B1008" s="5" t="s">
        <v>2987</v>
      </c>
      <c r="C1008" s="5" t="s">
        <v>2988</v>
      </c>
      <c r="D1008" s="82" t="s">
        <v>2989</v>
      </c>
      <c r="E1008" s="82"/>
      <c r="F1008" s="82"/>
      <c r="G1008" s="82"/>
      <c r="H1008" s="82"/>
      <c r="I1008" s="82"/>
      <c r="J1008" s="82"/>
      <c r="K1008" s="23">
        <v>0.23599999999999999</v>
      </c>
      <c r="L1008" s="23">
        <f>ROUND(27.45,3)</f>
        <v>27.45</v>
      </c>
      <c r="M1008" s="24">
        <f>ROUND(K1008*L1008,2)</f>
        <v>6.48</v>
      </c>
    </row>
    <row r="1009" spans="1:13" ht="15" customHeight="1" thickBot="1" x14ac:dyDescent="0.25">
      <c r="A1009" s="5" t="s">
        <v>2990</v>
      </c>
      <c r="B1009" s="5"/>
      <c r="C1009" s="5" t="s">
        <v>2991</v>
      </c>
      <c r="D1009" s="82" t="s">
        <v>2992</v>
      </c>
      <c r="E1009" s="82"/>
      <c r="F1009" s="82"/>
      <c r="G1009" s="82"/>
      <c r="H1009" s="82"/>
      <c r="I1009" s="82"/>
      <c r="J1009" s="82"/>
      <c r="K1009" s="23">
        <v>2</v>
      </c>
      <c r="L1009" s="23">
        <f>ROUND(14.73,3)</f>
        <v>14.73</v>
      </c>
      <c r="M1009" s="24">
        <f>ROUND((K1009*L1009)/100,2)</f>
        <v>0.28999999999999998</v>
      </c>
    </row>
    <row r="1010" spans="1:13" ht="15.25" customHeight="1" thickBot="1" x14ac:dyDescent="0.25">
      <c r="A1010" s="26"/>
      <c r="B1010" s="26"/>
      <c r="C1010" s="26"/>
      <c r="D1010" s="27" t="s">
        <v>2993</v>
      </c>
      <c r="E1010" s="26"/>
      <c r="F1010" s="26"/>
      <c r="G1010" s="26"/>
      <c r="H1010" s="26"/>
      <c r="I1010" s="26"/>
      <c r="J1010" s="26"/>
      <c r="K1010" s="28">
        <v>8</v>
      </c>
      <c r="L1010" s="29">
        <f>ROUND((M1007+M1008+M1009)*(1+M2/100),2)</f>
        <v>15.47</v>
      </c>
      <c r="M1010" s="29">
        <f>ROUND(K1010*L1010,2)</f>
        <v>123.76</v>
      </c>
    </row>
    <row r="1011" spans="1:13" ht="15.25" customHeight="1" thickBot="1" x14ac:dyDescent="0.25">
      <c r="A1011" s="30" t="s">
        <v>2994</v>
      </c>
      <c r="B1011" s="31" t="s">
        <v>2995</v>
      </c>
      <c r="C1011" s="31" t="s">
        <v>2996</v>
      </c>
      <c r="D1011" s="83" t="s">
        <v>2997</v>
      </c>
      <c r="E1011" s="83"/>
      <c r="F1011" s="83"/>
      <c r="G1011" s="83"/>
      <c r="H1011" s="83"/>
      <c r="I1011" s="83"/>
      <c r="J1011" s="83"/>
      <c r="K1011" s="32">
        <f>ROUND(27,2)</f>
        <v>27</v>
      </c>
      <c r="L1011" s="33">
        <f>L1016</f>
        <v>17.48</v>
      </c>
      <c r="M1011" s="33">
        <f>ROUND(K1011*L1011,2)</f>
        <v>471.96</v>
      </c>
    </row>
    <row r="1012" spans="1:13" ht="21.25" customHeight="1" thickBot="1" x14ac:dyDescent="0.25">
      <c r="A1012" s="25"/>
      <c r="B1012" s="25"/>
      <c r="C1012" s="25"/>
      <c r="D1012" s="82" t="s">
        <v>2998</v>
      </c>
      <c r="E1012" s="82"/>
      <c r="F1012" s="82"/>
      <c r="G1012" s="82"/>
      <c r="H1012" s="82"/>
      <c r="I1012" s="82"/>
      <c r="J1012" s="82"/>
      <c r="K1012" s="82"/>
      <c r="L1012" s="82"/>
      <c r="M1012" s="82"/>
    </row>
    <row r="1013" spans="1:13" ht="15" customHeight="1" thickBot="1" x14ac:dyDescent="0.25">
      <c r="A1013" s="5" t="s">
        <v>2999</v>
      </c>
      <c r="B1013" s="5" t="s">
        <v>3000</v>
      </c>
      <c r="C1013" s="5" t="s">
        <v>3001</v>
      </c>
      <c r="D1013" s="82" t="s">
        <v>3002</v>
      </c>
      <c r="E1013" s="82"/>
      <c r="F1013" s="82"/>
      <c r="G1013" s="82"/>
      <c r="H1013" s="82"/>
      <c r="I1013" s="82"/>
      <c r="J1013" s="82"/>
      <c r="K1013" s="23">
        <v>1</v>
      </c>
      <c r="L1013" s="23">
        <f>ROUND(10.349,3)</f>
        <v>10.349</v>
      </c>
      <c r="M1013" s="24">
        <f>ROUND(K1013*L1013,2)</f>
        <v>10.35</v>
      </c>
    </row>
    <row r="1014" spans="1:13" ht="15" customHeight="1" thickBot="1" x14ac:dyDescent="0.25">
      <c r="A1014" s="5" t="s">
        <v>3003</v>
      </c>
      <c r="B1014" s="5" t="s">
        <v>3004</v>
      </c>
      <c r="C1014" s="5" t="s">
        <v>3005</v>
      </c>
      <c r="D1014" s="82" t="s">
        <v>3006</v>
      </c>
      <c r="E1014" s="82"/>
      <c r="F1014" s="82"/>
      <c r="G1014" s="82"/>
      <c r="H1014" s="82"/>
      <c r="I1014" s="82"/>
      <c r="J1014" s="82"/>
      <c r="K1014" s="23">
        <v>0.22900000000000001</v>
      </c>
      <c r="L1014" s="23">
        <f>ROUND(27.45,3)</f>
        <v>27.45</v>
      </c>
      <c r="M1014" s="24">
        <f>ROUND(K1014*L1014,2)</f>
        <v>6.29</v>
      </c>
    </row>
    <row r="1015" spans="1:13" ht="15" customHeight="1" thickBot="1" x14ac:dyDescent="0.25">
      <c r="A1015" s="5" t="s">
        <v>3007</v>
      </c>
      <c r="B1015" s="5"/>
      <c r="C1015" s="5" t="s">
        <v>3008</v>
      </c>
      <c r="D1015" s="82" t="s">
        <v>3009</v>
      </c>
      <c r="E1015" s="82"/>
      <c r="F1015" s="82"/>
      <c r="G1015" s="82"/>
      <c r="H1015" s="82"/>
      <c r="I1015" s="82"/>
      <c r="J1015" s="82"/>
      <c r="K1015" s="23">
        <v>2</v>
      </c>
      <c r="L1015" s="23">
        <f>ROUND(16.64,3)</f>
        <v>16.64</v>
      </c>
      <c r="M1015" s="24">
        <f>ROUND((K1015*L1015)/100,2)</f>
        <v>0.33</v>
      </c>
    </row>
    <row r="1016" spans="1:13" ht="15.25" customHeight="1" thickBot="1" x14ac:dyDescent="0.25">
      <c r="A1016" s="26"/>
      <c r="B1016" s="26"/>
      <c r="C1016" s="26"/>
      <c r="D1016" s="27" t="s">
        <v>3010</v>
      </c>
      <c r="E1016" s="26"/>
      <c r="F1016" s="26"/>
      <c r="G1016" s="26"/>
      <c r="H1016" s="26"/>
      <c r="I1016" s="26"/>
      <c r="J1016" s="26"/>
      <c r="K1016" s="28">
        <v>27</v>
      </c>
      <c r="L1016" s="29">
        <f>ROUND((M1013+M1014+M1015)*(1+M2/100),2)</f>
        <v>17.48</v>
      </c>
      <c r="M1016" s="29">
        <f>ROUND(K1016*L1016,2)</f>
        <v>471.96</v>
      </c>
    </row>
    <row r="1017" spans="1:13" ht="15.25" customHeight="1" thickBot="1" x14ac:dyDescent="0.25">
      <c r="A1017" s="30" t="s">
        <v>3011</v>
      </c>
      <c r="B1017" s="31" t="s">
        <v>3012</v>
      </c>
      <c r="C1017" s="31" t="s">
        <v>3013</v>
      </c>
      <c r="D1017" s="83" t="s">
        <v>3014</v>
      </c>
      <c r="E1017" s="83"/>
      <c r="F1017" s="83"/>
      <c r="G1017" s="83"/>
      <c r="H1017" s="83"/>
      <c r="I1017" s="83"/>
      <c r="J1017" s="83"/>
      <c r="K1017" s="32">
        <f>ROUND(4,2)</f>
        <v>4</v>
      </c>
      <c r="L1017" s="33">
        <f>ROUND(43.604*(1+M2/100),2)</f>
        <v>44.91</v>
      </c>
      <c r="M1017" s="33">
        <f>ROUND(K1017*L1017,2)</f>
        <v>179.64</v>
      </c>
    </row>
    <row r="1018" spans="1:13" ht="21.25" customHeight="1" thickBot="1" x14ac:dyDescent="0.25">
      <c r="A1018" s="25"/>
      <c r="B1018" s="25"/>
      <c r="C1018" s="25"/>
      <c r="D1018" s="82" t="s">
        <v>3015</v>
      </c>
      <c r="E1018" s="82"/>
      <c r="F1018" s="82"/>
      <c r="G1018" s="82"/>
      <c r="H1018" s="82"/>
      <c r="I1018" s="82"/>
      <c r="J1018" s="82"/>
      <c r="K1018" s="82"/>
      <c r="L1018" s="82"/>
      <c r="M1018" s="82"/>
    </row>
    <row r="1019" spans="1:13" ht="15.25" customHeight="1" thickBot="1" x14ac:dyDescent="0.25">
      <c r="A1019" s="10" t="s">
        <v>3016</v>
      </c>
      <c r="B1019" s="5" t="s">
        <v>3017</v>
      </c>
      <c r="C1019" s="5" t="s">
        <v>3018</v>
      </c>
      <c r="D1019" s="82" t="s">
        <v>3019</v>
      </c>
      <c r="E1019" s="82"/>
      <c r="F1019" s="82"/>
      <c r="G1019" s="82"/>
      <c r="H1019" s="82"/>
      <c r="I1019" s="82"/>
      <c r="J1019" s="82"/>
      <c r="K1019" s="23">
        <f>ROUND(1,2)</f>
        <v>1</v>
      </c>
      <c r="L1019" s="24">
        <f>ROUND(52.484*(1+M2/100),2)</f>
        <v>54.06</v>
      </c>
      <c r="M1019" s="24">
        <f>ROUND(K1019*L1019,2)</f>
        <v>54.06</v>
      </c>
    </row>
    <row r="1020" spans="1:13" ht="21.25" customHeight="1" thickBot="1" x14ac:dyDescent="0.25">
      <c r="A1020" s="25"/>
      <c r="B1020" s="25"/>
      <c r="C1020" s="25"/>
      <c r="D1020" s="82" t="s">
        <v>3020</v>
      </c>
      <c r="E1020" s="82"/>
      <c r="F1020" s="82"/>
      <c r="G1020" s="82"/>
      <c r="H1020" s="82"/>
      <c r="I1020" s="82"/>
      <c r="J1020" s="82"/>
      <c r="K1020" s="82"/>
      <c r="L1020" s="82"/>
      <c r="M1020" s="82"/>
    </row>
    <row r="1021" spans="1:13" ht="15.25" customHeight="1" thickBot="1" x14ac:dyDescent="0.25">
      <c r="A1021" s="10" t="s">
        <v>3021</v>
      </c>
      <c r="B1021" s="5" t="s">
        <v>3022</v>
      </c>
      <c r="C1021" s="5" t="s">
        <v>3023</v>
      </c>
      <c r="D1021" s="82" t="s">
        <v>3024</v>
      </c>
      <c r="E1021" s="82"/>
      <c r="F1021" s="82"/>
      <c r="G1021" s="82"/>
      <c r="H1021" s="82"/>
      <c r="I1021" s="82"/>
      <c r="J1021" s="82"/>
      <c r="K1021" s="23">
        <f>ROUND(1,2)</f>
        <v>1</v>
      </c>
      <c r="L1021" s="24">
        <f>ROUND(61.364*(1+M2/100),2)</f>
        <v>63.2</v>
      </c>
      <c r="M1021" s="24">
        <f>ROUND(K1021*L1021,2)</f>
        <v>63.2</v>
      </c>
    </row>
    <row r="1022" spans="1:13" ht="21.25" customHeight="1" thickBot="1" x14ac:dyDescent="0.25">
      <c r="A1022" s="25"/>
      <c r="B1022" s="25"/>
      <c r="C1022" s="25"/>
      <c r="D1022" s="82" t="s">
        <v>3025</v>
      </c>
      <c r="E1022" s="82"/>
      <c r="F1022" s="82"/>
      <c r="G1022" s="82"/>
      <c r="H1022" s="82"/>
      <c r="I1022" s="82"/>
      <c r="J1022" s="82"/>
      <c r="K1022" s="82"/>
      <c r="L1022" s="82"/>
      <c r="M1022" s="82"/>
    </row>
    <row r="1023" spans="1:13" ht="15.25" customHeight="1" thickBot="1" x14ac:dyDescent="0.25">
      <c r="A1023" s="10" t="s">
        <v>3026</v>
      </c>
      <c r="B1023" s="5" t="s">
        <v>3027</v>
      </c>
      <c r="C1023" s="5" t="s">
        <v>3028</v>
      </c>
      <c r="D1023" s="82" t="s">
        <v>3029</v>
      </c>
      <c r="E1023" s="82"/>
      <c r="F1023" s="82"/>
      <c r="G1023" s="82"/>
      <c r="H1023" s="82"/>
      <c r="I1023" s="82"/>
      <c r="J1023" s="82"/>
      <c r="K1023" s="23">
        <f>ROUND(3,2)</f>
        <v>3</v>
      </c>
      <c r="L1023" s="24">
        <f>ROUND(123.529*(1+M2/100),2)</f>
        <v>127.23</v>
      </c>
      <c r="M1023" s="24">
        <f>ROUND(K1023*L1023,2)</f>
        <v>381.69</v>
      </c>
    </row>
    <row r="1024" spans="1:13" ht="21.25" customHeight="1" thickBot="1" x14ac:dyDescent="0.25">
      <c r="A1024" s="25"/>
      <c r="B1024" s="25"/>
      <c r="C1024" s="25"/>
      <c r="D1024" s="82" t="s">
        <v>3030</v>
      </c>
      <c r="E1024" s="82"/>
      <c r="F1024" s="82"/>
      <c r="G1024" s="82"/>
      <c r="H1024" s="82"/>
      <c r="I1024" s="82"/>
      <c r="J1024" s="82"/>
      <c r="K1024" s="82"/>
      <c r="L1024" s="82"/>
      <c r="M1024" s="82"/>
    </row>
    <row r="1025" spans="1:13" ht="15.25" customHeight="1" thickBot="1" x14ac:dyDescent="0.25">
      <c r="A1025" s="10" t="s">
        <v>3031</v>
      </c>
      <c r="B1025" s="5" t="s">
        <v>3032</v>
      </c>
      <c r="C1025" s="5" t="s">
        <v>3033</v>
      </c>
      <c r="D1025" s="82" t="s">
        <v>3034</v>
      </c>
      <c r="E1025" s="82"/>
      <c r="F1025" s="82"/>
      <c r="G1025" s="82"/>
      <c r="H1025" s="82"/>
      <c r="I1025" s="82"/>
      <c r="J1025" s="82"/>
      <c r="K1025" s="23">
        <f>ROUND(1,2)</f>
        <v>1</v>
      </c>
      <c r="L1025" s="24">
        <f>ROUND(150.171*(1+M2/100),2)</f>
        <v>154.68</v>
      </c>
      <c r="M1025" s="24">
        <f>ROUND(K1025*L1025,2)</f>
        <v>154.68</v>
      </c>
    </row>
    <row r="1026" spans="1:13" ht="21.25" customHeight="1" thickBot="1" x14ac:dyDescent="0.25">
      <c r="A1026" s="25"/>
      <c r="B1026" s="25"/>
      <c r="C1026" s="25"/>
      <c r="D1026" s="82" t="s">
        <v>3035</v>
      </c>
      <c r="E1026" s="82"/>
      <c r="F1026" s="82"/>
      <c r="G1026" s="82"/>
      <c r="H1026" s="82"/>
      <c r="I1026" s="82"/>
      <c r="J1026" s="82"/>
      <c r="K1026" s="82"/>
      <c r="L1026" s="82"/>
      <c r="M1026" s="82"/>
    </row>
    <row r="1027" spans="1:13" ht="21.25" customHeight="1" thickBot="1" x14ac:dyDescent="0.25">
      <c r="A1027" s="10" t="s">
        <v>3036</v>
      </c>
      <c r="B1027" s="5" t="s">
        <v>3037</v>
      </c>
      <c r="C1027" s="5" t="s">
        <v>3038</v>
      </c>
      <c r="D1027" s="82" t="s">
        <v>3039</v>
      </c>
      <c r="E1027" s="82"/>
      <c r="F1027" s="82"/>
      <c r="G1027" s="82"/>
      <c r="H1027" s="82"/>
      <c r="I1027" s="82"/>
      <c r="J1027" s="82"/>
      <c r="K1027" s="23">
        <f>ROUND(1,2)</f>
        <v>1</v>
      </c>
      <c r="L1027" s="24">
        <f>ROUND(117.747*(1+M2/100),2)</f>
        <v>121.28</v>
      </c>
      <c r="M1027" s="24">
        <f>ROUND(K1027*L1027,2)</f>
        <v>121.28</v>
      </c>
    </row>
    <row r="1028" spans="1:13" ht="21.25" customHeight="1" thickBot="1" x14ac:dyDescent="0.25">
      <c r="A1028" s="25"/>
      <c r="B1028" s="25"/>
      <c r="C1028" s="25"/>
      <c r="D1028" s="82" t="s">
        <v>3040</v>
      </c>
      <c r="E1028" s="82"/>
      <c r="F1028" s="82"/>
      <c r="G1028" s="82"/>
      <c r="H1028" s="82"/>
      <c r="I1028" s="82"/>
      <c r="J1028" s="82"/>
      <c r="K1028" s="82"/>
      <c r="L1028" s="82"/>
      <c r="M1028" s="82"/>
    </row>
    <row r="1029" spans="1:13" ht="15.25" customHeight="1" thickBot="1" x14ac:dyDescent="0.25">
      <c r="A1029" s="26"/>
      <c r="B1029" s="26"/>
      <c r="C1029" s="26"/>
      <c r="D1029" s="65" t="s">
        <v>3041</v>
      </c>
      <c r="E1029" s="66"/>
      <c r="F1029" s="66"/>
      <c r="G1029" s="66"/>
      <c r="H1029" s="66"/>
      <c r="I1029" s="66"/>
      <c r="J1029" s="66"/>
      <c r="K1029" s="66"/>
      <c r="L1029" s="67">
        <f>M999+M1005+M1011+M1017+M1019+M1021+M1023+M1025+M1027</f>
        <v>1674.0300000000002</v>
      </c>
      <c r="M1029" s="67">
        <f>ROUND(L1029,2)</f>
        <v>1674.03</v>
      </c>
    </row>
    <row r="1030" spans="1:13" ht="15.25" customHeight="1" thickBot="1" x14ac:dyDescent="0.25">
      <c r="A1030" s="34"/>
      <c r="B1030" s="34"/>
      <c r="C1030" s="34"/>
      <c r="D1030" s="52" t="s">
        <v>3042</v>
      </c>
      <c r="E1030" s="53"/>
      <c r="F1030" s="53"/>
      <c r="G1030" s="53"/>
      <c r="H1030" s="53"/>
      <c r="I1030" s="53"/>
      <c r="J1030" s="53"/>
      <c r="K1030" s="53"/>
      <c r="L1030" s="54">
        <f>M902+M997+M1029</f>
        <v>33219.550000000003</v>
      </c>
      <c r="M1030" s="54">
        <f>ROUND(L1030,2)</f>
        <v>33219.550000000003</v>
      </c>
    </row>
    <row r="1031" spans="1:13" ht="15.25" customHeight="1" thickBot="1" x14ac:dyDescent="0.25">
      <c r="A1031" s="55" t="s">
        <v>3043</v>
      </c>
      <c r="B1031" s="55" t="s">
        <v>3044</v>
      </c>
      <c r="C1031" s="56"/>
      <c r="D1031" s="85" t="s">
        <v>3045</v>
      </c>
      <c r="E1031" s="85"/>
      <c r="F1031" s="85"/>
      <c r="G1031" s="85"/>
      <c r="H1031" s="85"/>
      <c r="I1031" s="85"/>
      <c r="J1031" s="85"/>
      <c r="K1031" s="56"/>
      <c r="L1031" s="57">
        <f>L1063</f>
        <v>4873.24</v>
      </c>
      <c r="M1031" s="57">
        <f>ROUND(L1031,2)</f>
        <v>4873.24</v>
      </c>
    </row>
    <row r="1032" spans="1:13" ht="15.25" customHeight="1" thickBot="1" x14ac:dyDescent="0.25">
      <c r="A1032" s="20" t="s">
        <v>3046</v>
      </c>
      <c r="B1032" s="20" t="s">
        <v>3047</v>
      </c>
      <c r="C1032" s="21"/>
      <c r="D1032" s="81" t="s">
        <v>3048</v>
      </c>
      <c r="E1032" s="81"/>
      <c r="F1032" s="81"/>
      <c r="G1032" s="81"/>
      <c r="H1032" s="81"/>
      <c r="I1032" s="81"/>
      <c r="J1032" s="81"/>
      <c r="K1032" s="21"/>
      <c r="L1032" s="22">
        <f>L1062</f>
        <v>4873.2400000000007</v>
      </c>
      <c r="M1032" s="22">
        <f>ROUND(L1032,2)</f>
        <v>4873.24</v>
      </c>
    </row>
    <row r="1033" spans="1:13" ht="15.25" customHeight="1" thickBot="1" x14ac:dyDescent="0.25">
      <c r="A1033" s="10" t="s">
        <v>3049</v>
      </c>
      <c r="B1033" s="5" t="s">
        <v>3050</v>
      </c>
      <c r="C1033" s="5" t="s">
        <v>3051</v>
      </c>
      <c r="D1033" s="82" t="s">
        <v>3052</v>
      </c>
      <c r="E1033" s="82"/>
      <c r="F1033" s="82"/>
      <c r="G1033" s="82"/>
      <c r="H1033" s="82"/>
      <c r="I1033" s="82"/>
      <c r="J1033" s="82"/>
      <c r="K1033" s="23">
        <f>ROUND(8,2)</f>
        <v>8</v>
      </c>
      <c r="L1033" s="24">
        <f>L1039</f>
        <v>72.09</v>
      </c>
      <c r="M1033" s="24">
        <f>ROUND(K1033*L1033,2)</f>
        <v>576.72</v>
      </c>
    </row>
    <row r="1034" spans="1:13" ht="30.5" customHeight="1" thickBot="1" x14ac:dyDescent="0.25">
      <c r="A1034" s="25"/>
      <c r="B1034" s="25"/>
      <c r="C1034" s="25"/>
      <c r="D1034" s="82" t="s">
        <v>3053</v>
      </c>
      <c r="E1034" s="82"/>
      <c r="F1034" s="82"/>
      <c r="G1034" s="82"/>
      <c r="H1034" s="82"/>
      <c r="I1034" s="82"/>
      <c r="J1034" s="82"/>
      <c r="K1034" s="82"/>
      <c r="L1034" s="82"/>
      <c r="M1034" s="82"/>
    </row>
    <row r="1035" spans="1:13" ht="39.5" customHeight="1" thickBot="1" x14ac:dyDescent="0.25">
      <c r="A1035" s="5" t="s">
        <v>3054</v>
      </c>
      <c r="B1035" s="5" t="s">
        <v>3055</v>
      </c>
      <c r="C1035" s="5" t="s">
        <v>3056</v>
      </c>
      <c r="D1035" s="82" t="s">
        <v>3057</v>
      </c>
      <c r="E1035" s="82"/>
      <c r="F1035" s="82"/>
      <c r="G1035" s="82"/>
      <c r="H1035" s="82"/>
      <c r="I1035" s="82"/>
      <c r="J1035" s="82"/>
      <c r="K1035" s="23">
        <v>1</v>
      </c>
      <c r="L1035" s="23">
        <f>ROUND(56.212,3)</f>
        <v>56.212000000000003</v>
      </c>
      <c r="M1035" s="24">
        <f>ROUND(K1035*L1035,2)</f>
        <v>56.21</v>
      </c>
    </row>
    <row r="1036" spans="1:13" ht="15" customHeight="1" thickBot="1" x14ac:dyDescent="0.25">
      <c r="A1036" s="5" t="s">
        <v>3058</v>
      </c>
      <c r="B1036" s="5" t="s">
        <v>3059</v>
      </c>
      <c r="C1036" s="5" t="s">
        <v>3060</v>
      </c>
      <c r="D1036" s="82" t="s">
        <v>3061</v>
      </c>
      <c r="E1036" s="82"/>
      <c r="F1036" s="82"/>
      <c r="G1036" s="82"/>
      <c r="H1036" s="82"/>
      <c r="I1036" s="82"/>
      <c r="J1036" s="82"/>
      <c r="K1036" s="23">
        <v>0.23799999999999999</v>
      </c>
      <c r="L1036" s="23">
        <f>ROUND(27.45,3)</f>
        <v>27.45</v>
      </c>
      <c r="M1036" s="24">
        <f>ROUND(K1036*L1036,2)</f>
        <v>6.53</v>
      </c>
    </row>
    <row r="1037" spans="1:13" ht="15" customHeight="1" thickBot="1" x14ac:dyDescent="0.25">
      <c r="A1037" s="5" t="s">
        <v>3062</v>
      </c>
      <c r="B1037" s="5" t="s">
        <v>3063</v>
      </c>
      <c r="C1037" s="5" t="s">
        <v>3064</v>
      </c>
      <c r="D1037" s="82" t="s">
        <v>3065</v>
      </c>
      <c r="E1037" s="82"/>
      <c r="F1037" s="82"/>
      <c r="G1037" s="82"/>
      <c r="H1037" s="82"/>
      <c r="I1037" s="82"/>
      <c r="J1037" s="82"/>
      <c r="K1037" s="23">
        <v>0.23799999999999999</v>
      </c>
      <c r="L1037" s="23">
        <f>ROUND(24.7,3)</f>
        <v>24.7</v>
      </c>
      <c r="M1037" s="24">
        <f>ROUND(K1037*L1037,2)</f>
        <v>5.88</v>
      </c>
    </row>
    <row r="1038" spans="1:13" ht="15" customHeight="1" thickBot="1" x14ac:dyDescent="0.25">
      <c r="A1038" s="5" t="s">
        <v>3066</v>
      </c>
      <c r="B1038" s="5"/>
      <c r="C1038" s="5" t="s">
        <v>3067</v>
      </c>
      <c r="D1038" s="82" t="s">
        <v>3068</v>
      </c>
      <c r="E1038" s="82"/>
      <c r="F1038" s="82"/>
      <c r="G1038" s="82"/>
      <c r="H1038" s="82"/>
      <c r="I1038" s="82"/>
      <c r="J1038" s="82"/>
      <c r="K1038" s="23">
        <v>2</v>
      </c>
      <c r="L1038" s="23">
        <f>ROUND(68.62,3)</f>
        <v>68.62</v>
      </c>
      <c r="M1038" s="24">
        <f>ROUND((K1038*L1038)/100,2)</f>
        <v>1.37</v>
      </c>
    </row>
    <row r="1039" spans="1:13" ht="15.25" customHeight="1" thickBot="1" x14ac:dyDescent="0.25">
      <c r="A1039" s="26"/>
      <c r="B1039" s="26"/>
      <c r="C1039" s="26"/>
      <c r="D1039" s="27" t="s">
        <v>3069</v>
      </c>
      <c r="E1039" s="26"/>
      <c r="F1039" s="26"/>
      <c r="G1039" s="26"/>
      <c r="H1039" s="26"/>
      <c r="I1039" s="26"/>
      <c r="J1039" s="26"/>
      <c r="K1039" s="28">
        <v>8</v>
      </c>
      <c r="L1039" s="29">
        <f>ROUND((M1035+M1036+M1037+M1038)*(1+M2/100),2)</f>
        <v>72.09</v>
      </c>
      <c r="M1039" s="29">
        <f>ROUND(K1039*L1039,2)</f>
        <v>576.72</v>
      </c>
    </row>
    <row r="1040" spans="1:13" ht="15.25" customHeight="1" thickBot="1" x14ac:dyDescent="0.25">
      <c r="A1040" s="30" t="s">
        <v>3070</v>
      </c>
      <c r="B1040" s="31" t="s">
        <v>3071</v>
      </c>
      <c r="C1040" s="31" t="s">
        <v>3072</v>
      </c>
      <c r="D1040" s="83" t="s">
        <v>3073</v>
      </c>
      <c r="E1040" s="83"/>
      <c r="F1040" s="83"/>
      <c r="G1040" s="83"/>
      <c r="H1040" s="83"/>
      <c r="I1040" s="83"/>
      <c r="J1040" s="83"/>
      <c r="K1040" s="32">
        <f>ROUND(8,2)</f>
        <v>8</v>
      </c>
      <c r="L1040" s="33">
        <f>ROUND(138.652*(1+M2/100),2)</f>
        <v>142.81</v>
      </c>
      <c r="M1040" s="33">
        <f>ROUND(K1040*L1040,2)</f>
        <v>1142.48</v>
      </c>
    </row>
    <row r="1041" spans="1:13" ht="39.5" customHeight="1" thickBot="1" x14ac:dyDescent="0.25">
      <c r="A1041" s="25"/>
      <c r="B1041" s="25"/>
      <c r="C1041" s="25"/>
      <c r="D1041" s="82" t="s">
        <v>3074</v>
      </c>
      <c r="E1041" s="82"/>
      <c r="F1041" s="82"/>
      <c r="G1041" s="82"/>
      <c r="H1041" s="82"/>
      <c r="I1041" s="82"/>
      <c r="J1041" s="82"/>
      <c r="K1041" s="82"/>
      <c r="L1041" s="82"/>
      <c r="M1041" s="82"/>
    </row>
    <row r="1042" spans="1:13" ht="15.25" customHeight="1" thickBot="1" x14ac:dyDescent="0.25">
      <c r="A1042" s="10" t="s">
        <v>3075</v>
      </c>
      <c r="B1042" s="5" t="s">
        <v>3076</v>
      </c>
      <c r="C1042" s="5" t="s">
        <v>3077</v>
      </c>
      <c r="D1042" s="82" t="s">
        <v>3078</v>
      </c>
      <c r="E1042" s="82"/>
      <c r="F1042" s="82"/>
      <c r="G1042" s="82"/>
      <c r="H1042" s="82"/>
      <c r="I1042" s="82"/>
      <c r="J1042" s="82"/>
      <c r="K1042" s="23">
        <f>ROUND(26,2)</f>
        <v>26</v>
      </c>
      <c r="L1042" s="24">
        <f>L1048</f>
        <v>55.48</v>
      </c>
      <c r="M1042" s="24">
        <f>ROUND(K1042*L1042,2)</f>
        <v>1442.48</v>
      </c>
    </row>
    <row r="1043" spans="1:13" ht="48.75" customHeight="1" thickBot="1" x14ac:dyDescent="0.25">
      <c r="A1043" s="25"/>
      <c r="B1043" s="25"/>
      <c r="C1043" s="25"/>
      <c r="D1043" s="82" t="s">
        <v>3079</v>
      </c>
      <c r="E1043" s="82"/>
      <c r="F1043" s="82"/>
      <c r="G1043" s="82"/>
      <c r="H1043" s="82"/>
      <c r="I1043" s="82"/>
      <c r="J1043" s="82"/>
      <c r="K1043" s="82"/>
      <c r="L1043" s="82"/>
      <c r="M1043" s="82"/>
    </row>
    <row r="1044" spans="1:13" ht="48.75" customHeight="1" thickBot="1" x14ac:dyDescent="0.25">
      <c r="A1044" s="5" t="s">
        <v>3080</v>
      </c>
      <c r="B1044" s="5" t="s">
        <v>3081</v>
      </c>
      <c r="C1044" s="5" t="s">
        <v>3082</v>
      </c>
      <c r="D1044" s="82" t="s">
        <v>3083</v>
      </c>
      <c r="E1044" s="82"/>
      <c r="F1044" s="82"/>
      <c r="G1044" s="82"/>
      <c r="H1044" s="82"/>
      <c r="I1044" s="82"/>
      <c r="J1044" s="82"/>
      <c r="K1044" s="23">
        <v>1</v>
      </c>
      <c r="L1044" s="23">
        <f>ROUND(40.853,3)</f>
        <v>40.853000000000002</v>
      </c>
      <c r="M1044" s="24">
        <f>ROUND(K1044*L1044,2)</f>
        <v>40.85</v>
      </c>
    </row>
    <row r="1045" spans="1:13" ht="15" customHeight="1" thickBot="1" x14ac:dyDescent="0.25">
      <c r="A1045" s="5" t="s">
        <v>3084</v>
      </c>
      <c r="B1045" s="5" t="s">
        <v>3085</v>
      </c>
      <c r="C1045" s="5" t="s">
        <v>3086</v>
      </c>
      <c r="D1045" s="82" t="s">
        <v>3087</v>
      </c>
      <c r="E1045" s="82"/>
      <c r="F1045" s="82"/>
      <c r="G1045" s="82"/>
      <c r="H1045" s="82"/>
      <c r="I1045" s="82"/>
      <c r="J1045" s="82"/>
      <c r="K1045" s="23">
        <v>0.22900000000000001</v>
      </c>
      <c r="L1045" s="23">
        <f>ROUND(27.45,3)</f>
        <v>27.45</v>
      </c>
      <c r="M1045" s="24">
        <f>ROUND(K1045*L1045,2)</f>
        <v>6.29</v>
      </c>
    </row>
    <row r="1046" spans="1:13" ht="15" customHeight="1" thickBot="1" x14ac:dyDescent="0.25">
      <c r="A1046" s="5" t="s">
        <v>3088</v>
      </c>
      <c r="B1046" s="5" t="s">
        <v>3089</v>
      </c>
      <c r="C1046" s="5" t="s">
        <v>3090</v>
      </c>
      <c r="D1046" s="82" t="s">
        <v>3091</v>
      </c>
      <c r="E1046" s="82"/>
      <c r="F1046" s="82"/>
      <c r="G1046" s="82"/>
      <c r="H1046" s="82"/>
      <c r="I1046" s="82"/>
      <c r="J1046" s="82"/>
      <c r="K1046" s="23">
        <v>0.22900000000000001</v>
      </c>
      <c r="L1046" s="23">
        <f>ROUND(24.7,3)</f>
        <v>24.7</v>
      </c>
      <c r="M1046" s="24">
        <f>ROUND(K1046*L1046,2)</f>
        <v>5.66</v>
      </c>
    </row>
    <row r="1047" spans="1:13" ht="15" customHeight="1" thickBot="1" x14ac:dyDescent="0.25">
      <c r="A1047" s="5" t="s">
        <v>3092</v>
      </c>
      <c r="B1047" s="5"/>
      <c r="C1047" s="5" t="s">
        <v>3093</v>
      </c>
      <c r="D1047" s="82" t="s">
        <v>3094</v>
      </c>
      <c r="E1047" s="82"/>
      <c r="F1047" s="82"/>
      <c r="G1047" s="82"/>
      <c r="H1047" s="82"/>
      <c r="I1047" s="82"/>
      <c r="J1047" s="82"/>
      <c r="K1047" s="23">
        <v>2</v>
      </c>
      <c r="L1047" s="23">
        <f>ROUND(52.8,3)</f>
        <v>52.8</v>
      </c>
      <c r="M1047" s="24">
        <f>ROUND((K1047*L1047)/100,2)</f>
        <v>1.06</v>
      </c>
    </row>
    <row r="1048" spans="1:13" ht="15.25" customHeight="1" thickBot="1" x14ac:dyDescent="0.25">
      <c r="A1048" s="26"/>
      <c r="B1048" s="26"/>
      <c r="C1048" s="26"/>
      <c r="D1048" s="27" t="s">
        <v>3095</v>
      </c>
      <c r="E1048" s="26"/>
      <c r="F1048" s="26"/>
      <c r="G1048" s="26"/>
      <c r="H1048" s="26"/>
      <c r="I1048" s="26"/>
      <c r="J1048" s="26"/>
      <c r="K1048" s="28">
        <v>26</v>
      </c>
      <c r="L1048" s="29">
        <f>ROUND((M1044+M1045+M1046+M1047)*(1+M2/100),2)</f>
        <v>55.48</v>
      </c>
      <c r="M1048" s="29">
        <f>ROUND(K1048*L1048,2)</f>
        <v>1442.48</v>
      </c>
    </row>
    <row r="1049" spans="1:13" ht="15.25" customHeight="1" thickBot="1" x14ac:dyDescent="0.25">
      <c r="A1049" s="30" t="s">
        <v>3096</v>
      </c>
      <c r="B1049" s="31" t="s">
        <v>3097</v>
      </c>
      <c r="C1049" s="31" t="s">
        <v>3098</v>
      </c>
      <c r="D1049" s="83" t="s">
        <v>3099</v>
      </c>
      <c r="E1049" s="83"/>
      <c r="F1049" s="83"/>
      <c r="G1049" s="83"/>
      <c r="H1049" s="83"/>
      <c r="I1049" s="83"/>
      <c r="J1049" s="83"/>
      <c r="K1049" s="32">
        <f>ROUND(4,2)</f>
        <v>4</v>
      </c>
      <c r="L1049" s="33">
        <f>ROUND(56.569*(1+M2/100),2)</f>
        <v>58.27</v>
      </c>
      <c r="M1049" s="33">
        <f>ROUND(K1049*L1049,2)</f>
        <v>233.08</v>
      </c>
    </row>
    <row r="1050" spans="1:13" ht="48.75" customHeight="1" thickBot="1" x14ac:dyDescent="0.25">
      <c r="A1050" s="25"/>
      <c r="B1050" s="25"/>
      <c r="C1050" s="25"/>
      <c r="D1050" s="82" t="s">
        <v>3100</v>
      </c>
      <c r="E1050" s="82"/>
      <c r="F1050" s="82"/>
      <c r="G1050" s="82"/>
      <c r="H1050" s="82"/>
      <c r="I1050" s="82"/>
      <c r="J1050" s="82"/>
      <c r="K1050" s="82"/>
      <c r="L1050" s="82"/>
      <c r="M1050" s="82"/>
    </row>
    <row r="1051" spans="1:13" ht="15.25" customHeight="1" thickBot="1" x14ac:dyDescent="0.25">
      <c r="A1051" s="10" t="s">
        <v>3101</v>
      </c>
      <c r="B1051" s="5" t="s">
        <v>3102</v>
      </c>
      <c r="C1051" s="5" t="s">
        <v>3103</v>
      </c>
      <c r="D1051" s="82" t="s">
        <v>3104</v>
      </c>
      <c r="E1051" s="82"/>
      <c r="F1051" s="82"/>
      <c r="G1051" s="82"/>
      <c r="H1051" s="82"/>
      <c r="I1051" s="82"/>
      <c r="J1051" s="82"/>
      <c r="K1051" s="23">
        <f>ROUND(9,2)</f>
        <v>9</v>
      </c>
      <c r="L1051" s="24">
        <f>L1057</f>
        <v>74.7</v>
      </c>
      <c r="M1051" s="24">
        <f>ROUND(K1051*L1051,2)</f>
        <v>672.3</v>
      </c>
    </row>
    <row r="1052" spans="1:13" ht="30.5" customHeight="1" thickBot="1" x14ac:dyDescent="0.25">
      <c r="A1052" s="25"/>
      <c r="B1052" s="25"/>
      <c r="C1052" s="25"/>
      <c r="D1052" s="82" t="s">
        <v>3105</v>
      </c>
      <c r="E1052" s="82"/>
      <c r="F1052" s="82"/>
      <c r="G1052" s="82"/>
      <c r="H1052" s="82"/>
      <c r="I1052" s="82"/>
      <c r="J1052" s="82"/>
      <c r="K1052" s="82"/>
      <c r="L1052" s="82"/>
      <c r="M1052" s="82"/>
    </row>
    <row r="1053" spans="1:13" ht="30.5" customHeight="1" thickBot="1" x14ac:dyDescent="0.25">
      <c r="A1053" s="5" t="s">
        <v>3106</v>
      </c>
      <c r="B1053" s="5" t="s">
        <v>3107</v>
      </c>
      <c r="C1053" s="5" t="s">
        <v>3108</v>
      </c>
      <c r="D1053" s="82" t="s">
        <v>3109</v>
      </c>
      <c r="E1053" s="82"/>
      <c r="F1053" s="82"/>
      <c r="G1053" s="82"/>
      <c r="H1053" s="82"/>
      <c r="I1053" s="82"/>
      <c r="J1053" s="82"/>
      <c r="K1053" s="23">
        <v>1</v>
      </c>
      <c r="L1053" s="23">
        <f>ROUND(63.955,3)</f>
        <v>63.954999999999998</v>
      </c>
      <c r="M1053" s="24">
        <f>ROUND(K1053*L1053,2)</f>
        <v>63.96</v>
      </c>
    </row>
    <row r="1054" spans="1:13" ht="15" customHeight="1" thickBot="1" x14ac:dyDescent="0.25">
      <c r="A1054" s="5" t="s">
        <v>3110</v>
      </c>
      <c r="B1054" s="5" t="s">
        <v>3111</v>
      </c>
      <c r="C1054" s="5" t="s">
        <v>3112</v>
      </c>
      <c r="D1054" s="82" t="s">
        <v>3113</v>
      </c>
      <c r="E1054" s="82"/>
      <c r="F1054" s="82"/>
      <c r="G1054" s="82"/>
      <c r="H1054" s="82"/>
      <c r="I1054" s="82"/>
      <c r="J1054" s="82"/>
      <c r="K1054" s="23">
        <v>0.13700000000000001</v>
      </c>
      <c r="L1054" s="23">
        <f>ROUND(27.45,3)</f>
        <v>27.45</v>
      </c>
      <c r="M1054" s="24">
        <f>ROUND(K1054*L1054,2)</f>
        <v>3.76</v>
      </c>
    </row>
    <row r="1055" spans="1:13" ht="15" customHeight="1" thickBot="1" x14ac:dyDescent="0.25">
      <c r="A1055" s="5" t="s">
        <v>3114</v>
      </c>
      <c r="B1055" s="5" t="s">
        <v>3115</v>
      </c>
      <c r="C1055" s="5" t="s">
        <v>3116</v>
      </c>
      <c r="D1055" s="82" t="s">
        <v>3117</v>
      </c>
      <c r="E1055" s="82"/>
      <c r="F1055" s="82"/>
      <c r="G1055" s="82"/>
      <c r="H1055" s="82"/>
      <c r="I1055" s="82"/>
      <c r="J1055" s="82"/>
      <c r="K1055" s="23">
        <v>0.13700000000000001</v>
      </c>
      <c r="L1055" s="23">
        <f>ROUND(24.7,3)</f>
        <v>24.7</v>
      </c>
      <c r="M1055" s="24">
        <f>ROUND(K1055*L1055,2)</f>
        <v>3.38</v>
      </c>
    </row>
    <row r="1056" spans="1:13" ht="15" customHeight="1" thickBot="1" x14ac:dyDescent="0.25">
      <c r="A1056" s="5" t="s">
        <v>3118</v>
      </c>
      <c r="B1056" s="5"/>
      <c r="C1056" s="5" t="s">
        <v>3119</v>
      </c>
      <c r="D1056" s="82" t="s">
        <v>3120</v>
      </c>
      <c r="E1056" s="82"/>
      <c r="F1056" s="82"/>
      <c r="G1056" s="82"/>
      <c r="H1056" s="82"/>
      <c r="I1056" s="82"/>
      <c r="J1056" s="82"/>
      <c r="K1056" s="23">
        <v>2</v>
      </c>
      <c r="L1056" s="23">
        <f>ROUND(71.1,3)</f>
        <v>71.099999999999994</v>
      </c>
      <c r="M1056" s="24">
        <f>ROUND((K1056*L1056)/100,2)</f>
        <v>1.42</v>
      </c>
    </row>
    <row r="1057" spans="1:13" ht="15.25" customHeight="1" thickBot="1" x14ac:dyDescent="0.25">
      <c r="A1057" s="26"/>
      <c r="B1057" s="26"/>
      <c r="C1057" s="26"/>
      <c r="D1057" s="27" t="s">
        <v>3121</v>
      </c>
      <c r="E1057" s="26"/>
      <c r="F1057" s="26"/>
      <c r="G1057" s="26"/>
      <c r="H1057" s="26"/>
      <c r="I1057" s="26"/>
      <c r="J1057" s="26"/>
      <c r="K1057" s="28">
        <v>9</v>
      </c>
      <c r="L1057" s="29">
        <f>ROUND((M1053+M1054+M1055+M1056)*(1+M2/100),2)</f>
        <v>74.7</v>
      </c>
      <c r="M1057" s="29">
        <f>ROUND(K1057*L1057,2)</f>
        <v>672.3</v>
      </c>
    </row>
    <row r="1058" spans="1:13" ht="15.25" customHeight="1" thickBot="1" x14ac:dyDescent="0.25">
      <c r="A1058" s="30" t="s">
        <v>3122</v>
      </c>
      <c r="B1058" s="31" t="s">
        <v>3123</v>
      </c>
      <c r="C1058" s="31" t="s">
        <v>3124</v>
      </c>
      <c r="D1058" s="83" t="s">
        <v>3125</v>
      </c>
      <c r="E1058" s="83"/>
      <c r="F1058" s="83"/>
      <c r="G1058" s="83"/>
      <c r="H1058" s="83"/>
      <c r="I1058" s="83"/>
      <c r="J1058" s="83"/>
      <c r="K1058" s="32">
        <f>ROUND(10,2)</f>
        <v>10</v>
      </c>
      <c r="L1058" s="33">
        <f>ROUND(64.953*(1+M2/100),2)</f>
        <v>66.900000000000006</v>
      </c>
      <c r="M1058" s="33">
        <f>ROUND(K1058*L1058,2)</f>
        <v>669</v>
      </c>
    </row>
    <row r="1059" spans="1:13" ht="30.5" customHeight="1" thickBot="1" x14ac:dyDescent="0.25">
      <c r="A1059" s="25"/>
      <c r="B1059" s="25"/>
      <c r="C1059" s="25"/>
      <c r="D1059" s="82" t="s">
        <v>3126</v>
      </c>
      <c r="E1059" s="82"/>
      <c r="F1059" s="82"/>
      <c r="G1059" s="82"/>
      <c r="H1059" s="82"/>
      <c r="I1059" s="82"/>
      <c r="J1059" s="82"/>
      <c r="K1059" s="82"/>
      <c r="L1059" s="82"/>
      <c r="M1059" s="82"/>
    </row>
    <row r="1060" spans="1:13" ht="15.25" customHeight="1" thickBot="1" x14ac:dyDescent="0.25">
      <c r="A1060" s="10" t="s">
        <v>3127</v>
      </c>
      <c r="B1060" s="5" t="s">
        <v>3128</v>
      </c>
      <c r="C1060" s="5" t="s">
        <v>3129</v>
      </c>
      <c r="D1060" s="82" t="s">
        <v>3130</v>
      </c>
      <c r="E1060" s="82"/>
      <c r="F1060" s="82"/>
      <c r="G1060" s="82"/>
      <c r="H1060" s="82"/>
      <c r="I1060" s="82"/>
      <c r="J1060" s="82"/>
      <c r="K1060" s="23">
        <f>ROUND(2,2)</f>
        <v>2</v>
      </c>
      <c r="L1060" s="24">
        <f>ROUND(66.592*(1+M2/100),2)</f>
        <v>68.59</v>
      </c>
      <c r="M1060" s="24">
        <f>ROUND(K1060*L1060,2)</f>
        <v>137.18</v>
      </c>
    </row>
    <row r="1061" spans="1:13" ht="21.25" customHeight="1" thickBot="1" x14ac:dyDescent="0.25">
      <c r="A1061" s="25"/>
      <c r="B1061" s="25"/>
      <c r="C1061" s="25"/>
      <c r="D1061" s="82" t="s">
        <v>3131</v>
      </c>
      <c r="E1061" s="82"/>
      <c r="F1061" s="82"/>
      <c r="G1061" s="82"/>
      <c r="H1061" s="82"/>
      <c r="I1061" s="82"/>
      <c r="J1061" s="82"/>
      <c r="K1061" s="82"/>
      <c r="L1061" s="82"/>
      <c r="M1061" s="82"/>
    </row>
    <row r="1062" spans="1:13" ht="15.25" customHeight="1" thickBot="1" x14ac:dyDescent="0.25">
      <c r="A1062" s="26"/>
      <c r="B1062" s="26"/>
      <c r="C1062" s="26"/>
      <c r="D1062" s="65" t="s">
        <v>3132</v>
      </c>
      <c r="E1062" s="66"/>
      <c r="F1062" s="66"/>
      <c r="G1062" s="66"/>
      <c r="H1062" s="66"/>
      <c r="I1062" s="66"/>
      <c r="J1062" s="66"/>
      <c r="K1062" s="66"/>
      <c r="L1062" s="67">
        <f>M1033+M1040+M1042+M1049+M1051+M1058+M1060</f>
        <v>4873.2400000000007</v>
      </c>
      <c r="M1062" s="67">
        <f>ROUND(L1062,2)</f>
        <v>4873.24</v>
      </c>
    </row>
    <row r="1063" spans="1:13" ht="15.25" customHeight="1" thickBot="1" x14ac:dyDescent="0.25">
      <c r="A1063" s="34"/>
      <c r="B1063" s="34"/>
      <c r="C1063" s="34"/>
      <c r="D1063" s="52" t="s">
        <v>3133</v>
      </c>
      <c r="E1063" s="53"/>
      <c r="F1063" s="53"/>
      <c r="G1063" s="53"/>
      <c r="H1063" s="53"/>
      <c r="I1063" s="53"/>
      <c r="J1063" s="53"/>
      <c r="K1063" s="53"/>
      <c r="L1063" s="54">
        <f>M1062</f>
        <v>4873.24</v>
      </c>
      <c r="M1063" s="54">
        <f>ROUND(L1063,2)</f>
        <v>4873.24</v>
      </c>
    </row>
    <row r="1064" spans="1:13" ht="15.25" customHeight="1" thickBot="1" x14ac:dyDescent="0.25">
      <c r="A1064" s="55" t="s">
        <v>3134</v>
      </c>
      <c r="B1064" s="55" t="s">
        <v>3135</v>
      </c>
      <c r="C1064" s="56"/>
      <c r="D1064" s="85" t="s">
        <v>3136</v>
      </c>
      <c r="E1064" s="85"/>
      <c r="F1064" s="85"/>
      <c r="G1064" s="85"/>
      <c r="H1064" s="85"/>
      <c r="I1064" s="85"/>
      <c r="J1064" s="85"/>
      <c r="K1064" s="56"/>
      <c r="L1064" s="57">
        <f>L1156</f>
        <v>5761.7999999999993</v>
      </c>
      <c r="M1064" s="57">
        <f>ROUND(L1064,2)</f>
        <v>5761.8</v>
      </c>
    </row>
    <row r="1065" spans="1:13" ht="15.25" customHeight="1" thickBot="1" x14ac:dyDescent="0.25">
      <c r="A1065" s="20" t="s">
        <v>3137</v>
      </c>
      <c r="B1065" s="20" t="s">
        <v>3138</v>
      </c>
      <c r="C1065" s="21"/>
      <c r="D1065" s="81" t="s">
        <v>3139</v>
      </c>
      <c r="E1065" s="81"/>
      <c r="F1065" s="81"/>
      <c r="G1065" s="81"/>
      <c r="H1065" s="81"/>
      <c r="I1065" s="81"/>
      <c r="J1065" s="81"/>
      <c r="K1065" s="21"/>
      <c r="L1065" s="22">
        <f>L1123</f>
        <v>5211.1899999999996</v>
      </c>
      <c r="M1065" s="22">
        <f>ROUND(L1065,2)</f>
        <v>5211.1899999999996</v>
      </c>
    </row>
    <row r="1066" spans="1:13" ht="15.25" customHeight="1" thickBot="1" x14ac:dyDescent="0.25">
      <c r="A1066" s="10" t="s">
        <v>3140</v>
      </c>
      <c r="B1066" s="5" t="s">
        <v>3141</v>
      </c>
      <c r="C1066" s="5" t="s">
        <v>3142</v>
      </c>
      <c r="D1066" s="82" t="s">
        <v>3143</v>
      </c>
      <c r="E1066" s="82"/>
      <c r="F1066" s="82"/>
      <c r="G1066" s="82"/>
      <c r="H1066" s="82"/>
      <c r="I1066" s="82"/>
      <c r="J1066" s="82"/>
      <c r="K1066" s="23">
        <f>ROUND(1,2)</f>
        <v>1</v>
      </c>
      <c r="L1066" s="24">
        <f>L1073</f>
        <v>261.08</v>
      </c>
      <c r="M1066" s="24">
        <f>ROUND(K1066*L1066,2)</f>
        <v>261.08</v>
      </c>
    </row>
    <row r="1067" spans="1:13" ht="21.25" customHeight="1" thickBot="1" x14ac:dyDescent="0.25">
      <c r="A1067" s="25"/>
      <c r="B1067" s="25"/>
      <c r="C1067" s="25"/>
      <c r="D1067" s="82" t="s">
        <v>3144</v>
      </c>
      <c r="E1067" s="82"/>
      <c r="F1067" s="82"/>
      <c r="G1067" s="82"/>
      <c r="H1067" s="82"/>
      <c r="I1067" s="82"/>
      <c r="J1067" s="82"/>
      <c r="K1067" s="82"/>
      <c r="L1067" s="82"/>
      <c r="M1067" s="82"/>
    </row>
    <row r="1068" spans="1:13" ht="15" customHeight="1" thickBot="1" x14ac:dyDescent="0.25">
      <c r="A1068" s="5" t="s">
        <v>3145</v>
      </c>
      <c r="B1068" s="5" t="s">
        <v>3146</v>
      </c>
      <c r="C1068" s="5" t="s">
        <v>3147</v>
      </c>
      <c r="D1068" s="82" t="s">
        <v>3148</v>
      </c>
      <c r="E1068" s="82"/>
      <c r="F1068" s="82"/>
      <c r="G1068" s="82"/>
      <c r="H1068" s="82"/>
      <c r="I1068" s="82"/>
      <c r="J1068" s="82"/>
      <c r="K1068" s="23">
        <v>1</v>
      </c>
      <c r="L1068" s="23">
        <f>ROUND(184.677,3)</f>
        <v>184.67699999999999</v>
      </c>
      <c r="M1068" s="24">
        <f>ROUND(K1068*L1068,2)</f>
        <v>184.68</v>
      </c>
    </row>
    <row r="1069" spans="1:13" ht="15" customHeight="1" thickBot="1" x14ac:dyDescent="0.25">
      <c r="A1069" s="5" t="s">
        <v>3149</v>
      </c>
      <c r="B1069" s="5" t="s">
        <v>3150</v>
      </c>
      <c r="C1069" s="5" t="s">
        <v>3151</v>
      </c>
      <c r="D1069" s="82" t="s">
        <v>3152</v>
      </c>
      <c r="E1069" s="82"/>
      <c r="F1069" s="82"/>
      <c r="G1069" s="82"/>
      <c r="H1069" s="82"/>
      <c r="I1069" s="82"/>
      <c r="J1069" s="82"/>
      <c r="K1069" s="23">
        <v>2</v>
      </c>
      <c r="L1069" s="23">
        <f>ROUND(19.692,3)</f>
        <v>19.692</v>
      </c>
      <c r="M1069" s="24">
        <f>ROUND(K1069*L1069,2)</f>
        <v>39.380000000000003</v>
      </c>
    </row>
    <row r="1070" spans="1:13" ht="15" customHeight="1" thickBot="1" x14ac:dyDescent="0.25">
      <c r="A1070" s="5" t="s">
        <v>3153</v>
      </c>
      <c r="B1070" s="5" t="s">
        <v>3154</v>
      </c>
      <c r="C1070" s="5" t="s">
        <v>3155</v>
      </c>
      <c r="D1070" s="82" t="s">
        <v>3156</v>
      </c>
      <c r="E1070" s="82"/>
      <c r="F1070" s="82"/>
      <c r="G1070" s="82"/>
      <c r="H1070" s="82"/>
      <c r="I1070" s="82"/>
      <c r="J1070" s="82"/>
      <c r="K1070" s="23">
        <v>0.46899999999999997</v>
      </c>
      <c r="L1070" s="23">
        <f>ROUND(27.45,3)</f>
        <v>27.45</v>
      </c>
      <c r="M1070" s="24">
        <f>ROUND(K1070*L1070,2)</f>
        <v>12.87</v>
      </c>
    </row>
    <row r="1071" spans="1:13" ht="15" customHeight="1" thickBot="1" x14ac:dyDescent="0.25">
      <c r="A1071" s="5" t="s">
        <v>3157</v>
      </c>
      <c r="B1071" s="5" t="s">
        <v>3158</v>
      </c>
      <c r="C1071" s="5" t="s">
        <v>3159</v>
      </c>
      <c r="D1071" s="82" t="s">
        <v>3160</v>
      </c>
      <c r="E1071" s="82"/>
      <c r="F1071" s="82"/>
      <c r="G1071" s="82"/>
      <c r="H1071" s="82"/>
      <c r="I1071" s="82"/>
      <c r="J1071" s="82"/>
      <c r="K1071" s="23">
        <v>0.46899999999999997</v>
      </c>
      <c r="L1071" s="23">
        <f>ROUND(24.7,3)</f>
        <v>24.7</v>
      </c>
      <c r="M1071" s="24">
        <f>ROUND(K1071*L1071,2)</f>
        <v>11.58</v>
      </c>
    </row>
    <row r="1072" spans="1:13" ht="15" customHeight="1" thickBot="1" x14ac:dyDescent="0.25">
      <c r="A1072" s="5" t="s">
        <v>3161</v>
      </c>
      <c r="B1072" s="5"/>
      <c r="C1072" s="5" t="s">
        <v>3162</v>
      </c>
      <c r="D1072" s="82" t="s">
        <v>3163</v>
      </c>
      <c r="E1072" s="82"/>
      <c r="F1072" s="82"/>
      <c r="G1072" s="82"/>
      <c r="H1072" s="82"/>
      <c r="I1072" s="82"/>
      <c r="J1072" s="82"/>
      <c r="K1072" s="23">
        <v>2</v>
      </c>
      <c r="L1072" s="23">
        <f>ROUND(248.51,3)</f>
        <v>248.51</v>
      </c>
      <c r="M1072" s="24">
        <f>ROUND((K1072*L1072)/100,2)</f>
        <v>4.97</v>
      </c>
    </row>
    <row r="1073" spans="1:13" ht="15.25" customHeight="1" thickBot="1" x14ac:dyDescent="0.25">
      <c r="A1073" s="26"/>
      <c r="B1073" s="26"/>
      <c r="C1073" s="26"/>
      <c r="D1073" s="27" t="s">
        <v>3164</v>
      </c>
      <c r="E1073" s="26"/>
      <c r="F1073" s="26"/>
      <c r="G1073" s="26"/>
      <c r="H1073" s="26"/>
      <c r="I1073" s="26"/>
      <c r="J1073" s="26"/>
      <c r="K1073" s="28">
        <v>1</v>
      </c>
      <c r="L1073" s="29">
        <f>ROUND((M1068+M1069+M1070+M1071+M1072)*(1+M2/100),2)</f>
        <v>261.08</v>
      </c>
      <c r="M1073" s="29">
        <f>ROUND(K1073*L1073,2)</f>
        <v>261.08</v>
      </c>
    </row>
    <row r="1074" spans="1:13" ht="15.25" customHeight="1" thickBot="1" x14ac:dyDescent="0.25">
      <c r="A1074" s="30" t="s">
        <v>3165</v>
      </c>
      <c r="B1074" s="31" t="s">
        <v>3166</v>
      </c>
      <c r="C1074" s="31" t="s">
        <v>3167</v>
      </c>
      <c r="D1074" s="83" t="s">
        <v>3168</v>
      </c>
      <c r="E1074" s="83"/>
      <c r="F1074" s="83"/>
      <c r="G1074" s="83"/>
      <c r="H1074" s="83"/>
      <c r="I1074" s="83"/>
      <c r="J1074" s="83"/>
      <c r="K1074" s="32">
        <f>ROUND(7,2)</f>
        <v>7</v>
      </c>
      <c r="L1074" s="33">
        <f>L1080</f>
        <v>39.74</v>
      </c>
      <c r="M1074" s="33">
        <f>ROUND(K1074*L1074,2)</f>
        <v>278.18</v>
      </c>
    </row>
    <row r="1075" spans="1:13" ht="30.5" customHeight="1" thickBot="1" x14ac:dyDescent="0.25">
      <c r="A1075" s="25"/>
      <c r="B1075" s="25"/>
      <c r="C1075" s="25"/>
      <c r="D1075" s="82" t="s">
        <v>3169</v>
      </c>
      <c r="E1075" s="82"/>
      <c r="F1075" s="82"/>
      <c r="G1075" s="82"/>
      <c r="H1075" s="82"/>
      <c r="I1075" s="82"/>
      <c r="J1075" s="82"/>
      <c r="K1075" s="82"/>
      <c r="L1075" s="82"/>
      <c r="M1075" s="82"/>
    </row>
    <row r="1076" spans="1:13" ht="39.5" customHeight="1" thickBot="1" x14ac:dyDescent="0.25">
      <c r="A1076" s="5" t="s">
        <v>3170</v>
      </c>
      <c r="B1076" s="5" t="s">
        <v>3171</v>
      </c>
      <c r="C1076" s="5" t="s">
        <v>3172</v>
      </c>
      <c r="D1076" s="82" t="s">
        <v>3173</v>
      </c>
      <c r="E1076" s="82"/>
      <c r="F1076" s="82"/>
      <c r="G1076" s="82"/>
      <c r="H1076" s="82"/>
      <c r="I1076" s="82"/>
      <c r="J1076" s="82"/>
      <c r="K1076" s="23">
        <v>1</v>
      </c>
      <c r="L1076" s="23">
        <f>ROUND(13.371,3)</f>
        <v>13.371</v>
      </c>
      <c r="M1076" s="24">
        <f>ROUND(K1076*L1076,2)</f>
        <v>13.37</v>
      </c>
    </row>
    <row r="1077" spans="1:13" ht="15" customHeight="1" thickBot="1" x14ac:dyDescent="0.25">
      <c r="A1077" s="5" t="s">
        <v>3174</v>
      </c>
      <c r="B1077" s="5" t="s">
        <v>3175</v>
      </c>
      <c r="C1077" s="5" t="s">
        <v>3176</v>
      </c>
      <c r="D1077" s="82" t="s">
        <v>3177</v>
      </c>
      <c r="E1077" s="82"/>
      <c r="F1077" s="82"/>
      <c r="G1077" s="82"/>
      <c r="H1077" s="82"/>
      <c r="I1077" s="82"/>
      <c r="J1077" s="82"/>
      <c r="K1077" s="23">
        <v>0.46899999999999997</v>
      </c>
      <c r="L1077" s="23">
        <f>ROUND(27.45,3)</f>
        <v>27.45</v>
      </c>
      <c r="M1077" s="24">
        <f>ROUND(K1077*L1077,2)</f>
        <v>12.87</v>
      </c>
    </row>
    <row r="1078" spans="1:13" ht="15" customHeight="1" thickBot="1" x14ac:dyDescent="0.25">
      <c r="A1078" s="5" t="s">
        <v>3178</v>
      </c>
      <c r="B1078" s="5" t="s">
        <v>3179</v>
      </c>
      <c r="C1078" s="5" t="s">
        <v>3180</v>
      </c>
      <c r="D1078" s="82" t="s">
        <v>3181</v>
      </c>
      <c r="E1078" s="82"/>
      <c r="F1078" s="82"/>
      <c r="G1078" s="82"/>
      <c r="H1078" s="82"/>
      <c r="I1078" s="82"/>
      <c r="J1078" s="82"/>
      <c r="K1078" s="23">
        <v>0.46899999999999997</v>
      </c>
      <c r="L1078" s="23">
        <f>ROUND(24.7,3)</f>
        <v>24.7</v>
      </c>
      <c r="M1078" s="24">
        <f>ROUND(K1078*L1078,2)</f>
        <v>11.58</v>
      </c>
    </row>
    <row r="1079" spans="1:13" ht="15" customHeight="1" thickBot="1" x14ac:dyDescent="0.25">
      <c r="A1079" s="5" t="s">
        <v>3182</v>
      </c>
      <c r="B1079" s="5"/>
      <c r="C1079" s="5" t="s">
        <v>3183</v>
      </c>
      <c r="D1079" s="82" t="s">
        <v>3184</v>
      </c>
      <c r="E1079" s="82"/>
      <c r="F1079" s="82"/>
      <c r="G1079" s="82"/>
      <c r="H1079" s="82"/>
      <c r="I1079" s="82"/>
      <c r="J1079" s="82"/>
      <c r="K1079" s="23">
        <v>2</v>
      </c>
      <c r="L1079" s="23">
        <f>ROUND(37.82,3)</f>
        <v>37.82</v>
      </c>
      <c r="M1079" s="24">
        <f>ROUND((K1079*L1079)/100,2)</f>
        <v>0.76</v>
      </c>
    </row>
    <row r="1080" spans="1:13" ht="15.25" customHeight="1" thickBot="1" x14ac:dyDescent="0.25">
      <c r="A1080" s="26"/>
      <c r="B1080" s="26"/>
      <c r="C1080" s="26"/>
      <c r="D1080" s="27" t="s">
        <v>3185</v>
      </c>
      <c r="E1080" s="26"/>
      <c r="F1080" s="26"/>
      <c r="G1080" s="26"/>
      <c r="H1080" s="26"/>
      <c r="I1080" s="26"/>
      <c r="J1080" s="26"/>
      <c r="K1080" s="28">
        <v>7</v>
      </c>
      <c r="L1080" s="29">
        <f>ROUND((M1076+M1077+M1078+M1079)*(1+M2/100),2)</f>
        <v>39.74</v>
      </c>
      <c r="M1080" s="29">
        <f>ROUND(K1080*L1080,2)</f>
        <v>278.18</v>
      </c>
    </row>
    <row r="1081" spans="1:13" ht="15.25" customHeight="1" thickBot="1" x14ac:dyDescent="0.25">
      <c r="A1081" s="30" t="s">
        <v>3186</v>
      </c>
      <c r="B1081" s="31" t="s">
        <v>3187</v>
      </c>
      <c r="C1081" s="31" t="s">
        <v>3188</v>
      </c>
      <c r="D1081" s="83" t="s">
        <v>3189</v>
      </c>
      <c r="E1081" s="83"/>
      <c r="F1081" s="83"/>
      <c r="G1081" s="83"/>
      <c r="H1081" s="83"/>
      <c r="I1081" s="83"/>
      <c r="J1081" s="83"/>
      <c r="K1081" s="32">
        <f>ROUND(2,2)</f>
        <v>2</v>
      </c>
      <c r="L1081" s="33">
        <f>L1088</f>
        <v>41.27</v>
      </c>
      <c r="M1081" s="33">
        <f>ROUND(K1081*L1081,2)</f>
        <v>82.54</v>
      </c>
    </row>
    <row r="1082" spans="1:13" ht="21.25" customHeight="1" thickBot="1" x14ac:dyDescent="0.25">
      <c r="A1082" s="25"/>
      <c r="B1082" s="25"/>
      <c r="C1082" s="25"/>
      <c r="D1082" s="82" t="s">
        <v>3190</v>
      </c>
      <c r="E1082" s="82"/>
      <c r="F1082" s="82"/>
      <c r="G1082" s="82"/>
      <c r="H1082" s="82"/>
      <c r="I1082" s="82"/>
      <c r="J1082" s="82"/>
      <c r="K1082" s="82"/>
      <c r="L1082" s="82"/>
      <c r="M1082" s="82"/>
    </row>
    <row r="1083" spans="1:13" ht="21.25" customHeight="1" thickBot="1" x14ac:dyDescent="0.25">
      <c r="A1083" s="5" t="s">
        <v>3191</v>
      </c>
      <c r="B1083" s="5" t="s">
        <v>3192</v>
      </c>
      <c r="C1083" s="5" t="s">
        <v>3193</v>
      </c>
      <c r="D1083" s="82" t="s">
        <v>3194</v>
      </c>
      <c r="E1083" s="82"/>
      <c r="F1083" s="82"/>
      <c r="G1083" s="82"/>
      <c r="H1083" s="82"/>
      <c r="I1083" s="82"/>
      <c r="J1083" s="82"/>
      <c r="K1083" s="23">
        <v>1</v>
      </c>
      <c r="L1083" s="23">
        <f>ROUND(10.995,3)</f>
        <v>10.994999999999999</v>
      </c>
      <c r="M1083" s="24">
        <f>ROUND(K1083*L1083,2)</f>
        <v>11</v>
      </c>
    </row>
    <row r="1084" spans="1:13" ht="15" customHeight="1" thickBot="1" x14ac:dyDescent="0.25">
      <c r="A1084" s="5" t="s">
        <v>3195</v>
      </c>
      <c r="B1084" s="5" t="s">
        <v>3196</v>
      </c>
      <c r="C1084" s="5" t="s">
        <v>3197</v>
      </c>
      <c r="D1084" s="82" t="s">
        <v>3198</v>
      </c>
      <c r="E1084" s="82"/>
      <c r="F1084" s="82"/>
      <c r="G1084" s="82"/>
      <c r="H1084" s="82"/>
      <c r="I1084" s="82"/>
      <c r="J1084" s="82"/>
      <c r="K1084" s="23">
        <v>1</v>
      </c>
      <c r="L1084" s="23">
        <f>ROUND(1.372,3)</f>
        <v>1.3720000000000001</v>
      </c>
      <c r="M1084" s="24">
        <f>ROUND(K1084*L1084,2)</f>
        <v>1.37</v>
      </c>
    </row>
    <row r="1085" spans="1:13" ht="15" customHeight="1" thickBot="1" x14ac:dyDescent="0.25">
      <c r="A1085" s="5" t="s">
        <v>3199</v>
      </c>
      <c r="B1085" s="5" t="s">
        <v>3200</v>
      </c>
      <c r="C1085" s="5" t="s">
        <v>3201</v>
      </c>
      <c r="D1085" s="82" t="s">
        <v>3202</v>
      </c>
      <c r="E1085" s="82"/>
      <c r="F1085" s="82"/>
      <c r="G1085" s="82"/>
      <c r="H1085" s="82"/>
      <c r="I1085" s="82"/>
      <c r="J1085" s="82"/>
      <c r="K1085" s="23">
        <v>0.51600000000000001</v>
      </c>
      <c r="L1085" s="23">
        <f>ROUND(27.45,3)</f>
        <v>27.45</v>
      </c>
      <c r="M1085" s="24">
        <f>ROUND(K1085*L1085,2)</f>
        <v>14.16</v>
      </c>
    </row>
    <row r="1086" spans="1:13" ht="15" customHeight="1" thickBot="1" x14ac:dyDescent="0.25">
      <c r="A1086" s="5" t="s">
        <v>3203</v>
      </c>
      <c r="B1086" s="5" t="s">
        <v>3204</v>
      </c>
      <c r="C1086" s="5" t="s">
        <v>3205</v>
      </c>
      <c r="D1086" s="82" t="s">
        <v>3206</v>
      </c>
      <c r="E1086" s="82"/>
      <c r="F1086" s="82"/>
      <c r="G1086" s="82"/>
      <c r="H1086" s="82"/>
      <c r="I1086" s="82"/>
      <c r="J1086" s="82"/>
      <c r="K1086" s="23">
        <v>0.51600000000000001</v>
      </c>
      <c r="L1086" s="23">
        <f>ROUND(24.7,3)</f>
        <v>24.7</v>
      </c>
      <c r="M1086" s="24">
        <f>ROUND(K1086*L1086,2)</f>
        <v>12.75</v>
      </c>
    </row>
    <row r="1087" spans="1:13" ht="15" customHeight="1" thickBot="1" x14ac:dyDescent="0.25">
      <c r="A1087" s="5" t="s">
        <v>3207</v>
      </c>
      <c r="B1087" s="5"/>
      <c r="C1087" s="5" t="s">
        <v>3208</v>
      </c>
      <c r="D1087" s="82" t="s">
        <v>3209</v>
      </c>
      <c r="E1087" s="82"/>
      <c r="F1087" s="82"/>
      <c r="G1087" s="82"/>
      <c r="H1087" s="82"/>
      <c r="I1087" s="82"/>
      <c r="J1087" s="82"/>
      <c r="K1087" s="23">
        <v>2</v>
      </c>
      <c r="L1087" s="23">
        <f>ROUND(39.28,3)</f>
        <v>39.28</v>
      </c>
      <c r="M1087" s="24">
        <f>ROUND((K1087*L1087)/100,2)</f>
        <v>0.79</v>
      </c>
    </row>
    <row r="1088" spans="1:13" ht="15.25" customHeight="1" thickBot="1" x14ac:dyDescent="0.25">
      <c r="A1088" s="26"/>
      <c r="B1088" s="26"/>
      <c r="C1088" s="26"/>
      <c r="D1088" s="27" t="s">
        <v>3210</v>
      </c>
      <c r="E1088" s="26"/>
      <c r="F1088" s="26"/>
      <c r="G1088" s="26"/>
      <c r="H1088" s="26"/>
      <c r="I1088" s="26"/>
      <c r="J1088" s="26"/>
      <c r="K1088" s="28">
        <v>2</v>
      </c>
      <c r="L1088" s="29">
        <f>ROUND((M1083+M1084+M1085+M1086+M1087)*(1+M2/100),2)</f>
        <v>41.27</v>
      </c>
      <c r="M1088" s="29">
        <f>ROUND(K1088*L1088,2)</f>
        <v>82.54</v>
      </c>
    </row>
    <row r="1089" spans="1:13" ht="15.25" customHeight="1" thickBot="1" x14ac:dyDescent="0.25">
      <c r="A1089" s="30" t="s">
        <v>3211</v>
      </c>
      <c r="B1089" s="31" t="s">
        <v>3212</v>
      </c>
      <c r="C1089" s="31" t="s">
        <v>3213</v>
      </c>
      <c r="D1089" s="83" t="s">
        <v>3214</v>
      </c>
      <c r="E1089" s="83"/>
      <c r="F1089" s="83"/>
      <c r="G1089" s="83"/>
      <c r="H1089" s="83"/>
      <c r="I1089" s="83"/>
      <c r="J1089" s="83"/>
      <c r="K1089" s="32">
        <f>ROUND(2,2)</f>
        <v>2</v>
      </c>
      <c r="L1089" s="33">
        <f>L1095</f>
        <v>106.09</v>
      </c>
      <c r="M1089" s="33">
        <f>ROUND(K1089*L1089,2)</f>
        <v>212.18</v>
      </c>
    </row>
    <row r="1090" spans="1:13" ht="21.25" customHeight="1" thickBot="1" x14ac:dyDescent="0.25">
      <c r="A1090" s="25"/>
      <c r="B1090" s="25"/>
      <c r="C1090" s="25"/>
      <c r="D1090" s="82" t="s">
        <v>3215</v>
      </c>
      <c r="E1090" s="82"/>
      <c r="F1090" s="82"/>
      <c r="G1090" s="82"/>
      <c r="H1090" s="82"/>
      <c r="I1090" s="82"/>
      <c r="J1090" s="82"/>
      <c r="K1090" s="82"/>
      <c r="L1090" s="82"/>
      <c r="M1090" s="82"/>
    </row>
    <row r="1091" spans="1:13" ht="21.25" customHeight="1" thickBot="1" x14ac:dyDescent="0.25">
      <c r="A1091" s="5" t="s">
        <v>3216</v>
      </c>
      <c r="B1091" s="5" t="s">
        <v>3217</v>
      </c>
      <c r="C1091" s="5" t="s">
        <v>3218</v>
      </c>
      <c r="D1091" s="82" t="s">
        <v>3219</v>
      </c>
      <c r="E1091" s="82"/>
      <c r="F1091" s="82"/>
      <c r="G1091" s="82"/>
      <c r="H1091" s="82"/>
      <c r="I1091" s="82"/>
      <c r="J1091" s="82"/>
      <c r="K1091" s="23">
        <v>1</v>
      </c>
      <c r="L1091" s="23">
        <f>ROUND(76.533,3)</f>
        <v>76.533000000000001</v>
      </c>
      <c r="M1091" s="24">
        <f>ROUND(K1091*L1091,2)</f>
        <v>76.53</v>
      </c>
    </row>
    <row r="1092" spans="1:13" ht="15" customHeight="1" thickBot="1" x14ac:dyDescent="0.25">
      <c r="A1092" s="5" t="s">
        <v>3220</v>
      </c>
      <c r="B1092" s="5" t="s">
        <v>3221</v>
      </c>
      <c r="C1092" s="5" t="s">
        <v>3222</v>
      </c>
      <c r="D1092" s="82" t="s">
        <v>3223</v>
      </c>
      <c r="E1092" s="82"/>
      <c r="F1092" s="82"/>
      <c r="G1092" s="82"/>
      <c r="H1092" s="82"/>
      <c r="I1092" s="82"/>
      <c r="J1092" s="82"/>
      <c r="K1092" s="23">
        <v>0.46899999999999997</v>
      </c>
      <c r="L1092" s="23">
        <f>ROUND(27.45,3)</f>
        <v>27.45</v>
      </c>
      <c r="M1092" s="24">
        <f>ROUND(K1092*L1092,2)</f>
        <v>12.87</v>
      </c>
    </row>
    <row r="1093" spans="1:13" ht="15" customHeight="1" thickBot="1" x14ac:dyDescent="0.25">
      <c r="A1093" s="5" t="s">
        <v>3224</v>
      </c>
      <c r="B1093" s="5" t="s">
        <v>3225</v>
      </c>
      <c r="C1093" s="5" t="s">
        <v>3226</v>
      </c>
      <c r="D1093" s="82" t="s">
        <v>3227</v>
      </c>
      <c r="E1093" s="82"/>
      <c r="F1093" s="82"/>
      <c r="G1093" s="82"/>
      <c r="H1093" s="82"/>
      <c r="I1093" s="82"/>
      <c r="J1093" s="82"/>
      <c r="K1093" s="23">
        <v>0.46899999999999997</v>
      </c>
      <c r="L1093" s="23">
        <f>ROUND(24.7,3)</f>
        <v>24.7</v>
      </c>
      <c r="M1093" s="24">
        <f>ROUND(K1093*L1093,2)</f>
        <v>11.58</v>
      </c>
    </row>
    <row r="1094" spans="1:13" ht="15" customHeight="1" thickBot="1" x14ac:dyDescent="0.25">
      <c r="A1094" s="5" t="s">
        <v>3228</v>
      </c>
      <c r="B1094" s="5"/>
      <c r="C1094" s="5" t="s">
        <v>3229</v>
      </c>
      <c r="D1094" s="82" t="s">
        <v>3230</v>
      </c>
      <c r="E1094" s="82"/>
      <c r="F1094" s="82"/>
      <c r="G1094" s="82"/>
      <c r="H1094" s="82"/>
      <c r="I1094" s="82"/>
      <c r="J1094" s="82"/>
      <c r="K1094" s="23">
        <v>2</v>
      </c>
      <c r="L1094" s="23">
        <f>ROUND(100.98,3)</f>
        <v>100.98</v>
      </c>
      <c r="M1094" s="24">
        <f>ROUND((K1094*L1094)/100,2)</f>
        <v>2.02</v>
      </c>
    </row>
    <row r="1095" spans="1:13" ht="15.25" customHeight="1" thickBot="1" x14ac:dyDescent="0.25">
      <c r="A1095" s="26"/>
      <c r="B1095" s="26"/>
      <c r="C1095" s="26"/>
      <c r="D1095" s="27" t="s">
        <v>3231</v>
      </c>
      <c r="E1095" s="26"/>
      <c r="F1095" s="26"/>
      <c r="G1095" s="26"/>
      <c r="H1095" s="26"/>
      <c r="I1095" s="26"/>
      <c r="J1095" s="26"/>
      <c r="K1095" s="28">
        <v>2</v>
      </c>
      <c r="L1095" s="29">
        <f>ROUND((M1091+M1092+M1093+M1094)*(1+M2/100),2)</f>
        <v>106.09</v>
      </c>
      <c r="M1095" s="29">
        <f>ROUND(K1095*L1095,2)</f>
        <v>212.18</v>
      </c>
    </row>
    <row r="1096" spans="1:13" ht="15.25" customHeight="1" thickBot="1" x14ac:dyDescent="0.25">
      <c r="A1096" s="30" t="s">
        <v>3232</v>
      </c>
      <c r="B1096" s="31" t="s">
        <v>3233</v>
      </c>
      <c r="C1096" s="31" t="s">
        <v>3234</v>
      </c>
      <c r="D1096" s="83" t="s">
        <v>3235</v>
      </c>
      <c r="E1096" s="83"/>
      <c r="F1096" s="83"/>
      <c r="G1096" s="83"/>
      <c r="H1096" s="83"/>
      <c r="I1096" s="83"/>
      <c r="J1096" s="83"/>
      <c r="K1096" s="32">
        <f>ROUND(12,2)</f>
        <v>12</v>
      </c>
      <c r="L1096" s="33">
        <f>L1102</f>
        <v>72.66</v>
      </c>
      <c r="M1096" s="33">
        <f>ROUND(K1096*L1096,2)</f>
        <v>871.92</v>
      </c>
    </row>
    <row r="1097" spans="1:13" ht="21.25" customHeight="1" thickBot="1" x14ac:dyDescent="0.25">
      <c r="A1097" s="25"/>
      <c r="B1097" s="25"/>
      <c r="C1097" s="25"/>
      <c r="D1097" s="82" t="s">
        <v>3236</v>
      </c>
      <c r="E1097" s="82"/>
      <c r="F1097" s="82"/>
      <c r="G1097" s="82"/>
      <c r="H1097" s="82"/>
      <c r="I1097" s="82"/>
      <c r="J1097" s="82"/>
      <c r="K1097" s="82"/>
      <c r="L1097" s="82"/>
      <c r="M1097" s="82"/>
    </row>
    <row r="1098" spans="1:13" ht="30.5" customHeight="1" thickBot="1" x14ac:dyDescent="0.25">
      <c r="A1098" s="5" t="s">
        <v>3237</v>
      </c>
      <c r="B1098" s="5" t="s">
        <v>3238</v>
      </c>
      <c r="C1098" s="5" t="s">
        <v>3239</v>
      </c>
      <c r="D1098" s="82" t="s">
        <v>3240</v>
      </c>
      <c r="E1098" s="82"/>
      <c r="F1098" s="82"/>
      <c r="G1098" s="82"/>
      <c r="H1098" s="82"/>
      <c r="I1098" s="82"/>
      <c r="J1098" s="82"/>
      <c r="K1098" s="23">
        <v>1</v>
      </c>
      <c r="L1098" s="23">
        <f>ROUND(59.355,3)</f>
        <v>59.354999999999997</v>
      </c>
      <c r="M1098" s="24">
        <f>ROUND(K1098*L1098,2)</f>
        <v>59.36</v>
      </c>
    </row>
    <row r="1099" spans="1:13" ht="15" customHeight="1" thickBot="1" x14ac:dyDescent="0.25">
      <c r="A1099" s="5" t="s">
        <v>3241</v>
      </c>
      <c r="B1099" s="5" t="s">
        <v>3242</v>
      </c>
      <c r="C1099" s="5" t="s">
        <v>3243</v>
      </c>
      <c r="D1099" s="82" t="s">
        <v>3244</v>
      </c>
      <c r="E1099" s="82"/>
      <c r="F1099" s="82"/>
      <c r="G1099" s="82"/>
      <c r="H1099" s="82"/>
      <c r="I1099" s="82"/>
      <c r="J1099" s="82"/>
      <c r="K1099" s="23">
        <v>0.188</v>
      </c>
      <c r="L1099" s="23">
        <f>ROUND(27.45,3)</f>
        <v>27.45</v>
      </c>
      <c r="M1099" s="24">
        <f>ROUND(K1099*L1099,2)</f>
        <v>5.16</v>
      </c>
    </row>
    <row r="1100" spans="1:13" ht="15" customHeight="1" thickBot="1" x14ac:dyDescent="0.25">
      <c r="A1100" s="5" t="s">
        <v>3245</v>
      </c>
      <c r="B1100" s="5" t="s">
        <v>3246</v>
      </c>
      <c r="C1100" s="5" t="s">
        <v>3247</v>
      </c>
      <c r="D1100" s="82" t="s">
        <v>3248</v>
      </c>
      <c r="E1100" s="82"/>
      <c r="F1100" s="82"/>
      <c r="G1100" s="82"/>
      <c r="H1100" s="82"/>
      <c r="I1100" s="82"/>
      <c r="J1100" s="82"/>
      <c r="K1100" s="23">
        <v>0.188</v>
      </c>
      <c r="L1100" s="23">
        <f>ROUND(24.7,3)</f>
        <v>24.7</v>
      </c>
      <c r="M1100" s="24">
        <f>ROUND(K1100*L1100,2)</f>
        <v>4.6399999999999997</v>
      </c>
    </row>
    <row r="1101" spans="1:13" ht="15" customHeight="1" thickBot="1" x14ac:dyDescent="0.25">
      <c r="A1101" s="5" t="s">
        <v>3249</v>
      </c>
      <c r="B1101" s="5"/>
      <c r="C1101" s="5" t="s">
        <v>3250</v>
      </c>
      <c r="D1101" s="82" t="s">
        <v>3251</v>
      </c>
      <c r="E1101" s="82"/>
      <c r="F1101" s="82"/>
      <c r="G1101" s="82"/>
      <c r="H1101" s="82"/>
      <c r="I1101" s="82"/>
      <c r="J1101" s="82"/>
      <c r="K1101" s="23">
        <v>2</v>
      </c>
      <c r="L1101" s="23">
        <f>ROUND(69.16,3)</f>
        <v>69.16</v>
      </c>
      <c r="M1101" s="24">
        <f>ROUND((K1101*L1101)/100,2)</f>
        <v>1.38</v>
      </c>
    </row>
    <row r="1102" spans="1:13" ht="15.25" customHeight="1" thickBot="1" x14ac:dyDescent="0.25">
      <c r="A1102" s="26"/>
      <c r="B1102" s="26"/>
      <c r="C1102" s="26"/>
      <c r="D1102" s="27" t="s">
        <v>3252</v>
      </c>
      <c r="E1102" s="26"/>
      <c r="F1102" s="26"/>
      <c r="G1102" s="26"/>
      <c r="H1102" s="26"/>
      <c r="I1102" s="26"/>
      <c r="J1102" s="26"/>
      <c r="K1102" s="28">
        <v>12</v>
      </c>
      <c r="L1102" s="29">
        <f>ROUND((M1098+M1099+M1100+M1101)*(1+M2/100),2)</f>
        <v>72.66</v>
      </c>
      <c r="M1102" s="29">
        <f>ROUND(K1102*L1102,2)</f>
        <v>871.92</v>
      </c>
    </row>
    <row r="1103" spans="1:13" ht="21.25" customHeight="1" thickBot="1" x14ac:dyDescent="0.25">
      <c r="A1103" s="30" t="s">
        <v>3253</v>
      </c>
      <c r="B1103" s="31" t="s">
        <v>3254</v>
      </c>
      <c r="C1103" s="31" t="s">
        <v>3255</v>
      </c>
      <c r="D1103" s="83" t="s">
        <v>3256</v>
      </c>
      <c r="E1103" s="83"/>
      <c r="F1103" s="83"/>
      <c r="G1103" s="83"/>
      <c r="H1103" s="83"/>
      <c r="I1103" s="83"/>
      <c r="J1103" s="83"/>
      <c r="K1103" s="32">
        <f>SUM(K1106:K1106)</f>
        <v>425</v>
      </c>
      <c r="L1103" s="33">
        <f>L1111</f>
        <v>2.42</v>
      </c>
      <c r="M1103" s="33">
        <f>ROUND(K1103*L1103,2)</f>
        <v>1028.5</v>
      </c>
    </row>
    <row r="1104" spans="1:13" ht="21.25" customHeight="1" thickBot="1" x14ac:dyDescent="0.25">
      <c r="A1104" s="25"/>
      <c r="B1104" s="25"/>
      <c r="C1104" s="25"/>
      <c r="D1104" s="82" t="s">
        <v>3257</v>
      </c>
      <c r="E1104" s="82"/>
      <c r="F1104" s="82"/>
      <c r="G1104" s="82"/>
      <c r="H1104" s="82"/>
      <c r="I1104" s="82"/>
      <c r="J1104" s="82"/>
      <c r="K1104" s="82"/>
      <c r="L1104" s="82"/>
      <c r="M1104" s="82"/>
    </row>
    <row r="1105" spans="1:13" ht="15" customHeight="1" thickBot="1" x14ac:dyDescent="0.25">
      <c r="A1105" s="25"/>
      <c r="B1105" s="25"/>
      <c r="C1105" s="25"/>
      <c r="D1105" s="25"/>
      <c r="E1105" s="41"/>
      <c r="F1105" s="43" t="s">
        <v>3258</v>
      </c>
      <c r="G1105" s="43" t="s">
        <v>3259</v>
      </c>
      <c r="H1105" s="43" t="s">
        <v>3260</v>
      </c>
      <c r="I1105" s="43" t="s">
        <v>3261</v>
      </c>
      <c r="J1105" s="43" t="s">
        <v>3262</v>
      </c>
      <c r="K1105" s="43" t="s">
        <v>3263</v>
      </c>
      <c r="L1105" s="25"/>
      <c r="M1105" s="25"/>
    </row>
    <row r="1106" spans="1:13" ht="15" customHeight="1" thickBot="1" x14ac:dyDescent="0.25">
      <c r="A1106" s="25"/>
      <c r="B1106" s="25"/>
      <c r="C1106" s="25"/>
      <c r="D1106" s="44"/>
      <c r="E1106" s="45"/>
      <c r="F1106" s="46">
        <v>17</v>
      </c>
      <c r="G1106" s="47">
        <v>25</v>
      </c>
      <c r="H1106" s="47"/>
      <c r="I1106" s="47"/>
      <c r="J1106" s="49">
        <f>ROUND(F1106*G1106,3)</f>
        <v>425</v>
      </c>
      <c r="K1106" s="58">
        <f>SUM(J1106:J1106)</f>
        <v>425</v>
      </c>
      <c r="L1106" s="25"/>
      <c r="M1106" s="25"/>
    </row>
    <row r="1107" spans="1:13" ht="48.75" customHeight="1" thickBot="1" x14ac:dyDescent="0.25">
      <c r="A1107" s="5" t="s">
        <v>3264</v>
      </c>
      <c r="B1107" s="5" t="s">
        <v>3265</v>
      </c>
      <c r="C1107" s="5" t="s">
        <v>3266</v>
      </c>
      <c r="D1107" s="82" t="s">
        <v>3267</v>
      </c>
      <c r="E1107" s="82"/>
      <c r="F1107" s="82"/>
      <c r="G1107" s="82"/>
      <c r="H1107" s="82"/>
      <c r="I1107" s="82"/>
      <c r="J1107" s="82"/>
      <c r="K1107" s="23">
        <v>1</v>
      </c>
      <c r="L1107" s="23">
        <f>ROUND(1.262,3)</f>
        <v>1.262</v>
      </c>
      <c r="M1107" s="24">
        <f>ROUND(K1107*L1107,2)</f>
        <v>1.26</v>
      </c>
    </row>
    <row r="1108" spans="1:13" ht="15" customHeight="1" thickBot="1" x14ac:dyDescent="0.25">
      <c r="A1108" s="5" t="s">
        <v>3268</v>
      </c>
      <c r="B1108" s="5" t="s">
        <v>3269</v>
      </c>
      <c r="C1108" s="5" t="s">
        <v>3270</v>
      </c>
      <c r="D1108" s="82" t="s">
        <v>3271</v>
      </c>
      <c r="E1108" s="82"/>
      <c r="F1108" s="82"/>
      <c r="G1108" s="82"/>
      <c r="H1108" s="82"/>
      <c r="I1108" s="82"/>
      <c r="J1108" s="82"/>
      <c r="K1108" s="23">
        <v>0.02</v>
      </c>
      <c r="L1108" s="23">
        <f>ROUND(27.45,3)</f>
        <v>27.45</v>
      </c>
      <c r="M1108" s="24">
        <f>ROUND(K1108*L1108,2)</f>
        <v>0.55000000000000004</v>
      </c>
    </row>
    <row r="1109" spans="1:13" ht="15" customHeight="1" thickBot="1" x14ac:dyDescent="0.25">
      <c r="A1109" s="5" t="s">
        <v>3272</v>
      </c>
      <c r="B1109" s="5" t="s">
        <v>3273</v>
      </c>
      <c r="C1109" s="5" t="s">
        <v>3274</v>
      </c>
      <c r="D1109" s="82" t="s">
        <v>3275</v>
      </c>
      <c r="E1109" s="82"/>
      <c r="F1109" s="82"/>
      <c r="G1109" s="82"/>
      <c r="H1109" s="82"/>
      <c r="I1109" s="82"/>
      <c r="J1109" s="82"/>
      <c r="K1109" s="23">
        <v>0.02</v>
      </c>
      <c r="L1109" s="23">
        <f>ROUND(24.7,3)</f>
        <v>24.7</v>
      </c>
      <c r="M1109" s="24">
        <f>ROUND(K1109*L1109,2)</f>
        <v>0.49</v>
      </c>
    </row>
    <row r="1110" spans="1:13" ht="15" customHeight="1" thickBot="1" x14ac:dyDescent="0.25">
      <c r="A1110" s="5" t="s">
        <v>3276</v>
      </c>
      <c r="B1110" s="5"/>
      <c r="C1110" s="5" t="s">
        <v>3277</v>
      </c>
      <c r="D1110" s="82" t="s">
        <v>3278</v>
      </c>
      <c r="E1110" s="82"/>
      <c r="F1110" s="82"/>
      <c r="G1110" s="82"/>
      <c r="H1110" s="82"/>
      <c r="I1110" s="82"/>
      <c r="J1110" s="82"/>
      <c r="K1110" s="23">
        <v>2</v>
      </c>
      <c r="L1110" s="23">
        <f>ROUND(2.3,3)</f>
        <v>2.2999999999999998</v>
      </c>
      <c r="M1110" s="24">
        <f>ROUND((K1110*L1110)/100,2)</f>
        <v>0.05</v>
      </c>
    </row>
    <row r="1111" spans="1:13" ht="15.25" customHeight="1" thickBot="1" x14ac:dyDescent="0.25">
      <c r="A1111" s="26"/>
      <c r="B1111" s="26"/>
      <c r="C1111" s="26"/>
      <c r="D1111" s="27" t="s">
        <v>3279</v>
      </c>
      <c r="E1111" s="26"/>
      <c r="F1111" s="26"/>
      <c r="G1111" s="26"/>
      <c r="H1111" s="26"/>
      <c r="I1111" s="26"/>
      <c r="J1111" s="26"/>
      <c r="K1111" s="28">
        <v>425</v>
      </c>
      <c r="L1111" s="29">
        <f>ROUND((M1107+M1108+M1109+M1110)*(1+M2/100),2)</f>
        <v>2.42</v>
      </c>
      <c r="M1111" s="29">
        <f>ROUND(K1111*L1111,2)</f>
        <v>1028.5</v>
      </c>
    </row>
    <row r="1112" spans="1:13" ht="15.25" customHeight="1" thickBot="1" x14ac:dyDescent="0.25">
      <c r="A1112" s="30" t="s">
        <v>3280</v>
      </c>
      <c r="B1112" s="31" t="s">
        <v>3281</v>
      </c>
      <c r="C1112" s="31" t="s">
        <v>3282</v>
      </c>
      <c r="D1112" s="83" t="s">
        <v>3283</v>
      </c>
      <c r="E1112" s="83"/>
      <c r="F1112" s="83"/>
      <c r="G1112" s="83"/>
      <c r="H1112" s="83"/>
      <c r="I1112" s="83"/>
      <c r="J1112" s="83"/>
      <c r="K1112" s="32">
        <f>SUM(K1115:K1115)</f>
        <v>425</v>
      </c>
      <c r="L1112" s="33">
        <f>L1120</f>
        <v>4.87</v>
      </c>
      <c r="M1112" s="33">
        <f>ROUND(K1112*L1112,2)</f>
        <v>2069.75</v>
      </c>
    </row>
    <row r="1113" spans="1:13" ht="48.75" customHeight="1" thickBot="1" x14ac:dyDescent="0.25">
      <c r="A1113" s="25"/>
      <c r="B1113" s="25"/>
      <c r="C1113" s="25"/>
      <c r="D1113" s="82" t="s">
        <v>3284</v>
      </c>
      <c r="E1113" s="82"/>
      <c r="F1113" s="82"/>
      <c r="G1113" s="82"/>
      <c r="H1113" s="82"/>
      <c r="I1113" s="82"/>
      <c r="J1113" s="82"/>
      <c r="K1113" s="82"/>
      <c r="L1113" s="82"/>
      <c r="M1113" s="82"/>
    </row>
    <row r="1114" spans="1:13" ht="15" customHeight="1" thickBot="1" x14ac:dyDescent="0.25">
      <c r="A1114" s="25"/>
      <c r="B1114" s="25"/>
      <c r="C1114" s="25"/>
      <c r="D1114" s="25"/>
      <c r="E1114" s="41"/>
      <c r="F1114" s="43" t="s">
        <v>3285</v>
      </c>
      <c r="G1114" s="43" t="s">
        <v>3286</v>
      </c>
      <c r="H1114" s="43" t="s">
        <v>3287</v>
      </c>
      <c r="I1114" s="43" t="s">
        <v>3288</v>
      </c>
      <c r="J1114" s="43" t="s">
        <v>3289</v>
      </c>
      <c r="K1114" s="43" t="s">
        <v>3290</v>
      </c>
      <c r="L1114" s="25"/>
      <c r="M1114" s="25"/>
    </row>
    <row r="1115" spans="1:13" ht="15" customHeight="1" thickBot="1" x14ac:dyDescent="0.25">
      <c r="A1115" s="25"/>
      <c r="B1115" s="25"/>
      <c r="C1115" s="25"/>
      <c r="D1115" s="44"/>
      <c r="E1115" s="45"/>
      <c r="F1115" s="46">
        <v>17</v>
      </c>
      <c r="G1115" s="47">
        <v>25</v>
      </c>
      <c r="H1115" s="47"/>
      <c r="I1115" s="47"/>
      <c r="J1115" s="49">
        <f>ROUND(F1115*G1115,3)</f>
        <v>425</v>
      </c>
      <c r="K1115" s="58">
        <f>SUM(J1115:J1115)</f>
        <v>425</v>
      </c>
      <c r="L1115" s="25"/>
      <c r="M1115" s="25"/>
    </row>
    <row r="1116" spans="1:13" ht="58" customHeight="1" thickBot="1" x14ac:dyDescent="0.25">
      <c r="A1116" s="5" t="s">
        <v>3291</v>
      </c>
      <c r="B1116" s="5" t="s">
        <v>3292</v>
      </c>
      <c r="C1116" s="5" t="s">
        <v>3293</v>
      </c>
      <c r="D1116" s="82" t="s">
        <v>3294</v>
      </c>
      <c r="E1116" s="82"/>
      <c r="F1116" s="82"/>
      <c r="G1116" s="82"/>
      <c r="H1116" s="82"/>
      <c r="I1116" s="82"/>
      <c r="J1116" s="82"/>
      <c r="K1116" s="23">
        <v>1</v>
      </c>
      <c r="L1116" s="23">
        <f>ROUND(3.649,3)</f>
        <v>3.649</v>
      </c>
      <c r="M1116" s="24">
        <f>ROUND(K1116*L1116,2)</f>
        <v>3.65</v>
      </c>
    </row>
    <row r="1117" spans="1:13" ht="15" customHeight="1" thickBot="1" x14ac:dyDescent="0.25">
      <c r="A1117" s="5" t="s">
        <v>3295</v>
      </c>
      <c r="B1117" s="5" t="s">
        <v>3296</v>
      </c>
      <c r="C1117" s="5" t="s">
        <v>3297</v>
      </c>
      <c r="D1117" s="82" t="s">
        <v>3298</v>
      </c>
      <c r="E1117" s="82"/>
      <c r="F1117" s="82"/>
      <c r="G1117" s="82"/>
      <c r="H1117" s="82"/>
      <c r="I1117" s="82"/>
      <c r="J1117" s="82"/>
      <c r="K1117" s="23">
        <v>1.9E-2</v>
      </c>
      <c r="L1117" s="23">
        <f>ROUND(27.45,3)</f>
        <v>27.45</v>
      </c>
      <c r="M1117" s="24">
        <f>ROUND(K1117*L1117,2)</f>
        <v>0.52</v>
      </c>
    </row>
    <row r="1118" spans="1:13" ht="15" customHeight="1" thickBot="1" x14ac:dyDescent="0.25">
      <c r="A1118" s="5" t="s">
        <v>3299</v>
      </c>
      <c r="B1118" s="5" t="s">
        <v>3300</v>
      </c>
      <c r="C1118" s="5" t="s">
        <v>3301</v>
      </c>
      <c r="D1118" s="82" t="s">
        <v>3302</v>
      </c>
      <c r="E1118" s="82"/>
      <c r="F1118" s="82"/>
      <c r="G1118" s="82"/>
      <c r="H1118" s="82"/>
      <c r="I1118" s="82"/>
      <c r="J1118" s="82"/>
      <c r="K1118" s="23">
        <v>1.9E-2</v>
      </c>
      <c r="L1118" s="23">
        <f>ROUND(24.7,3)</f>
        <v>24.7</v>
      </c>
      <c r="M1118" s="24">
        <f>ROUND(K1118*L1118,2)</f>
        <v>0.47</v>
      </c>
    </row>
    <row r="1119" spans="1:13" ht="15" customHeight="1" thickBot="1" x14ac:dyDescent="0.25">
      <c r="A1119" s="5" t="s">
        <v>3303</v>
      </c>
      <c r="B1119" s="5"/>
      <c r="C1119" s="5" t="s">
        <v>3304</v>
      </c>
      <c r="D1119" s="82" t="s">
        <v>3305</v>
      </c>
      <c r="E1119" s="82"/>
      <c r="F1119" s="82"/>
      <c r="G1119" s="82"/>
      <c r="H1119" s="82"/>
      <c r="I1119" s="82"/>
      <c r="J1119" s="82"/>
      <c r="K1119" s="23">
        <v>2</v>
      </c>
      <c r="L1119" s="23">
        <f>ROUND(4.64,3)</f>
        <v>4.6399999999999997</v>
      </c>
      <c r="M1119" s="24">
        <f>ROUND((K1119*L1119)/100,2)</f>
        <v>0.09</v>
      </c>
    </row>
    <row r="1120" spans="1:13" ht="15.25" customHeight="1" thickBot="1" x14ac:dyDescent="0.25">
      <c r="A1120" s="26"/>
      <c r="B1120" s="26"/>
      <c r="C1120" s="26"/>
      <c r="D1120" s="27" t="s">
        <v>3306</v>
      </c>
      <c r="E1120" s="26"/>
      <c r="F1120" s="26"/>
      <c r="G1120" s="26"/>
      <c r="H1120" s="26"/>
      <c r="I1120" s="26"/>
      <c r="J1120" s="26"/>
      <c r="K1120" s="28">
        <v>425</v>
      </c>
      <c r="L1120" s="29">
        <f>ROUND((M1116+M1117+M1118+M1119)*(1+M2/100),2)</f>
        <v>4.87</v>
      </c>
      <c r="M1120" s="29">
        <f>ROUND(K1120*L1120,2)</f>
        <v>2069.75</v>
      </c>
    </row>
    <row r="1121" spans="1:13" ht="15.25" customHeight="1" thickBot="1" x14ac:dyDescent="0.25">
      <c r="A1121" s="30" t="s">
        <v>3307</v>
      </c>
      <c r="B1121" s="31" t="s">
        <v>3308</v>
      </c>
      <c r="C1121" s="31" t="s">
        <v>3309</v>
      </c>
      <c r="D1121" s="83" t="s">
        <v>3310</v>
      </c>
      <c r="E1121" s="83"/>
      <c r="F1121" s="83"/>
      <c r="G1121" s="83"/>
      <c r="H1121" s="83"/>
      <c r="I1121" s="83"/>
      <c r="J1121" s="83"/>
      <c r="K1121" s="32">
        <f>ROUND(1,2)</f>
        <v>1</v>
      </c>
      <c r="L1121" s="33">
        <f>ROUND(395.185*(1+M2/100),2)</f>
        <v>407.04</v>
      </c>
      <c r="M1121" s="33">
        <f>ROUND(K1121*L1121,2)</f>
        <v>407.04</v>
      </c>
    </row>
    <row r="1122" spans="1:13" ht="21.25" customHeight="1" thickBot="1" x14ac:dyDescent="0.25">
      <c r="A1122" s="25"/>
      <c r="B1122" s="25"/>
      <c r="C1122" s="25"/>
      <c r="D1122" s="82" t="s">
        <v>3311</v>
      </c>
      <c r="E1122" s="82"/>
      <c r="F1122" s="82"/>
      <c r="G1122" s="82"/>
      <c r="H1122" s="82"/>
      <c r="I1122" s="82"/>
      <c r="J1122" s="82"/>
      <c r="K1122" s="82"/>
      <c r="L1122" s="82"/>
      <c r="M1122" s="82"/>
    </row>
    <row r="1123" spans="1:13" ht="15.25" customHeight="1" thickBot="1" x14ac:dyDescent="0.25">
      <c r="A1123" s="26"/>
      <c r="B1123" s="26"/>
      <c r="C1123" s="26"/>
      <c r="D1123" s="65" t="s">
        <v>3312</v>
      </c>
      <c r="E1123" s="66"/>
      <c r="F1123" s="66"/>
      <c r="G1123" s="66"/>
      <c r="H1123" s="66"/>
      <c r="I1123" s="66"/>
      <c r="J1123" s="66"/>
      <c r="K1123" s="66"/>
      <c r="L1123" s="67">
        <f>M1066+M1074+M1081+M1089+M1096+M1103+M1112+M1121</f>
        <v>5211.1899999999996</v>
      </c>
      <c r="M1123" s="67">
        <f>ROUND(L1123,2)</f>
        <v>5211.1899999999996</v>
      </c>
    </row>
    <row r="1124" spans="1:13" ht="15.25" customHeight="1" thickBot="1" x14ac:dyDescent="0.25">
      <c r="A1124" s="38" t="s">
        <v>3313</v>
      </c>
      <c r="B1124" s="38" t="s">
        <v>3314</v>
      </c>
      <c r="C1124" s="39"/>
      <c r="D1124" s="84" t="s">
        <v>3315</v>
      </c>
      <c r="E1124" s="84"/>
      <c r="F1124" s="84"/>
      <c r="G1124" s="84"/>
      <c r="H1124" s="84"/>
      <c r="I1124" s="84"/>
      <c r="J1124" s="84"/>
      <c r="K1124" s="39"/>
      <c r="L1124" s="40">
        <f>L1138</f>
        <v>69.28</v>
      </c>
      <c r="M1124" s="40">
        <f>ROUND(L1124,2)</f>
        <v>69.28</v>
      </c>
    </row>
    <row r="1125" spans="1:13" ht="15.25" customHeight="1" thickBot="1" x14ac:dyDescent="0.25">
      <c r="A1125" s="10" t="s">
        <v>3316</v>
      </c>
      <c r="B1125" s="5" t="s">
        <v>3317</v>
      </c>
      <c r="C1125" s="5" t="s">
        <v>3318</v>
      </c>
      <c r="D1125" s="82" t="s">
        <v>3319</v>
      </c>
      <c r="E1125" s="82"/>
      <c r="F1125" s="82"/>
      <c r="G1125" s="82"/>
      <c r="H1125" s="82"/>
      <c r="I1125" s="82"/>
      <c r="J1125" s="82"/>
      <c r="K1125" s="23">
        <f>ROUND(4,2)</f>
        <v>4</v>
      </c>
      <c r="L1125" s="24">
        <f>L1130</f>
        <v>8.51</v>
      </c>
      <c r="M1125" s="24">
        <f>ROUND(K1125*L1125,2)</f>
        <v>34.04</v>
      </c>
    </row>
    <row r="1126" spans="1:13" ht="12" customHeight="1" thickBot="1" x14ac:dyDescent="0.25">
      <c r="A1126" s="25"/>
      <c r="B1126" s="25"/>
      <c r="C1126" s="25"/>
      <c r="D1126" s="82" t="s">
        <v>3320</v>
      </c>
      <c r="E1126" s="82"/>
      <c r="F1126" s="82"/>
      <c r="G1126" s="82"/>
      <c r="H1126" s="82"/>
      <c r="I1126" s="82"/>
      <c r="J1126" s="82"/>
      <c r="K1126" s="82"/>
      <c r="L1126" s="82"/>
      <c r="M1126" s="82"/>
    </row>
    <row r="1127" spans="1:13" ht="21.25" customHeight="1" thickBot="1" x14ac:dyDescent="0.25">
      <c r="A1127" s="5" t="s">
        <v>3321</v>
      </c>
      <c r="B1127" s="5" t="s">
        <v>3322</v>
      </c>
      <c r="C1127" s="5" t="s">
        <v>3323</v>
      </c>
      <c r="D1127" s="82" t="s">
        <v>3324</v>
      </c>
      <c r="E1127" s="82"/>
      <c r="F1127" s="82"/>
      <c r="G1127" s="82"/>
      <c r="H1127" s="82"/>
      <c r="I1127" s="82"/>
      <c r="J1127" s="82"/>
      <c r="K1127" s="23">
        <v>1</v>
      </c>
      <c r="L1127" s="23">
        <f>ROUND(3.586,3)</f>
        <v>3.5859999999999999</v>
      </c>
      <c r="M1127" s="24">
        <f>ROUND(K1127*L1127,2)</f>
        <v>3.59</v>
      </c>
    </row>
    <row r="1128" spans="1:13" ht="15" customHeight="1" thickBot="1" x14ac:dyDescent="0.25">
      <c r="A1128" s="5" t="s">
        <v>3325</v>
      </c>
      <c r="B1128" s="5" t="s">
        <v>3326</v>
      </c>
      <c r="C1128" s="5" t="s">
        <v>3327</v>
      </c>
      <c r="D1128" s="82" t="s">
        <v>3328</v>
      </c>
      <c r="E1128" s="82"/>
      <c r="F1128" s="82"/>
      <c r="G1128" s="82"/>
      <c r="H1128" s="82"/>
      <c r="I1128" s="82"/>
      <c r="J1128" s="82"/>
      <c r="K1128" s="23">
        <v>0.188</v>
      </c>
      <c r="L1128" s="23">
        <f>ROUND(23.97,3)</f>
        <v>23.97</v>
      </c>
      <c r="M1128" s="24">
        <f>ROUND(K1128*L1128,2)</f>
        <v>4.51</v>
      </c>
    </row>
    <row r="1129" spans="1:13" ht="15" customHeight="1" thickBot="1" x14ac:dyDescent="0.25">
      <c r="A1129" s="5" t="s">
        <v>3329</v>
      </c>
      <c r="B1129" s="5"/>
      <c r="C1129" s="5" t="s">
        <v>3330</v>
      </c>
      <c r="D1129" s="82" t="s">
        <v>3331</v>
      </c>
      <c r="E1129" s="82"/>
      <c r="F1129" s="82"/>
      <c r="G1129" s="82"/>
      <c r="H1129" s="82"/>
      <c r="I1129" s="82"/>
      <c r="J1129" s="82"/>
      <c r="K1129" s="23">
        <v>2</v>
      </c>
      <c r="L1129" s="23">
        <f>ROUND(8.1,3)</f>
        <v>8.1</v>
      </c>
      <c r="M1129" s="24">
        <f>ROUND((K1129*L1129)/100,2)</f>
        <v>0.16</v>
      </c>
    </row>
    <row r="1130" spans="1:13" ht="15.25" customHeight="1" thickBot="1" x14ac:dyDescent="0.25">
      <c r="A1130" s="26"/>
      <c r="B1130" s="26"/>
      <c r="C1130" s="26"/>
      <c r="D1130" s="27" t="s">
        <v>3332</v>
      </c>
      <c r="E1130" s="26"/>
      <c r="F1130" s="26"/>
      <c r="G1130" s="26"/>
      <c r="H1130" s="26"/>
      <c r="I1130" s="26"/>
      <c r="J1130" s="26"/>
      <c r="K1130" s="28">
        <v>4</v>
      </c>
      <c r="L1130" s="29">
        <f>ROUND((M1127+M1128+M1129)*(1+M2/100),2)</f>
        <v>8.51</v>
      </c>
      <c r="M1130" s="29">
        <f>ROUND(K1130*L1130,2)</f>
        <v>34.04</v>
      </c>
    </row>
    <row r="1131" spans="1:13" ht="15.25" customHeight="1" thickBot="1" x14ac:dyDescent="0.25">
      <c r="A1131" s="30" t="s">
        <v>3333</v>
      </c>
      <c r="B1131" s="31" t="s">
        <v>3334</v>
      </c>
      <c r="C1131" s="31" t="s">
        <v>3335</v>
      </c>
      <c r="D1131" s="83" t="s">
        <v>3336</v>
      </c>
      <c r="E1131" s="83"/>
      <c r="F1131" s="83"/>
      <c r="G1131" s="83"/>
      <c r="H1131" s="83"/>
      <c r="I1131" s="83"/>
      <c r="J1131" s="83"/>
      <c r="K1131" s="32">
        <f>ROUND(4,2)</f>
        <v>4</v>
      </c>
      <c r="L1131" s="33">
        <f>L1137</f>
        <v>8.81</v>
      </c>
      <c r="M1131" s="33">
        <f>ROUND(K1131*L1131,2)</f>
        <v>35.24</v>
      </c>
    </row>
    <row r="1132" spans="1:13" ht="12" customHeight="1" thickBot="1" x14ac:dyDescent="0.25">
      <c r="A1132" s="25"/>
      <c r="B1132" s="25"/>
      <c r="C1132" s="25"/>
      <c r="D1132" s="82" t="s">
        <v>3337</v>
      </c>
      <c r="E1132" s="82"/>
      <c r="F1132" s="82"/>
      <c r="G1132" s="82"/>
      <c r="H1132" s="82"/>
      <c r="I1132" s="82"/>
      <c r="J1132" s="82"/>
      <c r="K1132" s="82"/>
      <c r="L1132" s="82"/>
      <c r="M1132" s="82"/>
    </row>
    <row r="1133" spans="1:13" ht="21.25" customHeight="1" thickBot="1" x14ac:dyDescent="0.25">
      <c r="A1133" s="5" t="s">
        <v>3338</v>
      </c>
      <c r="B1133" s="5" t="s">
        <v>3339</v>
      </c>
      <c r="C1133" s="5" t="s">
        <v>3340</v>
      </c>
      <c r="D1133" s="82" t="s">
        <v>3341</v>
      </c>
      <c r="E1133" s="82"/>
      <c r="F1133" s="82"/>
      <c r="G1133" s="82"/>
      <c r="H1133" s="82"/>
      <c r="I1133" s="82"/>
      <c r="J1133" s="82"/>
      <c r="K1133" s="23">
        <v>1</v>
      </c>
      <c r="L1133" s="23">
        <f>ROUND(3.586,3)</f>
        <v>3.5859999999999999</v>
      </c>
      <c r="M1133" s="24">
        <f>ROUND(K1133*L1133,2)</f>
        <v>3.59</v>
      </c>
    </row>
    <row r="1134" spans="1:13" ht="15" customHeight="1" thickBot="1" x14ac:dyDescent="0.25">
      <c r="A1134" s="5" t="s">
        <v>3342</v>
      </c>
      <c r="B1134" s="5" t="s">
        <v>3343</v>
      </c>
      <c r="C1134" s="5" t="s">
        <v>3344</v>
      </c>
      <c r="D1134" s="82" t="s">
        <v>3345</v>
      </c>
      <c r="E1134" s="82"/>
      <c r="F1134" s="82"/>
      <c r="G1134" s="82"/>
      <c r="H1134" s="82"/>
      <c r="I1134" s="82"/>
      <c r="J1134" s="82"/>
      <c r="K1134" s="23">
        <v>1</v>
      </c>
      <c r="L1134" s="23">
        <f>ROUND(0.284,3)</f>
        <v>0.28399999999999997</v>
      </c>
      <c r="M1134" s="24">
        <f>ROUND(K1134*L1134,2)</f>
        <v>0.28000000000000003</v>
      </c>
    </row>
    <row r="1135" spans="1:13" ht="15" customHeight="1" thickBot="1" x14ac:dyDescent="0.25">
      <c r="A1135" s="5" t="s">
        <v>3346</v>
      </c>
      <c r="B1135" s="5" t="s">
        <v>3347</v>
      </c>
      <c r="C1135" s="5" t="s">
        <v>3348</v>
      </c>
      <c r="D1135" s="82" t="s">
        <v>3349</v>
      </c>
      <c r="E1135" s="82"/>
      <c r="F1135" s="82"/>
      <c r="G1135" s="82"/>
      <c r="H1135" s="82"/>
      <c r="I1135" s="82"/>
      <c r="J1135" s="82"/>
      <c r="K1135" s="23">
        <v>0.188</v>
      </c>
      <c r="L1135" s="23">
        <f>ROUND(23.97,3)</f>
        <v>23.97</v>
      </c>
      <c r="M1135" s="24">
        <f>ROUND(K1135*L1135,2)</f>
        <v>4.51</v>
      </c>
    </row>
    <row r="1136" spans="1:13" ht="15" customHeight="1" thickBot="1" x14ac:dyDescent="0.25">
      <c r="A1136" s="5" t="s">
        <v>3350</v>
      </c>
      <c r="B1136" s="5"/>
      <c r="C1136" s="5" t="s">
        <v>3351</v>
      </c>
      <c r="D1136" s="82" t="s">
        <v>3352</v>
      </c>
      <c r="E1136" s="82"/>
      <c r="F1136" s="82"/>
      <c r="G1136" s="82"/>
      <c r="H1136" s="82"/>
      <c r="I1136" s="82"/>
      <c r="J1136" s="82"/>
      <c r="K1136" s="23">
        <v>2</v>
      </c>
      <c r="L1136" s="23">
        <f>ROUND(8.38,3)</f>
        <v>8.3800000000000008</v>
      </c>
      <c r="M1136" s="24">
        <f>ROUND((K1136*L1136)/100,2)</f>
        <v>0.17</v>
      </c>
    </row>
    <row r="1137" spans="1:13" ht="15.25" customHeight="1" thickBot="1" x14ac:dyDescent="0.25">
      <c r="A1137" s="26"/>
      <c r="B1137" s="26"/>
      <c r="C1137" s="26"/>
      <c r="D1137" s="27" t="s">
        <v>3353</v>
      </c>
      <c r="E1137" s="26"/>
      <c r="F1137" s="26"/>
      <c r="G1137" s="26"/>
      <c r="H1137" s="26"/>
      <c r="I1137" s="26"/>
      <c r="J1137" s="26"/>
      <c r="K1137" s="28">
        <v>4</v>
      </c>
      <c r="L1137" s="29">
        <f>ROUND((M1133+M1134+M1135+M1136)*(1+M2/100),2)</f>
        <v>8.81</v>
      </c>
      <c r="M1137" s="29">
        <f>ROUND(K1137*L1137,2)</f>
        <v>35.24</v>
      </c>
    </row>
    <row r="1138" spans="1:13" ht="15.25" customHeight="1" thickBot="1" x14ac:dyDescent="0.25">
      <c r="A1138" s="34"/>
      <c r="B1138" s="34"/>
      <c r="C1138" s="34"/>
      <c r="D1138" s="35" t="s">
        <v>3354</v>
      </c>
      <c r="E1138" s="36"/>
      <c r="F1138" s="36"/>
      <c r="G1138" s="36"/>
      <c r="H1138" s="36"/>
      <c r="I1138" s="36"/>
      <c r="J1138" s="36"/>
      <c r="K1138" s="36"/>
      <c r="L1138" s="37">
        <f>M1125+M1131</f>
        <v>69.28</v>
      </c>
      <c r="M1138" s="37">
        <f>ROUND(L1138,2)</f>
        <v>69.28</v>
      </c>
    </row>
    <row r="1139" spans="1:13" ht="15.25" customHeight="1" thickBot="1" x14ac:dyDescent="0.25">
      <c r="A1139" s="38" t="s">
        <v>3355</v>
      </c>
      <c r="B1139" s="38" t="s">
        <v>3356</v>
      </c>
      <c r="C1139" s="39"/>
      <c r="D1139" s="84" t="s">
        <v>3357</v>
      </c>
      <c r="E1139" s="84"/>
      <c r="F1139" s="84"/>
      <c r="G1139" s="84"/>
      <c r="H1139" s="84"/>
      <c r="I1139" s="84"/>
      <c r="J1139" s="84"/>
      <c r="K1139" s="39"/>
      <c r="L1139" s="40">
        <f>L1147</f>
        <v>393.59</v>
      </c>
      <c r="M1139" s="40">
        <f>ROUND(L1139,2)</f>
        <v>393.59</v>
      </c>
    </row>
    <row r="1140" spans="1:13" ht="39.5" customHeight="1" thickBot="1" x14ac:dyDescent="0.25">
      <c r="A1140" s="10" t="s">
        <v>3358</v>
      </c>
      <c r="B1140" s="5" t="s">
        <v>3359</v>
      </c>
      <c r="C1140" s="5" t="s">
        <v>3360</v>
      </c>
      <c r="D1140" s="82" t="s">
        <v>3361</v>
      </c>
      <c r="E1140" s="82"/>
      <c r="F1140" s="82"/>
      <c r="G1140" s="82"/>
      <c r="H1140" s="82"/>
      <c r="I1140" s="82"/>
      <c r="J1140" s="82"/>
      <c r="K1140" s="23">
        <f>ROUND(1,2)</f>
        <v>1</v>
      </c>
      <c r="L1140" s="24">
        <f>L1146</f>
        <v>393.59</v>
      </c>
      <c r="M1140" s="24">
        <f>ROUND(K1140*L1140,2)</f>
        <v>393.59</v>
      </c>
    </row>
    <row r="1141" spans="1:13" ht="39.5" customHeight="1" thickBot="1" x14ac:dyDescent="0.25">
      <c r="A1141" s="25"/>
      <c r="B1141" s="25"/>
      <c r="C1141" s="25"/>
      <c r="D1141" s="82" t="s">
        <v>3362</v>
      </c>
      <c r="E1141" s="82"/>
      <c r="F1141" s="82"/>
      <c r="G1141" s="82"/>
      <c r="H1141" s="82"/>
      <c r="I1141" s="82"/>
      <c r="J1141" s="82"/>
      <c r="K1141" s="82"/>
      <c r="L1141" s="82"/>
      <c r="M1141" s="82"/>
    </row>
    <row r="1142" spans="1:13" ht="67" customHeight="1" thickBot="1" x14ac:dyDescent="0.25">
      <c r="A1142" s="5" t="s">
        <v>3363</v>
      </c>
      <c r="B1142" s="5" t="s">
        <v>3364</v>
      </c>
      <c r="C1142" s="5" t="s">
        <v>3365</v>
      </c>
      <c r="D1142" s="82" t="s">
        <v>3366</v>
      </c>
      <c r="E1142" s="82"/>
      <c r="F1142" s="82"/>
      <c r="G1142" s="82"/>
      <c r="H1142" s="82"/>
      <c r="I1142" s="82"/>
      <c r="J1142" s="82"/>
      <c r="K1142" s="23">
        <v>1</v>
      </c>
      <c r="L1142" s="23">
        <f>ROUND(341.237,3)</f>
        <v>341.23700000000002</v>
      </c>
      <c r="M1142" s="24">
        <f>ROUND(K1142*L1142,2)</f>
        <v>341.24</v>
      </c>
    </row>
    <row r="1143" spans="1:13" ht="15" customHeight="1" thickBot="1" x14ac:dyDescent="0.25">
      <c r="A1143" s="5" t="s">
        <v>3367</v>
      </c>
      <c r="B1143" s="5" t="s">
        <v>3368</v>
      </c>
      <c r="C1143" s="5" t="s">
        <v>3369</v>
      </c>
      <c r="D1143" s="82" t="s">
        <v>3370</v>
      </c>
      <c r="E1143" s="82"/>
      <c r="F1143" s="82"/>
      <c r="G1143" s="82"/>
      <c r="H1143" s="82"/>
      <c r="I1143" s="82"/>
      <c r="J1143" s="82"/>
      <c r="K1143" s="23">
        <v>1.0389999999999999</v>
      </c>
      <c r="L1143" s="23">
        <f>ROUND(17.45,3)</f>
        <v>17.45</v>
      </c>
      <c r="M1143" s="24">
        <f>ROUND(K1143*L1143,2)</f>
        <v>18.13</v>
      </c>
    </row>
    <row r="1144" spans="1:13" ht="15" customHeight="1" thickBot="1" x14ac:dyDescent="0.25">
      <c r="A1144" s="5" t="s">
        <v>3371</v>
      </c>
      <c r="B1144" s="5" t="s">
        <v>3372</v>
      </c>
      <c r="C1144" s="5" t="s">
        <v>3373</v>
      </c>
      <c r="D1144" s="82" t="s">
        <v>3374</v>
      </c>
      <c r="E1144" s="82"/>
      <c r="F1144" s="82"/>
      <c r="G1144" s="82"/>
      <c r="H1144" s="82"/>
      <c r="I1144" s="82"/>
      <c r="J1144" s="82"/>
      <c r="K1144" s="23">
        <v>1.0389999999999999</v>
      </c>
      <c r="L1144" s="23">
        <f>ROUND(14.7,3)</f>
        <v>14.7</v>
      </c>
      <c r="M1144" s="24">
        <f>ROUND(K1144*L1144,2)</f>
        <v>15.27</v>
      </c>
    </row>
    <row r="1145" spans="1:13" ht="15" customHeight="1" thickBot="1" x14ac:dyDescent="0.25">
      <c r="A1145" s="5" t="s">
        <v>3375</v>
      </c>
      <c r="B1145" s="5"/>
      <c r="C1145" s="5" t="s">
        <v>3376</v>
      </c>
      <c r="D1145" s="82" t="s">
        <v>3377</v>
      </c>
      <c r="E1145" s="82"/>
      <c r="F1145" s="82"/>
      <c r="G1145" s="82"/>
      <c r="H1145" s="82"/>
      <c r="I1145" s="82"/>
      <c r="J1145" s="82"/>
      <c r="K1145" s="23">
        <v>2</v>
      </c>
      <c r="L1145" s="23">
        <f>ROUND(374.64,3)</f>
        <v>374.64</v>
      </c>
      <c r="M1145" s="24">
        <f>ROUND((K1145*L1145)/100,2)</f>
        <v>7.49</v>
      </c>
    </row>
    <row r="1146" spans="1:13" ht="15.25" customHeight="1" thickBot="1" x14ac:dyDescent="0.25">
      <c r="A1146" s="26"/>
      <c r="B1146" s="26"/>
      <c r="C1146" s="26"/>
      <c r="D1146" s="27" t="s">
        <v>3378</v>
      </c>
      <c r="E1146" s="26"/>
      <c r="F1146" s="26"/>
      <c r="G1146" s="26"/>
      <c r="H1146" s="26"/>
      <c r="I1146" s="26"/>
      <c r="J1146" s="26"/>
      <c r="K1146" s="28">
        <v>1</v>
      </c>
      <c r="L1146" s="29">
        <f>ROUND((M1142+M1143+M1144+M1145)*(1+M2/100),2)</f>
        <v>393.59</v>
      </c>
      <c r="M1146" s="29">
        <f>ROUND(K1146*L1146,2)</f>
        <v>393.59</v>
      </c>
    </row>
    <row r="1147" spans="1:13" ht="15.25" customHeight="1" thickBot="1" x14ac:dyDescent="0.25">
      <c r="A1147" s="34"/>
      <c r="B1147" s="34"/>
      <c r="C1147" s="34"/>
      <c r="D1147" s="35" t="s">
        <v>3379</v>
      </c>
      <c r="E1147" s="36"/>
      <c r="F1147" s="36"/>
      <c r="G1147" s="36"/>
      <c r="H1147" s="36"/>
      <c r="I1147" s="36"/>
      <c r="J1147" s="36"/>
      <c r="K1147" s="36"/>
      <c r="L1147" s="37">
        <f>M1140</f>
        <v>393.59</v>
      </c>
      <c r="M1147" s="37">
        <f>ROUND(L1147,2)</f>
        <v>393.59</v>
      </c>
    </row>
    <row r="1148" spans="1:13" ht="15.25" customHeight="1" thickBot="1" x14ac:dyDescent="0.25">
      <c r="A1148" s="38" t="s">
        <v>3380</v>
      </c>
      <c r="B1148" s="38" t="s">
        <v>3381</v>
      </c>
      <c r="C1148" s="39"/>
      <c r="D1148" s="84" t="s">
        <v>3382</v>
      </c>
      <c r="E1148" s="84"/>
      <c r="F1148" s="84"/>
      <c r="G1148" s="84"/>
      <c r="H1148" s="84"/>
      <c r="I1148" s="84"/>
      <c r="J1148" s="84"/>
      <c r="K1148" s="39"/>
      <c r="L1148" s="40">
        <f>L1155</f>
        <v>87.74</v>
      </c>
      <c r="M1148" s="40">
        <f>ROUND(L1148,2)</f>
        <v>87.74</v>
      </c>
    </row>
    <row r="1149" spans="1:13" ht="21.25" customHeight="1" thickBot="1" x14ac:dyDescent="0.25">
      <c r="A1149" s="10" t="s">
        <v>3383</v>
      </c>
      <c r="B1149" s="5" t="s">
        <v>3384</v>
      </c>
      <c r="C1149" s="5" t="s">
        <v>3385</v>
      </c>
      <c r="D1149" s="82" t="s">
        <v>3386</v>
      </c>
      <c r="E1149" s="82"/>
      <c r="F1149" s="82"/>
      <c r="G1149" s="82"/>
      <c r="H1149" s="82"/>
      <c r="I1149" s="82"/>
      <c r="J1149" s="82"/>
      <c r="K1149" s="23">
        <f>ROUND(2,2)</f>
        <v>2</v>
      </c>
      <c r="L1149" s="24">
        <f>L1154</f>
        <v>43.87</v>
      </c>
      <c r="M1149" s="24">
        <f>ROUND(K1149*L1149,2)</f>
        <v>87.74</v>
      </c>
    </row>
    <row r="1150" spans="1:13" ht="21.25" customHeight="1" thickBot="1" x14ac:dyDescent="0.25">
      <c r="A1150" s="25"/>
      <c r="B1150" s="25"/>
      <c r="C1150" s="25"/>
      <c r="D1150" s="82" t="s">
        <v>3387</v>
      </c>
      <c r="E1150" s="82"/>
      <c r="F1150" s="82"/>
      <c r="G1150" s="82"/>
      <c r="H1150" s="82"/>
      <c r="I1150" s="82"/>
      <c r="J1150" s="82"/>
      <c r="K1150" s="82"/>
      <c r="L1150" s="82"/>
      <c r="M1150" s="82"/>
    </row>
    <row r="1151" spans="1:13" ht="21.25" customHeight="1" thickBot="1" x14ac:dyDescent="0.25">
      <c r="A1151" s="5" t="s">
        <v>3388</v>
      </c>
      <c r="B1151" s="5" t="s">
        <v>3389</v>
      </c>
      <c r="C1151" s="5" t="s">
        <v>3390</v>
      </c>
      <c r="D1151" s="82" t="s">
        <v>3391</v>
      </c>
      <c r="E1151" s="82"/>
      <c r="F1151" s="82"/>
      <c r="G1151" s="82"/>
      <c r="H1151" s="82"/>
      <c r="I1151" s="82"/>
      <c r="J1151" s="82"/>
      <c r="K1151" s="23">
        <v>1</v>
      </c>
      <c r="L1151" s="23">
        <f>ROUND(39.496,3)</f>
        <v>39.496000000000002</v>
      </c>
      <c r="M1151" s="24">
        <f>ROUND(K1151*L1151,2)</f>
        <v>39.5</v>
      </c>
    </row>
    <row r="1152" spans="1:13" ht="15" customHeight="1" thickBot="1" x14ac:dyDescent="0.25">
      <c r="A1152" s="5" t="s">
        <v>3392</v>
      </c>
      <c r="B1152" s="5" t="s">
        <v>3393</v>
      </c>
      <c r="C1152" s="5" t="s">
        <v>3394</v>
      </c>
      <c r="D1152" s="82" t="s">
        <v>3395</v>
      </c>
      <c r="E1152" s="82"/>
      <c r="F1152" s="82"/>
      <c r="G1152" s="82"/>
      <c r="H1152" s="82"/>
      <c r="I1152" s="82"/>
      <c r="J1152" s="82"/>
      <c r="K1152" s="23">
        <v>9.4E-2</v>
      </c>
      <c r="L1152" s="23">
        <f>ROUND(23.97,3)</f>
        <v>23.97</v>
      </c>
      <c r="M1152" s="24">
        <f>ROUND(K1152*L1152,2)</f>
        <v>2.25</v>
      </c>
    </row>
    <row r="1153" spans="1:13" ht="15" customHeight="1" thickBot="1" x14ac:dyDescent="0.25">
      <c r="A1153" s="5" t="s">
        <v>3396</v>
      </c>
      <c r="B1153" s="5"/>
      <c r="C1153" s="5" t="s">
        <v>3397</v>
      </c>
      <c r="D1153" s="82" t="s">
        <v>3398</v>
      </c>
      <c r="E1153" s="82"/>
      <c r="F1153" s="82"/>
      <c r="G1153" s="82"/>
      <c r="H1153" s="82"/>
      <c r="I1153" s="82"/>
      <c r="J1153" s="82"/>
      <c r="K1153" s="23">
        <v>2</v>
      </c>
      <c r="L1153" s="23">
        <f>ROUND(41.75,3)</f>
        <v>41.75</v>
      </c>
      <c r="M1153" s="24">
        <f>ROUND((K1153*L1153)/100,2)</f>
        <v>0.84</v>
      </c>
    </row>
    <row r="1154" spans="1:13" ht="15.25" customHeight="1" thickBot="1" x14ac:dyDescent="0.25">
      <c r="A1154" s="26"/>
      <c r="B1154" s="26"/>
      <c r="C1154" s="26"/>
      <c r="D1154" s="27" t="s">
        <v>3399</v>
      </c>
      <c r="E1154" s="26"/>
      <c r="F1154" s="26"/>
      <c r="G1154" s="26"/>
      <c r="H1154" s="26"/>
      <c r="I1154" s="26"/>
      <c r="J1154" s="26"/>
      <c r="K1154" s="28">
        <v>2</v>
      </c>
      <c r="L1154" s="29">
        <f>ROUND((M1151+M1152+M1153)*(1+M2/100),2)</f>
        <v>43.87</v>
      </c>
      <c r="M1154" s="29">
        <f>ROUND(K1154*L1154,2)</f>
        <v>87.74</v>
      </c>
    </row>
    <row r="1155" spans="1:13" ht="15.25" customHeight="1" thickBot="1" x14ac:dyDescent="0.25">
      <c r="A1155" s="34"/>
      <c r="B1155" s="34"/>
      <c r="C1155" s="34"/>
      <c r="D1155" s="35" t="s">
        <v>3400</v>
      </c>
      <c r="E1155" s="36"/>
      <c r="F1155" s="36"/>
      <c r="G1155" s="36"/>
      <c r="H1155" s="36"/>
      <c r="I1155" s="36"/>
      <c r="J1155" s="36"/>
      <c r="K1155" s="36"/>
      <c r="L1155" s="37">
        <f>M1149</f>
        <v>87.74</v>
      </c>
      <c r="M1155" s="37">
        <f>ROUND(L1155,2)</f>
        <v>87.74</v>
      </c>
    </row>
    <row r="1156" spans="1:13" ht="15.25" customHeight="1" thickBot="1" x14ac:dyDescent="0.25">
      <c r="A1156" s="34"/>
      <c r="B1156" s="34"/>
      <c r="C1156" s="34"/>
      <c r="D1156" s="52" t="s">
        <v>3401</v>
      </c>
      <c r="E1156" s="53"/>
      <c r="F1156" s="53"/>
      <c r="G1156" s="53"/>
      <c r="H1156" s="53"/>
      <c r="I1156" s="53"/>
      <c r="J1156" s="53"/>
      <c r="K1156" s="53"/>
      <c r="L1156" s="54">
        <f>M1123+M1138+M1147+M1155</f>
        <v>5761.7999999999993</v>
      </c>
      <c r="M1156" s="54">
        <f>ROUND(L1156,2)</f>
        <v>5761.8</v>
      </c>
    </row>
    <row r="1157" spans="1:13" ht="15.25" customHeight="1" thickBot="1" x14ac:dyDescent="0.25">
      <c r="A1157" s="55" t="s">
        <v>3402</v>
      </c>
      <c r="B1157" s="55" t="s">
        <v>3403</v>
      </c>
      <c r="C1157" s="56"/>
      <c r="D1157" s="85" t="s">
        <v>3404</v>
      </c>
      <c r="E1157" s="85"/>
      <c r="F1157" s="85"/>
      <c r="G1157" s="85"/>
      <c r="H1157" s="85"/>
      <c r="I1157" s="85"/>
      <c r="J1157" s="85"/>
      <c r="K1157" s="56"/>
      <c r="L1157" s="57">
        <f>L1213</f>
        <v>6729.71</v>
      </c>
      <c r="M1157" s="57">
        <f>ROUND(L1157,2)</f>
        <v>6729.71</v>
      </c>
    </row>
    <row r="1158" spans="1:13" ht="15.25" customHeight="1" thickBot="1" x14ac:dyDescent="0.25">
      <c r="A1158" s="20" t="s">
        <v>3405</v>
      </c>
      <c r="B1158" s="20" t="s">
        <v>3406</v>
      </c>
      <c r="C1158" s="21"/>
      <c r="D1158" s="81" t="s">
        <v>3407</v>
      </c>
      <c r="E1158" s="81"/>
      <c r="F1158" s="81"/>
      <c r="G1158" s="81"/>
      <c r="H1158" s="81"/>
      <c r="I1158" s="81"/>
      <c r="J1158" s="81"/>
      <c r="K1158" s="21"/>
      <c r="L1158" s="22">
        <f>L1163</f>
        <v>1069.51</v>
      </c>
      <c r="M1158" s="22">
        <f>ROUND(L1158,2)</f>
        <v>1069.51</v>
      </c>
    </row>
    <row r="1159" spans="1:13" ht="15.25" customHeight="1" thickBot="1" x14ac:dyDescent="0.25">
      <c r="A1159" s="10" t="s">
        <v>3408</v>
      </c>
      <c r="B1159" s="5" t="s">
        <v>3409</v>
      </c>
      <c r="C1159" s="5" t="s">
        <v>3410</v>
      </c>
      <c r="D1159" s="82" t="s">
        <v>3411</v>
      </c>
      <c r="E1159" s="82"/>
      <c r="F1159" s="82"/>
      <c r="G1159" s="82"/>
      <c r="H1159" s="82"/>
      <c r="I1159" s="82"/>
      <c r="J1159" s="82"/>
      <c r="K1159" s="23">
        <f>ROUND(1,2)</f>
        <v>1</v>
      </c>
      <c r="L1159" s="24">
        <f>L1162</f>
        <v>1069.51</v>
      </c>
      <c r="M1159" s="24">
        <f>ROUND(K1159*L1159,2)</f>
        <v>1069.51</v>
      </c>
    </row>
    <row r="1160" spans="1:13" ht="67" customHeight="1" thickBot="1" x14ac:dyDescent="0.25">
      <c r="A1160" s="25"/>
      <c r="B1160" s="25"/>
      <c r="C1160" s="25"/>
      <c r="D1160" s="82" t="s">
        <v>3412</v>
      </c>
      <c r="E1160" s="82"/>
      <c r="F1160" s="82"/>
      <c r="G1160" s="82"/>
      <c r="H1160" s="82"/>
      <c r="I1160" s="82"/>
      <c r="J1160" s="82"/>
      <c r="K1160" s="82"/>
      <c r="L1160" s="82"/>
      <c r="M1160" s="82"/>
    </row>
    <row r="1161" spans="1:13" ht="15" customHeight="1" thickBot="1" x14ac:dyDescent="0.25">
      <c r="A1161" s="5" t="s">
        <v>3413</v>
      </c>
      <c r="B1161" s="5" t="s">
        <v>3414</v>
      </c>
      <c r="C1161" s="5" t="s">
        <v>3415</v>
      </c>
      <c r="D1161" s="82" t="s">
        <v>3416</v>
      </c>
      <c r="E1161" s="82"/>
      <c r="F1161" s="82"/>
      <c r="G1161" s="82"/>
      <c r="H1161" s="82"/>
      <c r="I1161" s="82"/>
      <c r="J1161" s="82"/>
      <c r="K1161" s="23">
        <v>1</v>
      </c>
      <c r="L1161" s="23">
        <f>ROUND(1038.36,3)</f>
        <v>1038.3599999999999</v>
      </c>
      <c r="M1161" s="24">
        <f>ROUND(K1161*L1161,2)</f>
        <v>1038.3599999999999</v>
      </c>
    </row>
    <row r="1162" spans="1:13" ht="15.25" customHeight="1" thickBot="1" x14ac:dyDescent="0.25">
      <c r="A1162" s="26"/>
      <c r="B1162" s="26"/>
      <c r="C1162" s="26"/>
      <c r="D1162" s="27" t="s">
        <v>3417</v>
      </c>
      <c r="E1162" s="26"/>
      <c r="F1162" s="26"/>
      <c r="G1162" s="26"/>
      <c r="H1162" s="26"/>
      <c r="I1162" s="26"/>
      <c r="J1162" s="26"/>
      <c r="K1162" s="28">
        <v>1</v>
      </c>
      <c r="L1162" s="29">
        <f>ROUND((M1161)*(1+M2/100),2)</f>
        <v>1069.51</v>
      </c>
      <c r="M1162" s="29">
        <f>ROUND(K1162*L1162,2)</f>
        <v>1069.51</v>
      </c>
    </row>
    <row r="1163" spans="1:13" ht="15.25" customHeight="1" thickBot="1" x14ac:dyDescent="0.25">
      <c r="A1163" s="34"/>
      <c r="B1163" s="34"/>
      <c r="C1163" s="34"/>
      <c r="D1163" s="35" t="s">
        <v>3418</v>
      </c>
      <c r="E1163" s="36"/>
      <c r="F1163" s="36"/>
      <c r="G1163" s="36"/>
      <c r="H1163" s="36"/>
      <c r="I1163" s="36"/>
      <c r="J1163" s="36"/>
      <c r="K1163" s="36"/>
      <c r="L1163" s="37">
        <f>M1159</f>
        <v>1069.51</v>
      </c>
      <c r="M1163" s="37">
        <f>ROUND(L1163,2)</f>
        <v>1069.51</v>
      </c>
    </row>
    <row r="1164" spans="1:13" ht="15.25" customHeight="1" thickBot="1" x14ac:dyDescent="0.25">
      <c r="A1164" s="38" t="s">
        <v>3419</v>
      </c>
      <c r="B1164" s="38" t="s">
        <v>3420</v>
      </c>
      <c r="C1164" s="39"/>
      <c r="D1164" s="84" t="s">
        <v>3421</v>
      </c>
      <c r="E1164" s="84"/>
      <c r="F1164" s="84"/>
      <c r="G1164" s="84"/>
      <c r="H1164" s="84"/>
      <c r="I1164" s="84"/>
      <c r="J1164" s="84"/>
      <c r="K1164" s="39"/>
      <c r="L1164" s="40">
        <f>L1185</f>
        <v>4550.0300000000007</v>
      </c>
      <c r="M1164" s="40">
        <f>ROUND(L1164,2)</f>
        <v>4550.03</v>
      </c>
    </row>
    <row r="1165" spans="1:13" ht="15.25" customHeight="1" thickBot="1" x14ac:dyDescent="0.25">
      <c r="A1165" s="10" t="s">
        <v>3422</v>
      </c>
      <c r="B1165" s="5" t="s">
        <v>3423</v>
      </c>
      <c r="C1165" s="5" t="s">
        <v>3424</v>
      </c>
      <c r="D1165" s="82" t="s">
        <v>3425</v>
      </c>
      <c r="E1165" s="82"/>
      <c r="F1165" s="82"/>
      <c r="G1165" s="82"/>
      <c r="H1165" s="82"/>
      <c r="I1165" s="82"/>
      <c r="J1165" s="82"/>
      <c r="K1165" s="23">
        <f>ROUND(12,2)</f>
        <v>12</v>
      </c>
      <c r="L1165" s="24">
        <f>ROUND(218.922*(1+M2/100),2)</f>
        <v>225.49</v>
      </c>
      <c r="M1165" s="24">
        <f>ROUND(K1165*L1165,2)</f>
        <v>2705.88</v>
      </c>
    </row>
    <row r="1166" spans="1:13" ht="48.75" customHeight="1" thickBot="1" x14ac:dyDescent="0.25">
      <c r="A1166" s="25"/>
      <c r="B1166" s="25"/>
      <c r="C1166" s="25"/>
      <c r="D1166" s="82" t="s">
        <v>3426</v>
      </c>
      <c r="E1166" s="82"/>
      <c r="F1166" s="82"/>
      <c r="G1166" s="82"/>
      <c r="H1166" s="82"/>
      <c r="I1166" s="82"/>
      <c r="J1166" s="82"/>
      <c r="K1166" s="82"/>
      <c r="L1166" s="82"/>
      <c r="M1166" s="82"/>
    </row>
    <row r="1167" spans="1:13" ht="15.25" customHeight="1" thickBot="1" x14ac:dyDescent="0.25">
      <c r="A1167" s="10" t="s">
        <v>3427</v>
      </c>
      <c r="B1167" s="5" t="s">
        <v>3428</v>
      </c>
      <c r="C1167" s="5" t="s">
        <v>3429</v>
      </c>
      <c r="D1167" s="82" t="s">
        <v>3430</v>
      </c>
      <c r="E1167" s="82"/>
      <c r="F1167" s="82"/>
      <c r="G1167" s="82"/>
      <c r="H1167" s="82"/>
      <c r="I1167" s="82"/>
      <c r="J1167" s="82"/>
      <c r="K1167" s="23">
        <f>ROUND(15,2)</f>
        <v>15</v>
      </c>
      <c r="L1167" s="24">
        <f>L1175</f>
        <v>53.45</v>
      </c>
      <c r="M1167" s="24">
        <f>ROUND(K1167*L1167,2)</f>
        <v>801.75</v>
      </c>
    </row>
    <row r="1168" spans="1:13" ht="30.5" customHeight="1" thickBot="1" x14ac:dyDescent="0.25">
      <c r="A1168" s="25"/>
      <c r="B1168" s="25"/>
      <c r="C1168" s="25"/>
      <c r="D1168" s="82" t="s">
        <v>3431</v>
      </c>
      <c r="E1168" s="82"/>
      <c r="F1168" s="82"/>
      <c r="G1168" s="82"/>
      <c r="H1168" s="82"/>
      <c r="I1168" s="82"/>
      <c r="J1168" s="82"/>
      <c r="K1168" s="82"/>
      <c r="L1168" s="82"/>
      <c r="M1168" s="82"/>
    </row>
    <row r="1169" spans="1:13" ht="21.25" customHeight="1" thickBot="1" x14ac:dyDescent="0.25">
      <c r="A1169" s="5" t="s">
        <v>3432</v>
      </c>
      <c r="B1169" s="5" t="s">
        <v>3433</v>
      </c>
      <c r="C1169" s="5" t="s">
        <v>3434</v>
      </c>
      <c r="D1169" s="82" t="s">
        <v>3435</v>
      </c>
      <c r="E1169" s="82"/>
      <c r="F1169" s="82"/>
      <c r="G1169" s="82"/>
      <c r="H1169" s="82"/>
      <c r="I1169" s="82"/>
      <c r="J1169" s="82"/>
      <c r="K1169" s="23">
        <v>1</v>
      </c>
      <c r="L1169" s="23">
        <f>ROUND(8.555,3)</f>
        <v>8.5549999999999997</v>
      </c>
      <c r="M1169" s="24">
        <f>ROUND(K1169*L1169,2)</f>
        <v>8.56</v>
      </c>
    </row>
    <row r="1170" spans="1:13" ht="21.25" customHeight="1" thickBot="1" x14ac:dyDescent="0.25">
      <c r="A1170" s="5" t="s">
        <v>3436</v>
      </c>
      <c r="B1170" s="5" t="s">
        <v>3437</v>
      </c>
      <c r="C1170" s="5" t="s">
        <v>3438</v>
      </c>
      <c r="D1170" s="82" t="s">
        <v>3439</v>
      </c>
      <c r="E1170" s="82"/>
      <c r="F1170" s="82"/>
      <c r="G1170" s="82"/>
      <c r="H1170" s="82"/>
      <c r="I1170" s="82"/>
      <c r="J1170" s="82"/>
      <c r="K1170" s="23">
        <v>1</v>
      </c>
      <c r="L1170" s="23">
        <f>ROUND(9.973,3)</f>
        <v>9.9730000000000008</v>
      </c>
      <c r="M1170" s="24">
        <f>ROUND(K1170*L1170,2)</f>
        <v>9.9700000000000006</v>
      </c>
    </row>
    <row r="1171" spans="1:13" ht="15" customHeight="1" thickBot="1" x14ac:dyDescent="0.25">
      <c r="A1171" s="5" t="s">
        <v>3440</v>
      </c>
      <c r="B1171" s="5" t="s">
        <v>3441</v>
      </c>
      <c r="C1171" s="5" t="s">
        <v>3442</v>
      </c>
      <c r="D1171" s="82" t="s">
        <v>3443</v>
      </c>
      <c r="E1171" s="82"/>
      <c r="F1171" s="82"/>
      <c r="G1171" s="82"/>
      <c r="H1171" s="82"/>
      <c r="I1171" s="82"/>
      <c r="J1171" s="82"/>
      <c r="K1171" s="23">
        <v>0.04</v>
      </c>
      <c r="L1171" s="23">
        <f>ROUND(0.56,3)</f>
        <v>0.56000000000000005</v>
      </c>
      <c r="M1171" s="24">
        <f>ROUND(K1171*L1171,2)</f>
        <v>0.02</v>
      </c>
    </row>
    <row r="1172" spans="1:13" ht="15" customHeight="1" thickBot="1" x14ac:dyDescent="0.25">
      <c r="A1172" s="5" t="s">
        <v>3444</v>
      </c>
      <c r="B1172" s="5" t="s">
        <v>3445</v>
      </c>
      <c r="C1172" s="5" t="s">
        <v>3446</v>
      </c>
      <c r="D1172" s="82" t="s">
        <v>3447</v>
      </c>
      <c r="E1172" s="82"/>
      <c r="F1172" s="82"/>
      <c r="G1172" s="82"/>
      <c r="H1172" s="82"/>
      <c r="I1172" s="82"/>
      <c r="J1172" s="82"/>
      <c r="K1172" s="23">
        <v>0.57999999999999996</v>
      </c>
      <c r="L1172" s="23">
        <f>ROUND(26.74,3)</f>
        <v>26.74</v>
      </c>
      <c r="M1172" s="24">
        <f>ROUND(K1172*L1172,2)</f>
        <v>15.51</v>
      </c>
    </row>
    <row r="1173" spans="1:13" ht="15" customHeight="1" thickBot="1" x14ac:dyDescent="0.25">
      <c r="A1173" s="5" t="s">
        <v>3448</v>
      </c>
      <c r="B1173" s="5" t="s">
        <v>3449</v>
      </c>
      <c r="C1173" s="5" t="s">
        <v>3450</v>
      </c>
      <c r="D1173" s="82" t="s">
        <v>3451</v>
      </c>
      <c r="E1173" s="82"/>
      <c r="F1173" s="82"/>
      <c r="G1173" s="82"/>
      <c r="H1173" s="82"/>
      <c r="I1173" s="82"/>
      <c r="J1173" s="82"/>
      <c r="K1173" s="23">
        <v>0.57999999999999996</v>
      </c>
      <c r="L1173" s="23">
        <f>ROUND(28.98,3)</f>
        <v>28.98</v>
      </c>
      <c r="M1173" s="24">
        <f>ROUND(K1173*L1173,2)</f>
        <v>16.809999999999999</v>
      </c>
    </row>
    <row r="1174" spans="1:13" ht="15" customHeight="1" thickBot="1" x14ac:dyDescent="0.25">
      <c r="A1174" s="5" t="s">
        <v>3452</v>
      </c>
      <c r="B1174" s="5"/>
      <c r="C1174" s="5" t="s">
        <v>3453</v>
      </c>
      <c r="D1174" s="82" t="s">
        <v>3454</v>
      </c>
      <c r="E1174" s="82"/>
      <c r="F1174" s="82"/>
      <c r="G1174" s="82"/>
      <c r="H1174" s="82"/>
      <c r="I1174" s="82"/>
      <c r="J1174" s="82"/>
      <c r="K1174" s="23">
        <v>2</v>
      </c>
      <c r="L1174" s="23">
        <f>ROUND(50.87,3)</f>
        <v>50.87</v>
      </c>
      <c r="M1174" s="24">
        <f>ROUND((K1174*L1174)/100,2)</f>
        <v>1.02</v>
      </c>
    </row>
    <row r="1175" spans="1:13" ht="15.25" customHeight="1" thickBot="1" x14ac:dyDescent="0.25">
      <c r="A1175" s="26"/>
      <c r="B1175" s="26"/>
      <c r="C1175" s="26"/>
      <c r="D1175" s="27" t="s">
        <v>3455</v>
      </c>
      <c r="E1175" s="26"/>
      <c r="F1175" s="26"/>
      <c r="G1175" s="26"/>
      <c r="H1175" s="26"/>
      <c r="I1175" s="26"/>
      <c r="J1175" s="26"/>
      <c r="K1175" s="28">
        <v>15</v>
      </c>
      <c r="L1175" s="29">
        <f>ROUND((M1169+M1170+M1171+M1172+M1173+M1174)*(1+M2/100),2)</f>
        <v>53.45</v>
      </c>
      <c r="M1175" s="29">
        <f>ROUND(K1175*L1175,2)</f>
        <v>801.75</v>
      </c>
    </row>
    <row r="1176" spans="1:13" ht="15.25" customHeight="1" thickBot="1" x14ac:dyDescent="0.25">
      <c r="A1176" s="30" t="s">
        <v>3456</v>
      </c>
      <c r="B1176" s="31" t="s">
        <v>3457</v>
      </c>
      <c r="C1176" s="31" t="s">
        <v>3458</v>
      </c>
      <c r="D1176" s="83" t="s">
        <v>3459</v>
      </c>
      <c r="E1176" s="83"/>
      <c r="F1176" s="83"/>
      <c r="G1176" s="83"/>
      <c r="H1176" s="83"/>
      <c r="I1176" s="83"/>
      <c r="J1176" s="83"/>
      <c r="K1176" s="32">
        <f>ROUND(20,2)</f>
        <v>20</v>
      </c>
      <c r="L1176" s="33">
        <f>L1184</f>
        <v>52.12</v>
      </c>
      <c r="M1176" s="33">
        <f>ROUND(K1176*L1176,2)</f>
        <v>1042.4000000000001</v>
      </c>
    </row>
    <row r="1177" spans="1:13" ht="30.5" customHeight="1" thickBot="1" x14ac:dyDescent="0.25">
      <c r="A1177" s="25"/>
      <c r="B1177" s="25"/>
      <c r="C1177" s="25"/>
      <c r="D1177" s="82" t="s">
        <v>3460</v>
      </c>
      <c r="E1177" s="82"/>
      <c r="F1177" s="82"/>
      <c r="G1177" s="82"/>
      <c r="H1177" s="82"/>
      <c r="I1177" s="82"/>
      <c r="J1177" s="82"/>
      <c r="K1177" s="82"/>
      <c r="L1177" s="82"/>
      <c r="M1177" s="82"/>
    </row>
    <row r="1178" spans="1:13" ht="21.25" customHeight="1" thickBot="1" x14ac:dyDescent="0.25">
      <c r="A1178" s="5" t="s">
        <v>3461</v>
      </c>
      <c r="B1178" s="5" t="s">
        <v>3462</v>
      </c>
      <c r="C1178" s="5" t="s">
        <v>3463</v>
      </c>
      <c r="D1178" s="82" t="s">
        <v>3464</v>
      </c>
      <c r="E1178" s="82"/>
      <c r="F1178" s="82"/>
      <c r="G1178" s="82"/>
      <c r="H1178" s="82"/>
      <c r="I1178" s="82"/>
      <c r="J1178" s="82"/>
      <c r="K1178" s="23">
        <v>1</v>
      </c>
      <c r="L1178" s="23">
        <f>ROUND(7.3,3)</f>
        <v>7.3</v>
      </c>
      <c r="M1178" s="24">
        <f>ROUND(K1178*L1178,2)</f>
        <v>7.3</v>
      </c>
    </row>
    <row r="1179" spans="1:13" ht="21.25" customHeight="1" thickBot="1" x14ac:dyDescent="0.25">
      <c r="A1179" s="5" t="s">
        <v>3465</v>
      </c>
      <c r="B1179" s="5" t="s">
        <v>3466</v>
      </c>
      <c r="C1179" s="5" t="s">
        <v>3467</v>
      </c>
      <c r="D1179" s="82" t="s">
        <v>3468</v>
      </c>
      <c r="E1179" s="82"/>
      <c r="F1179" s="82"/>
      <c r="G1179" s="82"/>
      <c r="H1179" s="82"/>
      <c r="I1179" s="82"/>
      <c r="J1179" s="82"/>
      <c r="K1179" s="23">
        <v>1</v>
      </c>
      <c r="L1179" s="23">
        <f>ROUND(9.973,3)</f>
        <v>9.9730000000000008</v>
      </c>
      <c r="M1179" s="24">
        <f>ROUND(K1179*L1179,2)</f>
        <v>9.9700000000000006</v>
      </c>
    </row>
    <row r="1180" spans="1:13" ht="15" customHeight="1" thickBot="1" x14ac:dyDescent="0.25">
      <c r="A1180" s="5" t="s">
        <v>3469</v>
      </c>
      <c r="B1180" s="5" t="s">
        <v>3470</v>
      </c>
      <c r="C1180" s="5" t="s">
        <v>3471</v>
      </c>
      <c r="D1180" s="82" t="s">
        <v>3472</v>
      </c>
      <c r="E1180" s="82"/>
      <c r="F1180" s="82"/>
      <c r="G1180" s="82"/>
      <c r="H1180" s="82"/>
      <c r="I1180" s="82"/>
      <c r="J1180" s="82"/>
      <c r="K1180" s="23">
        <v>0.04</v>
      </c>
      <c r="L1180" s="23">
        <f>ROUND(0.56,3)</f>
        <v>0.56000000000000005</v>
      </c>
      <c r="M1180" s="24">
        <f>ROUND(K1180*L1180,2)</f>
        <v>0.02</v>
      </c>
    </row>
    <row r="1181" spans="1:13" ht="15" customHeight="1" thickBot="1" x14ac:dyDescent="0.25">
      <c r="A1181" s="5" t="s">
        <v>3473</v>
      </c>
      <c r="B1181" s="5" t="s">
        <v>3474</v>
      </c>
      <c r="C1181" s="5" t="s">
        <v>3475</v>
      </c>
      <c r="D1181" s="82" t="s">
        <v>3476</v>
      </c>
      <c r="E1181" s="82"/>
      <c r="F1181" s="82"/>
      <c r="G1181" s="82"/>
      <c r="H1181" s="82"/>
      <c r="I1181" s="82"/>
      <c r="J1181" s="82"/>
      <c r="K1181" s="23">
        <v>0.57999999999999996</v>
      </c>
      <c r="L1181" s="23">
        <f>ROUND(26.74,3)</f>
        <v>26.74</v>
      </c>
      <c r="M1181" s="24">
        <f>ROUND(K1181*L1181,2)</f>
        <v>15.51</v>
      </c>
    </row>
    <row r="1182" spans="1:13" ht="15" customHeight="1" thickBot="1" x14ac:dyDescent="0.25">
      <c r="A1182" s="5" t="s">
        <v>3477</v>
      </c>
      <c r="B1182" s="5" t="s">
        <v>3478</v>
      </c>
      <c r="C1182" s="5" t="s">
        <v>3479</v>
      </c>
      <c r="D1182" s="82" t="s">
        <v>3480</v>
      </c>
      <c r="E1182" s="82"/>
      <c r="F1182" s="82"/>
      <c r="G1182" s="82"/>
      <c r="H1182" s="82"/>
      <c r="I1182" s="82"/>
      <c r="J1182" s="82"/>
      <c r="K1182" s="23">
        <v>0.57999999999999996</v>
      </c>
      <c r="L1182" s="23">
        <f>ROUND(28.98,3)</f>
        <v>28.98</v>
      </c>
      <c r="M1182" s="24">
        <f>ROUND(K1182*L1182,2)</f>
        <v>16.809999999999999</v>
      </c>
    </row>
    <row r="1183" spans="1:13" ht="15" customHeight="1" thickBot="1" x14ac:dyDescent="0.25">
      <c r="A1183" s="5" t="s">
        <v>3481</v>
      </c>
      <c r="B1183" s="5"/>
      <c r="C1183" s="5" t="s">
        <v>3482</v>
      </c>
      <c r="D1183" s="82" t="s">
        <v>3483</v>
      </c>
      <c r="E1183" s="82"/>
      <c r="F1183" s="82"/>
      <c r="G1183" s="82"/>
      <c r="H1183" s="82"/>
      <c r="I1183" s="82"/>
      <c r="J1183" s="82"/>
      <c r="K1183" s="23">
        <v>2</v>
      </c>
      <c r="L1183" s="23">
        <f>ROUND(49.61,3)</f>
        <v>49.61</v>
      </c>
      <c r="M1183" s="24">
        <f>ROUND((K1183*L1183)/100,2)</f>
        <v>0.99</v>
      </c>
    </row>
    <row r="1184" spans="1:13" ht="15.25" customHeight="1" thickBot="1" x14ac:dyDescent="0.25">
      <c r="A1184" s="26"/>
      <c r="B1184" s="26"/>
      <c r="C1184" s="26"/>
      <c r="D1184" s="27" t="s">
        <v>3484</v>
      </c>
      <c r="E1184" s="26"/>
      <c r="F1184" s="26"/>
      <c r="G1184" s="26"/>
      <c r="H1184" s="26"/>
      <c r="I1184" s="26"/>
      <c r="J1184" s="26"/>
      <c r="K1184" s="28">
        <v>20</v>
      </c>
      <c r="L1184" s="29">
        <f>ROUND((M1178+M1179+M1180+M1181+M1182+M1183)*(1+M2/100),2)</f>
        <v>52.12</v>
      </c>
      <c r="M1184" s="29">
        <f>ROUND(K1184*L1184,2)</f>
        <v>1042.4000000000001</v>
      </c>
    </row>
    <row r="1185" spans="1:13" ht="15.25" customHeight="1" thickBot="1" x14ac:dyDescent="0.25">
      <c r="A1185" s="34"/>
      <c r="B1185" s="34"/>
      <c r="C1185" s="34"/>
      <c r="D1185" s="35" t="s">
        <v>3485</v>
      </c>
      <c r="E1185" s="36"/>
      <c r="F1185" s="36"/>
      <c r="G1185" s="36"/>
      <c r="H1185" s="36"/>
      <c r="I1185" s="36"/>
      <c r="J1185" s="36"/>
      <c r="K1185" s="36"/>
      <c r="L1185" s="37">
        <f>M1165+M1167+M1176</f>
        <v>4550.0300000000007</v>
      </c>
      <c r="M1185" s="37">
        <f>ROUND(L1185,2)</f>
        <v>4550.03</v>
      </c>
    </row>
    <row r="1186" spans="1:13" ht="15.25" customHeight="1" thickBot="1" x14ac:dyDescent="0.25">
      <c r="A1186" s="38" t="s">
        <v>3486</v>
      </c>
      <c r="B1186" s="38" t="s">
        <v>3487</v>
      </c>
      <c r="C1186" s="39"/>
      <c r="D1186" s="84" t="s">
        <v>3488</v>
      </c>
      <c r="E1186" s="84"/>
      <c r="F1186" s="84"/>
      <c r="G1186" s="84"/>
      <c r="H1186" s="84"/>
      <c r="I1186" s="84"/>
      <c r="J1186" s="84"/>
      <c r="K1186" s="39"/>
      <c r="L1186" s="40">
        <f>L1212</f>
        <v>1110.17</v>
      </c>
      <c r="M1186" s="40">
        <f>ROUND(L1186,2)</f>
        <v>1110.17</v>
      </c>
    </row>
    <row r="1187" spans="1:13" ht="15.25" customHeight="1" thickBot="1" x14ac:dyDescent="0.25">
      <c r="A1187" s="10" t="s">
        <v>3489</v>
      </c>
      <c r="B1187" s="5" t="s">
        <v>3490</v>
      </c>
      <c r="C1187" s="5" t="s">
        <v>3491</v>
      </c>
      <c r="D1187" s="82" t="s">
        <v>3492</v>
      </c>
      <c r="E1187" s="82"/>
      <c r="F1187" s="82"/>
      <c r="G1187" s="82"/>
      <c r="H1187" s="82"/>
      <c r="I1187" s="82"/>
      <c r="J1187" s="82"/>
      <c r="K1187" s="23">
        <f>ROUND(1,2)</f>
        <v>1</v>
      </c>
      <c r="L1187" s="24">
        <f>L1193</f>
        <v>165.85</v>
      </c>
      <c r="M1187" s="24">
        <f>ROUND(K1187*L1187,2)</f>
        <v>165.85</v>
      </c>
    </row>
    <row r="1188" spans="1:13" ht="30.5" customHeight="1" thickBot="1" x14ac:dyDescent="0.25">
      <c r="A1188" s="25"/>
      <c r="B1188" s="25"/>
      <c r="C1188" s="25"/>
      <c r="D1188" s="82" t="s">
        <v>3493</v>
      </c>
      <c r="E1188" s="82"/>
      <c r="F1188" s="82"/>
      <c r="G1188" s="82"/>
      <c r="H1188" s="82"/>
      <c r="I1188" s="82"/>
      <c r="J1188" s="82"/>
      <c r="K1188" s="82"/>
      <c r="L1188" s="82"/>
      <c r="M1188" s="82"/>
    </row>
    <row r="1189" spans="1:13" ht="39.5" customHeight="1" thickBot="1" x14ac:dyDescent="0.25">
      <c r="A1189" s="5" t="s">
        <v>3494</v>
      </c>
      <c r="B1189" s="5" t="s">
        <v>3495</v>
      </c>
      <c r="C1189" s="5" t="s">
        <v>3496</v>
      </c>
      <c r="D1189" s="82" t="s">
        <v>3497</v>
      </c>
      <c r="E1189" s="82"/>
      <c r="F1189" s="82"/>
      <c r="G1189" s="82"/>
      <c r="H1189" s="82"/>
      <c r="I1189" s="82"/>
      <c r="J1189" s="82"/>
      <c r="K1189" s="23">
        <v>1</v>
      </c>
      <c r="L1189" s="23">
        <f>ROUND(119.25,3)</f>
        <v>119.25</v>
      </c>
      <c r="M1189" s="24">
        <f>ROUND(K1189*L1189,2)</f>
        <v>119.25</v>
      </c>
    </row>
    <row r="1190" spans="1:13" ht="15" customHeight="1" thickBot="1" x14ac:dyDescent="0.25">
      <c r="A1190" s="5" t="s">
        <v>3498</v>
      </c>
      <c r="B1190" s="5" t="s">
        <v>3499</v>
      </c>
      <c r="C1190" s="5" t="s">
        <v>3500</v>
      </c>
      <c r="D1190" s="82" t="s">
        <v>3501</v>
      </c>
      <c r="E1190" s="82"/>
      <c r="F1190" s="82"/>
      <c r="G1190" s="82"/>
      <c r="H1190" s="82"/>
      <c r="I1190" s="82"/>
      <c r="J1190" s="82"/>
      <c r="K1190" s="23">
        <v>0.69299999999999995</v>
      </c>
      <c r="L1190" s="23">
        <f>ROUND(26.74,3)</f>
        <v>26.74</v>
      </c>
      <c r="M1190" s="24">
        <f>ROUND(K1190*L1190,2)</f>
        <v>18.53</v>
      </c>
    </row>
    <row r="1191" spans="1:13" ht="15" customHeight="1" thickBot="1" x14ac:dyDescent="0.25">
      <c r="A1191" s="5" t="s">
        <v>3502</v>
      </c>
      <c r="B1191" s="5" t="s">
        <v>3503</v>
      </c>
      <c r="C1191" s="5" t="s">
        <v>3504</v>
      </c>
      <c r="D1191" s="82" t="s">
        <v>3505</v>
      </c>
      <c r="E1191" s="82"/>
      <c r="F1191" s="82"/>
      <c r="G1191" s="82"/>
      <c r="H1191" s="82"/>
      <c r="I1191" s="82"/>
      <c r="J1191" s="82"/>
      <c r="K1191" s="23">
        <v>0.69299999999999995</v>
      </c>
      <c r="L1191" s="23">
        <f>ROUND(28.98,3)</f>
        <v>28.98</v>
      </c>
      <c r="M1191" s="24">
        <f>ROUND(K1191*L1191,2)</f>
        <v>20.079999999999998</v>
      </c>
    </row>
    <row r="1192" spans="1:13" ht="15" customHeight="1" thickBot="1" x14ac:dyDescent="0.25">
      <c r="A1192" s="5" t="s">
        <v>3506</v>
      </c>
      <c r="B1192" s="5"/>
      <c r="C1192" s="5" t="s">
        <v>3507</v>
      </c>
      <c r="D1192" s="82" t="s">
        <v>3508</v>
      </c>
      <c r="E1192" s="82"/>
      <c r="F1192" s="82"/>
      <c r="G1192" s="82"/>
      <c r="H1192" s="82"/>
      <c r="I1192" s="82"/>
      <c r="J1192" s="82"/>
      <c r="K1192" s="23">
        <v>2</v>
      </c>
      <c r="L1192" s="23">
        <f>ROUND(157.86,3)</f>
        <v>157.86000000000001</v>
      </c>
      <c r="M1192" s="24">
        <f>ROUND((K1192*L1192)/100,2)</f>
        <v>3.16</v>
      </c>
    </row>
    <row r="1193" spans="1:13" ht="15.25" customHeight="1" thickBot="1" x14ac:dyDescent="0.25">
      <c r="A1193" s="26"/>
      <c r="B1193" s="26"/>
      <c r="C1193" s="26"/>
      <c r="D1193" s="27" t="s">
        <v>3509</v>
      </c>
      <c r="E1193" s="26"/>
      <c r="F1193" s="26"/>
      <c r="G1193" s="26"/>
      <c r="H1193" s="26"/>
      <c r="I1193" s="26"/>
      <c r="J1193" s="26"/>
      <c r="K1193" s="28">
        <v>1</v>
      </c>
      <c r="L1193" s="29">
        <f>ROUND((M1189+M1190+M1191+M1192)*(1+M2/100),2)</f>
        <v>165.85</v>
      </c>
      <c r="M1193" s="29">
        <f>ROUND(K1193*L1193,2)</f>
        <v>165.85</v>
      </c>
    </row>
    <row r="1194" spans="1:13" ht="15.25" customHeight="1" thickBot="1" x14ac:dyDescent="0.25">
      <c r="A1194" s="30" t="s">
        <v>3510</v>
      </c>
      <c r="B1194" s="31" t="s">
        <v>3511</v>
      </c>
      <c r="C1194" s="31" t="s">
        <v>3512</v>
      </c>
      <c r="D1194" s="83" t="s">
        <v>3513</v>
      </c>
      <c r="E1194" s="83"/>
      <c r="F1194" s="83"/>
      <c r="G1194" s="83"/>
      <c r="H1194" s="83"/>
      <c r="I1194" s="83"/>
      <c r="J1194" s="83"/>
      <c r="K1194" s="32">
        <f>ROUND(4,2)</f>
        <v>4</v>
      </c>
      <c r="L1194" s="33">
        <f>L1200</f>
        <v>141.79</v>
      </c>
      <c r="M1194" s="33">
        <f>ROUND(K1194*L1194,2)</f>
        <v>567.16</v>
      </c>
    </row>
    <row r="1195" spans="1:13" ht="30.5" customHeight="1" thickBot="1" x14ac:dyDescent="0.25">
      <c r="A1195" s="25"/>
      <c r="B1195" s="25"/>
      <c r="C1195" s="25"/>
      <c r="D1195" s="82" t="s">
        <v>3514</v>
      </c>
      <c r="E1195" s="82"/>
      <c r="F1195" s="82"/>
      <c r="G1195" s="82"/>
      <c r="H1195" s="82"/>
      <c r="I1195" s="82"/>
      <c r="J1195" s="82"/>
      <c r="K1195" s="82"/>
      <c r="L1195" s="82"/>
      <c r="M1195" s="82"/>
    </row>
    <row r="1196" spans="1:13" ht="21.25" customHeight="1" thickBot="1" x14ac:dyDescent="0.25">
      <c r="A1196" s="5" t="s">
        <v>3515</v>
      </c>
      <c r="B1196" s="5" t="s">
        <v>3516</v>
      </c>
      <c r="C1196" s="5" t="s">
        <v>3517</v>
      </c>
      <c r="D1196" s="82" t="s">
        <v>3518</v>
      </c>
      <c r="E1196" s="82"/>
      <c r="F1196" s="82"/>
      <c r="G1196" s="82"/>
      <c r="H1196" s="82"/>
      <c r="I1196" s="82"/>
      <c r="J1196" s="82"/>
      <c r="K1196" s="23">
        <v>1</v>
      </c>
      <c r="L1196" s="23">
        <f>ROUND(101.37,3)</f>
        <v>101.37</v>
      </c>
      <c r="M1196" s="24">
        <f>ROUND(K1196*L1196,2)</f>
        <v>101.37</v>
      </c>
    </row>
    <row r="1197" spans="1:13" ht="15" customHeight="1" thickBot="1" x14ac:dyDescent="0.25">
      <c r="A1197" s="5" t="s">
        <v>3519</v>
      </c>
      <c r="B1197" s="5" t="s">
        <v>3520</v>
      </c>
      <c r="C1197" s="5" t="s">
        <v>3521</v>
      </c>
      <c r="D1197" s="82" t="s">
        <v>3522</v>
      </c>
      <c r="E1197" s="82"/>
      <c r="F1197" s="82"/>
      <c r="G1197" s="82"/>
      <c r="H1197" s="82"/>
      <c r="I1197" s="82"/>
      <c r="J1197" s="82"/>
      <c r="K1197" s="23">
        <v>0.60299999999999998</v>
      </c>
      <c r="L1197" s="23">
        <f>ROUND(26.74,3)</f>
        <v>26.74</v>
      </c>
      <c r="M1197" s="24">
        <f>ROUND(K1197*L1197,2)</f>
        <v>16.12</v>
      </c>
    </row>
    <row r="1198" spans="1:13" ht="15" customHeight="1" thickBot="1" x14ac:dyDescent="0.25">
      <c r="A1198" s="5" t="s">
        <v>3523</v>
      </c>
      <c r="B1198" s="5" t="s">
        <v>3524</v>
      </c>
      <c r="C1198" s="5" t="s">
        <v>3525</v>
      </c>
      <c r="D1198" s="82" t="s">
        <v>3526</v>
      </c>
      <c r="E1198" s="82"/>
      <c r="F1198" s="82"/>
      <c r="G1198" s="82"/>
      <c r="H1198" s="82"/>
      <c r="I1198" s="82"/>
      <c r="J1198" s="82"/>
      <c r="K1198" s="23">
        <v>0.60299999999999998</v>
      </c>
      <c r="L1198" s="23">
        <f>ROUND(28.98,3)</f>
        <v>28.98</v>
      </c>
      <c r="M1198" s="24">
        <f>ROUND(K1198*L1198,2)</f>
        <v>17.47</v>
      </c>
    </row>
    <row r="1199" spans="1:13" ht="15" customHeight="1" thickBot="1" x14ac:dyDescent="0.25">
      <c r="A1199" s="5" t="s">
        <v>3527</v>
      </c>
      <c r="B1199" s="5"/>
      <c r="C1199" s="5" t="s">
        <v>3528</v>
      </c>
      <c r="D1199" s="82" t="s">
        <v>3529</v>
      </c>
      <c r="E1199" s="82"/>
      <c r="F1199" s="82"/>
      <c r="G1199" s="82"/>
      <c r="H1199" s="82"/>
      <c r="I1199" s="82"/>
      <c r="J1199" s="82"/>
      <c r="K1199" s="23">
        <v>2</v>
      </c>
      <c r="L1199" s="23">
        <f>ROUND(134.96,3)</f>
        <v>134.96</v>
      </c>
      <c r="M1199" s="24">
        <f>ROUND((K1199*L1199)/100,2)</f>
        <v>2.7</v>
      </c>
    </row>
    <row r="1200" spans="1:13" ht="15.25" customHeight="1" thickBot="1" x14ac:dyDescent="0.25">
      <c r="A1200" s="26"/>
      <c r="B1200" s="26"/>
      <c r="C1200" s="26"/>
      <c r="D1200" s="27" t="s">
        <v>3530</v>
      </c>
      <c r="E1200" s="26"/>
      <c r="F1200" s="26"/>
      <c r="G1200" s="26"/>
      <c r="H1200" s="26"/>
      <c r="I1200" s="26"/>
      <c r="J1200" s="26"/>
      <c r="K1200" s="28">
        <v>4</v>
      </c>
      <c r="L1200" s="29">
        <f>ROUND((M1196+M1197+M1198+M1199)*(1+M2/100),2)</f>
        <v>141.79</v>
      </c>
      <c r="M1200" s="29">
        <f>ROUND(K1200*L1200,2)</f>
        <v>567.16</v>
      </c>
    </row>
    <row r="1201" spans="1:13" ht="15.25" customHeight="1" thickBot="1" x14ac:dyDescent="0.25">
      <c r="A1201" s="30" t="s">
        <v>3531</v>
      </c>
      <c r="B1201" s="31" t="s">
        <v>3532</v>
      </c>
      <c r="C1201" s="31" t="s">
        <v>3533</v>
      </c>
      <c r="D1201" s="83" t="s">
        <v>3534</v>
      </c>
      <c r="E1201" s="83"/>
      <c r="F1201" s="83"/>
      <c r="G1201" s="83"/>
      <c r="H1201" s="83"/>
      <c r="I1201" s="83"/>
      <c r="J1201" s="83"/>
      <c r="K1201" s="32">
        <f>ROUND(4,2)</f>
        <v>4</v>
      </c>
      <c r="L1201" s="33">
        <f>L1207</f>
        <v>69.94</v>
      </c>
      <c r="M1201" s="33">
        <f>ROUND(K1201*L1201,2)</f>
        <v>279.76</v>
      </c>
    </row>
    <row r="1202" spans="1:13" ht="21.25" customHeight="1" thickBot="1" x14ac:dyDescent="0.25">
      <c r="A1202" s="25"/>
      <c r="B1202" s="25"/>
      <c r="C1202" s="25"/>
      <c r="D1202" s="82" t="s">
        <v>3535</v>
      </c>
      <c r="E1202" s="82"/>
      <c r="F1202" s="82"/>
      <c r="G1202" s="82"/>
      <c r="H1202" s="82"/>
      <c r="I1202" s="82"/>
      <c r="J1202" s="82"/>
      <c r="K1202" s="82"/>
      <c r="L1202" s="82"/>
      <c r="M1202" s="82"/>
    </row>
    <row r="1203" spans="1:13" ht="21.25" customHeight="1" thickBot="1" x14ac:dyDescent="0.25">
      <c r="A1203" s="5" t="s">
        <v>3536</v>
      </c>
      <c r="B1203" s="5" t="s">
        <v>3537</v>
      </c>
      <c r="C1203" s="5" t="s">
        <v>3538</v>
      </c>
      <c r="D1203" s="82" t="s">
        <v>3539</v>
      </c>
      <c r="E1203" s="82"/>
      <c r="F1203" s="82"/>
      <c r="G1203" s="82"/>
      <c r="H1203" s="82"/>
      <c r="I1203" s="82"/>
      <c r="J1203" s="82"/>
      <c r="K1203" s="23">
        <v>1</v>
      </c>
      <c r="L1203" s="23">
        <f>ROUND(35.2,3)</f>
        <v>35.200000000000003</v>
      </c>
      <c r="M1203" s="24">
        <f>ROUND(K1203*L1203,2)</f>
        <v>35.200000000000003</v>
      </c>
    </row>
    <row r="1204" spans="1:13" ht="15" customHeight="1" thickBot="1" x14ac:dyDescent="0.25">
      <c r="A1204" s="5" t="s">
        <v>3540</v>
      </c>
      <c r="B1204" s="5" t="s">
        <v>3541</v>
      </c>
      <c r="C1204" s="5" t="s">
        <v>3542</v>
      </c>
      <c r="D1204" s="82" t="s">
        <v>3543</v>
      </c>
      <c r="E1204" s="82"/>
      <c r="F1204" s="82"/>
      <c r="G1204" s="82"/>
      <c r="H1204" s="82"/>
      <c r="I1204" s="82"/>
      <c r="J1204" s="82"/>
      <c r="K1204" s="23">
        <v>0.56299999999999994</v>
      </c>
      <c r="L1204" s="23">
        <f>ROUND(26.74,3)</f>
        <v>26.74</v>
      </c>
      <c r="M1204" s="24">
        <f>ROUND(K1204*L1204,2)</f>
        <v>15.05</v>
      </c>
    </row>
    <row r="1205" spans="1:13" ht="15" customHeight="1" thickBot="1" x14ac:dyDescent="0.25">
      <c r="A1205" s="5" t="s">
        <v>3544</v>
      </c>
      <c r="B1205" s="5" t="s">
        <v>3545</v>
      </c>
      <c r="C1205" s="5" t="s">
        <v>3546</v>
      </c>
      <c r="D1205" s="82" t="s">
        <v>3547</v>
      </c>
      <c r="E1205" s="82"/>
      <c r="F1205" s="82"/>
      <c r="G1205" s="82"/>
      <c r="H1205" s="82"/>
      <c r="I1205" s="82"/>
      <c r="J1205" s="82"/>
      <c r="K1205" s="23">
        <v>0.56299999999999994</v>
      </c>
      <c r="L1205" s="23">
        <f>ROUND(28.98,3)</f>
        <v>28.98</v>
      </c>
      <c r="M1205" s="24">
        <f>ROUND(K1205*L1205,2)</f>
        <v>16.32</v>
      </c>
    </row>
    <row r="1206" spans="1:13" ht="15" customHeight="1" thickBot="1" x14ac:dyDescent="0.25">
      <c r="A1206" s="5" t="s">
        <v>3548</v>
      </c>
      <c r="B1206" s="5"/>
      <c r="C1206" s="5" t="s">
        <v>3549</v>
      </c>
      <c r="D1206" s="82" t="s">
        <v>3550</v>
      </c>
      <c r="E1206" s="82"/>
      <c r="F1206" s="82"/>
      <c r="G1206" s="82"/>
      <c r="H1206" s="82"/>
      <c r="I1206" s="82"/>
      <c r="J1206" s="82"/>
      <c r="K1206" s="23">
        <v>2</v>
      </c>
      <c r="L1206" s="23">
        <f>ROUND(66.57,3)</f>
        <v>66.569999999999993</v>
      </c>
      <c r="M1206" s="24">
        <f>ROUND((K1206*L1206)/100,2)</f>
        <v>1.33</v>
      </c>
    </row>
    <row r="1207" spans="1:13" ht="15.25" customHeight="1" thickBot="1" x14ac:dyDescent="0.25">
      <c r="A1207" s="26"/>
      <c r="B1207" s="26"/>
      <c r="C1207" s="26"/>
      <c r="D1207" s="27" t="s">
        <v>3551</v>
      </c>
      <c r="E1207" s="26"/>
      <c r="F1207" s="26"/>
      <c r="G1207" s="26"/>
      <c r="H1207" s="26"/>
      <c r="I1207" s="26"/>
      <c r="J1207" s="26"/>
      <c r="K1207" s="28">
        <v>4</v>
      </c>
      <c r="L1207" s="29">
        <f>ROUND((M1203+M1204+M1205+M1206)*(1+M2/100),2)</f>
        <v>69.94</v>
      </c>
      <c r="M1207" s="29">
        <f>ROUND(K1207*L1207,2)</f>
        <v>279.76</v>
      </c>
    </row>
    <row r="1208" spans="1:13" ht="15.25" customHeight="1" thickBot="1" x14ac:dyDescent="0.25">
      <c r="A1208" s="30" t="s">
        <v>3552</v>
      </c>
      <c r="B1208" s="31" t="s">
        <v>3553</v>
      </c>
      <c r="C1208" s="31" t="s">
        <v>3554</v>
      </c>
      <c r="D1208" s="83" t="s">
        <v>3555</v>
      </c>
      <c r="E1208" s="83"/>
      <c r="F1208" s="83"/>
      <c r="G1208" s="83"/>
      <c r="H1208" s="83"/>
      <c r="I1208" s="83"/>
      <c r="J1208" s="83"/>
      <c r="K1208" s="32">
        <f>ROUND(1,2)</f>
        <v>1</v>
      </c>
      <c r="L1208" s="33">
        <f>ROUND(20.311*(1+M2/100),2)</f>
        <v>20.92</v>
      </c>
      <c r="M1208" s="33">
        <f>ROUND(K1208*L1208,2)</f>
        <v>20.92</v>
      </c>
    </row>
    <row r="1209" spans="1:13" ht="21.25" customHeight="1" thickBot="1" x14ac:dyDescent="0.25">
      <c r="A1209" s="25"/>
      <c r="B1209" s="25"/>
      <c r="C1209" s="25"/>
      <c r="D1209" s="82" t="s">
        <v>3556</v>
      </c>
      <c r="E1209" s="82"/>
      <c r="F1209" s="82"/>
      <c r="G1209" s="82"/>
      <c r="H1209" s="82"/>
      <c r="I1209" s="82"/>
      <c r="J1209" s="82"/>
      <c r="K1209" s="82"/>
      <c r="L1209" s="82"/>
      <c r="M1209" s="82"/>
    </row>
    <row r="1210" spans="1:13" ht="15.25" customHeight="1" thickBot="1" x14ac:dyDescent="0.25">
      <c r="A1210" s="10" t="s">
        <v>3557</v>
      </c>
      <c r="B1210" s="5" t="s">
        <v>3558</v>
      </c>
      <c r="C1210" s="5" t="s">
        <v>3559</v>
      </c>
      <c r="D1210" s="82" t="s">
        <v>3560</v>
      </c>
      <c r="E1210" s="82"/>
      <c r="F1210" s="82"/>
      <c r="G1210" s="82"/>
      <c r="H1210" s="82"/>
      <c r="I1210" s="82"/>
      <c r="J1210" s="82"/>
      <c r="K1210" s="23">
        <f>ROUND(1,2)</f>
        <v>1</v>
      </c>
      <c r="L1210" s="24">
        <f>ROUND(74.252*(1+M2/100),2)</f>
        <v>76.48</v>
      </c>
      <c r="M1210" s="24">
        <f>ROUND(K1210*L1210,2)</f>
        <v>76.48</v>
      </c>
    </row>
    <row r="1211" spans="1:13" ht="21.25" customHeight="1" thickBot="1" x14ac:dyDescent="0.25">
      <c r="A1211" s="25"/>
      <c r="B1211" s="25"/>
      <c r="C1211" s="25"/>
      <c r="D1211" s="82" t="s">
        <v>3561</v>
      </c>
      <c r="E1211" s="82"/>
      <c r="F1211" s="82"/>
      <c r="G1211" s="82"/>
      <c r="H1211" s="82"/>
      <c r="I1211" s="82"/>
      <c r="J1211" s="82"/>
      <c r="K1211" s="82"/>
      <c r="L1211" s="82"/>
      <c r="M1211" s="82"/>
    </row>
    <row r="1212" spans="1:13" ht="15.25" customHeight="1" thickBot="1" x14ac:dyDescent="0.25">
      <c r="A1212" s="26"/>
      <c r="B1212" s="26"/>
      <c r="C1212" s="26"/>
      <c r="D1212" s="65" t="s">
        <v>3562</v>
      </c>
      <c r="E1212" s="66"/>
      <c r="F1212" s="66"/>
      <c r="G1212" s="66"/>
      <c r="H1212" s="66"/>
      <c r="I1212" s="66"/>
      <c r="J1212" s="66"/>
      <c r="K1212" s="66"/>
      <c r="L1212" s="67">
        <f>M1187+M1194+M1201+M1208+M1210</f>
        <v>1110.17</v>
      </c>
      <c r="M1212" s="67">
        <f>ROUND(L1212,2)</f>
        <v>1110.17</v>
      </c>
    </row>
    <row r="1213" spans="1:13" ht="15.25" customHeight="1" thickBot="1" x14ac:dyDescent="0.25">
      <c r="A1213" s="34"/>
      <c r="B1213" s="34"/>
      <c r="C1213" s="34"/>
      <c r="D1213" s="52" t="s">
        <v>3563</v>
      </c>
      <c r="E1213" s="53"/>
      <c r="F1213" s="53"/>
      <c r="G1213" s="53"/>
      <c r="H1213" s="53"/>
      <c r="I1213" s="53"/>
      <c r="J1213" s="53"/>
      <c r="K1213" s="53"/>
      <c r="L1213" s="54">
        <f>M1163+M1185+M1212</f>
        <v>6729.71</v>
      </c>
      <c r="M1213" s="54">
        <f>ROUND(L1213,2)</f>
        <v>6729.71</v>
      </c>
    </row>
    <row r="1214" spans="1:13" ht="15.25" customHeight="1" thickBot="1" x14ac:dyDescent="0.25">
      <c r="A1214" s="34"/>
      <c r="B1214" s="34"/>
      <c r="C1214" s="34"/>
      <c r="D1214" s="59" t="s">
        <v>3564</v>
      </c>
      <c r="E1214" s="60"/>
      <c r="F1214" s="60"/>
      <c r="G1214" s="60"/>
      <c r="H1214" s="60"/>
      <c r="I1214" s="60"/>
      <c r="J1214" s="60"/>
      <c r="K1214" s="60"/>
      <c r="L1214" s="61">
        <f>M831+M1030+M1063+M1156+M1213</f>
        <v>68542.5</v>
      </c>
      <c r="M1214" s="61">
        <f>ROUND(L1214,2)</f>
        <v>68542.5</v>
      </c>
    </row>
    <row r="1215" spans="1:13" ht="15.25" customHeight="1" thickBot="1" x14ac:dyDescent="0.25">
      <c r="A1215" s="62" t="s">
        <v>3565</v>
      </c>
      <c r="B1215" s="62" t="s">
        <v>3566</v>
      </c>
      <c r="C1215" s="63"/>
      <c r="D1215" s="86" t="s">
        <v>3567</v>
      </c>
      <c r="E1215" s="86"/>
      <c r="F1215" s="86"/>
      <c r="G1215" s="86"/>
      <c r="H1215" s="86"/>
      <c r="I1215" s="86"/>
      <c r="J1215" s="86"/>
      <c r="K1215" s="63"/>
      <c r="L1215" s="64">
        <f>L1338</f>
        <v>250919.58000000002</v>
      </c>
      <c r="M1215" s="64">
        <f>ROUND(L1215,2)</f>
        <v>250919.58</v>
      </c>
    </row>
    <row r="1216" spans="1:13" ht="15.25" customHeight="1" thickBot="1" x14ac:dyDescent="0.25">
      <c r="A1216" s="17" t="s">
        <v>3568</v>
      </c>
      <c r="B1216" s="17" t="s">
        <v>3569</v>
      </c>
      <c r="C1216" s="18"/>
      <c r="D1216" s="80" t="s">
        <v>3570</v>
      </c>
      <c r="E1216" s="80"/>
      <c r="F1216" s="80"/>
      <c r="G1216" s="80"/>
      <c r="H1216" s="80"/>
      <c r="I1216" s="80"/>
      <c r="J1216" s="80"/>
      <c r="K1216" s="18"/>
      <c r="L1216" s="19">
        <f>L1259</f>
        <v>41981.67</v>
      </c>
      <c r="M1216" s="19">
        <f>ROUND(L1216,2)</f>
        <v>41981.67</v>
      </c>
    </row>
    <row r="1217" spans="1:13" ht="15.25" customHeight="1" thickBot="1" x14ac:dyDescent="0.25">
      <c r="A1217" s="10" t="s">
        <v>3571</v>
      </c>
      <c r="B1217" s="5" t="s">
        <v>3572</v>
      </c>
      <c r="C1217" s="5" t="s">
        <v>3573</v>
      </c>
      <c r="D1217" s="82" t="s">
        <v>3574</v>
      </c>
      <c r="E1217" s="82"/>
      <c r="F1217" s="82"/>
      <c r="G1217" s="82"/>
      <c r="H1217" s="82"/>
      <c r="I1217" s="82"/>
      <c r="J1217" s="82"/>
      <c r="K1217" s="23">
        <f>ROUND(1,2)</f>
        <v>1</v>
      </c>
      <c r="L1217" s="24">
        <f>ROUND(1866.239*(1+M2/100),2)</f>
        <v>1922.23</v>
      </c>
      <c r="M1217" s="24">
        <f>ROUND(K1217*L1217,2)</f>
        <v>1922.23</v>
      </c>
    </row>
    <row r="1218" spans="1:13" ht="30.5" customHeight="1" thickBot="1" x14ac:dyDescent="0.25">
      <c r="A1218" s="25"/>
      <c r="B1218" s="25"/>
      <c r="C1218" s="25"/>
      <c r="D1218" s="82" t="s">
        <v>3575</v>
      </c>
      <c r="E1218" s="82"/>
      <c r="F1218" s="82"/>
      <c r="G1218" s="82"/>
      <c r="H1218" s="82"/>
      <c r="I1218" s="82"/>
      <c r="J1218" s="82"/>
      <c r="K1218" s="82"/>
      <c r="L1218" s="82"/>
      <c r="M1218" s="82"/>
    </row>
    <row r="1219" spans="1:13" ht="15.25" customHeight="1" thickBot="1" x14ac:dyDescent="0.25">
      <c r="A1219" s="10" t="s">
        <v>3576</v>
      </c>
      <c r="B1219" s="5" t="s">
        <v>3577</v>
      </c>
      <c r="C1219" s="5" t="s">
        <v>3578</v>
      </c>
      <c r="D1219" s="82" t="s">
        <v>3579</v>
      </c>
      <c r="E1219" s="82"/>
      <c r="F1219" s="82"/>
      <c r="G1219" s="82"/>
      <c r="H1219" s="82"/>
      <c r="I1219" s="82"/>
      <c r="J1219" s="82"/>
      <c r="K1219" s="23">
        <f>ROUND(1,2)</f>
        <v>1</v>
      </c>
      <c r="L1219" s="24">
        <f>ROUND(124.163*(1+M2/100),2)</f>
        <v>127.89</v>
      </c>
      <c r="M1219" s="24">
        <f>ROUND(K1219*L1219,2)</f>
        <v>127.89</v>
      </c>
    </row>
    <row r="1220" spans="1:13" ht="12" customHeight="1" thickBot="1" x14ac:dyDescent="0.25">
      <c r="A1220" s="25"/>
      <c r="B1220" s="25"/>
      <c r="C1220" s="25"/>
      <c r="D1220" s="82" t="s">
        <v>3580</v>
      </c>
      <c r="E1220" s="82"/>
      <c r="F1220" s="82"/>
      <c r="G1220" s="82"/>
      <c r="H1220" s="82"/>
      <c r="I1220" s="82"/>
      <c r="J1220" s="82"/>
      <c r="K1220" s="82"/>
      <c r="L1220" s="82"/>
      <c r="M1220" s="82"/>
    </row>
    <row r="1221" spans="1:13" ht="15.25" customHeight="1" thickBot="1" x14ac:dyDescent="0.25">
      <c r="A1221" s="10" t="s">
        <v>3581</v>
      </c>
      <c r="B1221" s="5" t="s">
        <v>3582</v>
      </c>
      <c r="C1221" s="5" t="s">
        <v>3583</v>
      </c>
      <c r="D1221" s="82" t="s">
        <v>3584</v>
      </c>
      <c r="E1221" s="82"/>
      <c r="F1221" s="82"/>
      <c r="G1221" s="82"/>
      <c r="H1221" s="82"/>
      <c r="I1221" s="82"/>
      <c r="J1221" s="82"/>
      <c r="K1221" s="23">
        <f>ROUND(1,2)</f>
        <v>1</v>
      </c>
      <c r="L1221" s="24">
        <f>ROUND(107.639*(1+M2/100),2)</f>
        <v>110.87</v>
      </c>
      <c r="M1221" s="24">
        <f>ROUND(K1221*L1221,2)</f>
        <v>110.87</v>
      </c>
    </row>
    <row r="1222" spans="1:13" ht="12" customHeight="1" thickBot="1" x14ac:dyDescent="0.25">
      <c r="A1222" s="25"/>
      <c r="B1222" s="25"/>
      <c r="C1222" s="25"/>
      <c r="D1222" s="82" t="s">
        <v>3585</v>
      </c>
      <c r="E1222" s="82"/>
      <c r="F1222" s="82"/>
      <c r="G1222" s="82"/>
      <c r="H1222" s="82"/>
      <c r="I1222" s="82"/>
      <c r="J1222" s="82"/>
      <c r="K1222" s="82"/>
      <c r="L1222" s="82"/>
      <c r="M1222" s="82"/>
    </row>
    <row r="1223" spans="1:13" ht="15.25" customHeight="1" thickBot="1" x14ac:dyDescent="0.25">
      <c r="A1223" s="10" t="s">
        <v>3586</v>
      </c>
      <c r="B1223" s="5" t="s">
        <v>3587</v>
      </c>
      <c r="C1223" s="5" t="s">
        <v>3588</v>
      </c>
      <c r="D1223" s="82" t="s">
        <v>3589</v>
      </c>
      <c r="E1223" s="82"/>
      <c r="F1223" s="82"/>
      <c r="G1223" s="82"/>
      <c r="H1223" s="82"/>
      <c r="I1223" s="82"/>
      <c r="J1223" s="82"/>
      <c r="K1223" s="23">
        <f>ROUND(1,2)</f>
        <v>1</v>
      </c>
      <c r="L1223" s="24">
        <f>ROUND(705.917*(1+M2/100),2)</f>
        <v>727.09</v>
      </c>
      <c r="M1223" s="24">
        <f>ROUND(K1223*L1223,2)</f>
        <v>727.09</v>
      </c>
    </row>
    <row r="1224" spans="1:13" ht="30.5" customHeight="1" thickBot="1" x14ac:dyDescent="0.25">
      <c r="A1224" s="25"/>
      <c r="B1224" s="25"/>
      <c r="C1224" s="25"/>
      <c r="D1224" s="82" t="s">
        <v>3590</v>
      </c>
      <c r="E1224" s="82"/>
      <c r="F1224" s="82"/>
      <c r="G1224" s="82"/>
      <c r="H1224" s="82"/>
      <c r="I1224" s="82"/>
      <c r="J1224" s="82"/>
      <c r="K1224" s="82"/>
      <c r="L1224" s="82"/>
      <c r="M1224" s="82"/>
    </row>
    <row r="1225" spans="1:13" ht="15.25" customHeight="1" thickBot="1" x14ac:dyDescent="0.25">
      <c r="A1225" s="10" t="s">
        <v>3591</v>
      </c>
      <c r="B1225" s="5" t="s">
        <v>3592</v>
      </c>
      <c r="C1225" s="5" t="s">
        <v>3593</v>
      </c>
      <c r="D1225" s="82" t="s">
        <v>3594</v>
      </c>
      <c r="E1225" s="82"/>
      <c r="F1225" s="82"/>
      <c r="G1225" s="82"/>
      <c r="H1225" s="82"/>
      <c r="I1225" s="82"/>
      <c r="J1225" s="82"/>
      <c r="K1225" s="23">
        <f>ROUND(1,2)</f>
        <v>1</v>
      </c>
      <c r="L1225" s="24">
        <f>ROUND(299.519*(1+M2/100),2)</f>
        <v>308.5</v>
      </c>
      <c r="M1225" s="24">
        <f>ROUND(K1225*L1225,2)</f>
        <v>308.5</v>
      </c>
    </row>
    <row r="1226" spans="1:13" ht="21.25" customHeight="1" thickBot="1" x14ac:dyDescent="0.25">
      <c r="A1226" s="25"/>
      <c r="B1226" s="25"/>
      <c r="C1226" s="25"/>
      <c r="D1226" s="82" t="s">
        <v>3595</v>
      </c>
      <c r="E1226" s="82"/>
      <c r="F1226" s="82"/>
      <c r="G1226" s="82"/>
      <c r="H1226" s="82"/>
      <c r="I1226" s="82"/>
      <c r="J1226" s="82"/>
      <c r="K1226" s="82"/>
      <c r="L1226" s="82"/>
      <c r="M1226" s="82"/>
    </row>
    <row r="1227" spans="1:13" ht="15.25" customHeight="1" thickBot="1" x14ac:dyDescent="0.25">
      <c r="A1227" s="10" t="s">
        <v>3596</v>
      </c>
      <c r="B1227" s="5" t="s">
        <v>3597</v>
      </c>
      <c r="C1227" s="5" t="s">
        <v>3598</v>
      </c>
      <c r="D1227" s="82" t="s">
        <v>3599</v>
      </c>
      <c r="E1227" s="82"/>
      <c r="F1227" s="82"/>
      <c r="G1227" s="82"/>
      <c r="H1227" s="82"/>
      <c r="I1227" s="82"/>
      <c r="J1227" s="82"/>
      <c r="K1227" s="23">
        <f>ROUND(1,2)</f>
        <v>1</v>
      </c>
      <c r="L1227" s="24">
        <f>ROUND(181.412*(1+M2/100),2)</f>
        <v>186.85</v>
      </c>
      <c r="M1227" s="24">
        <f>ROUND(K1227*L1227,2)</f>
        <v>186.85</v>
      </c>
    </row>
    <row r="1228" spans="1:13" ht="21.25" customHeight="1" thickBot="1" x14ac:dyDescent="0.25">
      <c r="A1228" s="25"/>
      <c r="B1228" s="25"/>
      <c r="C1228" s="25"/>
      <c r="D1228" s="82" t="s">
        <v>3600</v>
      </c>
      <c r="E1228" s="82"/>
      <c r="F1228" s="82"/>
      <c r="G1228" s="82"/>
      <c r="H1228" s="82"/>
      <c r="I1228" s="82"/>
      <c r="J1228" s="82"/>
      <c r="K1228" s="82"/>
      <c r="L1228" s="82"/>
      <c r="M1228" s="82"/>
    </row>
    <row r="1229" spans="1:13" ht="15.25" customHeight="1" thickBot="1" x14ac:dyDescent="0.25">
      <c r="A1229" s="10" t="s">
        <v>3601</v>
      </c>
      <c r="B1229" s="5" t="s">
        <v>3602</v>
      </c>
      <c r="C1229" s="5" t="s">
        <v>3603</v>
      </c>
      <c r="D1229" s="82" t="s">
        <v>3604</v>
      </c>
      <c r="E1229" s="82"/>
      <c r="F1229" s="82"/>
      <c r="G1229" s="82"/>
      <c r="H1229" s="82"/>
      <c r="I1229" s="82"/>
      <c r="J1229" s="82"/>
      <c r="K1229" s="23">
        <f>ROUND(2,2)</f>
        <v>2</v>
      </c>
      <c r="L1229" s="24">
        <f>ROUND(84.11*(1+M2/100),2)</f>
        <v>86.63</v>
      </c>
      <c r="M1229" s="24">
        <f>ROUND(K1229*L1229,2)</f>
        <v>173.26</v>
      </c>
    </row>
    <row r="1230" spans="1:13" ht="30.5" customHeight="1" thickBot="1" x14ac:dyDescent="0.25">
      <c r="A1230" s="25"/>
      <c r="B1230" s="25"/>
      <c r="C1230" s="25"/>
      <c r="D1230" s="82" t="s">
        <v>3605</v>
      </c>
      <c r="E1230" s="82"/>
      <c r="F1230" s="82"/>
      <c r="G1230" s="82"/>
      <c r="H1230" s="82"/>
      <c r="I1230" s="82"/>
      <c r="J1230" s="82"/>
      <c r="K1230" s="82"/>
      <c r="L1230" s="82"/>
      <c r="M1230" s="82"/>
    </row>
    <row r="1231" spans="1:13" ht="15.25" customHeight="1" thickBot="1" x14ac:dyDescent="0.25">
      <c r="A1231" s="10" t="s">
        <v>3606</v>
      </c>
      <c r="B1231" s="5" t="s">
        <v>3607</v>
      </c>
      <c r="C1231" s="5" t="s">
        <v>3608</v>
      </c>
      <c r="D1231" s="82" t="s">
        <v>3609</v>
      </c>
      <c r="E1231" s="82"/>
      <c r="F1231" s="82"/>
      <c r="G1231" s="82"/>
      <c r="H1231" s="82"/>
      <c r="I1231" s="82"/>
      <c r="J1231" s="82"/>
      <c r="K1231" s="23">
        <f>ROUND(1,2)</f>
        <v>1</v>
      </c>
      <c r="L1231" s="24">
        <f>ROUND(23922.155*(1+M2/100),2)</f>
        <v>24639.82</v>
      </c>
      <c r="M1231" s="24">
        <f>ROUND(K1231*L1231,2)</f>
        <v>24639.82</v>
      </c>
    </row>
    <row r="1232" spans="1:13" ht="269" customHeight="1" thickBot="1" x14ac:dyDescent="0.25">
      <c r="A1232" s="25"/>
      <c r="B1232" s="25"/>
      <c r="C1232" s="25"/>
      <c r="D1232" s="82" t="s">
        <v>3610</v>
      </c>
      <c r="E1232" s="82"/>
      <c r="F1232" s="82"/>
      <c r="G1232" s="82"/>
      <c r="H1232" s="82"/>
      <c r="I1232" s="82"/>
      <c r="J1232" s="82"/>
      <c r="K1232" s="82"/>
      <c r="L1232" s="82"/>
      <c r="M1232" s="82"/>
    </row>
    <row r="1233" spans="1:13" ht="15.25" customHeight="1" thickBot="1" x14ac:dyDescent="0.25">
      <c r="A1233" s="10" t="s">
        <v>3611</v>
      </c>
      <c r="B1233" s="5" t="s">
        <v>3612</v>
      </c>
      <c r="C1233" s="5" t="s">
        <v>3613</v>
      </c>
      <c r="D1233" s="82" t="s">
        <v>3614</v>
      </c>
      <c r="E1233" s="82"/>
      <c r="F1233" s="82"/>
      <c r="G1233" s="82"/>
      <c r="H1233" s="82"/>
      <c r="I1233" s="82"/>
      <c r="J1233" s="82"/>
      <c r="K1233" s="23">
        <f>ROUND(1,2)</f>
        <v>1</v>
      </c>
      <c r="L1233" s="24">
        <f>ROUND(487.198*(1+M2/100),2)</f>
        <v>501.81</v>
      </c>
      <c r="M1233" s="24">
        <f>ROUND(K1233*L1233,2)</f>
        <v>501.81</v>
      </c>
    </row>
    <row r="1234" spans="1:13" ht="39.5" customHeight="1" thickBot="1" x14ac:dyDescent="0.25">
      <c r="A1234" s="25"/>
      <c r="B1234" s="25"/>
      <c r="C1234" s="25"/>
      <c r="D1234" s="82" t="s">
        <v>3615</v>
      </c>
      <c r="E1234" s="82"/>
      <c r="F1234" s="82"/>
      <c r="G1234" s="82"/>
      <c r="H1234" s="82"/>
      <c r="I1234" s="82"/>
      <c r="J1234" s="82"/>
      <c r="K1234" s="82"/>
      <c r="L1234" s="82"/>
      <c r="M1234" s="82"/>
    </row>
    <row r="1235" spans="1:13" ht="15.25" customHeight="1" thickBot="1" x14ac:dyDescent="0.25">
      <c r="A1235" s="10" t="s">
        <v>3616</v>
      </c>
      <c r="B1235" s="5" t="s">
        <v>3617</v>
      </c>
      <c r="C1235" s="5" t="s">
        <v>3618</v>
      </c>
      <c r="D1235" s="82" t="s">
        <v>3619</v>
      </c>
      <c r="E1235" s="82"/>
      <c r="F1235" s="82"/>
      <c r="G1235" s="82"/>
      <c r="H1235" s="82"/>
      <c r="I1235" s="82"/>
      <c r="J1235" s="82"/>
      <c r="K1235" s="23">
        <f>ROUND(2,2)</f>
        <v>2</v>
      </c>
      <c r="L1235" s="24">
        <f>ROUND(386.492*(1+M2/100),2)</f>
        <v>398.09</v>
      </c>
      <c r="M1235" s="24">
        <f>ROUND(K1235*L1235,2)</f>
        <v>796.18</v>
      </c>
    </row>
    <row r="1236" spans="1:13" ht="30.5" customHeight="1" thickBot="1" x14ac:dyDescent="0.25">
      <c r="A1236" s="25"/>
      <c r="B1236" s="25"/>
      <c r="C1236" s="25"/>
      <c r="D1236" s="82" t="s">
        <v>3620</v>
      </c>
      <c r="E1236" s="82"/>
      <c r="F1236" s="82"/>
      <c r="G1236" s="82"/>
      <c r="H1236" s="82"/>
      <c r="I1236" s="82"/>
      <c r="J1236" s="82"/>
      <c r="K1236" s="82"/>
      <c r="L1236" s="82"/>
      <c r="M1236" s="82"/>
    </row>
    <row r="1237" spans="1:13" ht="15.25" customHeight="1" thickBot="1" x14ac:dyDescent="0.25">
      <c r="A1237" s="10" t="s">
        <v>3621</v>
      </c>
      <c r="B1237" s="5" t="s">
        <v>3622</v>
      </c>
      <c r="C1237" s="5" t="s">
        <v>3623</v>
      </c>
      <c r="D1237" s="82" t="s">
        <v>3624</v>
      </c>
      <c r="E1237" s="82"/>
      <c r="F1237" s="82"/>
      <c r="G1237" s="82"/>
      <c r="H1237" s="82"/>
      <c r="I1237" s="82"/>
      <c r="J1237" s="82"/>
      <c r="K1237" s="23">
        <f>ROUND(2,2)</f>
        <v>2</v>
      </c>
      <c r="L1237" s="24">
        <f>ROUND(299.519*(1+M2/100),2)</f>
        <v>308.5</v>
      </c>
      <c r="M1237" s="24">
        <f>ROUND(K1237*L1237,2)</f>
        <v>617</v>
      </c>
    </row>
    <row r="1238" spans="1:13" ht="21.25" customHeight="1" thickBot="1" x14ac:dyDescent="0.25">
      <c r="A1238" s="25"/>
      <c r="B1238" s="25"/>
      <c r="C1238" s="25"/>
      <c r="D1238" s="82" t="s">
        <v>3625</v>
      </c>
      <c r="E1238" s="82"/>
      <c r="F1238" s="82"/>
      <c r="G1238" s="82"/>
      <c r="H1238" s="82"/>
      <c r="I1238" s="82"/>
      <c r="J1238" s="82"/>
      <c r="K1238" s="82"/>
      <c r="L1238" s="82"/>
      <c r="M1238" s="82"/>
    </row>
    <row r="1239" spans="1:13" ht="15.25" customHeight="1" thickBot="1" x14ac:dyDescent="0.25">
      <c r="A1239" s="10" t="s">
        <v>3626</v>
      </c>
      <c r="B1239" s="5" t="s">
        <v>3627</v>
      </c>
      <c r="C1239" s="5" t="s">
        <v>3628</v>
      </c>
      <c r="D1239" s="82" t="s">
        <v>3629</v>
      </c>
      <c r="E1239" s="82"/>
      <c r="F1239" s="82"/>
      <c r="G1239" s="82"/>
      <c r="H1239" s="82"/>
      <c r="I1239" s="82"/>
      <c r="J1239" s="82"/>
      <c r="K1239" s="23">
        <f>ROUND(1,2)</f>
        <v>1</v>
      </c>
      <c r="L1239" s="24">
        <f>ROUND(244.765*(1+M2/100),2)</f>
        <v>252.11</v>
      </c>
      <c r="M1239" s="24">
        <f>ROUND(K1239*L1239,2)</f>
        <v>252.11</v>
      </c>
    </row>
    <row r="1240" spans="1:13" ht="21.25" customHeight="1" thickBot="1" x14ac:dyDescent="0.25">
      <c r="A1240" s="25"/>
      <c r="B1240" s="25"/>
      <c r="C1240" s="25"/>
      <c r="D1240" s="82" t="s">
        <v>3630</v>
      </c>
      <c r="E1240" s="82"/>
      <c r="F1240" s="82"/>
      <c r="G1240" s="82"/>
      <c r="H1240" s="82"/>
      <c r="I1240" s="82"/>
      <c r="J1240" s="82"/>
      <c r="K1240" s="82"/>
      <c r="L1240" s="82"/>
      <c r="M1240" s="82"/>
    </row>
    <row r="1241" spans="1:13" ht="15.25" customHeight="1" thickBot="1" x14ac:dyDescent="0.25">
      <c r="A1241" s="10" t="s">
        <v>3631</v>
      </c>
      <c r="B1241" s="5" t="s">
        <v>3632</v>
      </c>
      <c r="C1241" s="5" t="s">
        <v>3633</v>
      </c>
      <c r="D1241" s="82" t="s">
        <v>3634</v>
      </c>
      <c r="E1241" s="82"/>
      <c r="F1241" s="82"/>
      <c r="G1241" s="82"/>
      <c r="H1241" s="82"/>
      <c r="I1241" s="82"/>
      <c r="J1241" s="82"/>
      <c r="K1241" s="23">
        <f>ROUND(1,2)</f>
        <v>1</v>
      </c>
      <c r="L1241" s="24">
        <f>ROUND(7489.981*(1+M2/100),2)</f>
        <v>7714.68</v>
      </c>
      <c r="M1241" s="24">
        <f>ROUND(K1241*L1241,2)</f>
        <v>7714.68</v>
      </c>
    </row>
    <row r="1242" spans="1:13" ht="149.75" customHeight="1" thickBot="1" x14ac:dyDescent="0.25">
      <c r="A1242" s="25"/>
      <c r="B1242" s="25"/>
      <c r="C1242" s="25"/>
      <c r="D1242" s="82" t="s">
        <v>3635</v>
      </c>
      <c r="E1242" s="82"/>
      <c r="F1242" s="82"/>
      <c r="G1242" s="82"/>
      <c r="H1242" s="82"/>
      <c r="I1242" s="82"/>
      <c r="J1242" s="82"/>
      <c r="K1242" s="82"/>
      <c r="L1242" s="82"/>
      <c r="M1242" s="82"/>
    </row>
    <row r="1243" spans="1:13" ht="15.25" customHeight="1" thickBot="1" x14ac:dyDescent="0.25">
      <c r="A1243" s="10" t="s">
        <v>3636</v>
      </c>
      <c r="B1243" s="5" t="s">
        <v>3637</v>
      </c>
      <c r="C1243" s="5" t="s">
        <v>3638</v>
      </c>
      <c r="D1243" s="82" t="s">
        <v>3639</v>
      </c>
      <c r="E1243" s="82"/>
      <c r="F1243" s="82"/>
      <c r="G1243" s="82"/>
      <c r="H1243" s="82"/>
      <c r="I1243" s="82"/>
      <c r="J1243" s="82"/>
      <c r="K1243" s="23">
        <f>ROUND(1,2)</f>
        <v>1</v>
      </c>
      <c r="L1243" s="24">
        <f>ROUND(386.492*(1+M2/100),2)</f>
        <v>398.09</v>
      </c>
      <c r="M1243" s="24">
        <f>ROUND(K1243*L1243,2)</f>
        <v>398.09</v>
      </c>
    </row>
    <row r="1244" spans="1:13" ht="30.5" customHeight="1" thickBot="1" x14ac:dyDescent="0.25">
      <c r="A1244" s="25"/>
      <c r="B1244" s="25"/>
      <c r="C1244" s="25"/>
      <c r="D1244" s="82" t="s">
        <v>3640</v>
      </c>
      <c r="E1244" s="82"/>
      <c r="F1244" s="82"/>
      <c r="G1244" s="82"/>
      <c r="H1244" s="82"/>
      <c r="I1244" s="82"/>
      <c r="J1244" s="82"/>
      <c r="K1244" s="82"/>
      <c r="L1244" s="82"/>
      <c r="M1244" s="82"/>
    </row>
    <row r="1245" spans="1:13" ht="15.25" customHeight="1" thickBot="1" x14ac:dyDescent="0.25">
      <c r="A1245" s="10" t="s">
        <v>3641</v>
      </c>
      <c r="B1245" s="5" t="s">
        <v>3642</v>
      </c>
      <c r="C1245" s="5" t="s">
        <v>3643</v>
      </c>
      <c r="D1245" s="82" t="s">
        <v>3644</v>
      </c>
      <c r="E1245" s="82"/>
      <c r="F1245" s="82"/>
      <c r="G1245" s="82"/>
      <c r="H1245" s="82"/>
      <c r="I1245" s="82"/>
      <c r="J1245" s="82"/>
      <c r="K1245" s="23">
        <f>ROUND(2,2)</f>
        <v>2</v>
      </c>
      <c r="L1245" s="24">
        <f>ROUND(376.61*(1+M2/100),2)</f>
        <v>387.91</v>
      </c>
      <c r="M1245" s="24">
        <f>ROUND(K1245*L1245,2)</f>
        <v>775.82</v>
      </c>
    </row>
    <row r="1246" spans="1:13" ht="21.25" customHeight="1" thickBot="1" x14ac:dyDescent="0.25">
      <c r="A1246" s="25"/>
      <c r="B1246" s="25"/>
      <c r="C1246" s="25"/>
      <c r="D1246" s="82" t="s">
        <v>3645</v>
      </c>
      <c r="E1246" s="82"/>
      <c r="F1246" s="82"/>
      <c r="G1246" s="82"/>
      <c r="H1246" s="82"/>
      <c r="I1246" s="82"/>
      <c r="J1246" s="82"/>
      <c r="K1246" s="82"/>
      <c r="L1246" s="82"/>
      <c r="M1246" s="82"/>
    </row>
    <row r="1247" spans="1:13" ht="15.25" customHeight="1" thickBot="1" x14ac:dyDescent="0.25">
      <c r="A1247" s="10" t="s">
        <v>3646</v>
      </c>
      <c r="B1247" s="5" t="s">
        <v>3647</v>
      </c>
      <c r="C1247" s="5" t="s">
        <v>3648</v>
      </c>
      <c r="D1247" s="82" t="s">
        <v>3649</v>
      </c>
      <c r="E1247" s="82"/>
      <c r="F1247" s="82"/>
      <c r="G1247" s="82"/>
      <c r="H1247" s="82"/>
      <c r="I1247" s="82"/>
      <c r="J1247" s="82"/>
      <c r="K1247" s="23">
        <f>ROUND(1,2)</f>
        <v>1</v>
      </c>
      <c r="L1247" s="24">
        <f>ROUND(400.247*(1+M2/100),2)</f>
        <v>412.25</v>
      </c>
      <c r="M1247" s="24">
        <f>ROUND(K1247*L1247,2)</f>
        <v>412.25</v>
      </c>
    </row>
    <row r="1248" spans="1:13" ht="21.25" customHeight="1" thickBot="1" x14ac:dyDescent="0.25">
      <c r="A1248" s="25"/>
      <c r="B1248" s="25"/>
      <c r="C1248" s="25"/>
      <c r="D1248" s="82" t="s">
        <v>3650</v>
      </c>
      <c r="E1248" s="82"/>
      <c r="F1248" s="82"/>
      <c r="G1248" s="82"/>
      <c r="H1248" s="82"/>
      <c r="I1248" s="82"/>
      <c r="J1248" s="82"/>
      <c r="K1248" s="82"/>
      <c r="L1248" s="82"/>
      <c r="M1248" s="82"/>
    </row>
    <row r="1249" spans="1:13" ht="15.25" customHeight="1" thickBot="1" x14ac:dyDescent="0.25">
      <c r="A1249" s="10" t="s">
        <v>3651</v>
      </c>
      <c r="B1249" s="5" t="s">
        <v>3652</v>
      </c>
      <c r="C1249" s="5" t="s">
        <v>3653</v>
      </c>
      <c r="D1249" s="82" t="s">
        <v>3654</v>
      </c>
      <c r="E1249" s="82"/>
      <c r="F1249" s="82"/>
      <c r="G1249" s="82"/>
      <c r="H1249" s="82"/>
      <c r="I1249" s="82"/>
      <c r="J1249" s="82"/>
      <c r="K1249" s="23">
        <f>ROUND(1,2)</f>
        <v>1</v>
      </c>
      <c r="L1249" s="24">
        <f>ROUND(252.684*(1+M2/100),2)</f>
        <v>260.26</v>
      </c>
      <c r="M1249" s="24">
        <f>ROUND(K1249*L1249,2)</f>
        <v>260.26</v>
      </c>
    </row>
    <row r="1250" spans="1:13" ht="21.25" customHeight="1" thickBot="1" x14ac:dyDescent="0.25">
      <c r="A1250" s="25"/>
      <c r="B1250" s="25"/>
      <c r="C1250" s="25"/>
      <c r="D1250" s="82" t="s">
        <v>3655</v>
      </c>
      <c r="E1250" s="82"/>
      <c r="F1250" s="82"/>
      <c r="G1250" s="82"/>
      <c r="H1250" s="82"/>
      <c r="I1250" s="82"/>
      <c r="J1250" s="82"/>
      <c r="K1250" s="82"/>
      <c r="L1250" s="82"/>
      <c r="M1250" s="82"/>
    </row>
    <row r="1251" spans="1:13" ht="15.25" customHeight="1" thickBot="1" x14ac:dyDescent="0.25">
      <c r="A1251" s="10" t="s">
        <v>3656</v>
      </c>
      <c r="B1251" s="5" t="s">
        <v>3657</v>
      </c>
      <c r="C1251" s="5" t="s">
        <v>3658</v>
      </c>
      <c r="D1251" s="82" t="s">
        <v>3659</v>
      </c>
      <c r="E1251" s="82"/>
      <c r="F1251" s="82"/>
      <c r="G1251" s="82"/>
      <c r="H1251" s="82"/>
      <c r="I1251" s="82"/>
      <c r="J1251" s="82"/>
      <c r="K1251" s="23">
        <f>ROUND(1,2)</f>
        <v>1</v>
      </c>
      <c r="L1251" s="24">
        <f>ROUND(358.123*(1+M2/100),2)</f>
        <v>368.87</v>
      </c>
      <c r="M1251" s="24">
        <f>ROUND(K1251*L1251,2)</f>
        <v>368.87</v>
      </c>
    </row>
    <row r="1252" spans="1:13" ht="21.25" customHeight="1" thickBot="1" x14ac:dyDescent="0.25">
      <c r="A1252" s="25"/>
      <c r="B1252" s="25"/>
      <c r="C1252" s="25"/>
      <c r="D1252" s="82" t="s">
        <v>3660</v>
      </c>
      <c r="E1252" s="82"/>
      <c r="F1252" s="82"/>
      <c r="G1252" s="82"/>
      <c r="H1252" s="82"/>
      <c r="I1252" s="82"/>
      <c r="J1252" s="82"/>
      <c r="K1252" s="82"/>
      <c r="L1252" s="82"/>
      <c r="M1252" s="82"/>
    </row>
    <row r="1253" spans="1:13" ht="15.25" customHeight="1" thickBot="1" x14ac:dyDescent="0.25">
      <c r="A1253" s="10" t="s">
        <v>3661</v>
      </c>
      <c r="B1253" s="5" t="s">
        <v>3662</v>
      </c>
      <c r="C1253" s="5" t="s">
        <v>3663</v>
      </c>
      <c r="D1253" s="82" t="s">
        <v>3664</v>
      </c>
      <c r="E1253" s="82"/>
      <c r="F1253" s="82"/>
      <c r="G1253" s="82"/>
      <c r="H1253" s="82"/>
      <c r="I1253" s="82"/>
      <c r="J1253" s="82"/>
      <c r="K1253" s="23">
        <f>ROUND(1,2)</f>
        <v>1</v>
      </c>
      <c r="L1253" s="24">
        <f>ROUND(348.772*(1+M2/100),2)</f>
        <v>359.24</v>
      </c>
      <c r="M1253" s="24">
        <f>ROUND(K1253*L1253,2)</f>
        <v>359.24</v>
      </c>
    </row>
    <row r="1254" spans="1:13" ht="21.25" customHeight="1" thickBot="1" x14ac:dyDescent="0.25">
      <c r="A1254" s="25"/>
      <c r="B1254" s="25"/>
      <c r="C1254" s="25"/>
      <c r="D1254" s="82" t="s">
        <v>3665</v>
      </c>
      <c r="E1254" s="82"/>
      <c r="F1254" s="82"/>
      <c r="G1254" s="82"/>
      <c r="H1254" s="82"/>
      <c r="I1254" s="82"/>
      <c r="J1254" s="82"/>
      <c r="K1254" s="82"/>
      <c r="L1254" s="82"/>
      <c r="M1254" s="82"/>
    </row>
    <row r="1255" spans="1:13" ht="15.25" customHeight="1" thickBot="1" x14ac:dyDescent="0.25">
      <c r="A1255" s="10" t="s">
        <v>3666</v>
      </c>
      <c r="B1255" s="5" t="s">
        <v>3667</v>
      </c>
      <c r="C1255" s="5" t="s">
        <v>3668</v>
      </c>
      <c r="D1255" s="82" t="s">
        <v>3669</v>
      </c>
      <c r="E1255" s="82"/>
      <c r="F1255" s="82"/>
      <c r="G1255" s="82"/>
      <c r="H1255" s="82"/>
      <c r="I1255" s="82"/>
      <c r="J1255" s="82"/>
      <c r="K1255" s="23">
        <f>ROUND(2,2)</f>
        <v>2</v>
      </c>
      <c r="L1255" s="24">
        <f>ROUND(399.801*(1+M2/100),2)</f>
        <v>411.8</v>
      </c>
      <c r="M1255" s="24">
        <f>ROUND(K1255*L1255,2)</f>
        <v>823.6</v>
      </c>
    </row>
    <row r="1256" spans="1:13" ht="21.25" customHeight="1" thickBot="1" x14ac:dyDescent="0.25">
      <c r="A1256" s="25"/>
      <c r="B1256" s="25"/>
      <c r="C1256" s="25"/>
      <c r="D1256" s="82" t="s">
        <v>3670</v>
      </c>
      <c r="E1256" s="82"/>
      <c r="F1256" s="82"/>
      <c r="G1256" s="82"/>
      <c r="H1256" s="82"/>
      <c r="I1256" s="82"/>
      <c r="J1256" s="82"/>
      <c r="K1256" s="82"/>
      <c r="L1256" s="82"/>
      <c r="M1256" s="82"/>
    </row>
    <row r="1257" spans="1:13" ht="15.25" customHeight="1" thickBot="1" x14ac:dyDescent="0.25">
      <c r="A1257" s="10" t="s">
        <v>3671</v>
      </c>
      <c r="B1257" s="5" t="s">
        <v>3672</v>
      </c>
      <c r="C1257" s="5" t="s">
        <v>3673</v>
      </c>
      <c r="D1257" s="82" t="s">
        <v>3674</v>
      </c>
      <c r="E1257" s="82"/>
      <c r="F1257" s="82"/>
      <c r="G1257" s="82"/>
      <c r="H1257" s="82"/>
      <c r="I1257" s="82"/>
      <c r="J1257" s="82"/>
      <c r="K1257" s="23">
        <f>ROUND(1,2)</f>
        <v>1</v>
      </c>
      <c r="L1257" s="24">
        <f>ROUND(490.536*(1+M2/100),2)</f>
        <v>505.25</v>
      </c>
      <c r="M1257" s="24">
        <f>ROUND(K1257*L1257,2)</f>
        <v>505.25</v>
      </c>
    </row>
    <row r="1258" spans="1:13" ht="21.25" customHeight="1" thickBot="1" x14ac:dyDescent="0.25">
      <c r="A1258" s="25"/>
      <c r="B1258" s="25"/>
      <c r="C1258" s="25"/>
      <c r="D1258" s="82" t="s">
        <v>3675</v>
      </c>
      <c r="E1258" s="82"/>
      <c r="F1258" s="82"/>
      <c r="G1258" s="82"/>
      <c r="H1258" s="82"/>
      <c r="I1258" s="82"/>
      <c r="J1258" s="82"/>
      <c r="K1258" s="82"/>
      <c r="L1258" s="82"/>
      <c r="M1258" s="82"/>
    </row>
    <row r="1259" spans="1:13" ht="15.25" customHeight="1" thickBot="1" x14ac:dyDescent="0.25">
      <c r="A1259" s="26"/>
      <c r="B1259" s="26"/>
      <c r="C1259" s="26"/>
      <c r="D1259" s="68" t="s">
        <v>3676</v>
      </c>
      <c r="E1259" s="69"/>
      <c r="F1259" s="69"/>
      <c r="G1259" s="69"/>
      <c r="H1259" s="69"/>
      <c r="I1259" s="69"/>
      <c r="J1259" s="69"/>
      <c r="K1259" s="69"/>
      <c r="L1259" s="70">
        <f>M1217+M1219+M1221+M1223+M1225+M1227+M1229+M1231+M1233+M1235+M1237+M1239+M1241+M1243+M1245+M1247+M1249+M1251+M1253+M1255+M1257</f>
        <v>41981.67</v>
      </c>
      <c r="M1259" s="70">
        <f>ROUND(L1259,2)</f>
        <v>41981.67</v>
      </c>
    </row>
    <row r="1260" spans="1:13" ht="15.25" customHeight="1" thickBot="1" x14ac:dyDescent="0.25">
      <c r="A1260" s="55" t="s">
        <v>3677</v>
      </c>
      <c r="B1260" s="55" t="s">
        <v>3678</v>
      </c>
      <c r="C1260" s="56"/>
      <c r="D1260" s="85" t="s">
        <v>3679</v>
      </c>
      <c r="E1260" s="85"/>
      <c r="F1260" s="85"/>
      <c r="G1260" s="85"/>
      <c r="H1260" s="85"/>
      <c r="I1260" s="85"/>
      <c r="J1260" s="85"/>
      <c r="K1260" s="56"/>
      <c r="L1260" s="57">
        <f>L1277</f>
        <v>23038.54</v>
      </c>
      <c r="M1260" s="57">
        <f>ROUND(L1260,2)</f>
        <v>23038.54</v>
      </c>
    </row>
    <row r="1261" spans="1:13" ht="15.25" customHeight="1" thickBot="1" x14ac:dyDescent="0.25">
      <c r="A1261" s="10" t="s">
        <v>3680</v>
      </c>
      <c r="B1261" s="5" t="s">
        <v>3681</v>
      </c>
      <c r="C1261" s="5" t="s">
        <v>3682</v>
      </c>
      <c r="D1261" s="82" t="s">
        <v>3683</v>
      </c>
      <c r="E1261" s="82"/>
      <c r="F1261" s="82"/>
      <c r="G1261" s="82"/>
      <c r="H1261" s="82"/>
      <c r="I1261" s="82"/>
      <c r="J1261" s="82"/>
      <c r="K1261" s="23">
        <f>ROUND(1,2)</f>
        <v>1</v>
      </c>
      <c r="L1261" s="24">
        <f>ROUND(14235.922*(1+M2/100),2)</f>
        <v>14663</v>
      </c>
      <c r="M1261" s="24">
        <f>ROUND(K1261*L1261,2)</f>
        <v>14663</v>
      </c>
    </row>
    <row r="1262" spans="1:13" ht="186.5" customHeight="1" thickBot="1" x14ac:dyDescent="0.25">
      <c r="A1262" s="25"/>
      <c r="B1262" s="25"/>
      <c r="C1262" s="25"/>
      <c r="D1262" s="82" t="s">
        <v>3684</v>
      </c>
      <c r="E1262" s="82"/>
      <c r="F1262" s="82"/>
      <c r="G1262" s="82"/>
      <c r="H1262" s="82"/>
      <c r="I1262" s="82"/>
      <c r="J1262" s="82"/>
      <c r="K1262" s="82"/>
      <c r="L1262" s="82"/>
      <c r="M1262" s="82"/>
    </row>
    <row r="1263" spans="1:13" ht="15.25" customHeight="1" thickBot="1" x14ac:dyDescent="0.25">
      <c r="A1263" s="10" t="s">
        <v>3685</v>
      </c>
      <c r="B1263" s="5" t="s">
        <v>3686</v>
      </c>
      <c r="C1263" s="5" t="s">
        <v>3687</v>
      </c>
      <c r="D1263" s="82" t="s">
        <v>3688</v>
      </c>
      <c r="E1263" s="82"/>
      <c r="F1263" s="82"/>
      <c r="G1263" s="82"/>
      <c r="H1263" s="82"/>
      <c r="I1263" s="82"/>
      <c r="J1263" s="82"/>
      <c r="K1263" s="23">
        <f>ROUND(1,2)</f>
        <v>1</v>
      </c>
      <c r="L1263" s="24">
        <f>ROUND(3674.534*(1+M2/100),2)</f>
        <v>3784.77</v>
      </c>
      <c r="M1263" s="24">
        <f>ROUND(K1263*L1263,2)</f>
        <v>3784.77</v>
      </c>
    </row>
    <row r="1264" spans="1:13" ht="39.5" customHeight="1" thickBot="1" x14ac:dyDescent="0.25">
      <c r="A1264" s="25"/>
      <c r="B1264" s="25"/>
      <c r="C1264" s="25"/>
      <c r="D1264" s="82" t="s">
        <v>3689</v>
      </c>
      <c r="E1264" s="82"/>
      <c r="F1264" s="82"/>
      <c r="G1264" s="82"/>
      <c r="H1264" s="82"/>
      <c r="I1264" s="82"/>
      <c r="J1264" s="82"/>
      <c r="K1264" s="82"/>
      <c r="L1264" s="82"/>
      <c r="M1264" s="82"/>
    </row>
    <row r="1265" spans="1:13" ht="15.25" customHeight="1" thickBot="1" x14ac:dyDescent="0.25">
      <c r="A1265" s="10" t="s">
        <v>3690</v>
      </c>
      <c r="B1265" s="5" t="s">
        <v>3691</v>
      </c>
      <c r="C1265" s="5" t="s">
        <v>3692</v>
      </c>
      <c r="D1265" s="82" t="s">
        <v>3693</v>
      </c>
      <c r="E1265" s="82"/>
      <c r="F1265" s="82"/>
      <c r="G1265" s="82"/>
      <c r="H1265" s="82"/>
      <c r="I1265" s="82"/>
      <c r="J1265" s="82"/>
      <c r="K1265" s="23">
        <f>ROUND(2,2)</f>
        <v>2</v>
      </c>
      <c r="L1265" s="24">
        <f>ROUND(124.163*(1+M2/100),2)</f>
        <v>127.89</v>
      </c>
      <c r="M1265" s="24">
        <f>ROUND(K1265*L1265,2)</f>
        <v>255.78</v>
      </c>
    </row>
    <row r="1266" spans="1:13" ht="21.25" customHeight="1" thickBot="1" x14ac:dyDescent="0.25">
      <c r="A1266" s="25"/>
      <c r="B1266" s="25"/>
      <c r="C1266" s="25"/>
      <c r="D1266" s="82" t="s">
        <v>3694</v>
      </c>
      <c r="E1266" s="82"/>
      <c r="F1266" s="82"/>
      <c r="G1266" s="82"/>
      <c r="H1266" s="82"/>
      <c r="I1266" s="82"/>
      <c r="J1266" s="82"/>
      <c r="K1266" s="82"/>
      <c r="L1266" s="82"/>
      <c r="M1266" s="82"/>
    </row>
    <row r="1267" spans="1:13" ht="15.25" customHeight="1" thickBot="1" x14ac:dyDescent="0.25">
      <c r="A1267" s="10" t="s">
        <v>3695</v>
      </c>
      <c r="B1267" s="5" t="s">
        <v>3696</v>
      </c>
      <c r="C1267" s="5" t="s">
        <v>3697</v>
      </c>
      <c r="D1267" s="82" t="s">
        <v>3698</v>
      </c>
      <c r="E1267" s="82"/>
      <c r="F1267" s="82"/>
      <c r="G1267" s="82"/>
      <c r="H1267" s="82"/>
      <c r="I1267" s="82"/>
      <c r="J1267" s="82"/>
      <c r="K1267" s="23">
        <f>ROUND(1,2)</f>
        <v>1</v>
      </c>
      <c r="L1267" s="24">
        <f>ROUND(273.357*(1+M2/100),2)</f>
        <v>281.56</v>
      </c>
      <c r="M1267" s="24">
        <f>ROUND(K1267*L1267,2)</f>
        <v>281.56</v>
      </c>
    </row>
    <row r="1268" spans="1:13" ht="12" customHeight="1" thickBot="1" x14ac:dyDescent="0.25">
      <c r="A1268" s="25"/>
      <c r="B1268" s="25"/>
      <c r="C1268" s="25"/>
      <c r="D1268" s="82" t="s">
        <v>3699</v>
      </c>
      <c r="E1268" s="82"/>
      <c r="F1268" s="82"/>
      <c r="G1268" s="82"/>
      <c r="H1268" s="82"/>
      <c r="I1268" s="82"/>
      <c r="J1268" s="82"/>
      <c r="K1268" s="82"/>
      <c r="L1268" s="82"/>
      <c r="M1268" s="82"/>
    </row>
    <row r="1269" spans="1:13" ht="15.25" customHeight="1" thickBot="1" x14ac:dyDescent="0.25">
      <c r="A1269" s="10" t="s">
        <v>3700</v>
      </c>
      <c r="B1269" s="5" t="s">
        <v>3701</v>
      </c>
      <c r="C1269" s="5" t="s">
        <v>3702</v>
      </c>
      <c r="D1269" s="82" t="s">
        <v>3703</v>
      </c>
      <c r="E1269" s="82"/>
      <c r="F1269" s="82"/>
      <c r="G1269" s="82"/>
      <c r="H1269" s="82"/>
      <c r="I1269" s="82"/>
      <c r="J1269" s="82"/>
      <c r="K1269" s="23">
        <f>ROUND(1,2)</f>
        <v>1</v>
      </c>
      <c r="L1269" s="24">
        <f>ROUND(1594.571*(1+M2/100),2)</f>
        <v>1642.41</v>
      </c>
      <c r="M1269" s="24">
        <f>ROUND(K1269*L1269,2)</f>
        <v>1642.41</v>
      </c>
    </row>
    <row r="1270" spans="1:13" ht="30.5" customHeight="1" thickBot="1" x14ac:dyDescent="0.25">
      <c r="A1270" s="25"/>
      <c r="B1270" s="25"/>
      <c r="C1270" s="25"/>
      <c r="D1270" s="82" t="s">
        <v>3704</v>
      </c>
      <c r="E1270" s="82"/>
      <c r="F1270" s="82"/>
      <c r="G1270" s="82"/>
      <c r="H1270" s="82"/>
      <c r="I1270" s="82"/>
      <c r="J1270" s="82"/>
      <c r="K1270" s="82"/>
      <c r="L1270" s="82"/>
      <c r="M1270" s="82"/>
    </row>
    <row r="1271" spans="1:13" ht="15.25" customHeight="1" thickBot="1" x14ac:dyDescent="0.25">
      <c r="A1271" s="10" t="s">
        <v>3705</v>
      </c>
      <c r="B1271" s="5" t="s">
        <v>3706</v>
      </c>
      <c r="C1271" s="5" t="s">
        <v>3707</v>
      </c>
      <c r="D1271" s="82" t="s">
        <v>3708</v>
      </c>
      <c r="E1271" s="82"/>
      <c r="F1271" s="82"/>
      <c r="G1271" s="82"/>
      <c r="H1271" s="82"/>
      <c r="I1271" s="82"/>
      <c r="J1271" s="82"/>
      <c r="K1271" s="23">
        <f>ROUND(1,2)</f>
        <v>1</v>
      </c>
      <c r="L1271" s="24">
        <f>ROUND(480.624*(1+M2/100),2)</f>
        <v>495.04</v>
      </c>
      <c r="M1271" s="24">
        <f>ROUND(K1271*L1271,2)</f>
        <v>495.04</v>
      </c>
    </row>
    <row r="1272" spans="1:13" ht="21.25" customHeight="1" thickBot="1" x14ac:dyDescent="0.25">
      <c r="A1272" s="25"/>
      <c r="B1272" s="25"/>
      <c r="C1272" s="25"/>
      <c r="D1272" s="82" t="s">
        <v>3709</v>
      </c>
      <c r="E1272" s="82"/>
      <c r="F1272" s="82"/>
      <c r="G1272" s="82"/>
      <c r="H1272" s="82"/>
      <c r="I1272" s="82"/>
      <c r="J1272" s="82"/>
      <c r="K1272" s="82"/>
      <c r="L1272" s="82"/>
      <c r="M1272" s="82"/>
    </row>
    <row r="1273" spans="1:13" ht="15.25" customHeight="1" thickBot="1" x14ac:dyDescent="0.25">
      <c r="A1273" s="10" t="s">
        <v>3710</v>
      </c>
      <c r="B1273" s="5" t="s">
        <v>3711</v>
      </c>
      <c r="C1273" s="5" t="s">
        <v>3712</v>
      </c>
      <c r="D1273" s="82" t="s">
        <v>3713</v>
      </c>
      <c r="E1273" s="82"/>
      <c r="F1273" s="82"/>
      <c r="G1273" s="82"/>
      <c r="H1273" s="82"/>
      <c r="I1273" s="82"/>
      <c r="J1273" s="82"/>
      <c r="K1273" s="23">
        <f>ROUND(1,2)</f>
        <v>1</v>
      </c>
      <c r="L1273" s="24">
        <f>ROUND(1503.95*(1+M2/100),2)</f>
        <v>1549.07</v>
      </c>
      <c r="M1273" s="24">
        <f>ROUND(K1273*L1273,2)</f>
        <v>1549.07</v>
      </c>
    </row>
    <row r="1274" spans="1:13" ht="21.25" customHeight="1" thickBot="1" x14ac:dyDescent="0.25">
      <c r="A1274" s="25"/>
      <c r="B1274" s="25"/>
      <c r="C1274" s="25"/>
      <c r="D1274" s="82" t="s">
        <v>3714</v>
      </c>
      <c r="E1274" s="82"/>
      <c r="F1274" s="82"/>
      <c r="G1274" s="82"/>
      <c r="H1274" s="82"/>
      <c r="I1274" s="82"/>
      <c r="J1274" s="82"/>
      <c r="K1274" s="82"/>
      <c r="L1274" s="82"/>
      <c r="M1274" s="82"/>
    </row>
    <row r="1275" spans="1:13" ht="15.25" customHeight="1" thickBot="1" x14ac:dyDescent="0.25">
      <c r="A1275" s="10" t="s">
        <v>3715</v>
      </c>
      <c r="B1275" s="5" t="s">
        <v>3716</v>
      </c>
      <c r="C1275" s="5" t="s">
        <v>3717</v>
      </c>
      <c r="D1275" s="82" t="s">
        <v>3718</v>
      </c>
      <c r="E1275" s="82"/>
      <c r="F1275" s="82"/>
      <c r="G1275" s="82"/>
      <c r="H1275" s="82"/>
      <c r="I1275" s="82"/>
      <c r="J1275" s="82"/>
      <c r="K1275" s="23">
        <f>ROUND(1,2)</f>
        <v>1</v>
      </c>
      <c r="L1275" s="24">
        <f>ROUND(356.224*(1+M2/100),2)</f>
        <v>366.91</v>
      </c>
      <c r="M1275" s="24">
        <f>ROUND(K1275*L1275,2)</f>
        <v>366.91</v>
      </c>
    </row>
    <row r="1276" spans="1:13" ht="21.25" customHeight="1" thickBot="1" x14ac:dyDescent="0.25">
      <c r="A1276" s="25"/>
      <c r="B1276" s="25"/>
      <c r="C1276" s="25"/>
      <c r="D1276" s="82" t="s">
        <v>3719</v>
      </c>
      <c r="E1276" s="82"/>
      <c r="F1276" s="82"/>
      <c r="G1276" s="82"/>
      <c r="H1276" s="82"/>
      <c r="I1276" s="82"/>
      <c r="J1276" s="82"/>
      <c r="K1276" s="82"/>
      <c r="L1276" s="82"/>
      <c r="M1276" s="82"/>
    </row>
    <row r="1277" spans="1:13" ht="15.25" customHeight="1" thickBot="1" x14ac:dyDescent="0.25">
      <c r="A1277" s="26"/>
      <c r="B1277" s="26"/>
      <c r="C1277" s="26"/>
      <c r="D1277" s="68" t="s">
        <v>3720</v>
      </c>
      <c r="E1277" s="69"/>
      <c r="F1277" s="69"/>
      <c r="G1277" s="69"/>
      <c r="H1277" s="69"/>
      <c r="I1277" s="69"/>
      <c r="J1277" s="69"/>
      <c r="K1277" s="69"/>
      <c r="L1277" s="70">
        <f>M1261+M1263+M1265+M1267+M1269+M1271+M1273+M1275</f>
        <v>23038.54</v>
      </c>
      <c r="M1277" s="70">
        <f>ROUND(L1277,2)</f>
        <v>23038.54</v>
      </c>
    </row>
    <row r="1278" spans="1:13" ht="15.25" customHeight="1" thickBot="1" x14ac:dyDescent="0.25">
      <c r="A1278" s="55" t="s">
        <v>3721</v>
      </c>
      <c r="B1278" s="55" t="s">
        <v>3722</v>
      </c>
      <c r="C1278" s="56"/>
      <c r="D1278" s="85" t="s">
        <v>3723</v>
      </c>
      <c r="E1278" s="85"/>
      <c r="F1278" s="85"/>
      <c r="G1278" s="85"/>
      <c r="H1278" s="85"/>
      <c r="I1278" s="85"/>
      <c r="J1278" s="85"/>
      <c r="K1278" s="56"/>
      <c r="L1278" s="57">
        <f>L1321</f>
        <v>128777.61</v>
      </c>
      <c r="M1278" s="57">
        <f>ROUND(L1278,2)</f>
        <v>128777.61</v>
      </c>
    </row>
    <row r="1279" spans="1:13" ht="15.25" customHeight="1" thickBot="1" x14ac:dyDescent="0.25">
      <c r="A1279" s="10" t="s">
        <v>3724</v>
      </c>
      <c r="B1279" s="5" t="s">
        <v>3725</v>
      </c>
      <c r="C1279" s="5" t="s">
        <v>3726</v>
      </c>
      <c r="D1279" s="82" t="s">
        <v>3727</v>
      </c>
      <c r="E1279" s="82"/>
      <c r="F1279" s="82"/>
      <c r="G1279" s="82"/>
      <c r="H1279" s="82"/>
      <c r="I1279" s="82"/>
      <c r="J1279" s="82"/>
      <c r="K1279" s="23">
        <f>ROUND(1,2)</f>
        <v>1</v>
      </c>
      <c r="L1279" s="24">
        <f>ROUND(2398.466*(1+M2/100),2)</f>
        <v>2470.42</v>
      </c>
      <c r="M1279" s="24">
        <f>ROUND(K1279*L1279,2)</f>
        <v>2470.42</v>
      </c>
    </row>
    <row r="1280" spans="1:13" ht="39.5" customHeight="1" thickBot="1" x14ac:dyDescent="0.25">
      <c r="A1280" s="25"/>
      <c r="B1280" s="25"/>
      <c r="C1280" s="25"/>
      <c r="D1280" s="82" t="s">
        <v>3728</v>
      </c>
      <c r="E1280" s="82"/>
      <c r="F1280" s="82"/>
      <c r="G1280" s="82"/>
      <c r="H1280" s="82"/>
      <c r="I1280" s="82"/>
      <c r="J1280" s="82"/>
      <c r="K1280" s="82"/>
      <c r="L1280" s="82"/>
      <c r="M1280" s="82"/>
    </row>
    <row r="1281" spans="1:13" ht="15.25" customHeight="1" thickBot="1" x14ac:dyDescent="0.25">
      <c r="A1281" s="10" t="s">
        <v>3729</v>
      </c>
      <c r="B1281" s="5" t="s">
        <v>3730</v>
      </c>
      <c r="C1281" s="5" t="s">
        <v>3731</v>
      </c>
      <c r="D1281" s="82" t="s">
        <v>3732</v>
      </c>
      <c r="E1281" s="82"/>
      <c r="F1281" s="82"/>
      <c r="G1281" s="82"/>
      <c r="H1281" s="82"/>
      <c r="I1281" s="82"/>
      <c r="J1281" s="82"/>
      <c r="K1281" s="23">
        <f>ROUND(2,2)</f>
        <v>2</v>
      </c>
      <c r="L1281" s="24">
        <f>ROUND(1651.146*(1+M2/100),2)</f>
        <v>1700.68</v>
      </c>
      <c r="M1281" s="24">
        <f>ROUND(K1281*L1281,2)</f>
        <v>3401.36</v>
      </c>
    </row>
    <row r="1282" spans="1:13" ht="30.5" customHeight="1" thickBot="1" x14ac:dyDescent="0.25">
      <c r="A1282" s="25"/>
      <c r="B1282" s="25"/>
      <c r="C1282" s="25"/>
      <c r="D1282" s="82" t="s">
        <v>3733</v>
      </c>
      <c r="E1282" s="82"/>
      <c r="F1282" s="82"/>
      <c r="G1282" s="82"/>
      <c r="H1282" s="82"/>
      <c r="I1282" s="82"/>
      <c r="J1282" s="82"/>
      <c r="K1282" s="82"/>
      <c r="L1282" s="82"/>
      <c r="M1282" s="82"/>
    </row>
    <row r="1283" spans="1:13" ht="15.25" customHeight="1" thickBot="1" x14ac:dyDescent="0.25">
      <c r="A1283" s="10" t="s">
        <v>3734</v>
      </c>
      <c r="B1283" s="5" t="s">
        <v>3735</v>
      </c>
      <c r="C1283" s="5" t="s">
        <v>3736</v>
      </c>
      <c r="D1283" s="82" t="s">
        <v>3737</v>
      </c>
      <c r="E1283" s="82"/>
      <c r="F1283" s="82"/>
      <c r="G1283" s="82"/>
      <c r="H1283" s="82"/>
      <c r="I1283" s="82"/>
      <c r="J1283" s="82"/>
      <c r="K1283" s="23">
        <f>ROUND(1,2)</f>
        <v>1</v>
      </c>
      <c r="L1283" s="24">
        <f>ROUND(1909.456*(1+M2/100),2)</f>
        <v>1966.74</v>
      </c>
      <c r="M1283" s="24">
        <f>ROUND(K1283*L1283,2)</f>
        <v>1966.74</v>
      </c>
    </row>
    <row r="1284" spans="1:13" ht="39.5" customHeight="1" thickBot="1" x14ac:dyDescent="0.25">
      <c r="A1284" s="25"/>
      <c r="B1284" s="25"/>
      <c r="C1284" s="25"/>
      <c r="D1284" s="82" t="s">
        <v>3738</v>
      </c>
      <c r="E1284" s="82"/>
      <c r="F1284" s="82"/>
      <c r="G1284" s="82"/>
      <c r="H1284" s="82"/>
      <c r="I1284" s="82"/>
      <c r="J1284" s="82"/>
      <c r="K1284" s="82"/>
      <c r="L1284" s="82"/>
      <c r="M1284" s="82"/>
    </row>
    <row r="1285" spans="1:13" ht="15.25" customHeight="1" thickBot="1" x14ac:dyDescent="0.25">
      <c r="A1285" s="10" t="s">
        <v>3739</v>
      </c>
      <c r="B1285" s="5" t="s">
        <v>3740</v>
      </c>
      <c r="C1285" s="5" t="s">
        <v>3741</v>
      </c>
      <c r="D1285" s="82" t="s">
        <v>3742</v>
      </c>
      <c r="E1285" s="82"/>
      <c r="F1285" s="82"/>
      <c r="G1285" s="82"/>
      <c r="H1285" s="82"/>
      <c r="I1285" s="82"/>
      <c r="J1285" s="82"/>
      <c r="K1285" s="23">
        <f>ROUND(1,2)</f>
        <v>1</v>
      </c>
      <c r="L1285" s="24">
        <f>ROUND(124.163*(1+M2/100),2)</f>
        <v>127.89</v>
      </c>
      <c r="M1285" s="24">
        <f>ROUND(K1285*L1285,2)</f>
        <v>127.89</v>
      </c>
    </row>
    <row r="1286" spans="1:13" ht="21.25" customHeight="1" thickBot="1" x14ac:dyDescent="0.25">
      <c r="A1286" s="25"/>
      <c r="B1286" s="25"/>
      <c r="C1286" s="25"/>
      <c r="D1286" s="82" t="s">
        <v>3743</v>
      </c>
      <c r="E1286" s="82"/>
      <c r="F1286" s="82"/>
      <c r="G1286" s="82"/>
      <c r="H1286" s="82"/>
      <c r="I1286" s="82"/>
      <c r="J1286" s="82"/>
      <c r="K1286" s="82"/>
      <c r="L1286" s="82"/>
      <c r="M1286" s="82"/>
    </row>
    <row r="1287" spans="1:13" ht="15.25" customHeight="1" thickBot="1" x14ac:dyDescent="0.25">
      <c r="A1287" s="10" t="s">
        <v>3744</v>
      </c>
      <c r="B1287" s="5" t="s">
        <v>3745</v>
      </c>
      <c r="C1287" s="5" t="s">
        <v>3746</v>
      </c>
      <c r="D1287" s="82" t="s">
        <v>3747</v>
      </c>
      <c r="E1287" s="82"/>
      <c r="F1287" s="82"/>
      <c r="G1287" s="82"/>
      <c r="H1287" s="82"/>
      <c r="I1287" s="82"/>
      <c r="J1287" s="82"/>
      <c r="K1287" s="23">
        <f>ROUND(1,2)</f>
        <v>1</v>
      </c>
      <c r="L1287" s="24">
        <f>ROUND(1503.95*(1+M2/100),2)</f>
        <v>1549.07</v>
      </c>
      <c r="M1287" s="24">
        <f>ROUND(K1287*L1287,2)</f>
        <v>1549.07</v>
      </c>
    </row>
    <row r="1288" spans="1:13" ht="30.5" customHeight="1" thickBot="1" x14ac:dyDescent="0.25">
      <c r="A1288" s="25"/>
      <c r="B1288" s="25"/>
      <c r="C1288" s="25"/>
      <c r="D1288" s="82" t="s">
        <v>3748</v>
      </c>
      <c r="E1288" s="82"/>
      <c r="F1288" s="82"/>
      <c r="G1288" s="82"/>
      <c r="H1288" s="82"/>
      <c r="I1288" s="82"/>
      <c r="J1288" s="82"/>
      <c r="K1288" s="82"/>
      <c r="L1288" s="82"/>
      <c r="M1288" s="82"/>
    </row>
    <row r="1289" spans="1:13" ht="15.25" customHeight="1" thickBot="1" x14ac:dyDescent="0.25">
      <c r="A1289" s="10" t="s">
        <v>3749</v>
      </c>
      <c r="B1289" s="5" t="s">
        <v>3750</v>
      </c>
      <c r="C1289" s="5" t="s">
        <v>3751</v>
      </c>
      <c r="D1289" s="82" t="s">
        <v>3752</v>
      </c>
      <c r="E1289" s="82"/>
      <c r="F1289" s="82"/>
      <c r="G1289" s="82"/>
      <c r="H1289" s="82"/>
      <c r="I1289" s="82"/>
      <c r="J1289" s="82"/>
      <c r="K1289" s="23">
        <f>ROUND(1,2)</f>
        <v>1</v>
      </c>
      <c r="L1289" s="24">
        <f>ROUND(53486.097*(1+M2/100),2)</f>
        <v>55090.68</v>
      </c>
      <c r="M1289" s="24">
        <f>ROUND(K1289*L1289,2)</f>
        <v>55090.68</v>
      </c>
    </row>
    <row r="1290" spans="1:13" ht="409.6" customHeight="1" thickBot="1" x14ac:dyDescent="0.25">
      <c r="A1290" s="25"/>
      <c r="B1290" s="25"/>
      <c r="C1290" s="25"/>
      <c r="D1290" s="82" t="s">
        <v>3753</v>
      </c>
      <c r="E1290" s="82"/>
      <c r="F1290" s="82"/>
      <c r="G1290" s="82"/>
      <c r="H1290" s="82"/>
      <c r="I1290" s="82"/>
      <c r="J1290" s="82"/>
      <c r="K1290" s="82"/>
      <c r="L1290" s="82"/>
      <c r="M1290" s="82"/>
    </row>
    <row r="1291" spans="1:13" ht="15.25" customHeight="1" thickBot="1" x14ac:dyDescent="0.25">
      <c r="A1291" s="10" t="s">
        <v>3754</v>
      </c>
      <c r="B1291" s="5" t="s">
        <v>3755</v>
      </c>
      <c r="C1291" s="5" t="s">
        <v>3756</v>
      </c>
      <c r="D1291" s="82" t="s">
        <v>3757</v>
      </c>
      <c r="E1291" s="82"/>
      <c r="F1291" s="82"/>
      <c r="G1291" s="82"/>
      <c r="H1291" s="82"/>
      <c r="I1291" s="82"/>
      <c r="J1291" s="82"/>
      <c r="K1291" s="23">
        <f>ROUND(1,2)</f>
        <v>1</v>
      </c>
      <c r="L1291" s="24">
        <f>ROUND(2366.553*(1+M2/100),2)</f>
        <v>2437.5500000000002</v>
      </c>
      <c r="M1291" s="24">
        <f>ROUND(K1291*L1291,2)</f>
        <v>2437.5500000000002</v>
      </c>
    </row>
    <row r="1292" spans="1:13" ht="21.25" customHeight="1" thickBot="1" x14ac:dyDescent="0.25">
      <c r="A1292" s="25"/>
      <c r="B1292" s="25"/>
      <c r="C1292" s="25"/>
      <c r="D1292" s="82" t="s">
        <v>3758</v>
      </c>
      <c r="E1292" s="82"/>
      <c r="F1292" s="82"/>
      <c r="G1292" s="82"/>
      <c r="H1292" s="82"/>
      <c r="I1292" s="82"/>
      <c r="J1292" s="82"/>
      <c r="K1292" s="82"/>
      <c r="L1292" s="82"/>
      <c r="M1292" s="82"/>
    </row>
    <row r="1293" spans="1:13" ht="15.25" customHeight="1" thickBot="1" x14ac:dyDescent="0.25">
      <c r="A1293" s="10" t="s">
        <v>3759</v>
      </c>
      <c r="B1293" s="5" t="s">
        <v>3760</v>
      </c>
      <c r="C1293" s="5" t="s">
        <v>3761</v>
      </c>
      <c r="D1293" s="82" t="s">
        <v>3762</v>
      </c>
      <c r="E1293" s="82"/>
      <c r="F1293" s="82"/>
      <c r="G1293" s="82"/>
      <c r="H1293" s="82"/>
      <c r="I1293" s="82"/>
      <c r="J1293" s="82"/>
      <c r="K1293" s="23">
        <f>ROUND(1,2)</f>
        <v>1</v>
      </c>
      <c r="L1293" s="24">
        <f>ROUND(16297.456*(1+M2/100),2)</f>
        <v>16786.38</v>
      </c>
      <c r="M1293" s="24">
        <f>ROUND(K1293*L1293,2)</f>
        <v>16786.38</v>
      </c>
    </row>
    <row r="1294" spans="1:13" ht="409.6" customHeight="1" thickBot="1" x14ac:dyDescent="0.25">
      <c r="A1294" s="25"/>
      <c r="B1294" s="25"/>
      <c r="C1294" s="25"/>
      <c r="D1294" s="82" t="s">
        <v>3763</v>
      </c>
      <c r="E1294" s="82"/>
      <c r="F1294" s="82"/>
      <c r="G1294" s="82"/>
      <c r="H1294" s="82"/>
      <c r="I1294" s="82"/>
      <c r="J1294" s="82"/>
      <c r="K1294" s="82"/>
      <c r="L1294" s="82"/>
      <c r="M1294" s="82"/>
    </row>
    <row r="1295" spans="1:13" ht="15.25" customHeight="1" thickBot="1" x14ac:dyDescent="0.25">
      <c r="A1295" s="10" t="s">
        <v>3764</v>
      </c>
      <c r="B1295" s="5" t="s">
        <v>3765</v>
      </c>
      <c r="C1295" s="5" t="s">
        <v>3766</v>
      </c>
      <c r="D1295" s="82" t="s">
        <v>3767</v>
      </c>
      <c r="E1295" s="82"/>
      <c r="F1295" s="82"/>
      <c r="G1295" s="82"/>
      <c r="H1295" s="82"/>
      <c r="I1295" s="82"/>
      <c r="J1295" s="82"/>
      <c r="K1295" s="23">
        <f>ROUND(1,2)</f>
        <v>1</v>
      </c>
      <c r="L1295" s="24">
        <f>ROUND(522.582*(1+M2/100),2)</f>
        <v>538.26</v>
      </c>
      <c r="M1295" s="24">
        <f>ROUND(K1295*L1295,2)</f>
        <v>538.26</v>
      </c>
    </row>
    <row r="1296" spans="1:13" ht="30.5" customHeight="1" thickBot="1" x14ac:dyDescent="0.25">
      <c r="A1296" s="25"/>
      <c r="B1296" s="25"/>
      <c r="C1296" s="25"/>
      <c r="D1296" s="82" t="s">
        <v>3768</v>
      </c>
      <c r="E1296" s="82"/>
      <c r="F1296" s="82"/>
      <c r="G1296" s="82"/>
      <c r="H1296" s="82"/>
      <c r="I1296" s="82"/>
      <c r="J1296" s="82"/>
      <c r="K1296" s="82"/>
      <c r="L1296" s="82"/>
      <c r="M1296" s="82"/>
    </row>
    <row r="1297" spans="1:13" ht="15.25" customHeight="1" thickBot="1" x14ac:dyDescent="0.25">
      <c r="A1297" s="10" t="s">
        <v>3769</v>
      </c>
      <c r="B1297" s="5" t="s">
        <v>3770</v>
      </c>
      <c r="C1297" s="5" t="s">
        <v>3771</v>
      </c>
      <c r="D1297" s="82" t="s">
        <v>3772</v>
      </c>
      <c r="E1297" s="82"/>
      <c r="F1297" s="82"/>
      <c r="G1297" s="82"/>
      <c r="H1297" s="82"/>
      <c r="I1297" s="82"/>
      <c r="J1297" s="82"/>
      <c r="K1297" s="23">
        <f>ROUND(1,2)</f>
        <v>1</v>
      </c>
      <c r="L1297" s="24">
        <f>ROUND(18391.631*(1+M2/100),2)</f>
        <v>18943.38</v>
      </c>
      <c r="M1297" s="24">
        <f>ROUND(K1297*L1297,2)</f>
        <v>18943.38</v>
      </c>
    </row>
    <row r="1298" spans="1:13" ht="85.5" customHeight="1" thickBot="1" x14ac:dyDescent="0.25">
      <c r="A1298" s="25"/>
      <c r="B1298" s="25"/>
      <c r="C1298" s="25"/>
      <c r="D1298" s="82" t="s">
        <v>3773</v>
      </c>
      <c r="E1298" s="82"/>
      <c r="F1298" s="82"/>
      <c r="G1298" s="82"/>
      <c r="H1298" s="82"/>
      <c r="I1298" s="82"/>
      <c r="J1298" s="82"/>
      <c r="K1298" s="82"/>
      <c r="L1298" s="82"/>
      <c r="M1298" s="82"/>
    </row>
    <row r="1299" spans="1:13" ht="15.25" customHeight="1" thickBot="1" x14ac:dyDescent="0.25">
      <c r="A1299" s="10" t="s">
        <v>3774</v>
      </c>
      <c r="B1299" s="5" t="s">
        <v>3775</v>
      </c>
      <c r="C1299" s="5" t="s">
        <v>3776</v>
      </c>
      <c r="D1299" s="82" t="s">
        <v>3777</v>
      </c>
      <c r="E1299" s="82"/>
      <c r="F1299" s="82"/>
      <c r="G1299" s="82"/>
      <c r="H1299" s="82"/>
      <c r="I1299" s="82"/>
      <c r="J1299" s="82"/>
      <c r="K1299" s="23">
        <f>ROUND(1,2)</f>
        <v>1</v>
      </c>
      <c r="L1299" s="24">
        <f>ROUND(1503.95*(1+M2/100),2)</f>
        <v>1549.07</v>
      </c>
      <c r="M1299" s="24">
        <f>ROUND(K1299*L1299,2)</f>
        <v>1549.07</v>
      </c>
    </row>
    <row r="1300" spans="1:13" ht="39.5" customHeight="1" thickBot="1" x14ac:dyDescent="0.25">
      <c r="A1300" s="25"/>
      <c r="B1300" s="25"/>
      <c r="C1300" s="25"/>
      <c r="D1300" s="82" t="s">
        <v>3778</v>
      </c>
      <c r="E1300" s="82"/>
      <c r="F1300" s="82"/>
      <c r="G1300" s="82"/>
      <c r="H1300" s="82"/>
      <c r="I1300" s="82"/>
      <c r="J1300" s="82"/>
      <c r="K1300" s="82"/>
      <c r="L1300" s="82"/>
      <c r="M1300" s="82"/>
    </row>
    <row r="1301" spans="1:13" ht="15.25" customHeight="1" thickBot="1" x14ac:dyDescent="0.25">
      <c r="A1301" s="10" t="s">
        <v>3779</v>
      </c>
      <c r="B1301" s="5" t="s">
        <v>3780</v>
      </c>
      <c r="C1301" s="5" t="s">
        <v>3781</v>
      </c>
      <c r="D1301" s="82" t="s">
        <v>3782</v>
      </c>
      <c r="E1301" s="82"/>
      <c r="F1301" s="82"/>
      <c r="G1301" s="82"/>
      <c r="H1301" s="82"/>
      <c r="I1301" s="82"/>
      <c r="J1301" s="82"/>
      <c r="K1301" s="23">
        <f>ROUND(1,2)</f>
        <v>1</v>
      </c>
      <c r="L1301" s="24">
        <f>ROUND(3031.078*(1+M2/100),2)</f>
        <v>3122.01</v>
      </c>
      <c r="M1301" s="24">
        <f>ROUND(K1301*L1301,2)</f>
        <v>3122.01</v>
      </c>
    </row>
    <row r="1302" spans="1:13" ht="48.75" customHeight="1" thickBot="1" x14ac:dyDescent="0.25">
      <c r="A1302" s="25"/>
      <c r="B1302" s="25"/>
      <c r="C1302" s="25"/>
      <c r="D1302" s="82" t="s">
        <v>3783</v>
      </c>
      <c r="E1302" s="82"/>
      <c r="F1302" s="82"/>
      <c r="G1302" s="82"/>
      <c r="H1302" s="82"/>
      <c r="I1302" s="82"/>
      <c r="J1302" s="82"/>
      <c r="K1302" s="82"/>
      <c r="L1302" s="82"/>
      <c r="M1302" s="82"/>
    </row>
    <row r="1303" spans="1:13" ht="15.25" customHeight="1" thickBot="1" x14ac:dyDescent="0.25">
      <c r="A1303" s="10" t="s">
        <v>3784</v>
      </c>
      <c r="B1303" s="5" t="s">
        <v>3785</v>
      </c>
      <c r="C1303" s="5" t="s">
        <v>3786</v>
      </c>
      <c r="D1303" s="82" t="s">
        <v>3787</v>
      </c>
      <c r="E1303" s="82"/>
      <c r="F1303" s="82"/>
      <c r="G1303" s="82"/>
      <c r="H1303" s="82"/>
      <c r="I1303" s="82"/>
      <c r="J1303" s="82"/>
      <c r="K1303" s="23">
        <f>ROUND(1,2)</f>
        <v>1</v>
      </c>
      <c r="L1303" s="24">
        <f>ROUND(124.163*(1+M2/100),2)</f>
        <v>127.89</v>
      </c>
      <c r="M1303" s="24">
        <f>ROUND(K1303*L1303,2)</f>
        <v>127.89</v>
      </c>
    </row>
    <row r="1304" spans="1:13" ht="21.25" customHeight="1" thickBot="1" x14ac:dyDescent="0.25">
      <c r="A1304" s="25"/>
      <c r="B1304" s="25"/>
      <c r="C1304" s="25"/>
      <c r="D1304" s="82" t="s">
        <v>3788</v>
      </c>
      <c r="E1304" s="82"/>
      <c r="F1304" s="82"/>
      <c r="G1304" s="82"/>
      <c r="H1304" s="82"/>
      <c r="I1304" s="82"/>
      <c r="J1304" s="82"/>
      <c r="K1304" s="82"/>
      <c r="L1304" s="82"/>
      <c r="M1304" s="82"/>
    </row>
    <row r="1305" spans="1:13" ht="15.25" customHeight="1" thickBot="1" x14ac:dyDescent="0.25">
      <c r="A1305" s="10" t="s">
        <v>3789</v>
      </c>
      <c r="B1305" s="5" t="s">
        <v>3790</v>
      </c>
      <c r="C1305" s="5" t="s">
        <v>3791</v>
      </c>
      <c r="D1305" s="82" t="s">
        <v>3792</v>
      </c>
      <c r="E1305" s="82"/>
      <c r="F1305" s="82"/>
      <c r="G1305" s="82"/>
      <c r="H1305" s="82"/>
      <c r="I1305" s="82"/>
      <c r="J1305" s="82"/>
      <c r="K1305" s="23">
        <f>ROUND(1,2)</f>
        <v>1</v>
      </c>
      <c r="L1305" s="24">
        <f>ROUND(1362.604*(1+M2/100),2)</f>
        <v>1403.48</v>
      </c>
      <c r="M1305" s="24">
        <f>ROUND(K1305*L1305,2)</f>
        <v>1403.48</v>
      </c>
    </row>
    <row r="1306" spans="1:13" ht="39.5" customHeight="1" thickBot="1" x14ac:dyDescent="0.25">
      <c r="A1306" s="25"/>
      <c r="B1306" s="25"/>
      <c r="C1306" s="25"/>
      <c r="D1306" s="82" t="s">
        <v>3793</v>
      </c>
      <c r="E1306" s="82"/>
      <c r="F1306" s="82"/>
      <c r="G1306" s="82"/>
      <c r="H1306" s="82"/>
      <c r="I1306" s="82"/>
      <c r="J1306" s="82"/>
      <c r="K1306" s="82"/>
      <c r="L1306" s="82"/>
      <c r="M1306" s="82"/>
    </row>
    <row r="1307" spans="1:13" ht="15.25" customHeight="1" thickBot="1" x14ac:dyDescent="0.25">
      <c r="A1307" s="10" t="s">
        <v>3794</v>
      </c>
      <c r="B1307" s="5" t="s">
        <v>3795</v>
      </c>
      <c r="C1307" s="5" t="s">
        <v>3796</v>
      </c>
      <c r="D1307" s="82" t="s">
        <v>3797</v>
      </c>
      <c r="E1307" s="82"/>
      <c r="F1307" s="82"/>
      <c r="G1307" s="82"/>
      <c r="H1307" s="82"/>
      <c r="I1307" s="82"/>
      <c r="J1307" s="82"/>
      <c r="K1307" s="23">
        <f>ROUND(1,2)</f>
        <v>1</v>
      </c>
      <c r="L1307" s="24">
        <f>ROUND(144.585*(1+M2/100),2)</f>
        <v>148.91999999999999</v>
      </c>
      <c r="M1307" s="24">
        <f>ROUND(K1307*L1307,2)</f>
        <v>148.91999999999999</v>
      </c>
    </row>
    <row r="1308" spans="1:13" ht="21.25" customHeight="1" thickBot="1" x14ac:dyDescent="0.25">
      <c r="A1308" s="25"/>
      <c r="B1308" s="25"/>
      <c r="C1308" s="25"/>
      <c r="D1308" s="82" t="s">
        <v>3798</v>
      </c>
      <c r="E1308" s="82"/>
      <c r="F1308" s="82"/>
      <c r="G1308" s="82"/>
      <c r="H1308" s="82"/>
      <c r="I1308" s="82"/>
      <c r="J1308" s="82"/>
      <c r="K1308" s="82"/>
      <c r="L1308" s="82"/>
      <c r="M1308" s="82"/>
    </row>
    <row r="1309" spans="1:13" ht="15.25" customHeight="1" thickBot="1" x14ac:dyDescent="0.25">
      <c r="A1309" s="10" t="s">
        <v>3799</v>
      </c>
      <c r="B1309" s="5" t="s">
        <v>3800</v>
      </c>
      <c r="C1309" s="5" t="s">
        <v>3801</v>
      </c>
      <c r="D1309" s="82" t="s">
        <v>3802</v>
      </c>
      <c r="E1309" s="82"/>
      <c r="F1309" s="82"/>
      <c r="G1309" s="82"/>
      <c r="H1309" s="82"/>
      <c r="I1309" s="82"/>
      <c r="J1309" s="82"/>
      <c r="K1309" s="23">
        <f>ROUND(1,2)</f>
        <v>1</v>
      </c>
      <c r="L1309" s="24">
        <f>ROUND(11615.495*(1+M2/100),2)</f>
        <v>11963.96</v>
      </c>
      <c r="M1309" s="24">
        <f>ROUND(K1309*L1309,2)</f>
        <v>11963.96</v>
      </c>
    </row>
    <row r="1310" spans="1:13" ht="58" customHeight="1" thickBot="1" x14ac:dyDescent="0.25">
      <c r="A1310" s="25"/>
      <c r="B1310" s="25"/>
      <c r="C1310" s="25"/>
      <c r="D1310" s="82" t="s">
        <v>3803</v>
      </c>
      <c r="E1310" s="82"/>
      <c r="F1310" s="82"/>
      <c r="G1310" s="82"/>
      <c r="H1310" s="82"/>
      <c r="I1310" s="82"/>
      <c r="J1310" s="82"/>
      <c r="K1310" s="82"/>
      <c r="L1310" s="82"/>
      <c r="M1310" s="82"/>
    </row>
    <row r="1311" spans="1:13" ht="15.25" customHeight="1" thickBot="1" x14ac:dyDescent="0.25">
      <c r="A1311" s="10" t="s">
        <v>3804</v>
      </c>
      <c r="B1311" s="5" t="s">
        <v>3805</v>
      </c>
      <c r="C1311" s="5" t="s">
        <v>3806</v>
      </c>
      <c r="D1311" s="82" t="s">
        <v>3807</v>
      </c>
      <c r="E1311" s="82"/>
      <c r="F1311" s="82"/>
      <c r="G1311" s="82"/>
      <c r="H1311" s="82"/>
      <c r="I1311" s="82"/>
      <c r="J1311" s="82"/>
      <c r="K1311" s="23">
        <f>ROUND(1,2)</f>
        <v>1</v>
      </c>
      <c r="L1311" s="24">
        <f>ROUND(1002.097*(1+M2/100),2)</f>
        <v>1032.1600000000001</v>
      </c>
      <c r="M1311" s="24">
        <f>ROUND(K1311*L1311,2)</f>
        <v>1032.1600000000001</v>
      </c>
    </row>
    <row r="1312" spans="1:13" ht="21.25" customHeight="1" thickBot="1" x14ac:dyDescent="0.25">
      <c r="A1312" s="25"/>
      <c r="B1312" s="25"/>
      <c r="C1312" s="25"/>
      <c r="D1312" s="82" t="s">
        <v>3808</v>
      </c>
      <c r="E1312" s="82"/>
      <c r="F1312" s="82"/>
      <c r="G1312" s="82"/>
      <c r="H1312" s="82"/>
      <c r="I1312" s="82"/>
      <c r="J1312" s="82"/>
      <c r="K1312" s="82"/>
      <c r="L1312" s="82"/>
      <c r="M1312" s="82"/>
    </row>
    <row r="1313" spans="1:13" ht="15.25" customHeight="1" thickBot="1" x14ac:dyDescent="0.25">
      <c r="A1313" s="10" t="s">
        <v>3809</v>
      </c>
      <c r="B1313" s="5" t="s">
        <v>3810</v>
      </c>
      <c r="C1313" s="5" t="s">
        <v>3811</v>
      </c>
      <c r="D1313" s="82" t="s">
        <v>3812</v>
      </c>
      <c r="E1313" s="82"/>
      <c r="F1313" s="82"/>
      <c r="G1313" s="82"/>
      <c r="H1313" s="82"/>
      <c r="I1313" s="82"/>
      <c r="J1313" s="82"/>
      <c r="K1313" s="23">
        <f>ROUND(1,2)</f>
        <v>1</v>
      </c>
      <c r="L1313" s="24">
        <f>ROUND(3925.097*(1+M2/100),2)</f>
        <v>4042.85</v>
      </c>
      <c r="M1313" s="24">
        <f>ROUND(K1313*L1313,2)</f>
        <v>4042.85</v>
      </c>
    </row>
    <row r="1314" spans="1:13" ht="39.5" customHeight="1" thickBot="1" x14ac:dyDescent="0.25">
      <c r="A1314" s="25"/>
      <c r="B1314" s="25"/>
      <c r="C1314" s="25"/>
      <c r="D1314" s="82" t="s">
        <v>3813</v>
      </c>
      <c r="E1314" s="82"/>
      <c r="F1314" s="82"/>
      <c r="G1314" s="82"/>
      <c r="H1314" s="82"/>
      <c r="I1314" s="82"/>
      <c r="J1314" s="82"/>
      <c r="K1314" s="82"/>
      <c r="L1314" s="82"/>
      <c r="M1314" s="82"/>
    </row>
    <row r="1315" spans="1:13" ht="15.25" customHeight="1" thickBot="1" x14ac:dyDescent="0.25">
      <c r="A1315" s="10" t="s">
        <v>3814</v>
      </c>
      <c r="B1315" s="5" t="s">
        <v>3815</v>
      </c>
      <c r="C1315" s="5" t="s">
        <v>3816</v>
      </c>
      <c r="D1315" s="82" t="s">
        <v>3817</v>
      </c>
      <c r="E1315" s="82"/>
      <c r="F1315" s="82"/>
      <c r="G1315" s="82"/>
      <c r="H1315" s="82"/>
      <c r="I1315" s="82"/>
      <c r="J1315" s="82"/>
      <c r="K1315" s="23">
        <f>ROUND(1,2)</f>
        <v>1</v>
      </c>
      <c r="L1315" s="24">
        <f>ROUND(1490.304*(1+M2/100),2)</f>
        <v>1535.01</v>
      </c>
      <c r="M1315" s="24">
        <f>ROUND(K1315*L1315,2)</f>
        <v>1535.01</v>
      </c>
    </row>
    <row r="1316" spans="1:13" ht="39.5" customHeight="1" thickBot="1" x14ac:dyDescent="0.25">
      <c r="A1316" s="25"/>
      <c r="B1316" s="25"/>
      <c r="C1316" s="25"/>
      <c r="D1316" s="82" t="s">
        <v>3818</v>
      </c>
      <c r="E1316" s="82"/>
      <c r="F1316" s="82"/>
      <c r="G1316" s="82"/>
      <c r="H1316" s="82"/>
      <c r="I1316" s="82"/>
      <c r="J1316" s="82"/>
      <c r="K1316" s="82"/>
      <c r="L1316" s="82"/>
      <c r="M1316" s="82"/>
    </row>
    <row r="1317" spans="1:13" ht="15.25" customHeight="1" thickBot="1" x14ac:dyDescent="0.25">
      <c r="A1317" s="10" t="s">
        <v>3819</v>
      </c>
      <c r="B1317" s="5" t="s">
        <v>3820</v>
      </c>
      <c r="C1317" s="5" t="s">
        <v>3821</v>
      </c>
      <c r="D1317" s="82" t="s">
        <v>3822</v>
      </c>
      <c r="E1317" s="82"/>
      <c r="F1317" s="82"/>
      <c r="G1317" s="82"/>
      <c r="H1317" s="82"/>
      <c r="I1317" s="82"/>
      <c r="J1317" s="82"/>
      <c r="K1317" s="23">
        <f>ROUND(1,2)</f>
        <v>1</v>
      </c>
      <c r="L1317" s="24">
        <f>ROUND(205.77*(1+M2/100),2)</f>
        <v>211.94</v>
      </c>
      <c r="M1317" s="24">
        <f>ROUND(K1317*L1317,2)</f>
        <v>211.94</v>
      </c>
    </row>
    <row r="1318" spans="1:13" ht="30.5" customHeight="1" thickBot="1" x14ac:dyDescent="0.25">
      <c r="A1318" s="25"/>
      <c r="B1318" s="25"/>
      <c r="C1318" s="25"/>
      <c r="D1318" s="82" t="s">
        <v>3823</v>
      </c>
      <c r="E1318" s="82"/>
      <c r="F1318" s="82"/>
      <c r="G1318" s="82"/>
      <c r="H1318" s="82"/>
      <c r="I1318" s="82"/>
      <c r="J1318" s="82"/>
      <c r="K1318" s="82"/>
      <c r="L1318" s="82"/>
      <c r="M1318" s="82"/>
    </row>
    <row r="1319" spans="1:13" ht="15.25" customHeight="1" thickBot="1" x14ac:dyDescent="0.25">
      <c r="A1319" s="10" t="s">
        <v>3824</v>
      </c>
      <c r="B1319" s="5" t="s">
        <v>3825</v>
      </c>
      <c r="C1319" s="5" t="s">
        <v>3826</v>
      </c>
      <c r="D1319" s="82" t="s">
        <v>3827</v>
      </c>
      <c r="E1319" s="82"/>
      <c r="F1319" s="82"/>
      <c r="G1319" s="82"/>
      <c r="H1319" s="82"/>
      <c r="I1319" s="82"/>
      <c r="J1319" s="82"/>
      <c r="K1319" s="23">
        <f>ROUND(1,2)</f>
        <v>1</v>
      </c>
      <c r="L1319" s="24">
        <f>ROUND(319.021*(1+M2/100),2)</f>
        <v>328.59</v>
      </c>
      <c r="M1319" s="24">
        <f>ROUND(K1319*L1319,2)</f>
        <v>328.59</v>
      </c>
    </row>
    <row r="1320" spans="1:13" ht="30.5" customHeight="1" thickBot="1" x14ac:dyDescent="0.25">
      <c r="A1320" s="25"/>
      <c r="B1320" s="25"/>
      <c r="C1320" s="25"/>
      <c r="D1320" s="82" t="s">
        <v>3828</v>
      </c>
      <c r="E1320" s="82"/>
      <c r="F1320" s="82"/>
      <c r="G1320" s="82"/>
      <c r="H1320" s="82"/>
      <c r="I1320" s="82"/>
      <c r="J1320" s="82"/>
      <c r="K1320" s="82"/>
      <c r="L1320" s="82"/>
      <c r="M1320" s="82"/>
    </row>
    <row r="1321" spans="1:13" ht="15.25" customHeight="1" thickBot="1" x14ac:dyDescent="0.25">
      <c r="A1321" s="26"/>
      <c r="B1321" s="26"/>
      <c r="C1321" s="26"/>
      <c r="D1321" s="68" t="s">
        <v>3829</v>
      </c>
      <c r="E1321" s="69"/>
      <c r="F1321" s="69"/>
      <c r="G1321" s="69"/>
      <c r="H1321" s="69"/>
      <c r="I1321" s="69"/>
      <c r="J1321" s="69"/>
      <c r="K1321" s="69"/>
      <c r="L1321" s="70">
        <f>M1279+M1281+M1283+M1285+M1287+M1289+M1291+M1293+M1295+M1297+M1299+M1301+M1303+M1305+M1307+M1309+M1311+M1313+M1315+M1317+M1319</f>
        <v>128777.61</v>
      </c>
      <c r="M1321" s="70">
        <f>ROUND(L1321,2)</f>
        <v>128777.61</v>
      </c>
    </row>
    <row r="1322" spans="1:13" ht="15.25" customHeight="1" thickBot="1" x14ac:dyDescent="0.25">
      <c r="A1322" s="55" t="s">
        <v>3830</v>
      </c>
      <c r="B1322" s="55" t="s">
        <v>3831</v>
      </c>
      <c r="C1322" s="56"/>
      <c r="D1322" s="85" t="s">
        <v>3832</v>
      </c>
      <c r="E1322" s="85"/>
      <c r="F1322" s="85"/>
      <c r="G1322" s="85"/>
      <c r="H1322" s="85"/>
      <c r="I1322" s="85"/>
      <c r="J1322" s="85"/>
      <c r="K1322" s="56"/>
      <c r="L1322" s="57">
        <f>L1333</f>
        <v>29065.380000000005</v>
      </c>
      <c r="M1322" s="57">
        <f>ROUND(L1322,2)</f>
        <v>29065.38</v>
      </c>
    </row>
    <row r="1323" spans="1:13" ht="15.25" customHeight="1" thickBot="1" x14ac:dyDescent="0.25">
      <c r="A1323" s="10" t="s">
        <v>3833</v>
      </c>
      <c r="B1323" s="5" t="s">
        <v>3834</v>
      </c>
      <c r="C1323" s="5" t="s">
        <v>3835</v>
      </c>
      <c r="D1323" s="82" t="s">
        <v>3836</v>
      </c>
      <c r="E1323" s="82"/>
      <c r="F1323" s="82"/>
      <c r="G1323" s="82"/>
      <c r="H1323" s="82"/>
      <c r="I1323" s="82"/>
      <c r="J1323" s="82"/>
      <c r="K1323" s="23">
        <f>ROUND(1,2)</f>
        <v>1</v>
      </c>
      <c r="L1323" s="24">
        <f>ROUND(3067.942*(1+M2/100),2)</f>
        <v>3159.98</v>
      </c>
      <c r="M1323" s="24">
        <f>ROUND(K1323*L1323,2)</f>
        <v>3159.98</v>
      </c>
    </row>
    <row r="1324" spans="1:13" ht="48.75" customHeight="1" thickBot="1" x14ac:dyDescent="0.25">
      <c r="A1324" s="25"/>
      <c r="B1324" s="25"/>
      <c r="C1324" s="25"/>
      <c r="D1324" s="82" t="s">
        <v>3837</v>
      </c>
      <c r="E1324" s="82"/>
      <c r="F1324" s="82"/>
      <c r="G1324" s="82"/>
      <c r="H1324" s="82"/>
      <c r="I1324" s="82"/>
      <c r="J1324" s="82"/>
      <c r="K1324" s="82"/>
      <c r="L1324" s="82"/>
      <c r="M1324" s="82"/>
    </row>
    <row r="1325" spans="1:13" ht="15.25" customHeight="1" thickBot="1" x14ac:dyDescent="0.25">
      <c r="A1325" s="10" t="s">
        <v>3838</v>
      </c>
      <c r="B1325" s="5" t="s">
        <v>3839</v>
      </c>
      <c r="C1325" s="5" t="s">
        <v>3840</v>
      </c>
      <c r="D1325" s="82" t="s">
        <v>3841</v>
      </c>
      <c r="E1325" s="82"/>
      <c r="F1325" s="82"/>
      <c r="G1325" s="82"/>
      <c r="H1325" s="82"/>
      <c r="I1325" s="82"/>
      <c r="J1325" s="82"/>
      <c r="K1325" s="23">
        <f>ROUND(1,2)</f>
        <v>1</v>
      </c>
      <c r="L1325" s="24">
        <f>ROUND(205.771*(1+M2/100),2)</f>
        <v>211.94</v>
      </c>
      <c r="M1325" s="24">
        <f>ROUND(K1325*L1325,2)</f>
        <v>211.94</v>
      </c>
    </row>
    <row r="1326" spans="1:13" ht="30.5" customHeight="1" thickBot="1" x14ac:dyDescent="0.25">
      <c r="A1326" s="25"/>
      <c r="B1326" s="25"/>
      <c r="C1326" s="25"/>
      <c r="D1326" s="82" t="s">
        <v>3842</v>
      </c>
      <c r="E1326" s="82"/>
      <c r="F1326" s="82"/>
      <c r="G1326" s="82"/>
      <c r="H1326" s="82"/>
      <c r="I1326" s="82"/>
      <c r="J1326" s="82"/>
      <c r="K1326" s="82"/>
      <c r="L1326" s="82"/>
      <c r="M1326" s="82"/>
    </row>
    <row r="1327" spans="1:13" ht="15.25" customHeight="1" thickBot="1" x14ac:dyDescent="0.25">
      <c r="A1327" s="10" t="s">
        <v>3843</v>
      </c>
      <c r="B1327" s="5" t="s">
        <v>3844</v>
      </c>
      <c r="C1327" s="5" t="s">
        <v>3845</v>
      </c>
      <c r="D1327" s="82" t="s">
        <v>3846</v>
      </c>
      <c r="E1327" s="82"/>
      <c r="F1327" s="82"/>
      <c r="G1327" s="82"/>
      <c r="H1327" s="82"/>
      <c r="I1327" s="82"/>
      <c r="J1327" s="82"/>
      <c r="K1327" s="23">
        <f>ROUND(1,2)</f>
        <v>1</v>
      </c>
      <c r="L1327" s="24">
        <f>ROUND(20201.893*(1+M2/100),2)</f>
        <v>20807.95</v>
      </c>
      <c r="M1327" s="24">
        <f>ROUND(K1327*L1327,2)</f>
        <v>20807.95</v>
      </c>
    </row>
    <row r="1328" spans="1:13" ht="149.75" customHeight="1" thickBot="1" x14ac:dyDescent="0.25">
      <c r="A1328" s="25"/>
      <c r="B1328" s="25"/>
      <c r="C1328" s="25"/>
      <c r="D1328" s="82" t="s">
        <v>3847</v>
      </c>
      <c r="E1328" s="82"/>
      <c r="F1328" s="82"/>
      <c r="G1328" s="82"/>
      <c r="H1328" s="82"/>
      <c r="I1328" s="82"/>
      <c r="J1328" s="82"/>
      <c r="K1328" s="82"/>
      <c r="L1328" s="82"/>
      <c r="M1328" s="82"/>
    </row>
    <row r="1329" spans="1:13" ht="15.25" customHeight="1" thickBot="1" x14ac:dyDescent="0.25">
      <c r="A1329" s="10" t="s">
        <v>3848</v>
      </c>
      <c r="B1329" s="5" t="s">
        <v>3849</v>
      </c>
      <c r="C1329" s="5" t="s">
        <v>3850</v>
      </c>
      <c r="D1329" s="82" t="s">
        <v>3851</v>
      </c>
      <c r="E1329" s="82"/>
      <c r="F1329" s="82"/>
      <c r="G1329" s="82"/>
      <c r="H1329" s="82"/>
      <c r="I1329" s="82"/>
      <c r="J1329" s="82"/>
      <c r="K1329" s="23">
        <f>ROUND(1,2)</f>
        <v>1</v>
      </c>
      <c r="L1329" s="24">
        <f>ROUND(3295.583*(1+M2/100),2)</f>
        <v>3394.45</v>
      </c>
      <c r="M1329" s="24">
        <f>ROUND(K1329*L1329,2)</f>
        <v>3394.45</v>
      </c>
    </row>
    <row r="1330" spans="1:13" ht="30.5" customHeight="1" thickBot="1" x14ac:dyDescent="0.25">
      <c r="A1330" s="25"/>
      <c r="B1330" s="25"/>
      <c r="C1330" s="25"/>
      <c r="D1330" s="82" t="s">
        <v>3852</v>
      </c>
      <c r="E1330" s="82"/>
      <c r="F1330" s="82"/>
      <c r="G1330" s="82"/>
      <c r="H1330" s="82"/>
      <c r="I1330" s="82"/>
      <c r="J1330" s="82"/>
      <c r="K1330" s="82"/>
      <c r="L1330" s="82"/>
      <c r="M1330" s="82"/>
    </row>
    <row r="1331" spans="1:13" ht="15.25" customHeight="1" thickBot="1" x14ac:dyDescent="0.25">
      <c r="A1331" s="10" t="s">
        <v>3853</v>
      </c>
      <c r="B1331" s="5" t="s">
        <v>3854</v>
      </c>
      <c r="C1331" s="5" t="s">
        <v>3855</v>
      </c>
      <c r="D1331" s="82" t="s">
        <v>3856</v>
      </c>
      <c r="E1331" s="82"/>
      <c r="F1331" s="82"/>
      <c r="G1331" s="82"/>
      <c r="H1331" s="82"/>
      <c r="I1331" s="82"/>
      <c r="J1331" s="82"/>
      <c r="K1331" s="23">
        <f>ROUND(1,2)</f>
        <v>1</v>
      </c>
      <c r="L1331" s="24">
        <f>ROUND(1447.628*(1+M2/100),2)</f>
        <v>1491.06</v>
      </c>
      <c r="M1331" s="24">
        <f>ROUND(K1331*L1331,2)</f>
        <v>1491.06</v>
      </c>
    </row>
    <row r="1332" spans="1:13" ht="21.25" customHeight="1" thickBot="1" x14ac:dyDescent="0.25">
      <c r="A1332" s="25"/>
      <c r="B1332" s="25"/>
      <c r="C1332" s="25"/>
      <c r="D1332" s="82" t="s">
        <v>3857</v>
      </c>
      <c r="E1332" s="82"/>
      <c r="F1332" s="82"/>
      <c r="G1332" s="82"/>
      <c r="H1332" s="82"/>
      <c r="I1332" s="82"/>
      <c r="J1332" s="82"/>
      <c r="K1332" s="82"/>
      <c r="L1332" s="82"/>
      <c r="M1332" s="82"/>
    </row>
    <row r="1333" spans="1:13" ht="15.25" customHeight="1" thickBot="1" x14ac:dyDescent="0.25">
      <c r="A1333" s="26"/>
      <c r="B1333" s="26"/>
      <c r="C1333" s="26"/>
      <c r="D1333" s="68" t="s">
        <v>3858</v>
      </c>
      <c r="E1333" s="69"/>
      <c r="F1333" s="69"/>
      <c r="G1333" s="69"/>
      <c r="H1333" s="69"/>
      <c r="I1333" s="69"/>
      <c r="J1333" s="69"/>
      <c r="K1333" s="69"/>
      <c r="L1333" s="70">
        <f>M1323+M1325+M1327+M1329+M1331</f>
        <v>29065.380000000005</v>
      </c>
      <c r="M1333" s="70">
        <f>ROUND(L1333,2)</f>
        <v>29065.38</v>
      </c>
    </row>
    <row r="1334" spans="1:13" ht="15.25" customHeight="1" thickBot="1" x14ac:dyDescent="0.25">
      <c r="A1334" s="55" t="s">
        <v>3859</v>
      </c>
      <c r="B1334" s="55" t="s">
        <v>3860</v>
      </c>
      <c r="C1334" s="56"/>
      <c r="D1334" s="85" t="s">
        <v>3861</v>
      </c>
      <c r="E1334" s="85"/>
      <c r="F1334" s="85"/>
      <c r="G1334" s="85"/>
      <c r="H1334" s="85"/>
      <c r="I1334" s="85"/>
      <c r="J1334" s="85"/>
      <c r="K1334" s="56"/>
      <c r="L1334" s="57">
        <f>L1337</f>
        <v>28056.38</v>
      </c>
      <c r="M1334" s="57">
        <f>ROUND(L1334,2)</f>
        <v>28056.38</v>
      </c>
    </row>
    <row r="1335" spans="1:13" ht="15.25" customHeight="1" thickBot="1" x14ac:dyDescent="0.25">
      <c r="A1335" s="10" t="s">
        <v>3862</v>
      </c>
      <c r="B1335" s="5" t="s">
        <v>3863</v>
      </c>
      <c r="C1335" s="5" t="s">
        <v>3864</v>
      </c>
      <c r="D1335" s="82" t="s">
        <v>3865</v>
      </c>
      <c r="E1335" s="82"/>
      <c r="F1335" s="82"/>
      <c r="G1335" s="82"/>
      <c r="H1335" s="82"/>
      <c r="I1335" s="82"/>
      <c r="J1335" s="82"/>
      <c r="K1335" s="23">
        <f>ROUND(1,2)</f>
        <v>1</v>
      </c>
      <c r="L1335" s="24">
        <f>ROUND(27239.204*(1+M2/100),2)</f>
        <v>28056.38</v>
      </c>
      <c r="M1335" s="24">
        <f>ROUND(K1335*L1335,2)</f>
        <v>28056.38</v>
      </c>
    </row>
    <row r="1336" spans="1:13" ht="409.6" customHeight="1" thickBot="1" x14ac:dyDescent="0.25">
      <c r="A1336" s="25"/>
      <c r="B1336" s="25"/>
      <c r="C1336" s="25"/>
      <c r="D1336" s="82" t="s">
        <v>3866</v>
      </c>
      <c r="E1336" s="82"/>
      <c r="F1336" s="82"/>
      <c r="G1336" s="82"/>
      <c r="H1336" s="82"/>
      <c r="I1336" s="82"/>
      <c r="J1336" s="82"/>
      <c r="K1336" s="82"/>
      <c r="L1336" s="82"/>
      <c r="M1336" s="82"/>
    </row>
    <row r="1337" spans="1:13" ht="15.25" customHeight="1" thickBot="1" x14ac:dyDescent="0.25">
      <c r="A1337" s="26"/>
      <c r="B1337" s="26"/>
      <c r="C1337" s="26"/>
      <c r="D1337" s="68" t="s">
        <v>3867</v>
      </c>
      <c r="E1337" s="69"/>
      <c r="F1337" s="69"/>
      <c r="G1337" s="69"/>
      <c r="H1337" s="69"/>
      <c r="I1337" s="69"/>
      <c r="J1337" s="69"/>
      <c r="K1337" s="69"/>
      <c r="L1337" s="70">
        <f>M1335</f>
        <v>28056.38</v>
      </c>
      <c r="M1337" s="70">
        <f>ROUND(L1337,2)</f>
        <v>28056.38</v>
      </c>
    </row>
    <row r="1338" spans="1:13" ht="15.25" customHeight="1" thickBot="1" x14ac:dyDescent="0.25">
      <c r="A1338" s="34"/>
      <c r="B1338" s="34"/>
      <c r="C1338" s="34"/>
      <c r="D1338" s="59" t="s">
        <v>3868</v>
      </c>
      <c r="E1338" s="60"/>
      <c r="F1338" s="60"/>
      <c r="G1338" s="60"/>
      <c r="H1338" s="60"/>
      <c r="I1338" s="60"/>
      <c r="J1338" s="60"/>
      <c r="K1338" s="60"/>
      <c r="L1338" s="61">
        <f>M1259+M1277+M1321+M1333+M1337</f>
        <v>250919.58000000002</v>
      </c>
      <c r="M1338" s="61">
        <f>ROUND(L1338,2)</f>
        <v>250919.58</v>
      </c>
    </row>
    <row r="1339" spans="1:13" ht="15.25" customHeight="1" thickBot="1" x14ac:dyDescent="0.25">
      <c r="A1339" s="62" t="s">
        <v>3869</v>
      </c>
      <c r="B1339" s="62" t="s">
        <v>3870</v>
      </c>
      <c r="C1339" s="63"/>
      <c r="D1339" s="86" t="s">
        <v>3871</v>
      </c>
      <c r="E1339" s="86"/>
      <c r="F1339" s="86"/>
      <c r="G1339" s="86"/>
      <c r="H1339" s="86"/>
      <c r="I1339" s="86"/>
      <c r="J1339" s="86"/>
      <c r="K1339" s="63"/>
      <c r="L1339" s="64">
        <f>L1349</f>
        <v>7867</v>
      </c>
      <c r="M1339" s="64">
        <f>ROUND(L1339,2)</f>
        <v>7867</v>
      </c>
    </row>
    <row r="1340" spans="1:13" ht="15.25" customHeight="1" thickBot="1" x14ac:dyDescent="0.25">
      <c r="A1340" s="17" t="s">
        <v>3872</v>
      </c>
      <c r="B1340" s="17" t="s">
        <v>3873</v>
      </c>
      <c r="C1340" s="18"/>
      <c r="D1340" s="80" t="s">
        <v>3874</v>
      </c>
      <c r="E1340" s="80"/>
      <c r="F1340" s="80"/>
      <c r="G1340" s="80"/>
      <c r="H1340" s="80"/>
      <c r="I1340" s="80"/>
      <c r="J1340" s="80"/>
      <c r="K1340" s="18"/>
      <c r="L1340" s="19">
        <f>L1348</f>
        <v>7867</v>
      </c>
      <c r="M1340" s="19">
        <f>ROUND(L1340,2)</f>
        <v>7867</v>
      </c>
    </row>
    <row r="1341" spans="1:13" ht="15.25" customHeight="1" thickBot="1" x14ac:dyDescent="0.25">
      <c r="A1341" s="10" t="s">
        <v>3875</v>
      </c>
      <c r="B1341" s="5" t="s">
        <v>3876</v>
      </c>
      <c r="C1341" s="5" t="s">
        <v>3877</v>
      </c>
      <c r="D1341" s="82" t="s">
        <v>3878</v>
      </c>
      <c r="E1341" s="82"/>
      <c r="F1341" s="82"/>
      <c r="G1341" s="82"/>
      <c r="H1341" s="82"/>
      <c r="I1341" s="82"/>
      <c r="J1341" s="82"/>
      <c r="K1341" s="23">
        <f>ROUND(1,2)</f>
        <v>1</v>
      </c>
      <c r="L1341" s="24">
        <f>L1347</f>
        <v>7867</v>
      </c>
      <c r="M1341" s="24">
        <f>ROUND(K1341*L1341,2)</f>
        <v>7867</v>
      </c>
    </row>
    <row r="1342" spans="1:13" ht="48.75" customHeight="1" thickBot="1" x14ac:dyDescent="0.25">
      <c r="A1342" s="25"/>
      <c r="B1342" s="25"/>
      <c r="C1342" s="25"/>
      <c r="D1342" s="82" t="s">
        <v>3879</v>
      </c>
      <c r="E1342" s="82"/>
      <c r="F1342" s="82"/>
      <c r="G1342" s="82"/>
      <c r="H1342" s="82"/>
      <c r="I1342" s="82"/>
      <c r="J1342" s="82"/>
      <c r="K1342" s="82"/>
      <c r="L1342" s="82"/>
      <c r="M1342" s="82"/>
    </row>
    <row r="1343" spans="1:13" ht="30.5" customHeight="1" thickBot="1" x14ac:dyDescent="0.25">
      <c r="A1343" s="5" t="s">
        <v>3880</v>
      </c>
      <c r="B1343" s="5" t="s">
        <v>3881</v>
      </c>
      <c r="C1343" s="5" t="s">
        <v>3882</v>
      </c>
      <c r="D1343" s="82" t="s">
        <v>3883</v>
      </c>
      <c r="E1343" s="82"/>
      <c r="F1343" s="82"/>
      <c r="G1343" s="82"/>
      <c r="H1343" s="82"/>
      <c r="I1343" s="82"/>
      <c r="J1343" s="82"/>
      <c r="K1343" s="23">
        <v>1</v>
      </c>
      <c r="L1343" s="23">
        <f>ROUND(7178.54,3)</f>
        <v>7178.54</v>
      </c>
      <c r="M1343" s="24">
        <f>ROUND(K1343*L1343,2)</f>
        <v>7178.54</v>
      </c>
    </row>
    <row r="1344" spans="1:13" ht="15" customHeight="1" thickBot="1" x14ac:dyDescent="0.25">
      <c r="A1344" s="5" t="s">
        <v>3884</v>
      </c>
      <c r="B1344" s="5" t="s">
        <v>3885</v>
      </c>
      <c r="C1344" s="5" t="s">
        <v>3886</v>
      </c>
      <c r="D1344" s="82" t="s">
        <v>3887</v>
      </c>
      <c r="E1344" s="82"/>
      <c r="F1344" s="82"/>
      <c r="G1344" s="82"/>
      <c r="H1344" s="82"/>
      <c r="I1344" s="82"/>
      <c r="J1344" s="82"/>
      <c r="K1344" s="23">
        <v>7.3179999999999996</v>
      </c>
      <c r="L1344" s="23">
        <f>ROUND(22,3)</f>
        <v>22</v>
      </c>
      <c r="M1344" s="24">
        <f>ROUND(K1344*L1344,2)</f>
        <v>161</v>
      </c>
    </row>
    <row r="1345" spans="1:13" ht="15" customHeight="1" thickBot="1" x14ac:dyDescent="0.25">
      <c r="A1345" s="5" t="s">
        <v>3888</v>
      </c>
      <c r="B1345" s="5" t="s">
        <v>3889</v>
      </c>
      <c r="C1345" s="5" t="s">
        <v>3890</v>
      </c>
      <c r="D1345" s="82" t="s">
        <v>3891</v>
      </c>
      <c r="E1345" s="82"/>
      <c r="F1345" s="82"/>
      <c r="G1345" s="82"/>
      <c r="H1345" s="82"/>
      <c r="I1345" s="82"/>
      <c r="J1345" s="82"/>
      <c r="K1345" s="23">
        <v>7.3179999999999996</v>
      </c>
      <c r="L1345" s="23">
        <f>ROUND(20.3,3)</f>
        <v>20.3</v>
      </c>
      <c r="M1345" s="24">
        <f>ROUND(K1345*L1345,2)</f>
        <v>148.56</v>
      </c>
    </row>
    <row r="1346" spans="1:13" ht="15" customHeight="1" thickBot="1" x14ac:dyDescent="0.25">
      <c r="A1346" s="5" t="s">
        <v>3892</v>
      </c>
      <c r="B1346" s="5"/>
      <c r="C1346" s="5" t="s">
        <v>3893</v>
      </c>
      <c r="D1346" s="82" t="s">
        <v>3894</v>
      </c>
      <c r="E1346" s="82"/>
      <c r="F1346" s="82"/>
      <c r="G1346" s="82"/>
      <c r="H1346" s="82"/>
      <c r="I1346" s="82"/>
      <c r="J1346" s="82"/>
      <c r="K1346" s="23">
        <v>2</v>
      </c>
      <c r="L1346" s="23">
        <f>ROUND(7488.1,3)</f>
        <v>7488.1</v>
      </c>
      <c r="M1346" s="24">
        <f>ROUND((K1346*L1346)/100,2)</f>
        <v>149.76</v>
      </c>
    </row>
    <row r="1347" spans="1:13" ht="15.25" customHeight="1" thickBot="1" x14ac:dyDescent="0.25">
      <c r="A1347" s="26"/>
      <c r="B1347" s="26"/>
      <c r="C1347" s="26"/>
      <c r="D1347" s="27" t="s">
        <v>3895</v>
      </c>
      <c r="E1347" s="26"/>
      <c r="F1347" s="26"/>
      <c r="G1347" s="26"/>
      <c r="H1347" s="26"/>
      <c r="I1347" s="26"/>
      <c r="J1347" s="26"/>
      <c r="K1347" s="28">
        <v>1</v>
      </c>
      <c r="L1347" s="29">
        <f>ROUND((M1343+M1344+M1345+M1346)*(1+M2/100),2)</f>
        <v>7867</v>
      </c>
      <c r="M1347" s="29">
        <f>ROUND(K1347*L1347,2)</f>
        <v>7867</v>
      </c>
    </row>
    <row r="1348" spans="1:13" ht="15.25" customHeight="1" thickBot="1" x14ac:dyDescent="0.25">
      <c r="A1348" s="34"/>
      <c r="B1348" s="34"/>
      <c r="C1348" s="34"/>
      <c r="D1348" s="52" t="s">
        <v>3896</v>
      </c>
      <c r="E1348" s="53"/>
      <c r="F1348" s="53"/>
      <c r="G1348" s="53"/>
      <c r="H1348" s="53"/>
      <c r="I1348" s="53"/>
      <c r="J1348" s="53"/>
      <c r="K1348" s="53"/>
      <c r="L1348" s="54">
        <f>M1341</f>
        <v>7867</v>
      </c>
      <c r="M1348" s="54">
        <f>ROUND(L1348,2)</f>
        <v>7867</v>
      </c>
    </row>
    <row r="1349" spans="1:13" ht="15.25" customHeight="1" thickBot="1" x14ac:dyDescent="0.25">
      <c r="A1349" s="34"/>
      <c r="B1349" s="34"/>
      <c r="C1349" s="34"/>
      <c r="D1349" s="59" t="s">
        <v>3897</v>
      </c>
      <c r="E1349" s="60"/>
      <c r="F1349" s="60"/>
      <c r="G1349" s="60"/>
      <c r="H1349" s="60"/>
      <c r="I1349" s="60"/>
      <c r="J1349" s="60"/>
      <c r="K1349" s="60"/>
      <c r="L1349" s="61">
        <f>M1348</f>
        <v>7867</v>
      </c>
      <c r="M1349" s="61">
        <f>ROUND(L1349,2)</f>
        <v>7867</v>
      </c>
    </row>
    <row r="1350" spans="1:13" ht="15.25" customHeight="1" thickBot="1" x14ac:dyDescent="0.25">
      <c r="A1350" s="62" t="s">
        <v>3898</v>
      </c>
      <c r="B1350" s="62" t="s">
        <v>3899</v>
      </c>
      <c r="C1350" s="63"/>
      <c r="D1350" s="86" t="s">
        <v>3900</v>
      </c>
      <c r="E1350" s="86"/>
      <c r="F1350" s="86"/>
      <c r="G1350" s="86"/>
      <c r="H1350" s="86"/>
      <c r="I1350" s="86"/>
      <c r="J1350" s="86"/>
      <c r="K1350" s="63"/>
      <c r="L1350" s="64">
        <f>L1367</f>
        <v>7168.9400000000005</v>
      </c>
      <c r="M1350" s="64">
        <f>ROUND(L1350,2)</f>
        <v>7168.94</v>
      </c>
    </row>
    <row r="1351" spans="1:13" ht="15.25" customHeight="1" thickBot="1" x14ac:dyDescent="0.25">
      <c r="A1351" s="10" t="s">
        <v>3901</v>
      </c>
      <c r="B1351" s="5" t="s">
        <v>3902</v>
      </c>
      <c r="C1351" s="5" t="s">
        <v>3903</v>
      </c>
      <c r="D1351" s="82" t="s">
        <v>3904</v>
      </c>
      <c r="E1351" s="82"/>
      <c r="F1351" s="82"/>
      <c r="G1351" s="82"/>
      <c r="H1351" s="82"/>
      <c r="I1351" s="82"/>
      <c r="J1351" s="82"/>
      <c r="K1351" s="23">
        <f>SUM(K1354:K1354)</f>
        <v>1</v>
      </c>
      <c r="L1351" s="24">
        <f>ROUND(2594.916*(1+M2/100),2)</f>
        <v>2672.76</v>
      </c>
      <c r="M1351" s="24">
        <f>ROUND(K1351*L1351,2)</f>
        <v>2672.76</v>
      </c>
    </row>
    <row r="1352" spans="1:13" ht="131.5" customHeight="1" thickBot="1" x14ac:dyDescent="0.25">
      <c r="A1352" s="25"/>
      <c r="B1352" s="25"/>
      <c r="C1352" s="25"/>
      <c r="D1352" s="82" t="s">
        <v>3905</v>
      </c>
      <c r="E1352" s="82"/>
      <c r="F1352" s="82"/>
      <c r="G1352" s="82"/>
      <c r="H1352" s="82"/>
      <c r="I1352" s="82"/>
      <c r="J1352" s="82"/>
      <c r="K1352" s="82"/>
      <c r="L1352" s="82"/>
      <c r="M1352" s="82"/>
    </row>
    <row r="1353" spans="1:13" ht="15" customHeight="1" thickBot="1" x14ac:dyDescent="0.25">
      <c r="A1353" s="25"/>
      <c r="B1353" s="25"/>
      <c r="C1353" s="25"/>
      <c r="D1353" s="25"/>
      <c r="E1353" s="41"/>
      <c r="F1353" s="43" t="s">
        <v>3906</v>
      </c>
      <c r="G1353" s="43" t="s">
        <v>3907</v>
      </c>
      <c r="H1353" s="43" t="s">
        <v>3908</v>
      </c>
      <c r="I1353" s="43" t="s">
        <v>3909</v>
      </c>
      <c r="J1353" s="43" t="s">
        <v>3910</v>
      </c>
      <c r="K1353" s="43" t="s">
        <v>3911</v>
      </c>
      <c r="L1353" s="25"/>
      <c r="M1353" s="25"/>
    </row>
    <row r="1354" spans="1:13" ht="15" customHeight="1" thickBot="1" x14ac:dyDescent="0.25">
      <c r="A1354" s="25"/>
      <c r="B1354" s="25"/>
      <c r="C1354" s="25"/>
      <c r="D1354" s="44"/>
      <c r="E1354" s="45" t="s">
        <v>3912</v>
      </c>
      <c r="F1354" s="46">
        <v>1</v>
      </c>
      <c r="G1354" s="47"/>
      <c r="H1354" s="47"/>
      <c r="I1354" s="47"/>
      <c r="J1354" s="49">
        <f>ROUND(F1354,3)</f>
        <v>1</v>
      </c>
      <c r="K1354" s="58">
        <f>SUM(J1354:J1354)</f>
        <v>1</v>
      </c>
      <c r="L1354" s="25"/>
      <c r="M1354" s="25"/>
    </row>
    <row r="1355" spans="1:13" ht="15.25" customHeight="1" thickBot="1" x14ac:dyDescent="0.25">
      <c r="A1355" s="10" t="s">
        <v>3913</v>
      </c>
      <c r="B1355" s="5" t="s">
        <v>3914</v>
      </c>
      <c r="C1355" s="5" t="s">
        <v>3915</v>
      </c>
      <c r="D1355" s="82" t="s">
        <v>3916</v>
      </c>
      <c r="E1355" s="82"/>
      <c r="F1355" s="82"/>
      <c r="G1355" s="82"/>
      <c r="H1355" s="82"/>
      <c r="I1355" s="82"/>
      <c r="J1355" s="82"/>
      <c r="K1355" s="23">
        <f>SUM(K1358:K1358)</f>
        <v>1</v>
      </c>
      <c r="L1355" s="24">
        <f>ROUND(844.603*(1+M2/100),2)</f>
        <v>869.94</v>
      </c>
      <c r="M1355" s="24">
        <f>ROUND(K1355*L1355,2)</f>
        <v>869.94</v>
      </c>
    </row>
    <row r="1356" spans="1:13" ht="140.5" customHeight="1" thickBot="1" x14ac:dyDescent="0.25">
      <c r="A1356" s="25"/>
      <c r="B1356" s="25"/>
      <c r="C1356" s="25"/>
      <c r="D1356" s="82" t="s">
        <v>3917</v>
      </c>
      <c r="E1356" s="82"/>
      <c r="F1356" s="82"/>
      <c r="G1356" s="82"/>
      <c r="H1356" s="82"/>
      <c r="I1356" s="82"/>
      <c r="J1356" s="82"/>
      <c r="K1356" s="82"/>
      <c r="L1356" s="82"/>
      <c r="M1356" s="82"/>
    </row>
    <row r="1357" spans="1:13" ht="15" customHeight="1" thickBot="1" x14ac:dyDescent="0.25">
      <c r="A1357" s="25"/>
      <c r="B1357" s="25"/>
      <c r="C1357" s="25"/>
      <c r="D1357" s="25"/>
      <c r="E1357" s="41"/>
      <c r="F1357" s="43" t="s">
        <v>3918</v>
      </c>
      <c r="G1357" s="43" t="s">
        <v>3919</v>
      </c>
      <c r="H1357" s="43" t="s">
        <v>3920</v>
      </c>
      <c r="I1357" s="43" t="s">
        <v>3921</v>
      </c>
      <c r="J1357" s="43" t="s">
        <v>3922</v>
      </c>
      <c r="K1357" s="43" t="s">
        <v>3923</v>
      </c>
      <c r="L1357" s="25"/>
      <c r="M1357" s="25"/>
    </row>
    <row r="1358" spans="1:13" ht="15" customHeight="1" thickBot="1" x14ac:dyDescent="0.25">
      <c r="A1358" s="25"/>
      <c r="B1358" s="25"/>
      <c r="C1358" s="25"/>
      <c r="D1358" s="44"/>
      <c r="E1358" s="45" t="s">
        <v>3924</v>
      </c>
      <c r="F1358" s="46">
        <v>1</v>
      </c>
      <c r="G1358" s="47"/>
      <c r="H1358" s="47"/>
      <c r="I1358" s="47"/>
      <c r="J1358" s="49">
        <f>ROUND(F1358,3)</f>
        <v>1</v>
      </c>
      <c r="K1358" s="58">
        <f>SUM(J1358:J1358)</f>
        <v>1</v>
      </c>
      <c r="L1358" s="25"/>
      <c r="M1358" s="25"/>
    </row>
    <row r="1359" spans="1:13" ht="15.25" customHeight="1" thickBot="1" x14ac:dyDescent="0.25">
      <c r="A1359" s="10" t="s">
        <v>3925</v>
      </c>
      <c r="B1359" s="5" t="s">
        <v>3926</v>
      </c>
      <c r="C1359" s="5" t="s">
        <v>3927</v>
      </c>
      <c r="D1359" s="82" t="s">
        <v>3928</v>
      </c>
      <c r="E1359" s="82"/>
      <c r="F1359" s="82"/>
      <c r="G1359" s="82"/>
      <c r="H1359" s="82"/>
      <c r="I1359" s="82"/>
      <c r="J1359" s="82"/>
      <c r="K1359" s="23">
        <f>SUM(K1362:K1362)</f>
        <v>1</v>
      </c>
      <c r="L1359" s="24">
        <f>ROUND(778.647*(1+M2/100),2)</f>
        <v>802.01</v>
      </c>
      <c r="M1359" s="24">
        <f>ROUND(K1359*L1359,2)</f>
        <v>802.01</v>
      </c>
    </row>
    <row r="1360" spans="1:13" ht="76.25" customHeight="1" thickBot="1" x14ac:dyDescent="0.25">
      <c r="A1360" s="25"/>
      <c r="B1360" s="25"/>
      <c r="C1360" s="25"/>
      <c r="D1360" s="82" t="s">
        <v>3929</v>
      </c>
      <c r="E1360" s="82"/>
      <c r="F1360" s="82"/>
      <c r="G1360" s="82"/>
      <c r="H1360" s="82"/>
      <c r="I1360" s="82"/>
      <c r="J1360" s="82"/>
      <c r="K1360" s="82"/>
      <c r="L1360" s="82"/>
      <c r="M1360" s="82"/>
    </row>
    <row r="1361" spans="1:13" ht="15" customHeight="1" thickBot="1" x14ac:dyDescent="0.25">
      <c r="A1361" s="25"/>
      <c r="B1361" s="25"/>
      <c r="C1361" s="25"/>
      <c r="D1361" s="25"/>
      <c r="E1361" s="41"/>
      <c r="F1361" s="43" t="s">
        <v>3930</v>
      </c>
      <c r="G1361" s="43" t="s">
        <v>3931</v>
      </c>
      <c r="H1361" s="43" t="s">
        <v>3932</v>
      </c>
      <c r="I1361" s="43" t="s">
        <v>3933</v>
      </c>
      <c r="J1361" s="43" t="s">
        <v>3934</v>
      </c>
      <c r="K1361" s="43" t="s">
        <v>3935</v>
      </c>
      <c r="L1361" s="25"/>
      <c r="M1361" s="25"/>
    </row>
    <row r="1362" spans="1:13" ht="15" customHeight="1" thickBot="1" x14ac:dyDescent="0.25">
      <c r="A1362" s="25"/>
      <c r="B1362" s="25"/>
      <c r="C1362" s="25"/>
      <c r="D1362" s="44"/>
      <c r="E1362" s="45" t="s">
        <v>3936</v>
      </c>
      <c r="F1362" s="46">
        <v>1</v>
      </c>
      <c r="G1362" s="47"/>
      <c r="H1362" s="47"/>
      <c r="I1362" s="47"/>
      <c r="J1362" s="49">
        <f>ROUND(F1362,3)</f>
        <v>1</v>
      </c>
      <c r="K1362" s="58">
        <f>SUM(J1362:J1362)</f>
        <v>1</v>
      </c>
      <c r="L1362" s="25"/>
      <c r="M1362" s="25"/>
    </row>
    <row r="1363" spans="1:13" ht="15.25" customHeight="1" thickBot="1" x14ac:dyDescent="0.25">
      <c r="A1363" s="10" t="s">
        <v>3937</v>
      </c>
      <c r="B1363" s="5" t="s">
        <v>3938</v>
      </c>
      <c r="C1363" s="5" t="s">
        <v>3939</v>
      </c>
      <c r="D1363" s="82" t="s">
        <v>3940</v>
      </c>
      <c r="E1363" s="82"/>
      <c r="F1363" s="82"/>
      <c r="G1363" s="82"/>
      <c r="H1363" s="82"/>
      <c r="I1363" s="82"/>
      <c r="J1363" s="82"/>
      <c r="K1363" s="23">
        <f>SUM(K1366:K1366)</f>
        <v>1</v>
      </c>
      <c r="L1363" s="24">
        <f>ROUND(2741.971*(1+M2/100),2)</f>
        <v>2824.23</v>
      </c>
      <c r="M1363" s="24">
        <f>ROUND(K1363*L1363,2)</f>
        <v>2824.23</v>
      </c>
    </row>
    <row r="1364" spans="1:13" ht="48.75" customHeight="1" thickBot="1" x14ac:dyDescent="0.25">
      <c r="A1364" s="25"/>
      <c r="B1364" s="25"/>
      <c r="C1364" s="25"/>
      <c r="D1364" s="82" t="s">
        <v>3941</v>
      </c>
      <c r="E1364" s="82"/>
      <c r="F1364" s="82"/>
      <c r="G1364" s="82"/>
      <c r="H1364" s="82"/>
      <c r="I1364" s="82"/>
      <c r="J1364" s="82"/>
      <c r="K1364" s="82"/>
      <c r="L1364" s="82"/>
      <c r="M1364" s="82"/>
    </row>
    <row r="1365" spans="1:13" ht="15" customHeight="1" thickBot="1" x14ac:dyDescent="0.25">
      <c r="A1365" s="25"/>
      <c r="B1365" s="25"/>
      <c r="C1365" s="25"/>
      <c r="D1365" s="25"/>
      <c r="E1365" s="41"/>
      <c r="F1365" s="43" t="s">
        <v>3942</v>
      </c>
      <c r="G1365" s="43" t="s">
        <v>3943</v>
      </c>
      <c r="H1365" s="43" t="s">
        <v>3944</v>
      </c>
      <c r="I1365" s="43" t="s">
        <v>3945</v>
      </c>
      <c r="J1365" s="43" t="s">
        <v>3946</v>
      </c>
      <c r="K1365" s="43" t="s">
        <v>3947</v>
      </c>
      <c r="L1365" s="25"/>
      <c r="M1365" s="25"/>
    </row>
    <row r="1366" spans="1:13" ht="15" customHeight="1" thickBot="1" x14ac:dyDescent="0.25">
      <c r="A1366" s="25"/>
      <c r="B1366" s="25"/>
      <c r="C1366" s="25"/>
      <c r="D1366" s="44"/>
      <c r="E1366" s="45" t="s">
        <v>3948</v>
      </c>
      <c r="F1366" s="46">
        <v>1</v>
      </c>
      <c r="G1366" s="47"/>
      <c r="H1366" s="47"/>
      <c r="I1366" s="47"/>
      <c r="J1366" s="49">
        <f>ROUND(F1366,3)</f>
        <v>1</v>
      </c>
      <c r="K1366" s="58">
        <f>SUM(J1366:J1366)</f>
        <v>1</v>
      </c>
      <c r="L1366" s="25"/>
      <c r="M1366" s="25"/>
    </row>
    <row r="1367" spans="1:13" ht="15.25" customHeight="1" thickBot="1" x14ac:dyDescent="0.25">
      <c r="A1367" s="26"/>
      <c r="B1367" s="26"/>
      <c r="C1367" s="26"/>
      <c r="D1367" s="71" t="s">
        <v>3949</v>
      </c>
      <c r="E1367" s="72"/>
      <c r="F1367" s="72"/>
      <c r="G1367" s="72"/>
      <c r="H1367" s="72"/>
      <c r="I1367" s="72"/>
      <c r="J1367" s="72"/>
      <c r="K1367" s="72"/>
      <c r="L1367" s="73">
        <f>M1351+M1355+M1359+M1363</f>
        <v>7168.9400000000005</v>
      </c>
      <c r="M1367" s="73">
        <f>ROUND(L1367,2)</f>
        <v>7168.94</v>
      </c>
    </row>
    <row r="1368" spans="1:13" ht="15.25" customHeight="1" thickBot="1" x14ac:dyDescent="0.25">
      <c r="A1368" s="62" t="s">
        <v>3950</v>
      </c>
      <c r="B1368" s="62" t="s">
        <v>3951</v>
      </c>
      <c r="C1368" s="63"/>
      <c r="D1368" s="86" t="s">
        <v>3952</v>
      </c>
      <c r="E1368" s="86"/>
      <c r="F1368" s="86"/>
      <c r="G1368" s="86"/>
      <c r="H1368" s="86"/>
      <c r="I1368" s="86"/>
      <c r="J1368" s="86"/>
      <c r="K1368" s="63"/>
      <c r="L1368" s="64">
        <f>L1373</f>
        <v>2720.31</v>
      </c>
      <c r="M1368" s="64">
        <f>ROUND(L1368,2)</f>
        <v>2720.31</v>
      </c>
    </row>
    <row r="1369" spans="1:13" ht="15.25" customHeight="1" thickBot="1" x14ac:dyDescent="0.25">
      <c r="A1369" s="10" t="s">
        <v>3953</v>
      </c>
      <c r="B1369" s="5" t="s">
        <v>3954</v>
      </c>
      <c r="C1369" s="5" t="s">
        <v>3955</v>
      </c>
      <c r="D1369" s="82" t="s">
        <v>3956</v>
      </c>
      <c r="E1369" s="82"/>
      <c r="F1369" s="82"/>
      <c r="G1369" s="82"/>
      <c r="H1369" s="82"/>
      <c r="I1369" s="82"/>
      <c r="J1369" s="82"/>
      <c r="K1369" s="23">
        <f>SUM(K1372:K1372)</f>
        <v>1</v>
      </c>
      <c r="L1369" s="24">
        <f>ROUND(2641.078*(1+M2/100),2)</f>
        <v>2720.31</v>
      </c>
      <c r="M1369" s="24">
        <f>ROUND(K1369*L1369,2)</f>
        <v>2720.31</v>
      </c>
    </row>
    <row r="1370" spans="1:13" ht="39.5" customHeight="1" thickBot="1" x14ac:dyDescent="0.25">
      <c r="A1370" s="25"/>
      <c r="B1370" s="25"/>
      <c r="C1370" s="25"/>
      <c r="D1370" s="82" t="s">
        <v>3957</v>
      </c>
      <c r="E1370" s="82"/>
      <c r="F1370" s="82"/>
      <c r="G1370" s="82"/>
      <c r="H1370" s="82"/>
      <c r="I1370" s="82"/>
      <c r="J1370" s="82"/>
      <c r="K1370" s="82"/>
      <c r="L1370" s="82"/>
      <c r="M1370" s="82"/>
    </row>
    <row r="1371" spans="1:13" ht="15" customHeight="1" thickBot="1" x14ac:dyDescent="0.25">
      <c r="A1371" s="25"/>
      <c r="B1371" s="25"/>
      <c r="C1371" s="25"/>
      <c r="D1371" s="25"/>
      <c r="E1371" s="41"/>
      <c r="F1371" s="43" t="s">
        <v>3958</v>
      </c>
      <c r="G1371" s="43" t="s">
        <v>3959</v>
      </c>
      <c r="H1371" s="43" t="s">
        <v>3960</v>
      </c>
      <c r="I1371" s="43" t="s">
        <v>3961</v>
      </c>
      <c r="J1371" s="43" t="s">
        <v>3962</v>
      </c>
      <c r="K1371" s="43" t="s">
        <v>3963</v>
      </c>
      <c r="L1371" s="25"/>
      <c r="M1371" s="25"/>
    </row>
    <row r="1372" spans="1:13" ht="15" customHeight="1" thickBot="1" x14ac:dyDescent="0.25">
      <c r="A1372" s="25"/>
      <c r="B1372" s="25"/>
      <c r="C1372" s="25"/>
      <c r="D1372" s="44"/>
      <c r="E1372" s="45"/>
      <c r="F1372" s="46">
        <v>1</v>
      </c>
      <c r="G1372" s="47"/>
      <c r="H1372" s="47"/>
      <c r="I1372" s="47"/>
      <c r="J1372" s="49">
        <f>ROUND(F1372,3)</f>
        <v>1</v>
      </c>
      <c r="K1372" s="58">
        <f>SUM(J1372:J1372)</f>
        <v>1</v>
      </c>
      <c r="L1372" s="25"/>
      <c r="M1372" s="25"/>
    </row>
    <row r="1373" spans="1:13" ht="15.25" customHeight="1" thickBot="1" x14ac:dyDescent="0.25">
      <c r="A1373" s="26"/>
      <c r="B1373" s="26"/>
      <c r="C1373" s="26"/>
      <c r="D1373" s="71" t="s">
        <v>3964</v>
      </c>
      <c r="E1373" s="72"/>
      <c r="F1373" s="72"/>
      <c r="G1373" s="72"/>
      <c r="H1373" s="72"/>
      <c r="I1373" s="72"/>
      <c r="J1373" s="72"/>
      <c r="K1373" s="72"/>
      <c r="L1373" s="73">
        <f>M1369</f>
        <v>2720.31</v>
      </c>
      <c r="M1373" s="73">
        <f>ROUND(L1373,2)</f>
        <v>2720.31</v>
      </c>
    </row>
    <row r="1374" spans="1:13" ht="15.25" customHeight="1" thickBot="1" x14ac:dyDescent="0.25">
      <c r="A1374" s="62" t="s">
        <v>3965</v>
      </c>
      <c r="B1374" s="62" t="s">
        <v>3966</v>
      </c>
      <c r="C1374" s="63"/>
      <c r="D1374" s="86" t="s">
        <v>3967</v>
      </c>
      <c r="E1374" s="86"/>
      <c r="F1374" s="86"/>
      <c r="G1374" s="86"/>
      <c r="H1374" s="86"/>
      <c r="I1374" s="86"/>
      <c r="J1374" s="86"/>
      <c r="K1374" s="63"/>
      <c r="L1374" s="64">
        <f>L1401</f>
        <v>700.25</v>
      </c>
      <c r="M1374" s="64">
        <f>ROUND(L1374,2)</f>
        <v>700.25</v>
      </c>
    </row>
    <row r="1375" spans="1:13" ht="15.25" customHeight="1" thickBot="1" x14ac:dyDescent="0.25">
      <c r="A1375" s="17" t="s">
        <v>3968</v>
      </c>
      <c r="B1375" s="17" t="s">
        <v>3969</v>
      </c>
      <c r="C1375" s="18"/>
      <c r="D1375" s="80" t="s">
        <v>3970</v>
      </c>
      <c r="E1375" s="80"/>
      <c r="F1375" s="80"/>
      <c r="G1375" s="80"/>
      <c r="H1375" s="80"/>
      <c r="I1375" s="80"/>
      <c r="J1375" s="80"/>
      <c r="K1375" s="18"/>
      <c r="L1375" s="19">
        <f>L1400</f>
        <v>700.25</v>
      </c>
      <c r="M1375" s="19">
        <f>ROUND(L1375,2)</f>
        <v>700.25</v>
      </c>
    </row>
    <row r="1376" spans="1:13" ht="15.25" customHeight="1" thickBot="1" x14ac:dyDescent="0.25">
      <c r="A1376" s="20" t="s">
        <v>3971</v>
      </c>
      <c r="B1376" s="20" t="s">
        <v>3972</v>
      </c>
      <c r="C1376" s="21"/>
      <c r="D1376" s="81" t="s">
        <v>3973</v>
      </c>
      <c r="E1376" s="81"/>
      <c r="F1376" s="81"/>
      <c r="G1376" s="81"/>
      <c r="H1376" s="81"/>
      <c r="I1376" s="81"/>
      <c r="J1376" s="81"/>
      <c r="K1376" s="21"/>
      <c r="L1376" s="22">
        <f>L1387</f>
        <v>468.9</v>
      </c>
      <c r="M1376" s="22">
        <f>ROUND(L1376,2)</f>
        <v>468.9</v>
      </c>
    </row>
    <row r="1377" spans="1:13" ht="15.25" customHeight="1" thickBot="1" x14ac:dyDescent="0.25">
      <c r="A1377" s="10" t="s">
        <v>3974</v>
      </c>
      <c r="B1377" s="5" t="s">
        <v>3975</v>
      </c>
      <c r="C1377" s="5" t="s">
        <v>3976</v>
      </c>
      <c r="D1377" s="82" t="s">
        <v>3977</v>
      </c>
      <c r="E1377" s="82"/>
      <c r="F1377" s="82"/>
      <c r="G1377" s="82"/>
      <c r="H1377" s="82"/>
      <c r="I1377" s="82"/>
      <c r="J1377" s="82"/>
      <c r="K1377" s="23">
        <f>ROUND(4,2)</f>
        <v>4</v>
      </c>
      <c r="L1377" s="24">
        <f>L1381</f>
        <v>93.78</v>
      </c>
      <c r="M1377" s="24">
        <f>ROUND(K1377*L1377,2)</f>
        <v>375.12</v>
      </c>
    </row>
    <row r="1378" spans="1:13" ht="67" customHeight="1" thickBot="1" x14ac:dyDescent="0.25">
      <c r="A1378" s="25"/>
      <c r="B1378" s="25"/>
      <c r="C1378" s="25"/>
      <c r="D1378" s="82" t="s">
        <v>3978</v>
      </c>
      <c r="E1378" s="82"/>
      <c r="F1378" s="82"/>
      <c r="G1378" s="82"/>
      <c r="H1378" s="82"/>
      <c r="I1378" s="82"/>
      <c r="J1378" s="82"/>
      <c r="K1378" s="82"/>
      <c r="L1378" s="82"/>
      <c r="M1378" s="82"/>
    </row>
    <row r="1379" spans="1:13" ht="30.5" customHeight="1" thickBot="1" x14ac:dyDescent="0.25">
      <c r="A1379" s="5" t="s">
        <v>3979</v>
      </c>
      <c r="B1379" s="5" t="s">
        <v>3980</v>
      </c>
      <c r="C1379" s="5" t="s">
        <v>3981</v>
      </c>
      <c r="D1379" s="82" t="s">
        <v>3982</v>
      </c>
      <c r="E1379" s="82"/>
      <c r="F1379" s="82"/>
      <c r="G1379" s="82"/>
      <c r="H1379" s="82"/>
      <c r="I1379" s="82"/>
      <c r="J1379" s="82"/>
      <c r="K1379" s="23">
        <v>1</v>
      </c>
      <c r="L1379" s="23">
        <f>ROUND(89.256,3)</f>
        <v>89.256</v>
      </c>
      <c r="M1379" s="24">
        <f>ROUND(K1379*L1379,2)</f>
        <v>89.26</v>
      </c>
    </row>
    <row r="1380" spans="1:13" ht="15" customHeight="1" thickBot="1" x14ac:dyDescent="0.25">
      <c r="A1380" s="5" t="s">
        <v>3983</v>
      </c>
      <c r="B1380" s="5"/>
      <c r="C1380" s="5" t="s">
        <v>3984</v>
      </c>
      <c r="D1380" s="82" t="s">
        <v>3985</v>
      </c>
      <c r="E1380" s="82"/>
      <c r="F1380" s="82"/>
      <c r="G1380" s="82"/>
      <c r="H1380" s="82"/>
      <c r="I1380" s="82"/>
      <c r="J1380" s="82"/>
      <c r="K1380" s="23">
        <v>2</v>
      </c>
      <c r="L1380" s="23">
        <f>ROUND(89.26,3)</f>
        <v>89.26</v>
      </c>
      <c r="M1380" s="24">
        <f>ROUND((K1380*L1380)/100,2)</f>
        <v>1.79</v>
      </c>
    </row>
    <row r="1381" spans="1:13" ht="15.25" customHeight="1" thickBot="1" x14ac:dyDescent="0.25">
      <c r="A1381" s="26"/>
      <c r="B1381" s="26"/>
      <c r="C1381" s="26"/>
      <c r="D1381" s="27" t="s">
        <v>3986</v>
      </c>
      <c r="E1381" s="26"/>
      <c r="F1381" s="26"/>
      <c r="G1381" s="26"/>
      <c r="H1381" s="26"/>
      <c r="I1381" s="26"/>
      <c r="J1381" s="26"/>
      <c r="K1381" s="28">
        <v>4</v>
      </c>
      <c r="L1381" s="29">
        <f>ROUND((M1379+M1380)*(1+M2/100),2)</f>
        <v>93.78</v>
      </c>
      <c r="M1381" s="29">
        <f>ROUND(K1381*L1381,2)</f>
        <v>375.12</v>
      </c>
    </row>
    <row r="1382" spans="1:13" ht="15.25" customHeight="1" thickBot="1" x14ac:dyDescent="0.25">
      <c r="A1382" s="30" t="s">
        <v>3987</v>
      </c>
      <c r="B1382" s="31" t="s">
        <v>3988</v>
      </c>
      <c r="C1382" s="31" t="s">
        <v>3989</v>
      </c>
      <c r="D1382" s="83" t="s">
        <v>3990</v>
      </c>
      <c r="E1382" s="83"/>
      <c r="F1382" s="83"/>
      <c r="G1382" s="83"/>
      <c r="H1382" s="83"/>
      <c r="I1382" s="83"/>
      <c r="J1382" s="83"/>
      <c r="K1382" s="32">
        <f>ROUND(1,2)</f>
        <v>1</v>
      </c>
      <c r="L1382" s="33">
        <f>L1386</f>
        <v>93.78</v>
      </c>
      <c r="M1382" s="33">
        <f>ROUND(K1382*L1382,2)</f>
        <v>93.78</v>
      </c>
    </row>
    <row r="1383" spans="1:13" ht="67" customHeight="1" thickBot="1" x14ac:dyDescent="0.25">
      <c r="A1383" s="25"/>
      <c r="B1383" s="25"/>
      <c r="C1383" s="25"/>
      <c r="D1383" s="82" t="s">
        <v>3991</v>
      </c>
      <c r="E1383" s="82"/>
      <c r="F1383" s="82"/>
      <c r="G1383" s="82"/>
      <c r="H1383" s="82"/>
      <c r="I1383" s="82"/>
      <c r="J1383" s="82"/>
      <c r="K1383" s="82"/>
      <c r="L1383" s="82"/>
      <c r="M1383" s="82"/>
    </row>
    <row r="1384" spans="1:13" ht="30.5" customHeight="1" thickBot="1" x14ac:dyDescent="0.25">
      <c r="A1384" s="5" t="s">
        <v>3992</v>
      </c>
      <c r="B1384" s="5" t="s">
        <v>3993</v>
      </c>
      <c r="C1384" s="5" t="s">
        <v>3994</v>
      </c>
      <c r="D1384" s="82" t="s">
        <v>3995</v>
      </c>
      <c r="E1384" s="82"/>
      <c r="F1384" s="82"/>
      <c r="G1384" s="82"/>
      <c r="H1384" s="82"/>
      <c r="I1384" s="82"/>
      <c r="J1384" s="82"/>
      <c r="K1384" s="23">
        <v>1</v>
      </c>
      <c r="L1384" s="23">
        <f>ROUND(89.256,3)</f>
        <v>89.256</v>
      </c>
      <c r="M1384" s="24">
        <f>ROUND(K1384*L1384,2)</f>
        <v>89.26</v>
      </c>
    </row>
    <row r="1385" spans="1:13" ht="15" customHeight="1" thickBot="1" x14ac:dyDescent="0.25">
      <c r="A1385" s="5" t="s">
        <v>3996</v>
      </c>
      <c r="B1385" s="5"/>
      <c r="C1385" s="5" t="s">
        <v>3997</v>
      </c>
      <c r="D1385" s="82" t="s">
        <v>3998</v>
      </c>
      <c r="E1385" s="82"/>
      <c r="F1385" s="82"/>
      <c r="G1385" s="82"/>
      <c r="H1385" s="82"/>
      <c r="I1385" s="82"/>
      <c r="J1385" s="82"/>
      <c r="K1385" s="23">
        <v>2</v>
      </c>
      <c r="L1385" s="23">
        <f>ROUND(89.26,3)</f>
        <v>89.26</v>
      </c>
      <c r="M1385" s="24">
        <f>ROUND((K1385*L1385)/100,2)</f>
        <v>1.79</v>
      </c>
    </row>
    <row r="1386" spans="1:13" ht="15.25" customHeight="1" thickBot="1" x14ac:dyDescent="0.25">
      <c r="A1386" s="26"/>
      <c r="B1386" s="26"/>
      <c r="C1386" s="26"/>
      <c r="D1386" s="27" t="s">
        <v>3999</v>
      </c>
      <c r="E1386" s="26"/>
      <c r="F1386" s="26"/>
      <c r="G1386" s="26"/>
      <c r="H1386" s="26"/>
      <c r="I1386" s="26"/>
      <c r="J1386" s="26"/>
      <c r="K1386" s="28">
        <v>1</v>
      </c>
      <c r="L1386" s="29">
        <f>ROUND((M1384+M1385)*(1+M2/100),2)</f>
        <v>93.78</v>
      </c>
      <c r="M1386" s="29">
        <f>ROUND(K1386*L1386,2)</f>
        <v>93.78</v>
      </c>
    </row>
    <row r="1387" spans="1:13" ht="15.25" customHeight="1" thickBot="1" x14ac:dyDescent="0.25">
      <c r="A1387" s="34"/>
      <c r="B1387" s="34"/>
      <c r="C1387" s="34"/>
      <c r="D1387" s="35" t="s">
        <v>4000</v>
      </c>
      <c r="E1387" s="36"/>
      <c r="F1387" s="36"/>
      <c r="G1387" s="36"/>
      <c r="H1387" s="36"/>
      <c r="I1387" s="36"/>
      <c r="J1387" s="36"/>
      <c r="K1387" s="36"/>
      <c r="L1387" s="37">
        <f>M1377+M1382</f>
        <v>468.9</v>
      </c>
      <c r="M1387" s="37">
        <f>ROUND(L1387,2)</f>
        <v>468.9</v>
      </c>
    </row>
    <row r="1388" spans="1:13" ht="15.25" customHeight="1" thickBot="1" x14ac:dyDescent="0.25">
      <c r="A1388" s="38" t="s">
        <v>4001</v>
      </c>
      <c r="B1388" s="38" t="s">
        <v>4002</v>
      </c>
      <c r="C1388" s="39"/>
      <c r="D1388" s="84" t="s">
        <v>4003</v>
      </c>
      <c r="E1388" s="84"/>
      <c r="F1388" s="84"/>
      <c r="G1388" s="84"/>
      <c r="H1388" s="84"/>
      <c r="I1388" s="84"/>
      <c r="J1388" s="84"/>
      <c r="K1388" s="39"/>
      <c r="L1388" s="40">
        <f>L1399</f>
        <v>231.35000000000002</v>
      </c>
      <c r="M1388" s="40">
        <f>ROUND(L1388,2)</f>
        <v>231.35</v>
      </c>
    </row>
    <row r="1389" spans="1:13" ht="15.25" customHeight="1" thickBot="1" x14ac:dyDescent="0.25">
      <c r="A1389" s="10" t="s">
        <v>4004</v>
      </c>
      <c r="B1389" s="5" t="s">
        <v>4005</v>
      </c>
      <c r="C1389" s="5" t="s">
        <v>4006</v>
      </c>
      <c r="D1389" s="82" t="s">
        <v>4007</v>
      </c>
      <c r="E1389" s="82"/>
      <c r="F1389" s="82"/>
      <c r="G1389" s="82"/>
      <c r="H1389" s="82"/>
      <c r="I1389" s="82"/>
      <c r="J1389" s="82"/>
      <c r="K1389" s="23">
        <f>ROUND(4,2)</f>
        <v>4</v>
      </c>
      <c r="L1389" s="24">
        <f>L1393</f>
        <v>46.27</v>
      </c>
      <c r="M1389" s="24">
        <f>ROUND(K1389*L1389,2)</f>
        <v>185.08</v>
      </c>
    </row>
    <row r="1390" spans="1:13" ht="48.75" customHeight="1" thickBot="1" x14ac:dyDescent="0.25">
      <c r="A1390" s="25"/>
      <c r="B1390" s="25"/>
      <c r="C1390" s="25"/>
      <c r="D1390" s="82" t="s">
        <v>4008</v>
      </c>
      <c r="E1390" s="82"/>
      <c r="F1390" s="82"/>
      <c r="G1390" s="82"/>
      <c r="H1390" s="82"/>
      <c r="I1390" s="82"/>
      <c r="J1390" s="82"/>
      <c r="K1390" s="82"/>
      <c r="L1390" s="82"/>
      <c r="M1390" s="82"/>
    </row>
    <row r="1391" spans="1:13" ht="30.5" customHeight="1" thickBot="1" x14ac:dyDescent="0.25">
      <c r="A1391" s="5" t="s">
        <v>4009</v>
      </c>
      <c r="B1391" s="5" t="s">
        <v>4010</v>
      </c>
      <c r="C1391" s="5" t="s">
        <v>4011</v>
      </c>
      <c r="D1391" s="82" t="s">
        <v>4012</v>
      </c>
      <c r="E1391" s="82"/>
      <c r="F1391" s="82"/>
      <c r="G1391" s="82"/>
      <c r="H1391" s="82"/>
      <c r="I1391" s="82"/>
      <c r="J1391" s="82"/>
      <c r="K1391" s="23">
        <v>1</v>
      </c>
      <c r="L1391" s="23">
        <f>ROUND(44.043,3)</f>
        <v>44.042999999999999</v>
      </c>
      <c r="M1391" s="24">
        <f>ROUND(K1391*L1391,2)</f>
        <v>44.04</v>
      </c>
    </row>
    <row r="1392" spans="1:13" ht="15" customHeight="1" thickBot="1" x14ac:dyDescent="0.25">
      <c r="A1392" s="5" t="s">
        <v>4013</v>
      </c>
      <c r="B1392" s="5"/>
      <c r="C1392" s="5" t="s">
        <v>4014</v>
      </c>
      <c r="D1392" s="82" t="s">
        <v>4015</v>
      </c>
      <c r="E1392" s="82"/>
      <c r="F1392" s="82"/>
      <c r="G1392" s="82"/>
      <c r="H1392" s="82"/>
      <c r="I1392" s="82"/>
      <c r="J1392" s="82"/>
      <c r="K1392" s="23">
        <v>2</v>
      </c>
      <c r="L1392" s="23">
        <f>ROUND(44.04,3)</f>
        <v>44.04</v>
      </c>
      <c r="M1392" s="24">
        <f>ROUND((K1392*L1392)/100,2)</f>
        <v>0.88</v>
      </c>
    </row>
    <row r="1393" spans="1:13" ht="15.25" customHeight="1" thickBot="1" x14ac:dyDescent="0.25">
      <c r="A1393" s="26"/>
      <c r="B1393" s="26"/>
      <c r="C1393" s="26"/>
      <c r="D1393" s="27" t="s">
        <v>4016</v>
      </c>
      <c r="E1393" s="26"/>
      <c r="F1393" s="26"/>
      <c r="G1393" s="26"/>
      <c r="H1393" s="26"/>
      <c r="I1393" s="26"/>
      <c r="J1393" s="26"/>
      <c r="K1393" s="28">
        <v>4</v>
      </c>
      <c r="L1393" s="29">
        <f>ROUND((M1391+M1392)*(1+M2/100),2)</f>
        <v>46.27</v>
      </c>
      <c r="M1393" s="29">
        <f>ROUND(K1393*L1393,2)</f>
        <v>185.08</v>
      </c>
    </row>
    <row r="1394" spans="1:13" ht="15.25" customHeight="1" thickBot="1" x14ac:dyDescent="0.25">
      <c r="A1394" s="30" t="s">
        <v>4017</v>
      </c>
      <c r="B1394" s="31" t="s">
        <v>4018</v>
      </c>
      <c r="C1394" s="31" t="s">
        <v>4019</v>
      </c>
      <c r="D1394" s="83" t="s">
        <v>4020</v>
      </c>
      <c r="E1394" s="83"/>
      <c r="F1394" s="83"/>
      <c r="G1394" s="83"/>
      <c r="H1394" s="83"/>
      <c r="I1394" s="83"/>
      <c r="J1394" s="83"/>
      <c r="K1394" s="32">
        <f>ROUND(1,2)</f>
        <v>1</v>
      </c>
      <c r="L1394" s="33">
        <f>L1398</f>
        <v>46.27</v>
      </c>
      <c r="M1394" s="33">
        <f>ROUND(K1394*L1394,2)</f>
        <v>46.27</v>
      </c>
    </row>
    <row r="1395" spans="1:13" ht="48.75" customHeight="1" thickBot="1" x14ac:dyDescent="0.25">
      <c r="A1395" s="25"/>
      <c r="B1395" s="25"/>
      <c r="C1395" s="25"/>
      <c r="D1395" s="82" t="s">
        <v>4021</v>
      </c>
      <c r="E1395" s="82"/>
      <c r="F1395" s="82"/>
      <c r="G1395" s="82"/>
      <c r="H1395" s="82"/>
      <c r="I1395" s="82"/>
      <c r="J1395" s="82"/>
      <c r="K1395" s="82"/>
      <c r="L1395" s="82"/>
      <c r="M1395" s="82"/>
    </row>
    <row r="1396" spans="1:13" ht="30.5" customHeight="1" thickBot="1" x14ac:dyDescent="0.25">
      <c r="A1396" s="5" t="s">
        <v>4022</v>
      </c>
      <c r="B1396" s="5" t="s">
        <v>4023</v>
      </c>
      <c r="C1396" s="5" t="s">
        <v>4024</v>
      </c>
      <c r="D1396" s="82" t="s">
        <v>4025</v>
      </c>
      <c r="E1396" s="82"/>
      <c r="F1396" s="82"/>
      <c r="G1396" s="82"/>
      <c r="H1396" s="82"/>
      <c r="I1396" s="82"/>
      <c r="J1396" s="82"/>
      <c r="K1396" s="23">
        <v>1</v>
      </c>
      <c r="L1396" s="23">
        <f>ROUND(44.043,3)</f>
        <v>44.042999999999999</v>
      </c>
      <c r="M1396" s="24">
        <f>ROUND(K1396*L1396,2)</f>
        <v>44.04</v>
      </c>
    </row>
    <row r="1397" spans="1:13" ht="15" customHeight="1" thickBot="1" x14ac:dyDescent="0.25">
      <c r="A1397" s="5" t="s">
        <v>4026</v>
      </c>
      <c r="B1397" s="5"/>
      <c r="C1397" s="5" t="s">
        <v>4027</v>
      </c>
      <c r="D1397" s="82" t="s">
        <v>4028</v>
      </c>
      <c r="E1397" s="82"/>
      <c r="F1397" s="82"/>
      <c r="G1397" s="82"/>
      <c r="H1397" s="82"/>
      <c r="I1397" s="82"/>
      <c r="J1397" s="82"/>
      <c r="K1397" s="23">
        <v>2</v>
      </c>
      <c r="L1397" s="23">
        <f>ROUND(44.04,3)</f>
        <v>44.04</v>
      </c>
      <c r="M1397" s="24">
        <f>ROUND((K1397*L1397)/100,2)</f>
        <v>0.88</v>
      </c>
    </row>
    <row r="1398" spans="1:13" ht="15.25" customHeight="1" thickBot="1" x14ac:dyDescent="0.25">
      <c r="A1398" s="26"/>
      <c r="B1398" s="26"/>
      <c r="C1398" s="26"/>
      <c r="D1398" s="27" t="s">
        <v>4029</v>
      </c>
      <c r="E1398" s="26"/>
      <c r="F1398" s="26"/>
      <c r="G1398" s="26"/>
      <c r="H1398" s="26"/>
      <c r="I1398" s="26"/>
      <c r="J1398" s="26"/>
      <c r="K1398" s="28">
        <v>1</v>
      </c>
      <c r="L1398" s="29">
        <f>ROUND((M1396+M1397)*(1+M2/100),2)</f>
        <v>46.27</v>
      </c>
      <c r="M1398" s="29">
        <f>ROUND(K1398*L1398,2)</f>
        <v>46.27</v>
      </c>
    </row>
    <row r="1399" spans="1:13" ht="15.25" customHeight="1" thickBot="1" x14ac:dyDescent="0.25">
      <c r="A1399" s="34"/>
      <c r="B1399" s="34"/>
      <c r="C1399" s="34"/>
      <c r="D1399" s="35" t="s">
        <v>4030</v>
      </c>
      <c r="E1399" s="36"/>
      <c r="F1399" s="36"/>
      <c r="G1399" s="36"/>
      <c r="H1399" s="36"/>
      <c r="I1399" s="36"/>
      <c r="J1399" s="36"/>
      <c r="K1399" s="36"/>
      <c r="L1399" s="37">
        <f>M1389+M1394</f>
        <v>231.35000000000002</v>
      </c>
      <c r="M1399" s="37">
        <f>ROUND(L1399,2)</f>
        <v>231.35</v>
      </c>
    </row>
    <row r="1400" spans="1:13" ht="15.25" customHeight="1" thickBot="1" x14ac:dyDescent="0.25">
      <c r="A1400" s="34"/>
      <c r="B1400" s="34"/>
      <c r="C1400" s="34"/>
      <c r="D1400" s="52" t="s">
        <v>4031</v>
      </c>
      <c r="E1400" s="53"/>
      <c r="F1400" s="53"/>
      <c r="G1400" s="53"/>
      <c r="H1400" s="53"/>
      <c r="I1400" s="53"/>
      <c r="J1400" s="53"/>
      <c r="K1400" s="53"/>
      <c r="L1400" s="54">
        <f>M1387+M1399</f>
        <v>700.25</v>
      </c>
      <c r="M1400" s="54">
        <f>ROUND(L1400,2)</f>
        <v>700.25</v>
      </c>
    </row>
    <row r="1401" spans="1:13" ht="15.25" customHeight="1" thickBot="1" x14ac:dyDescent="0.25">
      <c r="A1401" s="34"/>
      <c r="B1401" s="34"/>
      <c r="C1401" s="34"/>
      <c r="D1401" s="59" t="s">
        <v>4032</v>
      </c>
      <c r="E1401" s="60"/>
      <c r="F1401" s="60"/>
      <c r="G1401" s="60"/>
      <c r="H1401" s="60"/>
      <c r="I1401" s="60"/>
      <c r="J1401" s="60"/>
      <c r="K1401" s="60"/>
      <c r="L1401" s="61">
        <f>M1400</f>
        <v>700.25</v>
      </c>
      <c r="M1401" s="61">
        <f>ROUND(L1401,2)</f>
        <v>700.25</v>
      </c>
    </row>
    <row r="1402" spans="1:13" ht="15.25" customHeight="1" thickBot="1" x14ac:dyDescent="0.25">
      <c r="A1402" s="62" t="s">
        <v>4033</v>
      </c>
      <c r="B1402" s="62" t="s">
        <v>4034</v>
      </c>
      <c r="C1402" s="63"/>
      <c r="D1402" s="86" t="s">
        <v>4035</v>
      </c>
      <c r="E1402" s="86"/>
      <c r="F1402" s="86"/>
      <c r="G1402" s="86"/>
      <c r="H1402" s="86"/>
      <c r="I1402" s="86"/>
      <c r="J1402" s="86"/>
      <c r="K1402" s="63"/>
      <c r="L1402" s="64">
        <f>L1407</f>
        <v>1</v>
      </c>
      <c r="M1402" s="64">
        <f>ROUND(L1402,2)</f>
        <v>1</v>
      </c>
    </row>
    <row r="1403" spans="1:13" ht="15.25" customHeight="1" thickBot="1" x14ac:dyDescent="0.25">
      <c r="A1403" s="10" t="s">
        <v>4036</v>
      </c>
      <c r="B1403" s="5" t="s">
        <v>4037</v>
      </c>
      <c r="C1403" s="5" t="s">
        <v>4038</v>
      </c>
      <c r="D1403" s="82" t="s">
        <v>4039</v>
      </c>
      <c r="E1403" s="82"/>
      <c r="F1403" s="82"/>
      <c r="G1403" s="82"/>
      <c r="H1403" s="82"/>
      <c r="I1403" s="82"/>
      <c r="J1403" s="82"/>
      <c r="K1403" s="23">
        <f>SUM(K1406:K1406)</f>
        <v>1</v>
      </c>
      <c r="L1403" s="24">
        <f>ROUND(0.971*(1+M2/100),2)</f>
        <v>1</v>
      </c>
      <c r="M1403" s="24">
        <f>ROUND(K1403*L1403,2)</f>
        <v>1</v>
      </c>
    </row>
    <row r="1404" spans="1:13" ht="397.5" customHeight="1" thickBot="1" x14ac:dyDescent="0.25">
      <c r="A1404" s="25"/>
      <c r="B1404" s="25"/>
      <c r="C1404" s="25"/>
      <c r="D1404" s="82" t="s">
        <v>4040</v>
      </c>
      <c r="E1404" s="82"/>
      <c r="F1404" s="82"/>
      <c r="G1404" s="82"/>
      <c r="H1404" s="82"/>
      <c r="I1404" s="82"/>
      <c r="J1404" s="82"/>
      <c r="K1404" s="82"/>
      <c r="L1404" s="82"/>
      <c r="M1404" s="82"/>
    </row>
    <row r="1405" spans="1:13" ht="15" customHeight="1" thickBot="1" x14ac:dyDescent="0.25">
      <c r="A1405" s="25"/>
      <c r="B1405" s="25"/>
      <c r="C1405" s="25"/>
      <c r="D1405" s="25"/>
      <c r="E1405" s="41"/>
      <c r="F1405" s="43" t="s">
        <v>4041</v>
      </c>
      <c r="G1405" s="43" t="s">
        <v>4042</v>
      </c>
      <c r="H1405" s="43" t="s">
        <v>4043</v>
      </c>
      <c r="I1405" s="43" t="s">
        <v>4044</v>
      </c>
      <c r="J1405" s="43" t="s">
        <v>4045</v>
      </c>
      <c r="K1405" s="43" t="s">
        <v>4046</v>
      </c>
      <c r="L1405" s="25"/>
      <c r="M1405" s="25"/>
    </row>
    <row r="1406" spans="1:13" ht="15" customHeight="1" thickBot="1" x14ac:dyDescent="0.25">
      <c r="A1406" s="25"/>
      <c r="B1406" s="25"/>
      <c r="C1406" s="25"/>
      <c r="D1406" s="44"/>
      <c r="E1406" s="45"/>
      <c r="F1406" s="46">
        <v>1</v>
      </c>
      <c r="G1406" s="47"/>
      <c r="H1406" s="47"/>
      <c r="I1406" s="47"/>
      <c r="J1406" s="49">
        <f>ROUND(F1406,3)</f>
        <v>1</v>
      </c>
      <c r="K1406" s="58">
        <f>SUM(J1406:J1406)</f>
        <v>1</v>
      </c>
      <c r="L1406" s="25"/>
      <c r="M1406" s="25"/>
    </row>
    <row r="1407" spans="1:13" ht="15.25" customHeight="1" thickBot="1" x14ac:dyDescent="0.25">
      <c r="A1407" s="26"/>
      <c r="B1407" s="26"/>
      <c r="C1407" s="26"/>
      <c r="D1407" s="71" t="s">
        <v>4047</v>
      </c>
      <c r="E1407" s="72"/>
      <c r="F1407" s="72"/>
      <c r="G1407" s="72"/>
      <c r="H1407" s="72"/>
      <c r="I1407" s="72"/>
      <c r="J1407" s="72"/>
      <c r="K1407" s="72"/>
      <c r="L1407" s="73">
        <f>M1403</f>
        <v>1</v>
      </c>
      <c r="M1407" s="73">
        <f>ROUND(L1407,2)</f>
        <v>1</v>
      </c>
    </row>
    <row r="1408" spans="1:13" ht="24.75" customHeight="1" thickBot="1" x14ac:dyDescent="0.25">
      <c r="A1408" s="34"/>
      <c r="B1408" s="34"/>
      <c r="C1408" s="34"/>
      <c r="D1408" s="74" t="s">
        <v>4048</v>
      </c>
      <c r="E1408" s="75"/>
      <c r="F1408" s="75"/>
      <c r="G1408" s="75"/>
      <c r="H1408" s="75"/>
      <c r="I1408" s="75"/>
      <c r="J1408" s="75"/>
      <c r="K1408" s="75"/>
      <c r="L1408" s="76">
        <f>M128+M319+M437+M534+M690+M1214+M1338+M1349+M1367+M1373+M1401+M1407</f>
        <v>419025.33999999997</v>
      </c>
      <c r="M1408" s="76">
        <f>ROUND(L1408,2)</f>
        <v>419025.34</v>
      </c>
    </row>
  </sheetData>
  <mergeCells count="1080">
    <mergeCell ref="D1391:J1391"/>
    <mergeCell ref="D1392:J1392"/>
    <mergeCell ref="D1394:J1394"/>
    <mergeCell ref="D1395:M1395"/>
    <mergeCell ref="D1396:J1396"/>
    <mergeCell ref="D1397:J1397"/>
    <mergeCell ref="D1402:J1402"/>
    <mergeCell ref="D1403:J1403"/>
    <mergeCell ref="D1404:M1404"/>
    <mergeCell ref="D1368:J1368"/>
    <mergeCell ref="D1369:J1369"/>
    <mergeCell ref="D1370:M1370"/>
    <mergeCell ref="D1374:J1374"/>
    <mergeCell ref="D1375:J1375"/>
    <mergeCell ref="D1376:J1376"/>
    <mergeCell ref="D1377:J1377"/>
    <mergeCell ref="D1378:M1378"/>
    <mergeCell ref="D1379:J1379"/>
    <mergeCell ref="D1380:J1380"/>
    <mergeCell ref="D1382:J1382"/>
    <mergeCell ref="D1383:M1383"/>
    <mergeCell ref="D1384:J1384"/>
    <mergeCell ref="D1385:J1385"/>
    <mergeCell ref="D1388:J1388"/>
    <mergeCell ref="D1389:J1389"/>
    <mergeCell ref="D1390:M1390"/>
    <mergeCell ref="D1339:J1339"/>
    <mergeCell ref="D1340:J1340"/>
    <mergeCell ref="D1341:J1341"/>
    <mergeCell ref="D1342:M1342"/>
    <mergeCell ref="D1343:J1343"/>
    <mergeCell ref="D1344:J1344"/>
    <mergeCell ref="D1345:J1345"/>
    <mergeCell ref="D1346:J1346"/>
    <mergeCell ref="D1350:J1350"/>
    <mergeCell ref="D1351:J1351"/>
    <mergeCell ref="D1352:M1352"/>
    <mergeCell ref="D1355:J1355"/>
    <mergeCell ref="D1356:M1356"/>
    <mergeCell ref="D1359:J1359"/>
    <mergeCell ref="D1360:M1360"/>
    <mergeCell ref="D1363:J1363"/>
    <mergeCell ref="D1364:M1364"/>
    <mergeCell ref="D1318:M1318"/>
    <mergeCell ref="D1319:J1319"/>
    <mergeCell ref="D1320:M1320"/>
    <mergeCell ref="D1322:J1322"/>
    <mergeCell ref="D1323:J1323"/>
    <mergeCell ref="D1324:M1324"/>
    <mergeCell ref="D1325:J1325"/>
    <mergeCell ref="D1326:M1326"/>
    <mergeCell ref="D1327:J1327"/>
    <mergeCell ref="D1328:M1328"/>
    <mergeCell ref="D1329:J1329"/>
    <mergeCell ref="D1330:M1330"/>
    <mergeCell ref="D1331:J1331"/>
    <mergeCell ref="D1332:M1332"/>
    <mergeCell ref="D1334:J1334"/>
    <mergeCell ref="D1335:J1335"/>
    <mergeCell ref="D1336:M1336"/>
    <mergeCell ref="D1301:J1301"/>
    <mergeCell ref="D1302:M1302"/>
    <mergeCell ref="D1303:J1303"/>
    <mergeCell ref="D1304:M1304"/>
    <mergeCell ref="D1305:J1305"/>
    <mergeCell ref="D1306:M1306"/>
    <mergeCell ref="D1307:J1307"/>
    <mergeCell ref="D1308:M1308"/>
    <mergeCell ref="D1309:J1309"/>
    <mergeCell ref="D1310:M1310"/>
    <mergeCell ref="D1311:J1311"/>
    <mergeCell ref="D1312:M1312"/>
    <mergeCell ref="D1313:J1313"/>
    <mergeCell ref="D1314:M1314"/>
    <mergeCell ref="D1315:J1315"/>
    <mergeCell ref="D1316:M1316"/>
    <mergeCell ref="D1317:J1317"/>
    <mergeCell ref="D1284:M1284"/>
    <mergeCell ref="D1285:J1285"/>
    <mergeCell ref="D1286:M1286"/>
    <mergeCell ref="D1287:J1287"/>
    <mergeCell ref="D1288:M1288"/>
    <mergeCell ref="D1289:J1289"/>
    <mergeCell ref="D1290:M1290"/>
    <mergeCell ref="D1291:J1291"/>
    <mergeCell ref="D1292:M1292"/>
    <mergeCell ref="D1293:J1293"/>
    <mergeCell ref="D1294:M1294"/>
    <mergeCell ref="D1295:J1295"/>
    <mergeCell ref="D1296:M1296"/>
    <mergeCell ref="D1297:J1297"/>
    <mergeCell ref="D1298:M1298"/>
    <mergeCell ref="D1299:J1299"/>
    <mergeCell ref="D1300:M1300"/>
    <mergeCell ref="D1266:M1266"/>
    <mergeCell ref="D1267:J1267"/>
    <mergeCell ref="D1268:M1268"/>
    <mergeCell ref="D1269:J1269"/>
    <mergeCell ref="D1270:M1270"/>
    <mergeCell ref="D1271:J1271"/>
    <mergeCell ref="D1272:M1272"/>
    <mergeCell ref="D1273:J1273"/>
    <mergeCell ref="D1274:M1274"/>
    <mergeCell ref="D1275:J1275"/>
    <mergeCell ref="D1276:M1276"/>
    <mergeCell ref="D1278:J1278"/>
    <mergeCell ref="D1279:J1279"/>
    <mergeCell ref="D1280:M1280"/>
    <mergeCell ref="D1281:J1281"/>
    <mergeCell ref="D1282:M1282"/>
    <mergeCell ref="D1283:J1283"/>
    <mergeCell ref="D1248:M1248"/>
    <mergeCell ref="D1249:J1249"/>
    <mergeCell ref="D1250:M1250"/>
    <mergeCell ref="D1251:J1251"/>
    <mergeCell ref="D1252:M1252"/>
    <mergeCell ref="D1253:J1253"/>
    <mergeCell ref="D1254:M1254"/>
    <mergeCell ref="D1255:J1255"/>
    <mergeCell ref="D1256:M1256"/>
    <mergeCell ref="D1257:J1257"/>
    <mergeCell ref="D1258:M1258"/>
    <mergeCell ref="D1260:J1260"/>
    <mergeCell ref="D1261:J1261"/>
    <mergeCell ref="D1262:M1262"/>
    <mergeCell ref="D1263:J1263"/>
    <mergeCell ref="D1264:M1264"/>
    <mergeCell ref="D1265:J1265"/>
    <mergeCell ref="D1231:J1231"/>
    <mergeCell ref="D1232:M1232"/>
    <mergeCell ref="D1233:J1233"/>
    <mergeCell ref="D1234:M1234"/>
    <mergeCell ref="D1235:J1235"/>
    <mergeCell ref="D1236:M1236"/>
    <mergeCell ref="D1237:J1237"/>
    <mergeCell ref="D1238:M1238"/>
    <mergeCell ref="D1239:J1239"/>
    <mergeCell ref="D1240:M1240"/>
    <mergeCell ref="D1241:J1241"/>
    <mergeCell ref="D1242:M1242"/>
    <mergeCell ref="D1243:J1243"/>
    <mergeCell ref="D1244:M1244"/>
    <mergeCell ref="D1245:J1245"/>
    <mergeCell ref="D1246:M1246"/>
    <mergeCell ref="D1247:J1247"/>
    <mergeCell ref="D1211:M1211"/>
    <mergeCell ref="D1215:J1215"/>
    <mergeCell ref="D1216:J1216"/>
    <mergeCell ref="D1217:J1217"/>
    <mergeCell ref="D1218:M1218"/>
    <mergeCell ref="D1219:J1219"/>
    <mergeCell ref="D1220:M1220"/>
    <mergeCell ref="D1221:J1221"/>
    <mergeCell ref="D1222:M1222"/>
    <mergeCell ref="D1223:J1223"/>
    <mergeCell ref="D1224:M1224"/>
    <mergeCell ref="D1225:J1225"/>
    <mergeCell ref="D1226:M1226"/>
    <mergeCell ref="D1227:J1227"/>
    <mergeCell ref="D1228:M1228"/>
    <mergeCell ref="D1229:J1229"/>
    <mergeCell ref="D1230:M1230"/>
    <mergeCell ref="D1191:J1191"/>
    <mergeCell ref="D1192:J1192"/>
    <mergeCell ref="D1194:J1194"/>
    <mergeCell ref="D1195:M1195"/>
    <mergeCell ref="D1196:J1196"/>
    <mergeCell ref="D1197:J1197"/>
    <mergeCell ref="D1198:J1198"/>
    <mergeCell ref="D1199:J1199"/>
    <mergeCell ref="D1201:J1201"/>
    <mergeCell ref="D1202:M1202"/>
    <mergeCell ref="D1203:J1203"/>
    <mergeCell ref="D1204:J1204"/>
    <mergeCell ref="D1205:J1205"/>
    <mergeCell ref="D1206:J1206"/>
    <mergeCell ref="D1208:J1208"/>
    <mergeCell ref="D1209:M1209"/>
    <mergeCell ref="D1210:J1210"/>
    <mergeCell ref="D1171:J1171"/>
    <mergeCell ref="D1172:J1172"/>
    <mergeCell ref="D1173:J1173"/>
    <mergeCell ref="D1174:J1174"/>
    <mergeCell ref="D1176:J1176"/>
    <mergeCell ref="D1177:M1177"/>
    <mergeCell ref="D1178:J1178"/>
    <mergeCell ref="D1179:J1179"/>
    <mergeCell ref="D1180:J1180"/>
    <mergeCell ref="D1181:J1181"/>
    <mergeCell ref="D1182:J1182"/>
    <mergeCell ref="D1183:J1183"/>
    <mergeCell ref="D1186:J1186"/>
    <mergeCell ref="D1187:J1187"/>
    <mergeCell ref="D1188:M1188"/>
    <mergeCell ref="D1189:J1189"/>
    <mergeCell ref="D1190:J1190"/>
    <mergeCell ref="D1149:J1149"/>
    <mergeCell ref="D1150:M1150"/>
    <mergeCell ref="D1151:J1151"/>
    <mergeCell ref="D1152:J1152"/>
    <mergeCell ref="D1153:J1153"/>
    <mergeCell ref="D1157:J1157"/>
    <mergeCell ref="D1158:J1158"/>
    <mergeCell ref="D1159:J1159"/>
    <mergeCell ref="D1160:M1160"/>
    <mergeCell ref="D1161:J1161"/>
    <mergeCell ref="D1164:J1164"/>
    <mergeCell ref="D1165:J1165"/>
    <mergeCell ref="D1166:M1166"/>
    <mergeCell ref="D1167:J1167"/>
    <mergeCell ref="D1168:M1168"/>
    <mergeCell ref="D1169:J1169"/>
    <mergeCell ref="D1170:J1170"/>
    <mergeCell ref="D1127:J1127"/>
    <mergeCell ref="D1128:J1128"/>
    <mergeCell ref="D1129:J1129"/>
    <mergeCell ref="D1131:J1131"/>
    <mergeCell ref="D1132:M1132"/>
    <mergeCell ref="D1133:J1133"/>
    <mergeCell ref="D1134:J1134"/>
    <mergeCell ref="D1135:J1135"/>
    <mergeCell ref="D1136:J1136"/>
    <mergeCell ref="D1139:J1139"/>
    <mergeCell ref="D1140:J1140"/>
    <mergeCell ref="D1141:M1141"/>
    <mergeCell ref="D1142:J1142"/>
    <mergeCell ref="D1143:J1143"/>
    <mergeCell ref="D1144:J1144"/>
    <mergeCell ref="D1145:J1145"/>
    <mergeCell ref="D1148:J1148"/>
    <mergeCell ref="D1103:J1103"/>
    <mergeCell ref="D1104:M1104"/>
    <mergeCell ref="D1107:J1107"/>
    <mergeCell ref="D1108:J1108"/>
    <mergeCell ref="D1109:J1109"/>
    <mergeCell ref="D1110:J1110"/>
    <mergeCell ref="D1112:J1112"/>
    <mergeCell ref="D1113:M1113"/>
    <mergeCell ref="D1116:J1116"/>
    <mergeCell ref="D1117:J1117"/>
    <mergeCell ref="D1118:J1118"/>
    <mergeCell ref="D1119:J1119"/>
    <mergeCell ref="D1121:J1121"/>
    <mergeCell ref="D1122:M1122"/>
    <mergeCell ref="D1124:J1124"/>
    <mergeCell ref="D1125:J1125"/>
    <mergeCell ref="D1126:M1126"/>
    <mergeCell ref="D1083:J1083"/>
    <mergeCell ref="D1084:J1084"/>
    <mergeCell ref="D1085:J1085"/>
    <mergeCell ref="D1086:J1086"/>
    <mergeCell ref="D1087:J1087"/>
    <mergeCell ref="D1089:J1089"/>
    <mergeCell ref="D1090:M1090"/>
    <mergeCell ref="D1091:J1091"/>
    <mergeCell ref="D1092:J1092"/>
    <mergeCell ref="D1093:J1093"/>
    <mergeCell ref="D1094:J1094"/>
    <mergeCell ref="D1096:J1096"/>
    <mergeCell ref="D1097:M1097"/>
    <mergeCell ref="D1098:J1098"/>
    <mergeCell ref="D1099:J1099"/>
    <mergeCell ref="D1100:J1100"/>
    <mergeCell ref="D1101:J1101"/>
    <mergeCell ref="D1064:J1064"/>
    <mergeCell ref="D1065:J1065"/>
    <mergeCell ref="D1066:J1066"/>
    <mergeCell ref="D1067:M1067"/>
    <mergeCell ref="D1068:J1068"/>
    <mergeCell ref="D1069:J1069"/>
    <mergeCell ref="D1070:J1070"/>
    <mergeCell ref="D1071:J1071"/>
    <mergeCell ref="D1072:J1072"/>
    <mergeCell ref="D1074:J1074"/>
    <mergeCell ref="D1075:M1075"/>
    <mergeCell ref="D1076:J1076"/>
    <mergeCell ref="D1077:J1077"/>
    <mergeCell ref="D1078:J1078"/>
    <mergeCell ref="D1079:J1079"/>
    <mergeCell ref="D1081:J1081"/>
    <mergeCell ref="D1082:M1082"/>
    <mergeCell ref="D1043:M1043"/>
    <mergeCell ref="D1044:J1044"/>
    <mergeCell ref="D1045:J1045"/>
    <mergeCell ref="D1046:J1046"/>
    <mergeCell ref="D1047:J1047"/>
    <mergeCell ref="D1049:J1049"/>
    <mergeCell ref="D1050:M1050"/>
    <mergeCell ref="D1051:J1051"/>
    <mergeCell ref="D1052:M1052"/>
    <mergeCell ref="D1053:J1053"/>
    <mergeCell ref="D1054:J1054"/>
    <mergeCell ref="D1055:J1055"/>
    <mergeCell ref="D1056:J1056"/>
    <mergeCell ref="D1058:J1058"/>
    <mergeCell ref="D1059:M1059"/>
    <mergeCell ref="D1060:J1060"/>
    <mergeCell ref="D1061:M1061"/>
    <mergeCell ref="D1023:J1023"/>
    <mergeCell ref="D1024:M1024"/>
    <mergeCell ref="D1025:J1025"/>
    <mergeCell ref="D1026:M1026"/>
    <mergeCell ref="D1027:J1027"/>
    <mergeCell ref="D1028:M1028"/>
    <mergeCell ref="D1031:J1031"/>
    <mergeCell ref="D1032:J1032"/>
    <mergeCell ref="D1033:J1033"/>
    <mergeCell ref="D1034:M1034"/>
    <mergeCell ref="D1035:J1035"/>
    <mergeCell ref="D1036:J1036"/>
    <mergeCell ref="D1037:J1037"/>
    <mergeCell ref="D1038:J1038"/>
    <mergeCell ref="D1040:J1040"/>
    <mergeCell ref="D1041:M1041"/>
    <mergeCell ref="D1042:J1042"/>
    <mergeCell ref="D1003:J1003"/>
    <mergeCell ref="D1005:J1005"/>
    <mergeCell ref="D1006:M1006"/>
    <mergeCell ref="D1007:J1007"/>
    <mergeCell ref="D1008:J1008"/>
    <mergeCell ref="D1009:J1009"/>
    <mergeCell ref="D1011:J1011"/>
    <mergeCell ref="D1012:M1012"/>
    <mergeCell ref="D1013:J1013"/>
    <mergeCell ref="D1014:J1014"/>
    <mergeCell ref="D1015:J1015"/>
    <mergeCell ref="D1017:J1017"/>
    <mergeCell ref="D1018:M1018"/>
    <mergeCell ref="D1019:J1019"/>
    <mergeCell ref="D1020:M1020"/>
    <mergeCell ref="D1021:J1021"/>
    <mergeCell ref="D1022:M1022"/>
    <mergeCell ref="D983:J983"/>
    <mergeCell ref="D984:J984"/>
    <mergeCell ref="D986:J986"/>
    <mergeCell ref="D987:M987"/>
    <mergeCell ref="D988:J988"/>
    <mergeCell ref="D989:J989"/>
    <mergeCell ref="D990:J990"/>
    <mergeCell ref="D991:J991"/>
    <mergeCell ref="D992:J992"/>
    <mergeCell ref="D993:J993"/>
    <mergeCell ref="D994:J994"/>
    <mergeCell ref="D995:J995"/>
    <mergeCell ref="D998:J998"/>
    <mergeCell ref="D999:J999"/>
    <mergeCell ref="D1000:M1000"/>
    <mergeCell ref="D1001:J1001"/>
    <mergeCell ref="D1002:J1002"/>
    <mergeCell ref="D963:M963"/>
    <mergeCell ref="D964:J964"/>
    <mergeCell ref="D965:J965"/>
    <mergeCell ref="D966:J966"/>
    <mergeCell ref="D968:J968"/>
    <mergeCell ref="D969:M969"/>
    <mergeCell ref="D970:J970"/>
    <mergeCell ref="D971:J971"/>
    <mergeCell ref="D972:J972"/>
    <mergeCell ref="D974:J974"/>
    <mergeCell ref="D975:M975"/>
    <mergeCell ref="D976:J976"/>
    <mergeCell ref="D977:J977"/>
    <mergeCell ref="D978:J978"/>
    <mergeCell ref="D980:J980"/>
    <mergeCell ref="D981:M981"/>
    <mergeCell ref="D982:J982"/>
    <mergeCell ref="D943:J943"/>
    <mergeCell ref="D944:M944"/>
    <mergeCell ref="D945:J945"/>
    <mergeCell ref="D946:J946"/>
    <mergeCell ref="D947:J947"/>
    <mergeCell ref="D948:J948"/>
    <mergeCell ref="D950:J950"/>
    <mergeCell ref="D951:M951"/>
    <mergeCell ref="D952:J952"/>
    <mergeCell ref="D953:J953"/>
    <mergeCell ref="D954:J954"/>
    <mergeCell ref="D956:J956"/>
    <mergeCell ref="D957:M957"/>
    <mergeCell ref="D958:J958"/>
    <mergeCell ref="D959:J959"/>
    <mergeCell ref="D960:J960"/>
    <mergeCell ref="D962:J962"/>
    <mergeCell ref="D922:J922"/>
    <mergeCell ref="D924:J924"/>
    <mergeCell ref="D925:M925"/>
    <mergeCell ref="D926:J926"/>
    <mergeCell ref="D927:J927"/>
    <mergeCell ref="D928:J928"/>
    <mergeCell ref="D930:J930"/>
    <mergeCell ref="D931:M931"/>
    <mergeCell ref="D932:J932"/>
    <mergeCell ref="D933:J933"/>
    <mergeCell ref="D934:J934"/>
    <mergeCell ref="D936:J936"/>
    <mergeCell ref="D937:M937"/>
    <mergeCell ref="D938:J938"/>
    <mergeCell ref="D939:J939"/>
    <mergeCell ref="D940:J940"/>
    <mergeCell ref="D941:J941"/>
    <mergeCell ref="D903:J903"/>
    <mergeCell ref="D904:J904"/>
    <mergeCell ref="D905:M905"/>
    <mergeCell ref="D906:J906"/>
    <mergeCell ref="D907:M907"/>
    <mergeCell ref="D908:J908"/>
    <mergeCell ref="D909:J909"/>
    <mergeCell ref="D910:J910"/>
    <mergeCell ref="D912:J912"/>
    <mergeCell ref="D913:M913"/>
    <mergeCell ref="D914:J914"/>
    <mergeCell ref="D915:J915"/>
    <mergeCell ref="D916:J916"/>
    <mergeCell ref="D918:J918"/>
    <mergeCell ref="D919:M919"/>
    <mergeCell ref="D920:J920"/>
    <mergeCell ref="D921:J921"/>
    <mergeCell ref="D870:J870"/>
    <mergeCell ref="D871:M871"/>
    <mergeCell ref="D872:J872"/>
    <mergeCell ref="D873:J873"/>
    <mergeCell ref="D874:J874"/>
    <mergeCell ref="D876:J876"/>
    <mergeCell ref="D877:M877"/>
    <mergeCell ref="D878:J878"/>
    <mergeCell ref="D879:J879"/>
    <mergeCell ref="D880:J880"/>
    <mergeCell ref="D882:J882"/>
    <mergeCell ref="D883:M883"/>
    <mergeCell ref="D894:J894"/>
    <mergeCell ref="D895:J895"/>
    <mergeCell ref="D896:J896"/>
    <mergeCell ref="D898:J898"/>
    <mergeCell ref="D899:M899"/>
    <mergeCell ref="D851:J851"/>
    <mergeCell ref="D852:J852"/>
    <mergeCell ref="D854:J854"/>
    <mergeCell ref="D855:M855"/>
    <mergeCell ref="D856:J856"/>
    <mergeCell ref="D857:M857"/>
    <mergeCell ref="D858:J858"/>
    <mergeCell ref="D859:M859"/>
    <mergeCell ref="D860:J860"/>
    <mergeCell ref="D861:M861"/>
    <mergeCell ref="D862:J862"/>
    <mergeCell ref="D863:M863"/>
    <mergeCell ref="D864:J864"/>
    <mergeCell ref="D865:M865"/>
    <mergeCell ref="D866:J866"/>
    <mergeCell ref="D867:J867"/>
    <mergeCell ref="D868:J868"/>
    <mergeCell ref="D832:J832"/>
    <mergeCell ref="D833:J833"/>
    <mergeCell ref="D834:J834"/>
    <mergeCell ref="D835:M835"/>
    <mergeCell ref="D836:J836"/>
    <mergeCell ref="D837:M837"/>
    <mergeCell ref="D838:J838"/>
    <mergeCell ref="D840:J840"/>
    <mergeCell ref="D841:M841"/>
    <mergeCell ref="D842:J842"/>
    <mergeCell ref="D843:J843"/>
    <mergeCell ref="D844:J844"/>
    <mergeCell ref="D846:J846"/>
    <mergeCell ref="D847:M847"/>
    <mergeCell ref="D848:J848"/>
    <mergeCell ref="D849:M849"/>
    <mergeCell ref="D850:J850"/>
    <mergeCell ref="D807:J807"/>
    <mergeCell ref="D808:J808"/>
    <mergeCell ref="D810:J810"/>
    <mergeCell ref="D811:M811"/>
    <mergeCell ref="D815:J815"/>
    <mergeCell ref="D816:J816"/>
    <mergeCell ref="D817:J817"/>
    <mergeCell ref="D818:J818"/>
    <mergeCell ref="D820:J820"/>
    <mergeCell ref="D821:M821"/>
    <mergeCell ref="D822:J822"/>
    <mergeCell ref="D823:J823"/>
    <mergeCell ref="D824:J824"/>
    <mergeCell ref="D825:J825"/>
    <mergeCell ref="D826:J826"/>
    <mergeCell ref="D828:J828"/>
    <mergeCell ref="D829:M829"/>
    <mergeCell ref="D783:J783"/>
    <mergeCell ref="D784:J784"/>
    <mergeCell ref="D785:J785"/>
    <mergeCell ref="D787:J787"/>
    <mergeCell ref="D788:M788"/>
    <mergeCell ref="D791:J791"/>
    <mergeCell ref="D792:J792"/>
    <mergeCell ref="D793:J793"/>
    <mergeCell ref="D794:J794"/>
    <mergeCell ref="D795:J795"/>
    <mergeCell ref="D796:J796"/>
    <mergeCell ref="D797:J797"/>
    <mergeCell ref="D798:J798"/>
    <mergeCell ref="D800:J800"/>
    <mergeCell ref="D801:M801"/>
    <mergeCell ref="D805:J805"/>
    <mergeCell ref="D806:J806"/>
    <mergeCell ref="D761:J761"/>
    <mergeCell ref="D762:J762"/>
    <mergeCell ref="D763:J763"/>
    <mergeCell ref="D765:J765"/>
    <mergeCell ref="D766:M766"/>
    <mergeCell ref="D767:J767"/>
    <mergeCell ref="D768:J768"/>
    <mergeCell ref="D769:J769"/>
    <mergeCell ref="D770:J770"/>
    <mergeCell ref="D773:J773"/>
    <mergeCell ref="D774:J774"/>
    <mergeCell ref="D775:M775"/>
    <mergeCell ref="D778:J778"/>
    <mergeCell ref="D779:J779"/>
    <mergeCell ref="D780:J780"/>
    <mergeCell ref="D781:J781"/>
    <mergeCell ref="D782:J782"/>
    <mergeCell ref="D741:J741"/>
    <mergeCell ref="D742:J742"/>
    <mergeCell ref="D743:J743"/>
    <mergeCell ref="D744:J744"/>
    <mergeCell ref="D747:J747"/>
    <mergeCell ref="D748:J748"/>
    <mergeCell ref="D749:M749"/>
    <mergeCell ref="D750:J750"/>
    <mergeCell ref="D751:M751"/>
    <mergeCell ref="D752:J752"/>
    <mergeCell ref="D753:J753"/>
    <mergeCell ref="D754:J754"/>
    <mergeCell ref="D755:J755"/>
    <mergeCell ref="D757:J757"/>
    <mergeCell ref="D758:M758"/>
    <mergeCell ref="D759:J759"/>
    <mergeCell ref="D760:J760"/>
    <mergeCell ref="D722:J722"/>
    <mergeCell ref="D723:J723"/>
    <mergeCell ref="D724:J724"/>
    <mergeCell ref="D726:J726"/>
    <mergeCell ref="D727:M727"/>
    <mergeCell ref="D728:J728"/>
    <mergeCell ref="D729:J729"/>
    <mergeCell ref="D730:J730"/>
    <mergeCell ref="D731:J731"/>
    <mergeCell ref="D732:J732"/>
    <mergeCell ref="D733:J733"/>
    <mergeCell ref="D734:J734"/>
    <mergeCell ref="D736:J736"/>
    <mergeCell ref="D737:M737"/>
    <mergeCell ref="D738:J738"/>
    <mergeCell ref="D739:J739"/>
    <mergeCell ref="D740:J740"/>
    <mergeCell ref="D703:J703"/>
    <mergeCell ref="D704:J704"/>
    <mergeCell ref="D706:J706"/>
    <mergeCell ref="D707:M707"/>
    <mergeCell ref="D708:J708"/>
    <mergeCell ref="D709:J709"/>
    <mergeCell ref="D710:J710"/>
    <mergeCell ref="D711:J711"/>
    <mergeCell ref="D712:J712"/>
    <mergeCell ref="D713:J713"/>
    <mergeCell ref="D714:J714"/>
    <mergeCell ref="D716:J716"/>
    <mergeCell ref="D717:M717"/>
    <mergeCell ref="D718:J718"/>
    <mergeCell ref="D719:J719"/>
    <mergeCell ref="D720:J720"/>
    <mergeCell ref="D721:J721"/>
    <mergeCell ref="D682:J682"/>
    <mergeCell ref="D683:J683"/>
    <mergeCell ref="D684:J684"/>
    <mergeCell ref="D685:J685"/>
    <mergeCell ref="D686:J686"/>
    <mergeCell ref="D691:J691"/>
    <mergeCell ref="D692:J692"/>
    <mergeCell ref="D693:J693"/>
    <mergeCell ref="D694:J694"/>
    <mergeCell ref="D695:M695"/>
    <mergeCell ref="D696:J696"/>
    <mergeCell ref="D697:M697"/>
    <mergeCell ref="D698:J698"/>
    <mergeCell ref="D699:J699"/>
    <mergeCell ref="D700:J700"/>
    <mergeCell ref="D701:J701"/>
    <mergeCell ref="D702:J702"/>
    <mergeCell ref="D655:J655"/>
    <mergeCell ref="D656:J656"/>
    <mergeCell ref="D657:J657"/>
    <mergeCell ref="D658:J658"/>
    <mergeCell ref="D662:J662"/>
    <mergeCell ref="D663:J663"/>
    <mergeCell ref="D664:J664"/>
    <mergeCell ref="D665:M665"/>
    <mergeCell ref="D670:J670"/>
    <mergeCell ref="D671:J671"/>
    <mergeCell ref="D672:J672"/>
    <mergeCell ref="D673:J673"/>
    <mergeCell ref="D674:J674"/>
    <mergeCell ref="D678:J678"/>
    <mergeCell ref="D679:J679"/>
    <mergeCell ref="D680:J680"/>
    <mergeCell ref="D681:M681"/>
    <mergeCell ref="D632:J632"/>
    <mergeCell ref="D633:J633"/>
    <mergeCell ref="D634:J634"/>
    <mergeCell ref="D635:J635"/>
    <mergeCell ref="D636:J636"/>
    <mergeCell ref="D637:J637"/>
    <mergeCell ref="D638:J638"/>
    <mergeCell ref="D639:J639"/>
    <mergeCell ref="D640:J640"/>
    <mergeCell ref="D641:J641"/>
    <mergeCell ref="D645:J645"/>
    <mergeCell ref="D646:J646"/>
    <mergeCell ref="D647:J647"/>
    <mergeCell ref="D648:M648"/>
    <mergeCell ref="D652:J652"/>
    <mergeCell ref="D653:J653"/>
    <mergeCell ref="D654:J654"/>
    <mergeCell ref="D609:J609"/>
    <mergeCell ref="D610:J610"/>
    <mergeCell ref="D611:J611"/>
    <mergeCell ref="D612:J612"/>
    <mergeCell ref="D613:J613"/>
    <mergeCell ref="D614:J614"/>
    <mergeCell ref="D615:J615"/>
    <mergeCell ref="D616:J616"/>
    <mergeCell ref="D617:J617"/>
    <mergeCell ref="D618:J618"/>
    <mergeCell ref="D619:J619"/>
    <mergeCell ref="D620:J620"/>
    <mergeCell ref="D621:J621"/>
    <mergeCell ref="D624:J624"/>
    <mergeCell ref="D625:J625"/>
    <mergeCell ref="D626:M626"/>
    <mergeCell ref="D631:J631"/>
    <mergeCell ref="D586:M586"/>
    <mergeCell ref="D587:J587"/>
    <mergeCell ref="D588:J588"/>
    <mergeCell ref="D589:J589"/>
    <mergeCell ref="D590:J590"/>
    <mergeCell ref="D591:J591"/>
    <mergeCell ref="D592:J592"/>
    <mergeCell ref="D593:J593"/>
    <mergeCell ref="D594:J594"/>
    <mergeCell ref="D598:J598"/>
    <mergeCell ref="D599:J599"/>
    <mergeCell ref="D600:J600"/>
    <mergeCell ref="D601:M601"/>
    <mergeCell ref="D605:J605"/>
    <mergeCell ref="D606:J606"/>
    <mergeCell ref="D607:J607"/>
    <mergeCell ref="D608:J608"/>
    <mergeCell ref="D565:J565"/>
    <mergeCell ref="D566:J566"/>
    <mergeCell ref="D567:J567"/>
    <mergeCell ref="D568:J568"/>
    <mergeCell ref="D569:J569"/>
    <mergeCell ref="D572:J572"/>
    <mergeCell ref="D573:J573"/>
    <mergeCell ref="D574:M574"/>
    <mergeCell ref="D575:J575"/>
    <mergeCell ref="D576:J576"/>
    <mergeCell ref="D577:J577"/>
    <mergeCell ref="D578:J578"/>
    <mergeCell ref="D579:J579"/>
    <mergeCell ref="D580:J580"/>
    <mergeCell ref="D581:J581"/>
    <mergeCell ref="D584:J584"/>
    <mergeCell ref="D585:J585"/>
    <mergeCell ref="D528:J528"/>
    <mergeCell ref="D529:J529"/>
    <mergeCell ref="D530:J530"/>
    <mergeCell ref="D535:J535"/>
    <mergeCell ref="D536:J536"/>
    <mergeCell ref="D537:J537"/>
    <mergeCell ref="D538:J538"/>
    <mergeCell ref="D539:M539"/>
    <mergeCell ref="D549:J549"/>
    <mergeCell ref="D550:J550"/>
    <mergeCell ref="D551:J551"/>
    <mergeCell ref="D552:J552"/>
    <mergeCell ref="D553:J553"/>
    <mergeCell ref="D557:J557"/>
    <mergeCell ref="D558:J558"/>
    <mergeCell ref="D559:J559"/>
    <mergeCell ref="D560:M560"/>
    <mergeCell ref="D502:J502"/>
    <mergeCell ref="D503:J503"/>
    <mergeCell ref="D504:J504"/>
    <mergeCell ref="D505:J505"/>
    <mergeCell ref="D506:J506"/>
    <mergeCell ref="D507:J507"/>
    <mergeCell ref="D511:J511"/>
    <mergeCell ref="D512:J512"/>
    <mergeCell ref="D513:J513"/>
    <mergeCell ref="D514:M514"/>
    <mergeCell ref="D521:J521"/>
    <mergeCell ref="D522:J522"/>
    <mergeCell ref="D523:J523"/>
    <mergeCell ref="D524:J524"/>
    <mergeCell ref="D525:J525"/>
    <mergeCell ref="D526:J526"/>
    <mergeCell ref="D527:J527"/>
    <mergeCell ref="D481:J481"/>
    <mergeCell ref="D482:J482"/>
    <mergeCell ref="D483:J483"/>
    <mergeCell ref="D484:J484"/>
    <mergeCell ref="D485:J485"/>
    <mergeCell ref="D486:J486"/>
    <mergeCell ref="D487:J487"/>
    <mergeCell ref="D488:J488"/>
    <mergeCell ref="D489:J489"/>
    <mergeCell ref="D490:J490"/>
    <mergeCell ref="D491:J491"/>
    <mergeCell ref="D493:J493"/>
    <mergeCell ref="D494:M494"/>
    <mergeCell ref="D498:J498"/>
    <mergeCell ref="D499:J499"/>
    <mergeCell ref="D500:J500"/>
    <mergeCell ref="D501:J501"/>
    <mergeCell ref="D463:J463"/>
    <mergeCell ref="D464:J464"/>
    <mergeCell ref="D465:J465"/>
    <mergeCell ref="D466:M466"/>
    <mergeCell ref="D467:J467"/>
    <mergeCell ref="D468:J468"/>
    <mergeCell ref="D469:J469"/>
    <mergeCell ref="D470:J470"/>
    <mergeCell ref="D471:J471"/>
    <mergeCell ref="D472:J472"/>
    <mergeCell ref="D473:J473"/>
    <mergeCell ref="D474:J474"/>
    <mergeCell ref="D475:J475"/>
    <mergeCell ref="D476:J476"/>
    <mergeCell ref="D477:J477"/>
    <mergeCell ref="D479:J479"/>
    <mergeCell ref="D480:M480"/>
    <mergeCell ref="D442:M442"/>
    <mergeCell ref="D443:J443"/>
    <mergeCell ref="D444:J444"/>
    <mergeCell ref="D445:J445"/>
    <mergeCell ref="D446:J446"/>
    <mergeCell ref="D447:J447"/>
    <mergeCell ref="D448:J448"/>
    <mergeCell ref="D449:J449"/>
    <mergeCell ref="D451:J451"/>
    <mergeCell ref="D452:M452"/>
    <mergeCell ref="D453:J453"/>
    <mergeCell ref="D454:J454"/>
    <mergeCell ref="D455:J455"/>
    <mergeCell ref="D456:J456"/>
    <mergeCell ref="D457:J457"/>
    <mergeCell ref="D458:J458"/>
    <mergeCell ref="D459:J459"/>
    <mergeCell ref="D416:J416"/>
    <mergeCell ref="D417:J417"/>
    <mergeCell ref="D420:J420"/>
    <mergeCell ref="D421:J421"/>
    <mergeCell ref="D422:M422"/>
    <mergeCell ref="D426:J426"/>
    <mergeCell ref="D427:J427"/>
    <mergeCell ref="D428:J428"/>
    <mergeCell ref="D429:J429"/>
    <mergeCell ref="D430:J430"/>
    <mergeCell ref="D431:J431"/>
    <mergeCell ref="D432:J432"/>
    <mergeCell ref="D433:J433"/>
    <mergeCell ref="D438:J438"/>
    <mergeCell ref="D439:J439"/>
    <mergeCell ref="D440:J440"/>
    <mergeCell ref="D441:J441"/>
    <mergeCell ref="D394:J394"/>
    <mergeCell ref="D395:J395"/>
    <mergeCell ref="D396:J396"/>
    <mergeCell ref="D397:J397"/>
    <mergeCell ref="D398:J398"/>
    <mergeCell ref="D399:J399"/>
    <mergeCell ref="D400:J400"/>
    <mergeCell ref="D401:J401"/>
    <mergeCell ref="D402:J402"/>
    <mergeCell ref="D403:J403"/>
    <mergeCell ref="D407:J407"/>
    <mergeCell ref="D408:J408"/>
    <mergeCell ref="D409:J409"/>
    <mergeCell ref="D410:M410"/>
    <mergeCell ref="D413:J413"/>
    <mergeCell ref="D414:J414"/>
    <mergeCell ref="D415:J415"/>
    <mergeCell ref="D373:J373"/>
    <mergeCell ref="D374:J374"/>
    <mergeCell ref="D375:J375"/>
    <mergeCell ref="D376:J376"/>
    <mergeCell ref="D377:J377"/>
    <mergeCell ref="D378:J378"/>
    <mergeCell ref="D379:J379"/>
    <mergeCell ref="D380:J380"/>
    <mergeCell ref="D381:J381"/>
    <mergeCell ref="D382:J382"/>
    <mergeCell ref="D383:J383"/>
    <mergeCell ref="D384:J384"/>
    <mergeCell ref="D386:J386"/>
    <mergeCell ref="D387:M387"/>
    <mergeCell ref="D391:J391"/>
    <mergeCell ref="D392:J392"/>
    <mergeCell ref="D393:J393"/>
    <mergeCell ref="D345:J345"/>
    <mergeCell ref="D346:J346"/>
    <mergeCell ref="D347:J347"/>
    <mergeCell ref="D348:J348"/>
    <mergeCell ref="D349:J349"/>
    <mergeCell ref="D350:J350"/>
    <mergeCell ref="D351:J351"/>
    <mergeCell ref="D352:J352"/>
    <mergeCell ref="D353:J353"/>
    <mergeCell ref="D354:J354"/>
    <mergeCell ref="D358:J358"/>
    <mergeCell ref="D359:J359"/>
    <mergeCell ref="D360:J360"/>
    <mergeCell ref="D361:M361"/>
    <mergeCell ref="D370:J370"/>
    <mergeCell ref="D371:J371"/>
    <mergeCell ref="D372:J372"/>
    <mergeCell ref="D322:J322"/>
    <mergeCell ref="D323:J323"/>
    <mergeCell ref="D324:M324"/>
    <mergeCell ref="D327:J327"/>
    <mergeCell ref="D328:J328"/>
    <mergeCell ref="D329:J329"/>
    <mergeCell ref="D330:J330"/>
    <mergeCell ref="D331:J331"/>
    <mergeCell ref="D332:J332"/>
    <mergeCell ref="D335:J335"/>
    <mergeCell ref="D336:J336"/>
    <mergeCell ref="D337:M337"/>
    <mergeCell ref="D340:J340"/>
    <mergeCell ref="D341:J341"/>
    <mergeCell ref="D342:J342"/>
    <mergeCell ref="D343:J343"/>
    <mergeCell ref="D344:J344"/>
    <mergeCell ref="D301:J301"/>
    <mergeCell ref="D302:J302"/>
    <mergeCell ref="D303:J303"/>
    <mergeCell ref="D304:J304"/>
    <mergeCell ref="D305:J305"/>
    <mergeCell ref="D306:J306"/>
    <mergeCell ref="D307:J307"/>
    <mergeCell ref="D308:J308"/>
    <mergeCell ref="D309:J309"/>
    <mergeCell ref="D310:J310"/>
    <mergeCell ref="D311:J311"/>
    <mergeCell ref="D312:J312"/>
    <mergeCell ref="D313:J313"/>
    <mergeCell ref="D314:J314"/>
    <mergeCell ref="D315:J315"/>
    <mergeCell ref="D320:J320"/>
    <mergeCell ref="D321:J321"/>
    <mergeCell ref="D279:J279"/>
    <mergeCell ref="D280:J280"/>
    <mergeCell ref="D281:J281"/>
    <mergeCell ref="D282:J282"/>
    <mergeCell ref="D283:J283"/>
    <mergeCell ref="D284:J284"/>
    <mergeCell ref="D285:J285"/>
    <mergeCell ref="D287:J287"/>
    <mergeCell ref="D288:M288"/>
    <mergeCell ref="D289:J289"/>
    <mergeCell ref="D290:J290"/>
    <mergeCell ref="D291:J291"/>
    <mergeCell ref="D292:J292"/>
    <mergeCell ref="D293:J293"/>
    <mergeCell ref="D294:J294"/>
    <mergeCell ref="D296:J296"/>
    <mergeCell ref="D297:M297"/>
    <mergeCell ref="D260:J260"/>
    <mergeCell ref="D261:J261"/>
    <mergeCell ref="D262:J262"/>
    <mergeCell ref="D263:J263"/>
    <mergeCell ref="D264:J264"/>
    <mergeCell ref="D265:J265"/>
    <mergeCell ref="D266:J266"/>
    <mergeCell ref="D267:J267"/>
    <mergeCell ref="D268:J268"/>
    <mergeCell ref="D269:J269"/>
    <mergeCell ref="D270:J270"/>
    <mergeCell ref="D271:J271"/>
    <mergeCell ref="D274:J274"/>
    <mergeCell ref="D275:J275"/>
    <mergeCell ref="D276:M276"/>
    <mergeCell ref="D277:J277"/>
    <mergeCell ref="D278:J278"/>
    <mergeCell ref="D234:J234"/>
    <mergeCell ref="D235:J235"/>
    <mergeCell ref="D236:J236"/>
    <mergeCell ref="D237:J237"/>
    <mergeCell ref="D241:J241"/>
    <mergeCell ref="D242:J242"/>
    <mergeCell ref="D243:J243"/>
    <mergeCell ref="D244:M244"/>
    <mergeCell ref="D245:J245"/>
    <mergeCell ref="D246:J246"/>
    <mergeCell ref="D247:J247"/>
    <mergeCell ref="D248:J248"/>
    <mergeCell ref="D249:J249"/>
    <mergeCell ref="D250:J250"/>
    <mergeCell ref="D253:J253"/>
    <mergeCell ref="D254:J254"/>
    <mergeCell ref="D255:M255"/>
    <mergeCell ref="D216:J216"/>
    <mergeCell ref="D217:M217"/>
    <mergeCell ref="D218:J218"/>
    <mergeCell ref="D219:J219"/>
    <mergeCell ref="D220:J220"/>
    <mergeCell ref="D221:J221"/>
    <mergeCell ref="D222:J222"/>
    <mergeCell ref="D223:J223"/>
    <mergeCell ref="D224:J224"/>
    <mergeCell ref="D225:J225"/>
    <mergeCell ref="D226:J226"/>
    <mergeCell ref="D227:J227"/>
    <mergeCell ref="D228:J228"/>
    <mergeCell ref="D229:J229"/>
    <mergeCell ref="D231:J231"/>
    <mergeCell ref="D232:M232"/>
    <mergeCell ref="D233:J233"/>
    <mergeCell ref="D197:J197"/>
    <mergeCell ref="D198:J198"/>
    <mergeCell ref="D199:J199"/>
    <mergeCell ref="D201:J201"/>
    <mergeCell ref="D202:M202"/>
    <mergeCell ref="D203:J203"/>
    <mergeCell ref="D204:J204"/>
    <mergeCell ref="D205:J205"/>
    <mergeCell ref="D206:J206"/>
    <mergeCell ref="D207:J207"/>
    <mergeCell ref="D208:J208"/>
    <mergeCell ref="D209:J209"/>
    <mergeCell ref="D210:J210"/>
    <mergeCell ref="D211:J211"/>
    <mergeCell ref="D212:J212"/>
    <mergeCell ref="D213:J213"/>
    <mergeCell ref="D214:J214"/>
    <mergeCell ref="D178:J178"/>
    <mergeCell ref="D179:J179"/>
    <mergeCell ref="D180:J180"/>
    <mergeCell ref="D181:J181"/>
    <mergeCell ref="D182:J182"/>
    <mergeCell ref="D183:J183"/>
    <mergeCell ref="D184:J184"/>
    <mergeCell ref="D185:J185"/>
    <mergeCell ref="D188:J188"/>
    <mergeCell ref="D189:J189"/>
    <mergeCell ref="D190:M190"/>
    <mergeCell ref="D191:J191"/>
    <mergeCell ref="D192:J192"/>
    <mergeCell ref="D193:J193"/>
    <mergeCell ref="D194:J194"/>
    <mergeCell ref="D195:J195"/>
    <mergeCell ref="D196:J196"/>
    <mergeCell ref="D158:M158"/>
    <mergeCell ref="D159:J159"/>
    <mergeCell ref="D160:J160"/>
    <mergeCell ref="D161:J161"/>
    <mergeCell ref="D162:J162"/>
    <mergeCell ref="D163:J163"/>
    <mergeCell ref="D164:J164"/>
    <mergeCell ref="D166:J166"/>
    <mergeCell ref="D167:M167"/>
    <mergeCell ref="D168:J168"/>
    <mergeCell ref="D169:J169"/>
    <mergeCell ref="D170:J170"/>
    <mergeCell ref="D171:J171"/>
    <mergeCell ref="D172:J172"/>
    <mergeCell ref="D175:J175"/>
    <mergeCell ref="D176:J176"/>
    <mergeCell ref="D177:M177"/>
    <mergeCell ref="D132:J132"/>
    <mergeCell ref="D133:M133"/>
    <mergeCell ref="D136:J136"/>
    <mergeCell ref="D137:J137"/>
    <mergeCell ref="D140:J140"/>
    <mergeCell ref="D141:J141"/>
    <mergeCell ref="D142:M142"/>
    <mergeCell ref="D145:J145"/>
    <mergeCell ref="D146:J146"/>
    <mergeCell ref="D147:J147"/>
    <mergeCell ref="D148:J148"/>
    <mergeCell ref="D149:J149"/>
    <mergeCell ref="D150:J150"/>
    <mergeCell ref="D151:J151"/>
    <mergeCell ref="D155:J155"/>
    <mergeCell ref="D156:J156"/>
    <mergeCell ref="D157:J157"/>
    <mergeCell ref="D108:J108"/>
    <mergeCell ref="D109:J109"/>
    <mergeCell ref="D110:M110"/>
    <mergeCell ref="D111:J111"/>
    <mergeCell ref="D112:J112"/>
    <mergeCell ref="D113:J113"/>
    <mergeCell ref="D114:J114"/>
    <mergeCell ref="D118:J118"/>
    <mergeCell ref="D119:J119"/>
    <mergeCell ref="D120:J120"/>
    <mergeCell ref="D121:M121"/>
    <mergeCell ref="D122:J122"/>
    <mergeCell ref="D123:J123"/>
    <mergeCell ref="D124:J124"/>
    <mergeCell ref="D129:J129"/>
    <mergeCell ref="D130:J130"/>
    <mergeCell ref="D131:J131"/>
    <mergeCell ref="D75:J75"/>
    <mergeCell ref="D76:J76"/>
    <mergeCell ref="D77:M77"/>
    <mergeCell ref="D80:J80"/>
    <mergeCell ref="D81:J81"/>
    <mergeCell ref="D85:J85"/>
    <mergeCell ref="D86:J86"/>
    <mergeCell ref="D87:J87"/>
    <mergeCell ref="D88:M88"/>
    <mergeCell ref="D92:J92"/>
    <mergeCell ref="D93:J93"/>
    <mergeCell ref="D96:J96"/>
    <mergeCell ref="D97:J97"/>
    <mergeCell ref="D98:M98"/>
    <mergeCell ref="D102:J102"/>
    <mergeCell ref="D103:J103"/>
    <mergeCell ref="D107:J107"/>
    <mergeCell ref="D42:M42"/>
    <mergeCell ref="D46:J46"/>
    <mergeCell ref="D47:J47"/>
    <mergeCell ref="D51:J51"/>
    <mergeCell ref="D52:J52"/>
    <mergeCell ref="D53:J53"/>
    <mergeCell ref="D54:M54"/>
    <mergeCell ref="D58:J58"/>
    <mergeCell ref="D59:J59"/>
    <mergeCell ref="D60:J60"/>
    <mergeCell ref="D61:J61"/>
    <mergeCell ref="D62:J62"/>
    <mergeCell ref="D64:J64"/>
    <mergeCell ref="D65:M65"/>
    <mergeCell ref="D69:J69"/>
    <mergeCell ref="D70:J70"/>
    <mergeCell ref="D74:J74"/>
    <mergeCell ref="D20:J20"/>
    <mergeCell ref="D22:J22"/>
    <mergeCell ref="D23:M23"/>
    <mergeCell ref="D24:J24"/>
    <mergeCell ref="D25:J25"/>
    <mergeCell ref="D26:J26"/>
    <mergeCell ref="D27:J27"/>
    <mergeCell ref="D28:J28"/>
    <mergeCell ref="D29:J29"/>
    <mergeCell ref="D30:J30"/>
    <mergeCell ref="D33:J33"/>
    <mergeCell ref="D34:J34"/>
    <mergeCell ref="D35:M35"/>
    <mergeCell ref="D36:J36"/>
    <mergeCell ref="D37:J37"/>
    <mergeCell ref="D40:J40"/>
    <mergeCell ref="D41:J41"/>
    <mergeCell ref="B1:M1"/>
    <mergeCell ref="A2:C2"/>
    <mergeCell ref="D4:J4"/>
    <mergeCell ref="D5:J5"/>
    <mergeCell ref="D6:J6"/>
    <mergeCell ref="D7:J7"/>
    <mergeCell ref="D8:J8"/>
    <mergeCell ref="D9:M9"/>
    <mergeCell ref="D10:J10"/>
    <mergeCell ref="D11:J11"/>
    <mergeCell ref="D12:J12"/>
    <mergeCell ref="D13:J13"/>
    <mergeCell ref="D14:J14"/>
    <mergeCell ref="D16:J16"/>
    <mergeCell ref="D17:M17"/>
    <mergeCell ref="D18:J18"/>
    <mergeCell ref="D19:J19"/>
  </mergeCells>
  <pageMargins left="0.62007900000000005" right="0.472441" top="0.472441" bottom="0.472441" header="0" footer="0"/>
  <pageSetup paperSize="9" orientation="landscape"/>
  <rowBreaks count="2" manualBreakCount="2">
    <brk max="16383" man="1"/>
    <brk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EE64-0482-F24D-B14A-BE888CC271E3}">
  <dimension ref="A1:F114"/>
  <sheetViews>
    <sheetView tabSelected="1" topLeftCell="A97" workbookViewId="0">
      <selection sqref="A1:E1"/>
    </sheetView>
  </sheetViews>
  <sheetFormatPr baseColWidth="10" defaultRowHeight="15" x14ac:dyDescent="0.2"/>
  <cols>
    <col min="1" max="2" width="10.625" style="88"/>
    <col min="3" max="3" width="43.875" style="88" bestFit="1" customWidth="1"/>
    <col min="4" max="5" width="10.625" style="88"/>
    <col min="6" max="6" width="10.375" style="88" customWidth="1"/>
    <col min="7" max="16384" width="10.625" style="88"/>
  </cols>
  <sheetData>
    <row r="1" spans="1:6" ht="20" thickBot="1" x14ac:dyDescent="0.25">
      <c r="A1" s="142" t="s">
        <v>4049</v>
      </c>
      <c r="B1" s="143"/>
      <c r="C1" s="143"/>
      <c r="D1" s="143"/>
      <c r="E1" s="144"/>
      <c r="F1" s="87" t="s">
        <v>4050</v>
      </c>
    </row>
    <row r="2" spans="1:6" ht="16" thickBot="1" x14ac:dyDescent="0.25">
      <c r="A2" s="89" t="s">
        <v>4051</v>
      </c>
      <c r="B2" s="90"/>
      <c r="C2" s="90"/>
      <c r="D2" s="90"/>
      <c r="E2" s="91"/>
      <c r="F2" s="131"/>
    </row>
    <row r="3" spans="1:6" ht="16" thickBot="1" x14ac:dyDescent="0.25">
      <c r="A3" s="92" t="s">
        <v>4052</v>
      </c>
      <c r="B3" s="93"/>
      <c r="C3" s="93"/>
      <c r="D3" s="93"/>
      <c r="E3" s="94"/>
      <c r="F3" s="132">
        <f>F4+F8+F10+F12+F15+F17</f>
        <v>8543.7999999999993</v>
      </c>
    </row>
    <row r="4" spans="1:6" ht="16" customHeight="1" thickBot="1" x14ac:dyDescent="0.25">
      <c r="A4" s="96" t="s">
        <v>4053</v>
      </c>
      <c r="B4" s="97"/>
      <c r="C4" s="97"/>
      <c r="D4" s="97"/>
      <c r="E4" s="98"/>
      <c r="F4" s="133">
        <f>F5+F6+F7</f>
        <v>3927.2799999999997</v>
      </c>
    </row>
    <row r="5" spans="1:6" ht="16" x14ac:dyDescent="0.2">
      <c r="A5" s="99"/>
      <c r="B5" s="100"/>
      <c r="C5" s="100" t="s">
        <v>4054</v>
      </c>
      <c r="D5" s="100"/>
      <c r="E5" s="101"/>
      <c r="F5" s="134">
        <f>'Full 1'!M7</f>
        <v>2062.9299999999998</v>
      </c>
    </row>
    <row r="6" spans="1:6" x14ac:dyDescent="0.2">
      <c r="A6" s="102"/>
      <c r="C6" s="88" t="s">
        <v>4055</v>
      </c>
      <c r="E6" s="103"/>
      <c r="F6" s="135">
        <f>'Full 1'!M33</f>
        <v>1152.3699999999999</v>
      </c>
    </row>
    <row r="7" spans="1:6" ht="16" thickBot="1" x14ac:dyDescent="0.25">
      <c r="A7" s="102"/>
      <c r="C7" s="88" t="s">
        <v>4056</v>
      </c>
      <c r="E7" s="103"/>
      <c r="F7" s="135">
        <f>'Full 1'!M40</f>
        <v>711.98</v>
      </c>
    </row>
    <row r="8" spans="1:6" ht="15" customHeight="1" thickBot="1" x14ac:dyDescent="0.25">
      <c r="A8" s="96" t="s">
        <v>4057</v>
      </c>
      <c r="B8" s="97"/>
      <c r="C8" s="97"/>
      <c r="D8" s="97"/>
      <c r="E8" s="98"/>
      <c r="F8" s="133">
        <f>F9</f>
        <v>73.95</v>
      </c>
    </row>
    <row r="9" spans="1:6" ht="16" thickBot="1" x14ac:dyDescent="0.25">
      <c r="A9" s="102"/>
      <c r="C9" s="88" t="s">
        <v>4058</v>
      </c>
      <c r="E9" s="103"/>
      <c r="F9" s="135">
        <f>'Full 1'!M52</f>
        <v>73.95</v>
      </c>
    </row>
    <row r="10" spans="1:6" ht="15" customHeight="1" thickBot="1" x14ac:dyDescent="0.25">
      <c r="A10" s="96" t="s">
        <v>4059</v>
      </c>
      <c r="B10" s="97"/>
      <c r="C10" s="97"/>
      <c r="D10" s="97"/>
      <c r="E10" s="98"/>
      <c r="F10" s="133">
        <f>F11</f>
        <v>1246.95</v>
      </c>
    </row>
    <row r="11" spans="1:6" ht="16" thickBot="1" x14ac:dyDescent="0.25">
      <c r="A11" s="102"/>
      <c r="C11" s="88" t="s">
        <v>4060</v>
      </c>
      <c r="E11" s="103"/>
      <c r="F11" s="135">
        <f>'Full 1'!M75</f>
        <v>1246.95</v>
      </c>
    </row>
    <row r="12" spans="1:6" ht="15" customHeight="1" thickBot="1" x14ac:dyDescent="0.25">
      <c r="A12" s="96" t="s">
        <v>4061</v>
      </c>
      <c r="B12" s="97"/>
      <c r="C12" s="97"/>
      <c r="D12" s="97"/>
      <c r="E12" s="98"/>
      <c r="F12" s="133">
        <f>F13+F14</f>
        <v>132.63999999999999</v>
      </c>
    </row>
    <row r="13" spans="1:6" x14ac:dyDescent="0.2">
      <c r="A13" s="102"/>
      <c r="C13" s="88" t="s">
        <v>4062</v>
      </c>
      <c r="E13" s="103"/>
      <c r="F13" s="135">
        <f>'Full 1'!M86</f>
        <v>41.92</v>
      </c>
    </row>
    <row r="14" spans="1:6" ht="16" thickBot="1" x14ac:dyDescent="0.25">
      <c r="A14" s="102"/>
      <c r="C14" s="88" t="s">
        <v>4063</v>
      </c>
      <c r="E14" s="103"/>
      <c r="F14" s="135">
        <f>'Full 1'!M96</f>
        <v>90.72</v>
      </c>
    </row>
    <row r="15" spans="1:6" ht="15" customHeight="1" thickBot="1" x14ac:dyDescent="0.25">
      <c r="A15" s="96" t="s">
        <v>4064</v>
      </c>
      <c r="B15" s="97"/>
      <c r="C15" s="97"/>
      <c r="D15" s="97"/>
      <c r="E15" s="98"/>
      <c r="F15" s="133">
        <f>F16</f>
        <v>2675.85</v>
      </c>
    </row>
    <row r="16" spans="1:6" ht="16" thickBot="1" x14ac:dyDescent="0.25">
      <c r="A16" s="102"/>
      <c r="C16" s="88" t="s">
        <v>4065</v>
      </c>
      <c r="E16" s="103"/>
      <c r="F16" s="135">
        <f>'Full 1'!M108</f>
        <v>2675.85</v>
      </c>
    </row>
    <row r="17" spans="1:6" ht="15" customHeight="1" thickBot="1" x14ac:dyDescent="0.25">
      <c r="A17" s="96" t="s">
        <v>4066</v>
      </c>
      <c r="B17" s="97"/>
      <c r="C17" s="97"/>
      <c r="D17" s="97"/>
      <c r="E17" s="98"/>
      <c r="F17" s="133">
        <f>F18</f>
        <v>487.13</v>
      </c>
    </row>
    <row r="18" spans="1:6" ht="16" thickBot="1" x14ac:dyDescent="0.25">
      <c r="A18" s="102"/>
      <c r="C18" s="88" t="s">
        <v>4067</v>
      </c>
      <c r="E18" s="103"/>
      <c r="F18" s="135">
        <f>'Full 1'!M119</f>
        <v>487.13</v>
      </c>
    </row>
    <row r="19" spans="1:6" ht="15" customHeight="1" thickBot="1" x14ac:dyDescent="0.25">
      <c r="A19" s="104" t="s">
        <v>4068</v>
      </c>
      <c r="B19" s="105"/>
      <c r="C19" s="105"/>
      <c r="D19" s="105"/>
      <c r="E19" s="106"/>
      <c r="F19" s="136"/>
    </row>
    <row r="20" spans="1:6" ht="16" thickBot="1" x14ac:dyDescent="0.25">
      <c r="A20" s="104" t="s">
        <v>4069</v>
      </c>
      <c r="B20" s="105"/>
      <c r="C20" s="105"/>
      <c r="D20" s="105"/>
      <c r="E20" s="106"/>
      <c r="F20" s="137">
        <f>F21+F24+F28</f>
        <v>15443.419999999998</v>
      </c>
    </row>
    <row r="21" spans="1:6" x14ac:dyDescent="0.2">
      <c r="A21" s="107" t="s">
        <v>4070</v>
      </c>
      <c r="B21" s="108"/>
      <c r="C21" s="108"/>
      <c r="D21" s="108"/>
      <c r="E21" s="109"/>
      <c r="F21" s="138">
        <f>F22+F23</f>
        <v>2461.9900000000002</v>
      </c>
    </row>
    <row r="22" spans="1:6" ht="16" x14ac:dyDescent="0.2">
      <c r="A22" s="110"/>
      <c r="B22" s="111"/>
      <c r="C22" s="111" t="s">
        <v>4071</v>
      </c>
      <c r="D22" s="111"/>
      <c r="E22" s="112"/>
      <c r="F22" s="135">
        <f>'Full 1'!M131</f>
        <v>1525.16</v>
      </c>
    </row>
    <row r="23" spans="1:6" ht="16" x14ac:dyDescent="0.2">
      <c r="A23" s="110"/>
      <c r="B23" s="111"/>
      <c r="C23" s="111" t="s">
        <v>4072</v>
      </c>
      <c r="D23" s="111"/>
      <c r="E23" s="112"/>
      <c r="F23" s="135">
        <f>'Full 1'!M140</f>
        <v>936.83</v>
      </c>
    </row>
    <row r="24" spans="1:6" ht="15" customHeight="1" x14ac:dyDescent="0.2">
      <c r="A24" s="113" t="s">
        <v>4073</v>
      </c>
      <c r="B24" s="114"/>
      <c r="C24" s="114"/>
      <c r="D24" s="114"/>
      <c r="E24" s="115"/>
      <c r="F24" s="133">
        <f>F25+F26+F27</f>
        <v>7187.8899999999994</v>
      </c>
    </row>
    <row r="25" spans="1:6" x14ac:dyDescent="0.2">
      <c r="A25" s="102"/>
      <c r="C25" s="88" t="s">
        <v>4074</v>
      </c>
      <c r="E25" s="103"/>
      <c r="F25" s="135">
        <f>'Full 1'!M156</f>
        <v>4256.74</v>
      </c>
    </row>
    <row r="26" spans="1:6" x14ac:dyDescent="0.2">
      <c r="A26" s="102"/>
      <c r="C26" s="88" t="s">
        <v>4075</v>
      </c>
      <c r="E26" s="103"/>
      <c r="F26" s="135">
        <f>'Full 1'!M175</f>
        <v>102.25</v>
      </c>
    </row>
    <row r="27" spans="1:6" x14ac:dyDescent="0.2">
      <c r="A27" s="102"/>
      <c r="C27" s="88" t="s">
        <v>4076</v>
      </c>
      <c r="E27" s="103"/>
      <c r="F27" s="135">
        <f>'Full 1'!M188</f>
        <v>2828.9</v>
      </c>
    </row>
    <row r="28" spans="1:6" ht="15" customHeight="1" x14ac:dyDescent="0.2">
      <c r="A28" s="113" t="s">
        <v>4077</v>
      </c>
      <c r="B28" s="114"/>
      <c r="C28" s="114"/>
      <c r="D28" s="114"/>
      <c r="E28" s="115"/>
      <c r="F28" s="139">
        <f>F29+F30+F31</f>
        <v>5793.54</v>
      </c>
    </row>
    <row r="29" spans="1:6" x14ac:dyDescent="0.2">
      <c r="A29" s="102"/>
      <c r="C29" s="88" t="s">
        <v>4078</v>
      </c>
      <c r="E29" s="103"/>
      <c r="F29" s="135">
        <f>'Full 1'!M242</f>
        <v>550.69000000000005</v>
      </c>
    </row>
    <row r="30" spans="1:6" x14ac:dyDescent="0.2">
      <c r="A30" s="102"/>
      <c r="C30" s="88" t="s">
        <v>4079</v>
      </c>
      <c r="E30" s="103"/>
      <c r="F30" s="135">
        <f>'Full 1'!M253</f>
        <v>3256</v>
      </c>
    </row>
    <row r="31" spans="1:6" ht="16" thickBot="1" x14ac:dyDescent="0.25">
      <c r="A31" s="102"/>
      <c r="C31" s="88" t="s">
        <v>4080</v>
      </c>
      <c r="E31" s="103"/>
      <c r="F31" s="135">
        <f>'Full 1'!M274</f>
        <v>1986.85</v>
      </c>
    </row>
    <row r="32" spans="1:6" ht="16" thickBot="1" x14ac:dyDescent="0.25">
      <c r="A32" s="104" t="s">
        <v>4081</v>
      </c>
      <c r="B32" s="105"/>
      <c r="C32" s="105"/>
      <c r="D32" s="105"/>
      <c r="E32" s="106"/>
      <c r="F32" s="135"/>
    </row>
    <row r="33" spans="1:6" ht="16" thickBot="1" x14ac:dyDescent="0.25">
      <c r="A33" s="104" t="s">
        <v>4082</v>
      </c>
      <c r="B33" s="105"/>
      <c r="C33" s="105"/>
      <c r="D33" s="105"/>
      <c r="E33" s="106"/>
      <c r="F33" s="137">
        <f>F34+F37+F39</f>
        <v>10640.390000000001</v>
      </c>
    </row>
    <row r="34" spans="1:6" ht="15" customHeight="1" x14ac:dyDescent="0.2">
      <c r="A34" s="107" t="s">
        <v>4083</v>
      </c>
      <c r="B34" s="108"/>
      <c r="C34" s="108"/>
      <c r="D34" s="108"/>
      <c r="E34" s="109"/>
      <c r="F34" s="133">
        <f>F35+F36</f>
        <v>1029.02</v>
      </c>
    </row>
    <row r="35" spans="1:6" x14ac:dyDescent="0.2">
      <c r="A35" s="102"/>
      <c r="C35" s="88" t="s">
        <v>4084</v>
      </c>
      <c r="E35" s="103"/>
      <c r="F35" s="135">
        <f>'Full 1'!M322</f>
        <v>991.69</v>
      </c>
    </row>
    <row r="36" spans="1:6" x14ac:dyDescent="0.2">
      <c r="A36" s="102"/>
      <c r="C36" s="88" t="s">
        <v>4085</v>
      </c>
      <c r="E36" s="103"/>
      <c r="F36" s="135">
        <f>'Full 1'!M335</f>
        <v>37.33</v>
      </c>
    </row>
    <row r="37" spans="1:6" ht="15" customHeight="1" x14ac:dyDescent="0.2">
      <c r="A37" s="113" t="s">
        <v>4086</v>
      </c>
      <c r="B37" s="114"/>
      <c r="C37" s="114"/>
      <c r="D37" s="114"/>
      <c r="E37" s="115"/>
      <c r="F37" s="133">
        <f>F38</f>
        <v>8603.34</v>
      </c>
    </row>
    <row r="38" spans="1:6" x14ac:dyDescent="0.2">
      <c r="A38" s="102"/>
      <c r="C38" s="88" t="s">
        <v>4087</v>
      </c>
      <c r="E38" s="103"/>
      <c r="F38" s="135">
        <f>'Full 1'!M359</f>
        <v>8603.34</v>
      </c>
    </row>
    <row r="39" spans="1:6" ht="15" customHeight="1" x14ac:dyDescent="0.2">
      <c r="A39" s="113" t="s">
        <v>4088</v>
      </c>
      <c r="B39" s="114"/>
      <c r="C39" s="114"/>
      <c r="D39" s="114"/>
      <c r="E39" s="115"/>
      <c r="F39" s="133">
        <f>F40+F41</f>
        <v>1008.03</v>
      </c>
    </row>
    <row r="40" spans="1:6" x14ac:dyDescent="0.2">
      <c r="A40" s="102"/>
      <c r="C40" s="88" t="s">
        <v>4089</v>
      </c>
      <c r="E40" s="103"/>
      <c r="F40" s="135">
        <f>'Full 1'!M408</f>
        <v>443.37</v>
      </c>
    </row>
    <row r="41" spans="1:6" ht="16" thickBot="1" x14ac:dyDescent="0.25">
      <c r="A41" s="102"/>
      <c r="C41" s="88" t="s">
        <v>4090</v>
      </c>
      <c r="E41" s="103"/>
      <c r="F41" s="135">
        <f>'Full 1'!M420</f>
        <v>564.66</v>
      </c>
    </row>
    <row r="42" spans="1:6" ht="16" thickBot="1" x14ac:dyDescent="0.25">
      <c r="A42" s="104" t="s">
        <v>4091</v>
      </c>
      <c r="B42" s="105"/>
      <c r="C42" s="105"/>
      <c r="D42" s="105"/>
      <c r="E42" s="106"/>
      <c r="F42" s="135"/>
    </row>
    <row r="43" spans="1:6" ht="16" thickBot="1" x14ac:dyDescent="0.25">
      <c r="A43" s="104" t="s">
        <v>4092</v>
      </c>
      <c r="B43" s="105"/>
      <c r="C43" s="105"/>
      <c r="D43" s="105"/>
      <c r="E43" s="106"/>
      <c r="F43" s="137">
        <f>F44+F46+F48</f>
        <v>12138.939999999999</v>
      </c>
    </row>
    <row r="44" spans="1:6" ht="15" customHeight="1" x14ac:dyDescent="0.2">
      <c r="A44" s="107" t="s">
        <v>4093</v>
      </c>
      <c r="B44" s="108"/>
      <c r="C44" s="108"/>
      <c r="D44" s="108"/>
      <c r="E44" s="109"/>
      <c r="F44" s="133">
        <f>F45</f>
        <v>2407.02</v>
      </c>
    </row>
    <row r="45" spans="1:6" x14ac:dyDescent="0.2">
      <c r="A45" s="102"/>
      <c r="C45" s="88" t="s">
        <v>4094</v>
      </c>
      <c r="E45" s="116"/>
      <c r="F45" s="135">
        <f>'Full 1'!M440</f>
        <v>2407.02</v>
      </c>
    </row>
    <row r="46" spans="1:6" ht="15" customHeight="1" x14ac:dyDescent="0.2">
      <c r="A46" s="113" t="s">
        <v>4095</v>
      </c>
      <c r="B46" s="114"/>
      <c r="C46" s="114"/>
      <c r="D46" s="114"/>
      <c r="E46" s="115"/>
      <c r="F46" s="133">
        <f>F47</f>
        <v>4046.23</v>
      </c>
    </row>
    <row r="47" spans="1:6" x14ac:dyDescent="0.2">
      <c r="A47" s="102"/>
      <c r="C47" s="88" t="s">
        <v>4096</v>
      </c>
      <c r="E47" s="103"/>
      <c r="F47" s="135">
        <f>'Full 1'!M464</f>
        <v>4046.23</v>
      </c>
    </row>
    <row r="48" spans="1:6" ht="15" customHeight="1" x14ac:dyDescent="0.2">
      <c r="A48" s="113" t="s">
        <v>4097</v>
      </c>
      <c r="B48" s="114"/>
      <c r="C48" s="114"/>
      <c r="D48" s="114"/>
      <c r="E48" s="115"/>
      <c r="F48" s="133">
        <f>F49</f>
        <v>5685.69</v>
      </c>
    </row>
    <row r="49" spans="1:6" ht="16" thickBot="1" x14ac:dyDescent="0.25">
      <c r="A49" s="102"/>
      <c r="C49" s="88" t="s">
        <v>4098</v>
      </c>
      <c r="E49" s="103"/>
      <c r="F49" s="135">
        <f>'Full 1'!M512</f>
        <v>5685.69</v>
      </c>
    </row>
    <row r="50" spans="1:6" ht="16" thickBot="1" x14ac:dyDescent="0.25">
      <c r="A50" s="104" t="s">
        <v>4099</v>
      </c>
      <c r="B50" s="105"/>
      <c r="C50" s="105"/>
      <c r="D50" s="105"/>
      <c r="E50" s="106"/>
      <c r="F50" s="135"/>
    </row>
    <row r="51" spans="1:6" ht="16" thickBot="1" x14ac:dyDescent="0.25">
      <c r="A51" s="104" t="s">
        <v>4100</v>
      </c>
      <c r="B51" s="105"/>
      <c r="C51" s="105"/>
      <c r="D51" s="105"/>
      <c r="E51" s="106"/>
      <c r="F51" s="137">
        <f>F52+F54+F58+F61+F63+F65</f>
        <v>34339.21</v>
      </c>
    </row>
    <row r="52" spans="1:6" ht="15" customHeight="1" x14ac:dyDescent="0.2">
      <c r="A52" s="107" t="s">
        <v>4101</v>
      </c>
      <c r="B52" s="108"/>
      <c r="C52" s="108"/>
      <c r="D52" s="108"/>
      <c r="E52" s="109"/>
      <c r="F52" s="133">
        <f>F53</f>
        <v>740.74</v>
      </c>
    </row>
    <row r="53" spans="1:6" x14ac:dyDescent="0.2">
      <c r="A53" s="102"/>
      <c r="C53" s="88" t="s">
        <v>4102</v>
      </c>
      <c r="E53" s="103"/>
      <c r="F53" s="135">
        <f>'Full 1'!M537</f>
        <v>740.74</v>
      </c>
    </row>
    <row r="54" spans="1:6" ht="15" customHeight="1" x14ac:dyDescent="0.2">
      <c r="A54" s="113" t="s">
        <v>4103</v>
      </c>
      <c r="B54" s="114"/>
      <c r="C54" s="114"/>
      <c r="D54" s="114"/>
      <c r="E54" s="115"/>
      <c r="F54" s="133">
        <f>F55+F56+F57</f>
        <v>23167.8</v>
      </c>
    </row>
    <row r="55" spans="1:6" x14ac:dyDescent="0.2">
      <c r="A55" s="102"/>
      <c r="C55" s="88" t="s">
        <v>4104</v>
      </c>
      <c r="E55" s="103"/>
      <c r="F55" s="135">
        <f>'Full 1'!M558</f>
        <v>13341</v>
      </c>
    </row>
    <row r="56" spans="1:6" x14ac:dyDescent="0.2">
      <c r="A56" s="102"/>
      <c r="C56" s="88" t="s">
        <v>4105</v>
      </c>
      <c r="E56" s="103"/>
      <c r="F56" s="135">
        <f>'Full 1'!M572</f>
        <v>2904.94</v>
      </c>
    </row>
    <row r="57" spans="1:6" x14ac:dyDescent="0.2">
      <c r="A57" s="102"/>
      <c r="C57" s="88" t="s">
        <v>4106</v>
      </c>
      <c r="E57" s="103"/>
      <c r="F57" s="135">
        <f>'Full 1'!M584</f>
        <v>6921.86</v>
      </c>
    </row>
    <row r="58" spans="1:6" ht="15" customHeight="1" x14ac:dyDescent="0.2">
      <c r="A58" s="113" t="s">
        <v>4107</v>
      </c>
      <c r="B58" s="114"/>
      <c r="C58" s="114"/>
      <c r="D58" s="114"/>
      <c r="E58" s="115"/>
      <c r="F58" s="133">
        <f>F59+F60</f>
        <v>5659.55</v>
      </c>
    </row>
    <row r="59" spans="1:6" x14ac:dyDescent="0.2">
      <c r="A59" s="102"/>
      <c r="C59" s="88" t="s">
        <v>4108</v>
      </c>
      <c r="E59" s="103"/>
      <c r="F59" s="135">
        <f>'Full 1'!M599</f>
        <v>660.62</v>
      </c>
    </row>
    <row r="60" spans="1:6" x14ac:dyDescent="0.2">
      <c r="A60" s="102"/>
      <c r="C60" s="88" t="s">
        <v>4109</v>
      </c>
      <c r="E60" s="103"/>
      <c r="F60" s="135">
        <f>'Full 1'!M624</f>
        <v>4998.93</v>
      </c>
    </row>
    <row r="61" spans="1:6" ht="15" customHeight="1" x14ac:dyDescent="0.2">
      <c r="A61" s="113" t="s">
        <v>4110</v>
      </c>
      <c r="B61" s="114"/>
      <c r="C61" s="114"/>
      <c r="D61" s="114"/>
      <c r="E61" s="115"/>
      <c r="F61" s="133">
        <f>F62</f>
        <v>3619.2</v>
      </c>
    </row>
    <row r="62" spans="1:6" x14ac:dyDescent="0.2">
      <c r="A62" s="102"/>
      <c r="C62" s="88" t="s">
        <v>4111</v>
      </c>
      <c r="E62" s="103"/>
      <c r="F62" s="135">
        <f>'Full 1'!M646</f>
        <v>3619.2</v>
      </c>
    </row>
    <row r="63" spans="1:6" ht="15" customHeight="1" x14ac:dyDescent="0.2">
      <c r="A63" s="113" t="s">
        <v>4112</v>
      </c>
      <c r="B63" s="114"/>
      <c r="C63" s="114"/>
      <c r="D63" s="114"/>
      <c r="E63" s="115"/>
      <c r="F63" s="133">
        <f>F64</f>
        <v>1044.97</v>
      </c>
    </row>
    <row r="64" spans="1:6" x14ac:dyDescent="0.2">
      <c r="A64" s="102"/>
      <c r="C64" s="88" t="s">
        <v>4113</v>
      </c>
      <c r="E64" s="103"/>
      <c r="F64" s="135">
        <f>'Full 1'!M663</f>
        <v>1044.97</v>
      </c>
    </row>
    <row r="65" spans="1:6" ht="15" customHeight="1" x14ac:dyDescent="0.2">
      <c r="A65" s="113" t="s">
        <v>4114</v>
      </c>
      <c r="B65" s="114"/>
      <c r="C65" s="114"/>
      <c r="D65" s="114"/>
      <c r="E65" s="115"/>
      <c r="F65" s="133">
        <f>F66</f>
        <v>106.95</v>
      </c>
    </row>
    <row r="66" spans="1:6" ht="16" thickBot="1" x14ac:dyDescent="0.25">
      <c r="A66" s="102"/>
      <c r="C66" s="88" t="s">
        <v>4115</v>
      </c>
      <c r="E66" s="103"/>
      <c r="F66" s="135">
        <f>'Full 1'!M679</f>
        <v>106.95</v>
      </c>
    </row>
    <row r="67" spans="1:6" ht="16" thickBot="1" x14ac:dyDescent="0.25">
      <c r="A67" s="104" t="s">
        <v>4116</v>
      </c>
      <c r="B67" s="105"/>
      <c r="C67" s="105"/>
      <c r="D67" s="105"/>
      <c r="E67" s="106"/>
      <c r="F67" s="135"/>
    </row>
    <row r="68" spans="1:6" ht="16" thickBot="1" x14ac:dyDescent="0.25">
      <c r="A68" s="104" t="s">
        <v>4117</v>
      </c>
      <c r="B68" s="105"/>
      <c r="C68" s="105"/>
      <c r="D68" s="105"/>
      <c r="E68" s="106"/>
      <c r="F68" s="137">
        <f>F69+F73+F77+F79+F84</f>
        <v>68542.5</v>
      </c>
    </row>
    <row r="69" spans="1:6" ht="15" customHeight="1" x14ac:dyDescent="0.2">
      <c r="A69" s="107" t="s">
        <v>4118</v>
      </c>
      <c r="B69" s="108"/>
      <c r="C69" s="108"/>
      <c r="D69" s="108"/>
      <c r="E69" s="109"/>
      <c r="F69" s="133">
        <f>F70+F71+F72</f>
        <v>17958.2</v>
      </c>
    </row>
    <row r="70" spans="1:6" x14ac:dyDescent="0.2">
      <c r="A70" s="102"/>
      <c r="C70" s="88" t="s">
        <v>4119</v>
      </c>
      <c r="E70" s="103"/>
      <c r="F70" s="135">
        <f>'Full 1'!M693</f>
        <v>4581.75</v>
      </c>
    </row>
    <row r="71" spans="1:6" x14ac:dyDescent="0.2">
      <c r="A71" s="102"/>
      <c r="C71" s="88" t="s">
        <v>4120</v>
      </c>
      <c r="E71" s="103"/>
      <c r="F71" s="135">
        <f>'Full 1'!M747</f>
        <v>1697.97</v>
      </c>
    </row>
    <row r="72" spans="1:6" x14ac:dyDescent="0.2">
      <c r="A72" s="102"/>
      <c r="C72" s="88" t="s">
        <v>4121</v>
      </c>
      <c r="E72" s="103"/>
      <c r="F72" s="135">
        <f>'Full 1'!M773</f>
        <v>11678.48</v>
      </c>
    </row>
    <row r="73" spans="1:6" ht="15" customHeight="1" x14ac:dyDescent="0.2">
      <c r="A73" s="113" t="s">
        <v>4122</v>
      </c>
      <c r="B73" s="114"/>
      <c r="C73" s="114"/>
      <c r="D73" s="114"/>
      <c r="E73" s="115"/>
      <c r="F73" s="133">
        <f>F74+F75+F76</f>
        <v>33219.550000000003</v>
      </c>
    </row>
    <row r="74" spans="1:6" x14ac:dyDescent="0.2">
      <c r="A74" s="102"/>
      <c r="C74" s="88" t="s">
        <v>4123</v>
      </c>
      <c r="E74" s="103"/>
      <c r="F74" s="135">
        <f>'Full 1'!M833</f>
        <v>15311.84</v>
      </c>
    </row>
    <row r="75" spans="1:6" x14ac:dyDescent="0.2">
      <c r="A75" s="102"/>
      <c r="C75" s="88" t="s">
        <v>4124</v>
      </c>
      <c r="E75" s="103"/>
      <c r="F75" s="135">
        <f>'Full 1'!M903</f>
        <v>16233.68</v>
      </c>
    </row>
    <row r="76" spans="1:6" x14ac:dyDescent="0.2">
      <c r="A76" s="102"/>
      <c r="C76" s="88" t="s">
        <v>4125</v>
      </c>
      <c r="E76" s="103"/>
      <c r="F76" s="135">
        <f>'Full 1'!M998</f>
        <v>1674.03</v>
      </c>
    </row>
    <row r="77" spans="1:6" ht="15" customHeight="1" x14ac:dyDescent="0.2">
      <c r="A77" s="113" t="s">
        <v>4126</v>
      </c>
      <c r="B77" s="114"/>
      <c r="C77" s="114"/>
      <c r="D77" s="114"/>
      <c r="E77" s="115"/>
      <c r="F77" s="133">
        <f>F78</f>
        <v>4873.24</v>
      </c>
    </row>
    <row r="78" spans="1:6" x14ac:dyDescent="0.2">
      <c r="A78" s="102"/>
      <c r="C78" s="88" t="s">
        <v>4127</v>
      </c>
      <c r="E78" s="103"/>
      <c r="F78" s="135">
        <f>'Full 1'!M1032</f>
        <v>4873.24</v>
      </c>
    </row>
    <row r="79" spans="1:6" ht="15" customHeight="1" x14ac:dyDescent="0.2">
      <c r="A79" s="113" t="s">
        <v>4128</v>
      </c>
      <c r="B79" s="114"/>
      <c r="C79" s="114"/>
      <c r="D79" s="114"/>
      <c r="E79" s="115"/>
      <c r="F79" s="133">
        <f>F80+F81+F82+F83</f>
        <v>5761.7999999999993</v>
      </c>
    </row>
    <row r="80" spans="1:6" x14ac:dyDescent="0.2">
      <c r="A80" s="102"/>
      <c r="C80" s="88" t="s">
        <v>4129</v>
      </c>
      <c r="E80" s="103"/>
      <c r="F80" s="135">
        <f>'Full 1'!M1065</f>
        <v>5211.1899999999996</v>
      </c>
    </row>
    <row r="81" spans="1:6" x14ac:dyDescent="0.2">
      <c r="A81" s="102"/>
      <c r="C81" s="88" t="s">
        <v>4130</v>
      </c>
      <c r="E81" s="103"/>
      <c r="F81" s="135">
        <f>'Full 1'!M1124</f>
        <v>69.28</v>
      </c>
    </row>
    <row r="82" spans="1:6" x14ac:dyDescent="0.2">
      <c r="A82" s="102"/>
      <c r="C82" s="88" t="s">
        <v>4131</v>
      </c>
      <c r="E82" s="103"/>
      <c r="F82" s="135">
        <f>'Full 1'!M1139</f>
        <v>393.59</v>
      </c>
    </row>
    <row r="83" spans="1:6" x14ac:dyDescent="0.2">
      <c r="A83" s="102"/>
      <c r="C83" s="88" t="s">
        <v>4132</v>
      </c>
      <c r="E83" s="103"/>
      <c r="F83" s="135">
        <f>'Full 1'!M1148</f>
        <v>87.74</v>
      </c>
    </row>
    <row r="84" spans="1:6" ht="15" customHeight="1" x14ac:dyDescent="0.2">
      <c r="A84" s="113" t="s">
        <v>4133</v>
      </c>
      <c r="B84" s="114"/>
      <c r="C84" s="114"/>
      <c r="D84" s="114"/>
      <c r="E84" s="115"/>
      <c r="F84" s="133">
        <f>F85+F86+F87</f>
        <v>6729.71</v>
      </c>
    </row>
    <row r="85" spans="1:6" x14ac:dyDescent="0.2">
      <c r="A85" s="102"/>
      <c r="C85" s="88" t="s">
        <v>4134</v>
      </c>
      <c r="E85" s="103"/>
      <c r="F85" s="135">
        <f>'Full 1'!M1158</f>
        <v>1069.51</v>
      </c>
    </row>
    <row r="86" spans="1:6" x14ac:dyDescent="0.2">
      <c r="A86" s="102"/>
      <c r="C86" s="88" t="s">
        <v>4135</v>
      </c>
      <c r="E86" s="103"/>
      <c r="F86" s="135">
        <f>'Full 1'!M1164</f>
        <v>4550.03</v>
      </c>
    </row>
    <row r="87" spans="1:6" ht="16" thickBot="1" x14ac:dyDescent="0.25">
      <c r="A87" s="102"/>
      <c r="C87" s="88" t="s">
        <v>4136</v>
      </c>
      <c r="E87" s="103"/>
      <c r="F87" s="135">
        <f>'Full 1'!M1186</f>
        <v>1110.17</v>
      </c>
    </row>
    <row r="88" spans="1:6" ht="16" thickBot="1" x14ac:dyDescent="0.25">
      <c r="A88" s="104" t="s">
        <v>4137</v>
      </c>
      <c r="B88" s="105"/>
      <c r="C88" s="105"/>
      <c r="D88" s="105"/>
      <c r="E88" s="106"/>
      <c r="F88" s="135"/>
    </row>
    <row r="89" spans="1:6" ht="16" thickBot="1" x14ac:dyDescent="0.25">
      <c r="A89" s="104" t="s">
        <v>4138</v>
      </c>
      <c r="B89" s="105"/>
      <c r="C89" s="105"/>
      <c r="D89" s="105"/>
      <c r="E89" s="106"/>
      <c r="F89" s="137">
        <f>F90</f>
        <v>250919.58000000002</v>
      </c>
    </row>
    <row r="90" spans="1:6" ht="15" customHeight="1" x14ac:dyDescent="0.2">
      <c r="A90" s="107" t="s">
        <v>4139</v>
      </c>
      <c r="B90" s="108"/>
      <c r="C90" s="108"/>
      <c r="D90" s="108"/>
      <c r="E90" s="109"/>
      <c r="F90" s="133">
        <f>F91+F92+F93+F94+F95</f>
        <v>250919.58000000002</v>
      </c>
    </row>
    <row r="91" spans="1:6" x14ac:dyDescent="0.2">
      <c r="A91" s="102"/>
      <c r="C91" s="88" t="s">
        <v>4140</v>
      </c>
      <c r="E91" s="103"/>
      <c r="F91" s="135">
        <f>'Full 1'!M1216</f>
        <v>41981.67</v>
      </c>
    </row>
    <row r="92" spans="1:6" x14ac:dyDescent="0.2">
      <c r="A92" s="102"/>
      <c r="C92" s="88" t="s">
        <v>4141</v>
      </c>
      <c r="E92" s="103"/>
      <c r="F92" s="135">
        <f>'Full 1'!M1260</f>
        <v>23038.54</v>
      </c>
    </row>
    <row r="93" spans="1:6" x14ac:dyDescent="0.2">
      <c r="A93" s="102"/>
      <c r="C93" s="88" t="s">
        <v>4142</v>
      </c>
      <c r="E93" s="103"/>
      <c r="F93" s="135">
        <f>'Full 1'!M1278</f>
        <v>128777.61</v>
      </c>
    </row>
    <row r="94" spans="1:6" x14ac:dyDescent="0.2">
      <c r="A94" s="102"/>
      <c r="C94" s="88" t="s">
        <v>4143</v>
      </c>
      <c r="E94" s="103"/>
      <c r="F94" s="135">
        <f>'Full 1'!M1322</f>
        <v>29065.38</v>
      </c>
    </row>
    <row r="95" spans="1:6" ht="16" thickBot="1" x14ac:dyDescent="0.25">
      <c r="A95" s="102"/>
      <c r="C95" s="88" t="s">
        <v>4144</v>
      </c>
      <c r="E95" s="103"/>
      <c r="F95" s="135">
        <f>'Full 1'!M1334</f>
        <v>28056.38</v>
      </c>
    </row>
    <row r="96" spans="1:6" ht="16" thickBot="1" x14ac:dyDescent="0.25">
      <c r="A96" s="104" t="s">
        <v>4145</v>
      </c>
      <c r="B96" s="105"/>
      <c r="C96" s="105"/>
      <c r="D96" s="105"/>
      <c r="E96" s="106"/>
      <c r="F96" s="135"/>
    </row>
    <row r="97" spans="1:6" ht="16" thickBot="1" x14ac:dyDescent="0.25">
      <c r="A97" s="104" t="s">
        <v>4146</v>
      </c>
      <c r="B97" s="105"/>
      <c r="C97" s="105"/>
      <c r="D97" s="105"/>
      <c r="E97" s="106"/>
      <c r="F97" s="137">
        <f>F98</f>
        <v>7867</v>
      </c>
    </row>
    <row r="98" spans="1:6" ht="16" thickBot="1" x14ac:dyDescent="0.25">
      <c r="A98" s="102"/>
      <c r="C98" s="88" t="s">
        <v>4147</v>
      </c>
      <c r="E98" s="103"/>
      <c r="F98" s="140">
        <f>'Full 1'!M1340</f>
        <v>7867</v>
      </c>
    </row>
    <row r="99" spans="1:6" ht="16" thickBot="1" x14ac:dyDescent="0.25">
      <c r="A99" s="104" t="s">
        <v>4148</v>
      </c>
      <c r="B99" s="105"/>
      <c r="C99" s="105"/>
      <c r="D99" s="105"/>
      <c r="E99" s="106"/>
      <c r="F99" s="135"/>
    </row>
    <row r="100" spans="1:6" ht="16" thickBot="1" x14ac:dyDescent="0.25">
      <c r="A100" s="104" t="s">
        <v>4149</v>
      </c>
      <c r="B100" s="105"/>
      <c r="C100" s="105"/>
      <c r="D100" s="105"/>
      <c r="E100" s="106"/>
      <c r="F100" s="137">
        <f>'Full 1'!M1350</f>
        <v>7168.94</v>
      </c>
    </row>
    <row r="101" spans="1:6" ht="16" thickBot="1" x14ac:dyDescent="0.25">
      <c r="A101" s="104" t="s">
        <v>4150</v>
      </c>
      <c r="B101" s="105"/>
      <c r="C101" s="105"/>
      <c r="D101" s="105"/>
      <c r="E101" s="106"/>
      <c r="F101" s="135"/>
    </row>
    <row r="102" spans="1:6" ht="16" thickBot="1" x14ac:dyDescent="0.25">
      <c r="A102" s="104" t="s">
        <v>4151</v>
      </c>
      <c r="B102" s="105"/>
      <c r="C102" s="105"/>
      <c r="D102" s="105"/>
      <c r="E102" s="106"/>
      <c r="F102" s="137">
        <f>'Full 1'!M1368</f>
        <v>2720.31</v>
      </c>
    </row>
    <row r="103" spans="1:6" ht="16" thickBot="1" x14ac:dyDescent="0.25">
      <c r="A103" s="104" t="s">
        <v>4152</v>
      </c>
      <c r="B103" s="105"/>
      <c r="C103" s="105"/>
      <c r="D103" s="105"/>
      <c r="E103" s="106"/>
      <c r="F103" s="135"/>
    </row>
    <row r="104" spans="1:6" ht="16" thickBot="1" x14ac:dyDescent="0.25">
      <c r="A104" s="104" t="s">
        <v>4153</v>
      </c>
      <c r="B104" s="105"/>
      <c r="C104" s="105"/>
      <c r="D104" s="105"/>
      <c r="E104" s="106"/>
      <c r="F104" s="137">
        <f>F105+F106</f>
        <v>700.25</v>
      </c>
    </row>
    <row r="105" spans="1:6" x14ac:dyDescent="0.2">
      <c r="A105" s="102"/>
      <c r="C105" s="88" t="s">
        <v>4154</v>
      </c>
      <c r="E105" s="103"/>
      <c r="F105" s="135">
        <f>'Full 1'!M1376</f>
        <v>468.9</v>
      </c>
    </row>
    <row r="106" spans="1:6" ht="16" thickBot="1" x14ac:dyDescent="0.25">
      <c r="A106" s="117"/>
      <c r="B106" s="118"/>
      <c r="C106" s="118" t="s">
        <v>4155</v>
      </c>
      <c r="D106" s="118"/>
      <c r="E106" s="119"/>
      <c r="F106" s="141">
        <f>'Full 1'!M1388</f>
        <v>231.35</v>
      </c>
    </row>
    <row r="107" spans="1:6" x14ac:dyDescent="0.2">
      <c r="F107" s="95"/>
    </row>
    <row r="108" spans="1:6" ht="16" thickBot="1" x14ac:dyDescent="0.25">
      <c r="F108" s="95"/>
    </row>
    <row r="109" spans="1:6" ht="16" thickBot="1" x14ac:dyDescent="0.25">
      <c r="C109" s="120" t="s">
        <v>4156</v>
      </c>
      <c r="D109" s="121"/>
      <c r="E109" s="122"/>
      <c r="F109" s="123">
        <f>F104+F102+F100+F97+F89+F68+F51+F43+F33+F20+F3+'Full 1'!M1407</f>
        <v>419025.34</v>
      </c>
    </row>
    <row r="110" spans="1:6" x14ac:dyDescent="0.2">
      <c r="D110" s="124" t="s">
        <v>4157</v>
      </c>
      <c r="E110" s="124"/>
      <c r="F110" s="125">
        <f>F109*6%</f>
        <v>25141.520400000001</v>
      </c>
    </row>
    <row r="111" spans="1:6" ht="16" thickBot="1" x14ac:dyDescent="0.25">
      <c r="D111" s="126" t="s">
        <v>4158</v>
      </c>
      <c r="E111" s="126"/>
      <c r="F111" s="127">
        <f>F109*13%</f>
        <v>54473.294200000004</v>
      </c>
    </row>
    <row r="112" spans="1:6" ht="16" thickBot="1" x14ac:dyDescent="0.25">
      <c r="C112" s="120" t="s">
        <v>4159</v>
      </c>
      <c r="D112" s="128"/>
      <c r="E112" s="129"/>
      <c r="F112" s="123">
        <f>F109+F110+F111</f>
        <v>498640.15460000001</v>
      </c>
    </row>
    <row r="113" spans="3:6" ht="16" thickBot="1" x14ac:dyDescent="0.25">
      <c r="D113" s="130" t="s">
        <v>4160</v>
      </c>
      <c r="E113" s="130"/>
      <c r="F113" s="95">
        <f>F112*21%</f>
        <v>104714.432466</v>
      </c>
    </row>
    <row r="114" spans="3:6" ht="16" thickBot="1" x14ac:dyDescent="0.25">
      <c r="C114" s="120" t="s">
        <v>4161</v>
      </c>
      <c r="D114" s="128"/>
      <c r="E114" s="129"/>
      <c r="F114" s="123">
        <f>F112+F113</f>
        <v>603354.58706599998</v>
      </c>
    </row>
  </sheetData>
  <mergeCells count="56">
    <mergeCell ref="D113:E113"/>
    <mergeCell ref="C114:E114"/>
    <mergeCell ref="A103:E103"/>
    <mergeCell ref="A104:E104"/>
    <mergeCell ref="C109:E109"/>
    <mergeCell ref="D110:E110"/>
    <mergeCell ref="D111:E111"/>
    <mergeCell ref="C112:E112"/>
    <mergeCell ref="A96:E96"/>
    <mergeCell ref="A97:E97"/>
    <mergeCell ref="A99:E99"/>
    <mergeCell ref="A100:E100"/>
    <mergeCell ref="A101:E101"/>
    <mergeCell ref="A102:E102"/>
    <mergeCell ref="A77:E77"/>
    <mergeCell ref="A79:E79"/>
    <mergeCell ref="A84:E84"/>
    <mergeCell ref="A88:E88"/>
    <mergeCell ref="A89:E89"/>
    <mergeCell ref="A90:E90"/>
    <mergeCell ref="A63:E63"/>
    <mergeCell ref="A65:E65"/>
    <mergeCell ref="A67:E67"/>
    <mergeCell ref="A68:E68"/>
    <mergeCell ref="A69:E69"/>
    <mergeCell ref="A73:E73"/>
    <mergeCell ref="A50:E50"/>
    <mergeCell ref="A51:E51"/>
    <mergeCell ref="A52:E52"/>
    <mergeCell ref="A54:E54"/>
    <mergeCell ref="A58:E58"/>
    <mergeCell ref="A61:E61"/>
    <mergeCell ref="A39:E39"/>
    <mergeCell ref="A42:E42"/>
    <mergeCell ref="A43:E43"/>
    <mergeCell ref="A44:E44"/>
    <mergeCell ref="A46:E46"/>
    <mergeCell ref="A48:E48"/>
    <mergeCell ref="A24:E24"/>
    <mergeCell ref="A28:E28"/>
    <mergeCell ref="A32:E32"/>
    <mergeCell ref="A33:E33"/>
    <mergeCell ref="A34:E34"/>
    <mergeCell ref="A37:E37"/>
    <mergeCell ref="A12:E12"/>
    <mergeCell ref="A15:E15"/>
    <mergeCell ref="A17:E17"/>
    <mergeCell ref="A19:E19"/>
    <mergeCell ref="A20:E20"/>
    <mergeCell ref="A21:E21"/>
    <mergeCell ref="A1:E1"/>
    <mergeCell ref="A2:E2"/>
    <mergeCell ref="A3:E3"/>
    <mergeCell ref="A4:E4"/>
    <mergeCell ref="A8:E8"/>
    <mergeCell ref="A10:E10"/>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B7B0F259D4EA4F8F7D385940AB9266" ma:contentTypeVersion="4" ma:contentTypeDescription="Crear nuevo documento." ma:contentTypeScope="" ma:versionID="a5780a133838c83746edb2c8d9a3929e">
  <xsd:schema xmlns:xsd="http://www.w3.org/2001/XMLSchema" xmlns:xs="http://www.w3.org/2001/XMLSchema" xmlns:p="http://schemas.microsoft.com/office/2006/metadata/properties" xmlns:ns2="c787aa74-7348-4c65-a8d1-e5b157f0ec3d" targetNamespace="http://schemas.microsoft.com/office/2006/metadata/properties" ma:root="true" ma:fieldsID="003144f180a22e2bb654ffb2b4fccbb8" ns2:_="">
    <xsd:import namespace="c787aa74-7348-4c65-a8d1-e5b157f0ec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7aa74-7348-4c65-a8d1-e5b157f0ec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4F0BB4-9C53-4DD6-9132-468CA6DA6D25}"/>
</file>

<file path=customXml/itemProps2.xml><?xml version="1.0" encoding="utf-8"?>
<ds:datastoreItem xmlns:ds="http://schemas.openxmlformats.org/officeDocument/2006/customXml" ds:itemID="{EED513AE-3968-4F65-9585-4B2A4C73654C}"/>
</file>

<file path=customXml/itemProps3.xml><?xml version="1.0" encoding="utf-8"?>
<ds:datastoreItem xmlns:ds="http://schemas.openxmlformats.org/officeDocument/2006/customXml" ds:itemID="{6A133B3C-C255-42A0-BAEB-F6BAD46362D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Full 1</vt:lpstr>
      <vt:lpstr>Resum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Sanahuja, Alfons</cp:lastModifiedBy>
  <dcterms:created xsi:type="dcterms:W3CDTF">2026-05-08T11:26:46Z</dcterms:created>
  <dcterms:modified xsi:type="dcterms:W3CDTF">2026-05-09T09:09:44Z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0x01010087B7B0F259D4EA4F8F7D385940AB9266</vt:lpwstr>
  </property>
</Properties>
</file>