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ontractació\CONT\C SERVEIS\Contractes Serveis 2026\COBS2026-020 VIGILÀNCIA DEIXALLERIA\Perfil de contractant\"/>
    </mc:Choice>
  </mc:AlternateContent>
  <bookViews>
    <workbookView xWindow="0" yWindow="0" windowWidth="28800" windowHeight="13980"/>
  </bookViews>
  <sheets>
    <sheet name="19162102270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C30" i="1"/>
  <c r="K63" i="1"/>
  <c r="C36" i="1"/>
  <c r="C35" i="1"/>
  <c r="C37" i="1"/>
  <c r="D37" i="1"/>
  <c r="D40" i="1"/>
  <c r="Q68" i="1"/>
  <c r="Q69" i="1"/>
  <c r="Q67" i="1"/>
  <c r="P69" i="1"/>
  <c r="P68" i="1"/>
  <c r="P67" i="1"/>
  <c r="E104" i="1"/>
  <c r="F103" i="1"/>
  <c r="E96" i="1"/>
  <c r="E97" i="1"/>
  <c r="F97" i="1"/>
  <c r="K97" i="1"/>
  <c r="G102" i="1"/>
  <c r="L97" i="1"/>
  <c r="F102" i="1"/>
  <c r="E103" i="1"/>
  <c r="E101" i="1"/>
  <c r="E68" i="1"/>
  <c r="I97" i="1"/>
  <c r="F96" i="1"/>
  <c r="I96" i="1"/>
  <c r="J96" i="1"/>
  <c r="K96" i="1"/>
  <c r="L96" i="1"/>
  <c r="D94" i="1"/>
  <c r="D93" i="1"/>
  <c r="C92" i="1"/>
  <c r="D92" i="1"/>
  <c r="E64" i="1"/>
  <c r="E65" i="1"/>
  <c r="E66" i="1"/>
  <c r="E63" i="1"/>
  <c r="E67" i="1"/>
  <c r="F67" i="1"/>
  <c r="I59" i="1"/>
  <c r="I60" i="1"/>
  <c r="I61" i="1"/>
  <c r="I62" i="1"/>
  <c r="I63" i="1"/>
  <c r="I67" i="1"/>
  <c r="J67" i="1"/>
  <c r="K67" i="1"/>
  <c r="L67" i="1"/>
  <c r="D73" i="1"/>
  <c r="C51" i="1"/>
  <c r="C29" i="1"/>
  <c r="C28" i="1"/>
  <c r="E40" i="1"/>
  <c r="E42" i="1"/>
  <c r="E59" i="1"/>
  <c r="E60" i="1"/>
  <c r="E61" i="1"/>
  <c r="E62" i="1"/>
  <c r="E75" i="1"/>
  <c r="E76" i="1"/>
  <c r="E77" i="1"/>
  <c r="E78" i="1"/>
  <c r="E79" i="1"/>
  <c r="E80" i="1"/>
  <c r="E82" i="1"/>
  <c r="E83" i="1"/>
  <c r="E84" i="1"/>
  <c r="E85" i="1"/>
  <c r="E86" i="1"/>
  <c r="E87" i="1"/>
  <c r="I80" i="1"/>
  <c r="I82" i="1"/>
  <c r="I83" i="1"/>
  <c r="I84" i="1"/>
  <c r="I85" i="1"/>
  <c r="I86" i="1"/>
  <c r="I87" i="1"/>
  <c r="C71" i="1"/>
  <c r="E81" i="1"/>
  <c r="I75" i="1"/>
  <c r="I76" i="1"/>
  <c r="I77" i="1"/>
  <c r="I78" i="1"/>
  <c r="I79" i="1"/>
  <c r="I81" i="1"/>
  <c r="I88" i="1"/>
  <c r="E88" i="1"/>
  <c r="I55" i="1"/>
  <c r="I56" i="1"/>
  <c r="I57" i="1"/>
  <c r="I58" i="1"/>
  <c r="I64" i="1"/>
  <c r="I65" i="1"/>
  <c r="I66" i="1"/>
  <c r="E55" i="1"/>
  <c r="E56" i="1"/>
  <c r="E57" i="1"/>
  <c r="E58" i="1"/>
  <c r="I68" i="1"/>
  <c r="J82" i="1"/>
  <c r="J75" i="1"/>
  <c r="F87" i="1"/>
  <c r="J87" i="1"/>
  <c r="K87" i="1"/>
  <c r="L87" i="1"/>
  <c r="F76" i="1"/>
  <c r="J76" i="1"/>
  <c r="K76" i="1"/>
  <c r="L76" i="1"/>
  <c r="F77" i="1"/>
  <c r="J77" i="1"/>
  <c r="K77" i="1"/>
  <c r="L77" i="1"/>
  <c r="F78" i="1"/>
  <c r="J78" i="1"/>
  <c r="K78" i="1"/>
  <c r="L78" i="1"/>
  <c r="F79" i="1"/>
  <c r="J79" i="1"/>
  <c r="K79" i="1"/>
  <c r="L79" i="1"/>
  <c r="F80" i="1"/>
  <c r="J80" i="1"/>
  <c r="K80" i="1"/>
  <c r="L80" i="1"/>
  <c r="F81" i="1"/>
  <c r="J81" i="1"/>
  <c r="K81" i="1"/>
  <c r="L81" i="1"/>
  <c r="F82" i="1"/>
  <c r="K82" i="1"/>
  <c r="L82" i="1"/>
  <c r="F83" i="1"/>
  <c r="J83" i="1"/>
  <c r="K83" i="1"/>
  <c r="L83" i="1"/>
  <c r="F84" i="1"/>
  <c r="J84" i="1"/>
  <c r="K84" i="1"/>
  <c r="L84" i="1"/>
  <c r="F85" i="1"/>
  <c r="J85" i="1"/>
  <c r="K85" i="1"/>
  <c r="L85" i="1"/>
  <c r="F86" i="1"/>
  <c r="J86" i="1"/>
  <c r="K86" i="1"/>
  <c r="L86" i="1"/>
  <c r="F75" i="1"/>
  <c r="K75" i="1"/>
  <c r="F60" i="1"/>
  <c r="J60" i="1"/>
  <c r="K60" i="1"/>
  <c r="L60" i="1"/>
  <c r="F61" i="1"/>
  <c r="J61" i="1"/>
  <c r="K61" i="1"/>
  <c r="L61" i="1"/>
  <c r="F62" i="1"/>
  <c r="J62" i="1"/>
  <c r="K62" i="1"/>
  <c r="L62" i="1"/>
  <c r="F63" i="1"/>
  <c r="J63" i="1"/>
  <c r="L63" i="1"/>
  <c r="F64" i="1"/>
  <c r="J64" i="1"/>
  <c r="K64" i="1"/>
  <c r="L64" i="1"/>
  <c r="F65" i="1"/>
  <c r="J65" i="1"/>
  <c r="K65" i="1"/>
  <c r="L65" i="1"/>
  <c r="F66" i="1"/>
  <c r="J66" i="1"/>
  <c r="K66" i="1"/>
  <c r="L66" i="1"/>
  <c r="F59" i="1"/>
  <c r="J59" i="1"/>
  <c r="K59" i="1"/>
  <c r="L59" i="1"/>
  <c r="L75" i="1"/>
  <c r="F58" i="1"/>
  <c r="J58" i="1"/>
  <c r="K58" i="1"/>
  <c r="L58" i="1"/>
  <c r="J55" i="1"/>
  <c r="F55" i="1"/>
  <c r="K55" i="1"/>
  <c r="L55" i="1"/>
  <c r="J56" i="1"/>
  <c r="F56" i="1"/>
  <c r="K56" i="1"/>
  <c r="L56" i="1"/>
  <c r="J57" i="1"/>
  <c r="F57" i="1"/>
  <c r="K57" i="1"/>
  <c r="L57" i="1"/>
  <c r="D72" i="1"/>
  <c r="D71" i="1"/>
  <c r="D52" i="1"/>
  <c r="D51" i="1"/>
  <c r="E41" i="1"/>
  <c r="C31" i="1"/>
  <c r="C32" i="1"/>
  <c r="I98" i="1"/>
  <c r="E98" i="1"/>
  <c r="J97" i="1"/>
</calcChain>
</file>

<file path=xl/comments1.xml><?xml version="1.0" encoding="utf-8"?>
<comments xmlns="http://schemas.openxmlformats.org/spreadsheetml/2006/main">
  <authors>
    <author>Olga Dilme</author>
  </authors>
  <commentList>
    <comment ref="C28" authorId="0" shapeId="0">
      <text>
        <r>
          <rPr>
            <sz val="9"/>
            <color indexed="81"/>
            <rFont val="Tahoma"/>
            <charset val="1"/>
          </rPr>
          <t>Preu 2026 segons Guia per calcular escandalls de costos- Gencat.</t>
        </r>
      </text>
    </comment>
    <comment ref="D28" authorId="0" shapeId="0">
      <text>
        <r>
          <rPr>
            <sz val="9"/>
            <color indexed="81"/>
            <rFont val="Tahoma"/>
            <charset val="1"/>
          </rPr>
          <t>Hores conveni anys 2023-2026 art 52</t>
        </r>
      </text>
    </comment>
    <comment ref="E28" authorId="0" shapeId="0">
      <text>
        <r>
          <rPr>
            <b/>
            <sz val="9"/>
            <color indexed="81"/>
            <rFont val="Tahoma"/>
            <charset val="1"/>
          </rPr>
          <t>Olga Dilme:</t>
        </r>
        <r>
          <rPr>
            <sz val="9"/>
            <color indexed="81"/>
            <rFont val="Tahoma"/>
            <charset val="1"/>
          </rPr>
          <t xml:space="preserve">
convenio año 2022 art 52</t>
        </r>
      </text>
    </comment>
  </commentList>
</comments>
</file>

<file path=xl/sharedStrings.xml><?xml version="1.0" encoding="utf-8"?>
<sst xmlns="http://schemas.openxmlformats.org/spreadsheetml/2006/main" count="117" uniqueCount="67">
  <si>
    <t>NOVEMBRE</t>
  </si>
  <si>
    <t>OCTUBRE</t>
  </si>
  <si>
    <t>SETEMBRE</t>
  </si>
  <si>
    <t>AGOST</t>
  </si>
  <si>
    <t>DURACIÓ CONTRACTE</t>
  </si>
  <si>
    <t>JULIOL</t>
  </si>
  <si>
    <t>HORES ANUALES</t>
  </si>
  <si>
    <t>JUNY</t>
  </si>
  <si>
    <t>MAIG</t>
  </si>
  <si>
    <t xml:space="preserve">IMPORT LICITACIÓ </t>
  </si>
  <si>
    <t>ABRIL</t>
  </si>
  <si>
    <t>MARÇ</t>
  </si>
  <si>
    <t>FEBRER</t>
  </si>
  <si>
    <t>BI + DG ( 6%+13%)</t>
  </si>
  <si>
    <t>GENER</t>
  </si>
  <si>
    <t>IMPORT ( AMB IVA)</t>
  </si>
  <si>
    <t>IMPORT ( S/IVA)</t>
  </si>
  <si>
    <t>TOTAL HORES</t>
  </si>
  <si>
    <t>HORES/DIA</t>
  </si>
  <si>
    <t>HORES MES</t>
  </si>
  <si>
    <t>HORES ANY</t>
  </si>
  <si>
    <t xml:space="preserve">NOVA LICITACIÓ </t>
  </si>
  <si>
    <t>IMPORT CONTRACTE</t>
  </si>
  <si>
    <t>PREU SENSE ARMA</t>
  </si>
  <si>
    <t>IMPORT ( amb iva)</t>
  </si>
  <si>
    <t>IMPORT ( s/iva)</t>
  </si>
  <si>
    <t xml:space="preserve">CONCEPTE </t>
  </si>
  <si>
    <t>HORA</t>
  </si>
  <si>
    <t xml:space="preserve">COST SENSE ARMA </t>
  </si>
  <si>
    <t xml:space="preserve">COST LABORAL </t>
  </si>
  <si>
    <t xml:space="preserve">COST FORMACIÓ </t>
  </si>
  <si>
    <t>HORES</t>
  </si>
  <si>
    <t>PREU</t>
  </si>
  <si>
    <t xml:space="preserve">TOTAL </t>
  </si>
  <si>
    <t>16 mesos</t>
  </si>
  <si>
    <t>COSTOS DE FORMACIÓ DEL PLEC</t>
  </si>
  <si>
    <t xml:space="preserve">( 1) </t>
  </si>
  <si>
    <t>PREU TOTAL</t>
  </si>
  <si>
    <t xml:space="preserve">COST HORA FORMACIÓ </t>
  </si>
  <si>
    <t>( 1) preu proposat perquè els licitadors puguin fer l'oferta</t>
  </si>
  <si>
    <t xml:space="preserve">TOTAL HORES </t>
  </si>
  <si>
    <t xml:space="preserve">preu hora </t>
  </si>
  <si>
    <t>total hores</t>
  </si>
  <si>
    <t xml:space="preserve">Licitació </t>
  </si>
  <si>
    <t xml:space="preserve">HORES TOTALS </t>
  </si>
  <si>
    <t xml:space="preserve">PREU SENSE ARMA  DISSABTES </t>
  </si>
  <si>
    <t xml:space="preserve">Any 2026/ PREU ACTUAL </t>
  </si>
  <si>
    <t xml:space="preserve">DIES LABORALS </t>
  </si>
  <si>
    <t>DISSABTES</t>
  </si>
  <si>
    <t>IMPORT S/IVA</t>
  </si>
  <si>
    <t>DESEMBRE 25</t>
  </si>
  <si>
    <t>ANTIGUITAT ( 1 QUINQUENI )</t>
  </si>
  <si>
    <t>mitjana preu/hora</t>
  </si>
  <si>
    <t>COST HORA PROPOSAT</t>
  </si>
  <si>
    <t xml:space="preserve">Any 2027/ PREU ACTUAL </t>
  </si>
  <si>
    <t>MES/ ANY 2026</t>
  </si>
  <si>
    <t>DESEMBRE 26</t>
  </si>
  <si>
    <t>MES/ ANY 2027</t>
  </si>
  <si>
    <t xml:space="preserve">Any 2028/ PREU ACTUAL </t>
  </si>
  <si>
    <t>DESEMBRE 27</t>
  </si>
  <si>
    <t xml:space="preserve">ESTIMACIÓ SEGONS PREU ACTUAL </t>
  </si>
  <si>
    <t>A 26</t>
  </si>
  <si>
    <t xml:space="preserve">IMPORT </t>
  </si>
  <si>
    <t>MESOS</t>
  </si>
  <si>
    <t>A 27 FUTURS</t>
  </si>
  <si>
    <t>A 28 FUTURS</t>
  </si>
  <si>
    <t xml:space="preserve">COMPROVACIÓ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</si>
</sst>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/>
    <xf numFmtId="4" fontId="0" fillId="0" borderId="1" xfId="0" applyNumberFormat="1" applyBorder="1"/>
    <xf numFmtId="0" fontId="0" fillId="0" borderId="1" xfId="0" applyFill="1" applyBorder="1"/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0" xfId="0" applyNumberFormat="1" applyFill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4" fontId="3" fillId="2" borderId="1" xfId="0" applyNumberFormat="1" applyFont="1" applyFill="1" applyBorder="1"/>
    <xf numFmtId="0" fontId="0" fillId="0" borderId="3" xfId="0" applyBorder="1"/>
    <xf numFmtId="0" fontId="0" fillId="4" borderId="4" xfId="0" applyFill="1" applyBorder="1"/>
    <xf numFmtId="0" fontId="0" fillId="4" borderId="5" xfId="0" applyFill="1" applyBorder="1"/>
    <xf numFmtId="0" fontId="3" fillId="4" borderId="2" xfId="0" applyFont="1" applyFill="1" applyBorder="1"/>
    <xf numFmtId="0" fontId="3" fillId="4" borderId="6" xfId="0" applyFont="1" applyFill="1" applyBorder="1"/>
    <xf numFmtId="4" fontId="0" fillId="0" borderId="8" xfId="0" applyNumberFormat="1" applyBorder="1"/>
    <xf numFmtId="0" fontId="0" fillId="0" borderId="8" xfId="0" applyFill="1" applyBorder="1"/>
    <xf numFmtId="0" fontId="3" fillId="4" borderId="9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1" xfId="0" applyFont="1" applyFill="1" applyBorder="1"/>
    <xf numFmtId="49" fontId="0" fillId="0" borderId="0" xfId="0" applyNumberFormat="1"/>
    <xf numFmtId="0" fontId="0" fillId="0" borderId="3" xfId="0" applyFill="1" applyBorder="1"/>
    <xf numFmtId="4" fontId="0" fillId="0" borderId="1" xfId="0" applyNumberFormat="1" applyFill="1" applyBorder="1"/>
    <xf numFmtId="4" fontId="6" fillId="0" borderId="1" xfId="0" applyNumberFormat="1" applyFont="1" applyFill="1" applyBorder="1"/>
    <xf numFmtId="49" fontId="0" fillId="0" borderId="0" xfId="0" applyNumberFormat="1" applyFill="1"/>
    <xf numFmtId="0" fontId="3" fillId="0" borderId="0" xfId="0" applyFont="1" applyFill="1"/>
    <xf numFmtId="0" fontId="3" fillId="2" borderId="1" xfId="0" applyFont="1" applyFill="1" applyBorder="1"/>
    <xf numFmtId="0" fontId="3" fillId="0" borderId="1" xfId="0" applyFont="1" applyFill="1" applyBorder="1"/>
    <xf numFmtId="4" fontId="3" fillId="0" borderId="1" xfId="0" applyNumberFormat="1" applyFont="1" applyBorder="1"/>
    <xf numFmtId="0" fontId="3" fillId="3" borderId="0" xfId="0" applyFont="1" applyFill="1"/>
    <xf numFmtId="0" fontId="0" fillId="0" borderId="10" xfId="0" applyFill="1" applyBorder="1"/>
    <xf numFmtId="0" fontId="0" fillId="6" borderId="0" xfId="0" applyFill="1"/>
    <xf numFmtId="4" fontId="0" fillId="6" borderId="1" xfId="0" applyNumberFormat="1" applyFill="1" applyBorder="1"/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7" xfId="0" applyFill="1" applyBorder="1"/>
    <xf numFmtId="0" fontId="0" fillId="6" borderId="14" xfId="0" applyFill="1" applyBorder="1"/>
    <xf numFmtId="4" fontId="0" fillId="6" borderId="7" xfId="0" applyNumberFormat="1" applyFill="1" applyBorder="1"/>
    <xf numFmtId="0" fontId="0" fillId="6" borderId="0" xfId="0" applyFill="1" applyBorder="1"/>
    <xf numFmtId="0" fontId="0" fillId="6" borderId="3" xfId="0" applyFill="1" applyBorder="1"/>
    <xf numFmtId="0" fontId="0" fillId="6" borderId="15" xfId="0" applyFill="1" applyBorder="1"/>
    <xf numFmtId="4" fontId="0" fillId="0" borderId="3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0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5" borderId="1" xfId="0" applyFill="1" applyBorder="1"/>
    <xf numFmtId="0" fontId="3" fillId="7" borderId="1" xfId="0" applyFont="1" applyFill="1" applyBorder="1" applyAlignment="1">
      <alignment horizontal="center"/>
    </xf>
  </cellXfs>
  <cellStyles count="2">
    <cellStyle name="Normal" xfId="0" builtinId="0"/>
    <cellStyle name="Normal 1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161925</xdr:rowOff>
    </xdr:from>
    <xdr:to>
      <xdr:col>5</xdr:col>
      <xdr:colOff>248563</xdr:colOff>
      <xdr:row>20</xdr:row>
      <xdr:rowOff>197162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83100" y="962025"/>
          <a:ext cx="5172988" cy="3102287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12</xdr:row>
      <xdr:rowOff>114300</xdr:rowOff>
    </xdr:from>
    <xdr:to>
      <xdr:col>9</xdr:col>
      <xdr:colOff>415798</xdr:colOff>
      <xdr:row>18</xdr:row>
      <xdr:rowOff>125892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00900" y="2409825"/>
          <a:ext cx="3673348" cy="1154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4"/>
  <sheetViews>
    <sheetView tabSelected="1" topLeftCell="A68" workbookViewId="0">
      <selection activeCell="B102" sqref="B102"/>
    </sheetView>
  </sheetViews>
  <sheetFormatPr baseColWidth="10" defaultRowHeight="15" x14ac:dyDescent="0.25"/>
  <cols>
    <col min="2" max="2" width="31.140625" customWidth="1"/>
    <col min="4" max="4" width="18.28515625" customWidth="1"/>
    <col min="5" max="5" width="13.140625" customWidth="1"/>
    <col min="6" max="6" width="16.7109375" customWidth="1"/>
    <col min="7" max="7" width="21.42578125" customWidth="1"/>
    <col min="8" max="8" width="16.42578125" customWidth="1"/>
    <col min="9" max="9" width="16.85546875" customWidth="1"/>
    <col min="10" max="10" width="13.42578125" bestFit="1" customWidth="1"/>
    <col min="11" max="11" width="15.28515625" bestFit="1" customWidth="1"/>
    <col min="12" max="12" width="18.140625" bestFit="1" customWidth="1"/>
  </cols>
  <sheetData>
    <row r="1" spans="1:1" x14ac:dyDescent="0.25">
      <c r="A1" s="2"/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8" spans="1:1" ht="15" customHeight="1" x14ac:dyDescent="0.25"/>
    <row r="9" spans="1:1" ht="15.75" customHeight="1" x14ac:dyDescent="0.25"/>
    <row r="20" spans="2:5" ht="15.75" customHeight="1" x14ac:dyDescent="0.25"/>
    <row r="21" spans="2:5" ht="15.75" customHeight="1" x14ac:dyDescent="0.25"/>
    <row r="26" spans="2:5" ht="15.75" thickBot="1" x14ac:dyDescent="0.3">
      <c r="B26" s="30"/>
    </row>
    <row r="27" spans="2:5" ht="15.75" thickBot="1" x14ac:dyDescent="0.3">
      <c r="B27" s="16" t="s">
        <v>21</v>
      </c>
      <c r="C27" s="23" t="s">
        <v>27</v>
      </c>
      <c r="D27" s="24" t="s">
        <v>20</v>
      </c>
      <c r="E27" s="24" t="s">
        <v>19</v>
      </c>
    </row>
    <row r="28" spans="2:5" x14ac:dyDescent="0.25">
      <c r="B28" s="26" t="s">
        <v>28</v>
      </c>
      <c r="C28" s="27">
        <f>17.64*1.025</f>
        <v>18.081</v>
      </c>
      <c r="D28" s="27">
        <v>1782</v>
      </c>
      <c r="E28" s="27">
        <v>162</v>
      </c>
    </row>
    <row r="29" spans="2:5" x14ac:dyDescent="0.25">
      <c r="B29" s="6" t="s">
        <v>51</v>
      </c>
      <c r="C29" s="27">
        <f>(921.79/D28)*1.025</f>
        <v>0.53021029741863068</v>
      </c>
      <c r="D29" s="9"/>
      <c r="E29" s="9"/>
    </row>
    <row r="30" spans="2:5" x14ac:dyDescent="0.25">
      <c r="B30" s="6" t="s">
        <v>30</v>
      </c>
      <c r="C30" s="27">
        <f>E43</f>
        <v>0.26468420975561829</v>
      </c>
      <c r="D30" s="9"/>
      <c r="E30" s="9"/>
    </row>
    <row r="31" spans="2:5" x14ac:dyDescent="0.25">
      <c r="B31" s="6" t="s">
        <v>13</v>
      </c>
      <c r="C31" s="27">
        <f>0.19*(C28+C29+C30)</f>
        <v>3.5864199563631072</v>
      </c>
      <c r="D31" s="9"/>
      <c r="E31" s="9"/>
    </row>
    <row r="32" spans="2:5" x14ac:dyDescent="0.25">
      <c r="B32" s="19" t="s">
        <v>37</v>
      </c>
      <c r="C32" s="27">
        <f>SUM(C28:C31)</f>
        <v>22.462314463537354</v>
      </c>
      <c r="D32" s="9"/>
      <c r="E32" s="9"/>
    </row>
    <row r="33" spans="2:5" x14ac:dyDescent="0.25">
      <c r="B33" s="6" t="s">
        <v>53</v>
      </c>
      <c r="C33" s="28">
        <v>22.5</v>
      </c>
      <c r="D33" s="29" t="s">
        <v>36</v>
      </c>
      <c r="E33" s="9"/>
    </row>
    <row r="34" spans="2:5" x14ac:dyDescent="0.25">
      <c r="B34" s="6" t="s">
        <v>9</v>
      </c>
      <c r="C34" s="27">
        <v>59500</v>
      </c>
      <c r="D34" s="9"/>
      <c r="E34" s="9"/>
    </row>
    <row r="35" spans="2:5" x14ac:dyDescent="0.25">
      <c r="B35" s="35" t="s">
        <v>44</v>
      </c>
      <c r="C35" s="27">
        <f>C34/C33</f>
        <v>2644.4444444444443</v>
      </c>
      <c r="D35" s="9"/>
      <c r="E35" s="9"/>
    </row>
    <row r="36" spans="2:5" x14ac:dyDescent="0.25">
      <c r="B36" s="6" t="s">
        <v>6</v>
      </c>
      <c r="C36" s="27">
        <f>SUM(E75:E86)+SUM(I75:I86)</f>
        <v>2114</v>
      </c>
      <c r="D36" s="9"/>
      <c r="E36" s="9"/>
    </row>
    <row r="37" spans="2:5" x14ac:dyDescent="0.25">
      <c r="B37" s="31" t="s">
        <v>4</v>
      </c>
      <c r="C37" s="27">
        <f>C35/C36</f>
        <v>1.2509197939661516</v>
      </c>
      <c r="D37" s="27">
        <f>C37*12</f>
        <v>15.011037527593819</v>
      </c>
      <c r="E37" s="12" t="s">
        <v>34</v>
      </c>
    </row>
    <row r="39" spans="2:5" x14ac:dyDescent="0.25">
      <c r="B39" s="24" t="s">
        <v>35</v>
      </c>
      <c r="C39" s="24" t="s">
        <v>31</v>
      </c>
      <c r="D39" s="24" t="s">
        <v>32</v>
      </c>
      <c r="E39" s="24"/>
    </row>
    <row r="40" spans="2:5" x14ac:dyDescent="0.25">
      <c r="B40" s="6" t="s">
        <v>29</v>
      </c>
      <c r="C40" s="1">
        <v>6</v>
      </c>
      <c r="D40" s="5">
        <f>C28+C29</f>
        <v>18.61121029741863</v>
      </c>
      <c r="E40" s="5">
        <f>C40*D40</f>
        <v>111.66726178451178</v>
      </c>
    </row>
    <row r="41" spans="2:5" x14ac:dyDescent="0.25">
      <c r="B41" s="6" t="s">
        <v>30</v>
      </c>
      <c r="C41" s="1">
        <v>6</v>
      </c>
      <c r="D41" s="1">
        <v>60</v>
      </c>
      <c r="E41" s="5">
        <f>C41*D41</f>
        <v>360</v>
      </c>
    </row>
    <row r="42" spans="2:5" x14ac:dyDescent="0.25">
      <c r="B42" s="6" t="s">
        <v>33</v>
      </c>
      <c r="C42" s="1"/>
      <c r="D42" s="1"/>
      <c r="E42" s="5">
        <f>SUM(E40:E41)</f>
        <v>471.66726178451177</v>
      </c>
    </row>
    <row r="43" spans="2:5" x14ac:dyDescent="0.25">
      <c r="B43" s="32" t="s">
        <v>38</v>
      </c>
      <c r="C43" s="1"/>
      <c r="D43" s="1"/>
      <c r="E43" s="33">
        <f>E42/D28</f>
        <v>0.26468420975561829</v>
      </c>
    </row>
    <row r="45" spans="2:5" x14ac:dyDescent="0.25">
      <c r="B45" s="25" t="s">
        <v>39</v>
      </c>
    </row>
    <row r="46" spans="2:5" x14ac:dyDescent="0.25">
      <c r="B46" s="25"/>
    </row>
    <row r="47" spans="2:5" x14ac:dyDescent="0.25">
      <c r="B47" s="25" t="s">
        <v>60</v>
      </c>
    </row>
    <row r="49" spans="2:12" ht="15.75" thickBot="1" x14ac:dyDescent="0.3">
      <c r="B49" s="34" t="s">
        <v>46</v>
      </c>
    </row>
    <row r="50" spans="2:12" ht="15.75" thickBot="1" x14ac:dyDescent="0.3">
      <c r="B50" s="22" t="s">
        <v>26</v>
      </c>
      <c r="C50" s="21" t="s">
        <v>25</v>
      </c>
      <c r="D50" s="20" t="s">
        <v>24</v>
      </c>
    </row>
    <row r="51" spans="2:12" x14ac:dyDescent="0.25">
      <c r="B51" s="13" t="s">
        <v>45</v>
      </c>
      <c r="C51" s="1">
        <f>C52+1.02</f>
        <v>18.18</v>
      </c>
      <c r="D51" s="5">
        <f>C51*1.21</f>
        <v>21.997799999999998</v>
      </c>
    </row>
    <row r="52" spans="2:12" x14ac:dyDescent="0.25">
      <c r="B52" s="1" t="s">
        <v>23</v>
      </c>
      <c r="C52" s="1">
        <v>17.16</v>
      </c>
      <c r="D52" s="5">
        <f>C52*1.21</f>
        <v>20.7636</v>
      </c>
    </row>
    <row r="53" spans="2:12" ht="15.75" thickBot="1" x14ac:dyDescent="0.3">
      <c r="B53" s="19" t="s">
        <v>22</v>
      </c>
      <c r="C53" s="18"/>
      <c r="D53" s="18">
        <v>53996.25</v>
      </c>
    </row>
    <row r="54" spans="2:12" ht="15.75" thickBot="1" x14ac:dyDescent="0.3">
      <c r="B54" s="17" t="s">
        <v>55</v>
      </c>
      <c r="C54" s="16" t="s">
        <v>47</v>
      </c>
      <c r="D54" s="15" t="s">
        <v>18</v>
      </c>
      <c r="E54" s="15" t="s">
        <v>40</v>
      </c>
      <c r="F54" s="15" t="s">
        <v>49</v>
      </c>
      <c r="G54" s="15" t="s">
        <v>48</v>
      </c>
      <c r="H54" s="15" t="s">
        <v>18</v>
      </c>
      <c r="I54" s="15" t="s">
        <v>17</v>
      </c>
      <c r="J54" s="15" t="s">
        <v>49</v>
      </c>
      <c r="K54" s="15" t="s">
        <v>16</v>
      </c>
      <c r="L54" s="14" t="s">
        <v>15</v>
      </c>
    </row>
    <row r="55" spans="2:12" x14ac:dyDescent="0.25">
      <c r="B55" s="1" t="s">
        <v>50</v>
      </c>
      <c r="C55" s="10">
        <v>0</v>
      </c>
      <c r="D55" s="10">
        <v>7</v>
      </c>
      <c r="E55" s="10">
        <f>C55*D55</f>
        <v>0</v>
      </c>
      <c r="F55" s="47">
        <f>E55*C$52</f>
        <v>0</v>
      </c>
      <c r="G55" s="10">
        <v>0</v>
      </c>
      <c r="H55" s="10">
        <v>7</v>
      </c>
      <c r="I55" s="10">
        <f>G55*H55</f>
        <v>0</v>
      </c>
      <c r="J55" s="47">
        <f>I55*C$51</f>
        <v>0</v>
      </c>
      <c r="K55" s="47">
        <f>F55+J55</f>
        <v>0</v>
      </c>
      <c r="L55" s="47">
        <f>K55*1.21</f>
        <v>0</v>
      </c>
    </row>
    <row r="56" spans="2:12" x14ac:dyDescent="0.25">
      <c r="B56" s="13" t="s">
        <v>14</v>
      </c>
      <c r="C56" s="10">
        <v>0</v>
      </c>
      <c r="D56" s="10">
        <v>7</v>
      </c>
      <c r="E56" s="10">
        <f t="shared" ref="E56:E66" si="0">C56*D56</f>
        <v>0</v>
      </c>
      <c r="F56" s="47">
        <f t="shared" ref="F56:F67" si="1">E56*C$52</f>
        <v>0</v>
      </c>
      <c r="G56" s="10">
        <v>0</v>
      </c>
      <c r="H56" s="10">
        <v>7</v>
      </c>
      <c r="I56" s="10">
        <f t="shared" ref="I56:I66" si="2">G56*H56</f>
        <v>0</v>
      </c>
      <c r="J56" s="47">
        <f t="shared" ref="J56:J66" si="3">I56*C$51</f>
        <v>0</v>
      </c>
      <c r="K56" s="47">
        <f t="shared" ref="K56:K65" si="4">F56+J56</f>
        <v>0</v>
      </c>
      <c r="L56" s="47">
        <f t="shared" ref="L56:L58" si="5">K56*1.21</f>
        <v>0</v>
      </c>
    </row>
    <row r="57" spans="2:12" x14ac:dyDescent="0.25">
      <c r="B57" s="1" t="s">
        <v>12</v>
      </c>
      <c r="C57" s="11">
        <v>0</v>
      </c>
      <c r="D57" s="10">
        <v>7</v>
      </c>
      <c r="E57" s="10">
        <f t="shared" si="0"/>
        <v>0</v>
      </c>
      <c r="F57" s="47">
        <f t="shared" si="1"/>
        <v>0</v>
      </c>
      <c r="G57" s="10">
        <v>0</v>
      </c>
      <c r="H57" s="10">
        <v>7</v>
      </c>
      <c r="I57" s="10">
        <f t="shared" si="2"/>
        <v>0</v>
      </c>
      <c r="J57" s="47">
        <f t="shared" si="3"/>
        <v>0</v>
      </c>
      <c r="K57" s="47">
        <f t="shared" si="4"/>
        <v>0</v>
      </c>
      <c r="L57" s="48">
        <f t="shared" si="5"/>
        <v>0</v>
      </c>
    </row>
    <row r="58" spans="2:12" x14ac:dyDescent="0.25">
      <c r="B58" s="1" t="s">
        <v>11</v>
      </c>
      <c r="C58" s="11">
        <v>0</v>
      </c>
      <c r="D58" s="10">
        <v>7</v>
      </c>
      <c r="E58" s="10">
        <f t="shared" si="0"/>
        <v>0</v>
      </c>
      <c r="F58" s="47">
        <f t="shared" si="1"/>
        <v>0</v>
      </c>
      <c r="G58" s="10">
        <v>0</v>
      </c>
      <c r="H58" s="10">
        <v>7</v>
      </c>
      <c r="I58" s="10">
        <f t="shared" si="2"/>
        <v>0</v>
      </c>
      <c r="J58" s="47">
        <f t="shared" si="3"/>
        <v>0</v>
      </c>
      <c r="K58" s="47">
        <f t="shared" si="4"/>
        <v>0</v>
      </c>
      <c r="L58" s="48">
        <f t="shared" si="5"/>
        <v>0</v>
      </c>
    </row>
    <row r="59" spans="2:12" x14ac:dyDescent="0.25">
      <c r="B59" s="1" t="s">
        <v>10</v>
      </c>
      <c r="C59" s="11">
        <v>0</v>
      </c>
      <c r="D59" s="10">
        <v>7</v>
      </c>
      <c r="E59" s="10">
        <f t="shared" si="0"/>
        <v>0</v>
      </c>
      <c r="F59" s="47">
        <f t="shared" si="1"/>
        <v>0</v>
      </c>
      <c r="G59" s="10">
        <v>0</v>
      </c>
      <c r="H59" s="10">
        <v>7</v>
      </c>
      <c r="I59" s="10">
        <f t="shared" si="2"/>
        <v>0</v>
      </c>
      <c r="J59" s="47">
        <f t="shared" si="3"/>
        <v>0</v>
      </c>
      <c r="K59" s="47">
        <f>F59+J59</f>
        <v>0</v>
      </c>
      <c r="L59" s="48">
        <f>K59*1.21</f>
        <v>0</v>
      </c>
    </row>
    <row r="60" spans="2:12" x14ac:dyDescent="0.25">
      <c r="B60" s="1" t="s">
        <v>8</v>
      </c>
      <c r="C60" s="11">
        <v>0</v>
      </c>
      <c r="D60" s="10">
        <v>7</v>
      </c>
      <c r="E60" s="10">
        <f t="shared" si="0"/>
        <v>0</v>
      </c>
      <c r="F60" s="47">
        <f t="shared" si="1"/>
        <v>0</v>
      </c>
      <c r="G60" s="10">
        <v>0</v>
      </c>
      <c r="H60" s="10">
        <v>7</v>
      </c>
      <c r="I60" s="10">
        <f t="shared" si="2"/>
        <v>0</v>
      </c>
      <c r="J60" s="47">
        <f t="shared" si="3"/>
        <v>0</v>
      </c>
      <c r="K60" s="47">
        <f t="shared" si="4"/>
        <v>0</v>
      </c>
      <c r="L60" s="48">
        <f t="shared" ref="L60:L67" si="6">K60*1.21</f>
        <v>0</v>
      </c>
    </row>
    <row r="61" spans="2:12" x14ac:dyDescent="0.25">
      <c r="B61" s="1" t="s">
        <v>7</v>
      </c>
      <c r="C61" s="11">
        <v>0</v>
      </c>
      <c r="D61" s="10">
        <v>7</v>
      </c>
      <c r="E61" s="10">
        <f t="shared" si="0"/>
        <v>0</v>
      </c>
      <c r="F61" s="47">
        <f t="shared" si="1"/>
        <v>0</v>
      </c>
      <c r="G61" s="10">
        <v>0</v>
      </c>
      <c r="H61" s="10">
        <v>7</v>
      </c>
      <c r="I61" s="10">
        <f t="shared" si="2"/>
        <v>0</v>
      </c>
      <c r="J61" s="47">
        <f t="shared" si="3"/>
        <v>0</v>
      </c>
      <c r="K61" s="47">
        <f t="shared" si="4"/>
        <v>0</v>
      </c>
      <c r="L61" s="48">
        <f t="shared" si="6"/>
        <v>0</v>
      </c>
    </row>
    <row r="62" spans="2:12" x14ac:dyDescent="0.25">
      <c r="B62" s="1" t="s">
        <v>5</v>
      </c>
      <c r="C62" s="11">
        <v>0</v>
      </c>
      <c r="D62" s="10">
        <v>7</v>
      </c>
      <c r="E62" s="10">
        <f t="shared" si="0"/>
        <v>0</v>
      </c>
      <c r="F62" s="47">
        <f t="shared" si="1"/>
        <v>0</v>
      </c>
      <c r="G62" s="10">
        <v>0</v>
      </c>
      <c r="H62" s="10">
        <v>7</v>
      </c>
      <c r="I62" s="10">
        <f t="shared" si="2"/>
        <v>0</v>
      </c>
      <c r="J62" s="47">
        <f t="shared" si="3"/>
        <v>0</v>
      </c>
      <c r="K62" s="47">
        <f t="shared" si="4"/>
        <v>0</v>
      </c>
      <c r="L62" s="48">
        <f t="shared" si="6"/>
        <v>0</v>
      </c>
    </row>
    <row r="63" spans="2:12" x14ac:dyDescent="0.25">
      <c r="B63" s="1" t="s">
        <v>3</v>
      </c>
      <c r="C63" s="8">
        <v>5</v>
      </c>
      <c r="D63" s="10">
        <v>7</v>
      </c>
      <c r="E63" s="10">
        <f t="shared" si="0"/>
        <v>35</v>
      </c>
      <c r="F63" s="47">
        <f t="shared" si="1"/>
        <v>600.6</v>
      </c>
      <c r="G63" s="10">
        <v>1</v>
      </c>
      <c r="H63" s="10">
        <v>7</v>
      </c>
      <c r="I63" s="10">
        <f t="shared" si="2"/>
        <v>7</v>
      </c>
      <c r="J63" s="47">
        <f t="shared" si="3"/>
        <v>127.25999999999999</v>
      </c>
      <c r="K63" s="47">
        <f>F63+J63</f>
        <v>727.86</v>
      </c>
      <c r="L63" s="48">
        <f t="shared" si="6"/>
        <v>880.7106</v>
      </c>
    </row>
    <row r="64" spans="2:12" x14ac:dyDescent="0.25">
      <c r="B64" s="1" t="s">
        <v>2</v>
      </c>
      <c r="C64" s="11">
        <v>21</v>
      </c>
      <c r="D64" s="10">
        <v>7</v>
      </c>
      <c r="E64" s="10">
        <f t="shared" si="0"/>
        <v>147</v>
      </c>
      <c r="F64" s="47">
        <f t="shared" si="1"/>
        <v>2522.52</v>
      </c>
      <c r="G64" s="10">
        <v>4</v>
      </c>
      <c r="H64" s="10">
        <v>7</v>
      </c>
      <c r="I64" s="10">
        <f t="shared" si="2"/>
        <v>28</v>
      </c>
      <c r="J64" s="47">
        <f t="shared" si="3"/>
        <v>509.03999999999996</v>
      </c>
      <c r="K64" s="47">
        <f t="shared" si="4"/>
        <v>3031.56</v>
      </c>
      <c r="L64" s="48">
        <f t="shared" si="6"/>
        <v>3668.1875999999997</v>
      </c>
    </row>
    <row r="65" spans="2:17" x14ac:dyDescent="0.25">
      <c r="B65" s="1" t="s">
        <v>1</v>
      </c>
      <c r="C65" s="11">
        <v>22</v>
      </c>
      <c r="D65" s="10">
        <v>7</v>
      </c>
      <c r="E65" s="10">
        <f t="shared" si="0"/>
        <v>154</v>
      </c>
      <c r="F65" s="47">
        <f t="shared" si="1"/>
        <v>2642.64</v>
      </c>
      <c r="G65" s="10">
        <v>4</v>
      </c>
      <c r="H65" s="10">
        <v>7</v>
      </c>
      <c r="I65" s="10">
        <f t="shared" si="2"/>
        <v>28</v>
      </c>
      <c r="J65" s="47">
        <f t="shared" si="3"/>
        <v>509.03999999999996</v>
      </c>
      <c r="K65" s="47">
        <f t="shared" si="4"/>
        <v>3151.68</v>
      </c>
      <c r="L65" s="48">
        <f t="shared" si="6"/>
        <v>3813.5327999999995</v>
      </c>
    </row>
    <row r="66" spans="2:17" x14ac:dyDescent="0.25">
      <c r="B66" s="6" t="s">
        <v>0</v>
      </c>
      <c r="C66" s="8">
        <v>21</v>
      </c>
      <c r="D66" s="7">
        <v>7</v>
      </c>
      <c r="E66" s="10">
        <f t="shared" si="0"/>
        <v>147</v>
      </c>
      <c r="F66" s="47">
        <f t="shared" si="1"/>
        <v>2522.52</v>
      </c>
      <c r="G66" s="10">
        <v>4</v>
      </c>
      <c r="H66" s="7">
        <v>7</v>
      </c>
      <c r="I66" s="10">
        <f t="shared" si="2"/>
        <v>28</v>
      </c>
      <c r="J66" s="47">
        <f t="shared" si="3"/>
        <v>509.03999999999996</v>
      </c>
      <c r="K66" s="47">
        <f>F66+J66</f>
        <v>3031.56</v>
      </c>
      <c r="L66" s="48">
        <f t="shared" si="6"/>
        <v>3668.1875999999997</v>
      </c>
      <c r="N66" s="58" t="s">
        <v>26</v>
      </c>
      <c r="O66" s="58" t="s">
        <v>63</v>
      </c>
      <c r="P66" s="58" t="s">
        <v>33</v>
      </c>
      <c r="Q66" s="58" t="s">
        <v>62</v>
      </c>
    </row>
    <row r="67" spans="2:17" x14ac:dyDescent="0.25">
      <c r="B67" s="4"/>
      <c r="C67" s="4"/>
      <c r="D67" s="3"/>
      <c r="E67" s="8">
        <f>SUM(E55:E66)</f>
        <v>483</v>
      </c>
      <c r="F67" s="53">
        <f t="shared" si="1"/>
        <v>8288.2800000000007</v>
      </c>
      <c r="G67" s="3"/>
      <c r="H67" s="3"/>
      <c r="I67" s="8">
        <f>SUM(I55:I66)</f>
        <v>91</v>
      </c>
      <c r="J67" s="47">
        <f>I67*C$51</f>
        <v>1654.3799999999999</v>
      </c>
      <c r="K67" s="47">
        <f>F67+J67</f>
        <v>9942.66</v>
      </c>
      <c r="L67" s="48">
        <f t="shared" si="6"/>
        <v>12030.6186</v>
      </c>
      <c r="N67" s="1" t="s">
        <v>61</v>
      </c>
      <c r="O67" s="5">
        <v>3.25</v>
      </c>
      <c r="P67" s="5">
        <f>E102</f>
        <v>71995</v>
      </c>
      <c r="Q67" s="5">
        <f>P67/16*O67</f>
        <v>14623.984375</v>
      </c>
    </row>
    <row r="68" spans="2:17" x14ac:dyDescent="0.25">
      <c r="E68" s="8">
        <f>E67/(E67+I67)</f>
        <v>0.84146341463414631</v>
      </c>
      <c r="F68" s="54"/>
      <c r="G68" s="2"/>
      <c r="I68" s="8">
        <f>I67/(E67+I67)</f>
        <v>0.15853658536585366</v>
      </c>
      <c r="J68" s="49"/>
      <c r="N68" s="1" t="s">
        <v>64</v>
      </c>
      <c r="O68" s="5">
        <v>12</v>
      </c>
      <c r="P68" s="5">
        <f>P67</f>
        <v>71995</v>
      </c>
      <c r="Q68" s="5">
        <f t="shared" ref="Q68:Q69" si="7">P68/16*O68</f>
        <v>53996.25</v>
      </c>
    </row>
    <row r="69" spans="2:17" ht="15.75" thickBot="1" x14ac:dyDescent="0.3">
      <c r="B69" s="34" t="s">
        <v>54</v>
      </c>
      <c r="F69" s="2"/>
      <c r="G69" s="2"/>
      <c r="N69" s="1" t="s">
        <v>65</v>
      </c>
      <c r="O69" s="5">
        <v>0.75</v>
      </c>
      <c r="P69" s="5">
        <f>P68</f>
        <v>71995</v>
      </c>
      <c r="Q69" s="5">
        <f t="shared" si="7"/>
        <v>3374.765625</v>
      </c>
    </row>
    <row r="70" spans="2:17" ht="15.75" thickBot="1" x14ac:dyDescent="0.3">
      <c r="B70" s="22" t="s">
        <v>26</v>
      </c>
      <c r="C70" s="21" t="s">
        <v>25</v>
      </c>
      <c r="D70" s="20" t="s">
        <v>24</v>
      </c>
      <c r="F70" s="2"/>
      <c r="G70" s="2"/>
    </row>
    <row r="71" spans="2:17" x14ac:dyDescent="0.25">
      <c r="B71" s="13" t="s">
        <v>45</v>
      </c>
      <c r="C71" s="1">
        <f>C72+1.02</f>
        <v>18.18</v>
      </c>
      <c r="D71" s="5">
        <f>C71*1.21</f>
        <v>21.997799999999998</v>
      </c>
      <c r="F71" s="51"/>
      <c r="G71" s="2"/>
    </row>
    <row r="72" spans="2:17" x14ac:dyDescent="0.25">
      <c r="B72" s="1" t="s">
        <v>23</v>
      </c>
      <c r="C72" s="1">
        <v>17.16</v>
      </c>
      <c r="D72" s="5">
        <f>C72*1.21</f>
        <v>20.7636</v>
      </c>
    </row>
    <row r="73" spans="2:17" ht="15.75" thickBot="1" x14ac:dyDescent="0.3">
      <c r="B73" s="19" t="s">
        <v>22</v>
      </c>
      <c r="C73" s="18"/>
      <c r="D73" s="18">
        <f>17998.75+L67</f>
        <v>30029.368600000002</v>
      </c>
    </row>
    <row r="74" spans="2:17" ht="15.75" thickBot="1" x14ac:dyDescent="0.3">
      <c r="B74" s="17" t="s">
        <v>57</v>
      </c>
      <c r="C74" s="16" t="s">
        <v>47</v>
      </c>
      <c r="D74" s="15" t="s">
        <v>18</v>
      </c>
      <c r="E74" s="15" t="s">
        <v>40</v>
      </c>
      <c r="F74" s="15" t="s">
        <v>49</v>
      </c>
      <c r="G74" s="15" t="s">
        <v>48</v>
      </c>
      <c r="H74" s="15" t="s">
        <v>18</v>
      </c>
      <c r="I74" s="15" t="s">
        <v>17</v>
      </c>
      <c r="J74" s="15" t="s">
        <v>49</v>
      </c>
      <c r="K74" s="15" t="s">
        <v>16</v>
      </c>
      <c r="L74" s="14" t="s">
        <v>15</v>
      </c>
    </row>
    <row r="75" spans="2:17" x14ac:dyDescent="0.25">
      <c r="B75" s="1" t="s">
        <v>56</v>
      </c>
      <c r="C75" s="10">
        <v>21</v>
      </c>
      <c r="D75" s="10">
        <v>7</v>
      </c>
      <c r="E75" s="10">
        <f>C75*D75</f>
        <v>147</v>
      </c>
      <c r="F75" s="47">
        <f>E75*C$72</f>
        <v>2522.52</v>
      </c>
      <c r="G75" s="10">
        <v>3</v>
      </c>
      <c r="H75" s="10">
        <v>7</v>
      </c>
      <c r="I75" s="10">
        <f>G75*H75</f>
        <v>21</v>
      </c>
      <c r="J75" s="47">
        <f>I75*C$71</f>
        <v>381.78</v>
      </c>
      <c r="K75" s="47">
        <f>F75+J75</f>
        <v>2904.3</v>
      </c>
      <c r="L75" s="47">
        <f>K75*1.21</f>
        <v>3514.203</v>
      </c>
    </row>
    <row r="76" spans="2:17" x14ac:dyDescent="0.25">
      <c r="B76" s="13" t="s">
        <v>14</v>
      </c>
      <c r="C76" s="10">
        <v>19</v>
      </c>
      <c r="D76" s="10">
        <v>7</v>
      </c>
      <c r="E76" s="10">
        <f t="shared" ref="E76:E86" si="8">C76*D76</f>
        <v>133</v>
      </c>
      <c r="F76" s="47">
        <f t="shared" ref="F76:F86" si="9">E76*C$72</f>
        <v>2282.2800000000002</v>
      </c>
      <c r="G76" s="10">
        <v>5</v>
      </c>
      <c r="H76" s="10">
        <v>7</v>
      </c>
      <c r="I76" s="10">
        <f t="shared" ref="I76:I86" si="10">G76*H76</f>
        <v>35</v>
      </c>
      <c r="J76" s="47">
        <f t="shared" ref="J76:J86" si="11">I76*C$71</f>
        <v>636.29999999999995</v>
      </c>
      <c r="K76" s="47">
        <f t="shared" ref="K76:K86" si="12">F76+J76</f>
        <v>2918.58</v>
      </c>
      <c r="L76" s="47">
        <f t="shared" ref="L76:L86" si="13">K76*1.21</f>
        <v>3531.4818</v>
      </c>
    </row>
    <row r="77" spans="2:17" x14ac:dyDescent="0.25">
      <c r="B77" s="1" t="s">
        <v>12</v>
      </c>
      <c r="C77" s="11">
        <v>20</v>
      </c>
      <c r="D77" s="10">
        <v>7</v>
      </c>
      <c r="E77" s="10">
        <f t="shared" si="8"/>
        <v>140</v>
      </c>
      <c r="F77" s="47">
        <f t="shared" si="9"/>
        <v>2402.4</v>
      </c>
      <c r="G77" s="10">
        <v>4</v>
      </c>
      <c r="H77" s="10">
        <v>7</v>
      </c>
      <c r="I77" s="10">
        <f t="shared" si="10"/>
        <v>28</v>
      </c>
      <c r="J77" s="47">
        <f t="shared" si="11"/>
        <v>509.03999999999996</v>
      </c>
      <c r="K77" s="47">
        <f t="shared" si="12"/>
        <v>2911.44</v>
      </c>
      <c r="L77" s="47">
        <f t="shared" si="13"/>
        <v>3522.8424</v>
      </c>
    </row>
    <row r="78" spans="2:17" x14ac:dyDescent="0.25">
      <c r="B78" s="1" t="s">
        <v>11</v>
      </c>
      <c r="C78" s="11">
        <v>21</v>
      </c>
      <c r="D78" s="10">
        <v>7</v>
      </c>
      <c r="E78" s="10">
        <f t="shared" si="8"/>
        <v>147</v>
      </c>
      <c r="F78" s="47">
        <f t="shared" si="9"/>
        <v>2522.52</v>
      </c>
      <c r="G78" s="10">
        <v>4</v>
      </c>
      <c r="H78" s="10">
        <v>7</v>
      </c>
      <c r="I78" s="10">
        <f t="shared" si="10"/>
        <v>28</v>
      </c>
      <c r="J78" s="47">
        <f t="shared" si="11"/>
        <v>509.03999999999996</v>
      </c>
      <c r="K78" s="47">
        <f t="shared" si="12"/>
        <v>3031.56</v>
      </c>
      <c r="L78" s="47">
        <f t="shared" si="13"/>
        <v>3668.1875999999997</v>
      </c>
    </row>
    <row r="79" spans="2:17" x14ac:dyDescent="0.25">
      <c r="B79" s="1" t="s">
        <v>10</v>
      </c>
      <c r="C79" s="11">
        <v>22</v>
      </c>
      <c r="D79" s="10">
        <v>7</v>
      </c>
      <c r="E79" s="10">
        <f t="shared" si="8"/>
        <v>154</v>
      </c>
      <c r="F79" s="47">
        <f t="shared" si="9"/>
        <v>2642.64</v>
      </c>
      <c r="G79" s="10">
        <v>4</v>
      </c>
      <c r="H79" s="10">
        <v>7</v>
      </c>
      <c r="I79" s="10">
        <f t="shared" si="10"/>
        <v>28</v>
      </c>
      <c r="J79" s="47">
        <f t="shared" si="11"/>
        <v>509.03999999999996</v>
      </c>
      <c r="K79" s="47">
        <f t="shared" si="12"/>
        <v>3151.68</v>
      </c>
      <c r="L79" s="47">
        <f t="shared" si="13"/>
        <v>3813.5327999999995</v>
      </c>
    </row>
    <row r="80" spans="2:17" x14ac:dyDescent="0.25">
      <c r="B80" s="1" t="s">
        <v>8</v>
      </c>
      <c r="C80" s="11">
        <v>21</v>
      </c>
      <c r="D80" s="10">
        <v>7</v>
      </c>
      <c r="E80" s="10">
        <f t="shared" si="8"/>
        <v>147</v>
      </c>
      <c r="F80" s="47">
        <f t="shared" si="9"/>
        <v>2522.52</v>
      </c>
      <c r="G80" s="10">
        <v>4</v>
      </c>
      <c r="H80" s="10">
        <v>7</v>
      </c>
      <c r="I80" s="10">
        <f t="shared" si="10"/>
        <v>28</v>
      </c>
      <c r="J80" s="47">
        <f t="shared" si="11"/>
        <v>509.03999999999996</v>
      </c>
      <c r="K80" s="47">
        <f t="shared" si="12"/>
        <v>3031.56</v>
      </c>
      <c r="L80" s="47">
        <f t="shared" si="13"/>
        <v>3668.1875999999997</v>
      </c>
    </row>
    <row r="81" spans="2:12" x14ac:dyDescent="0.25">
      <c r="B81" s="1" t="s">
        <v>7</v>
      </c>
      <c r="C81" s="55">
        <v>21</v>
      </c>
      <c r="D81" s="10">
        <v>7</v>
      </c>
      <c r="E81" s="10">
        <f t="shared" si="8"/>
        <v>147</v>
      </c>
      <c r="F81" s="47">
        <f t="shared" si="9"/>
        <v>2522.52</v>
      </c>
      <c r="G81" s="10">
        <v>4</v>
      </c>
      <c r="H81" s="10">
        <v>7</v>
      </c>
      <c r="I81" s="10">
        <f t="shared" si="10"/>
        <v>28</v>
      </c>
      <c r="J81" s="47">
        <f t="shared" si="11"/>
        <v>509.03999999999996</v>
      </c>
      <c r="K81" s="47">
        <f t="shared" si="12"/>
        <v>3031.56</v>
      </c>
      <c r="L81" s="47">
        <f t="shared" si="13"/>
        <v>3668.1875999999997</v>
      </c>
    </row>
    <row r="82" spans="2:12" x14ac:dyDescent="0.25">
      <c r="B82" s="57" t="s">
        <v>5</v>
      </c>
      <c r="C82" s="11">
        <v>22</v>
      </c>
      <c r="D82" s="10">
        <v>7</v>
      </c>
      <c r="E82" s="10">
        <f t="shared" si="8"/>
        <v>154</v>
      </c>
      <c r="F82" s="47">
        <f t="shared" si="9"/>
        <v>2642.64</v>
      </c>
      <c r="G82" s="10">
        <v>5</v>
      </c>
      <c r="H82" s="10">
        <v>7</v>
      </c>
      <c r="I82" s="10">
        <f t="shared" si="10"/>
        <v>35</v>
      </c>
      <c r="J82" s="47">
        <f>I82*C$71</f>
        <v>636.29999999999995</v>
      </c>
      <c r="K82" s="47">
        <f t="shared" si="12"/>
        <v>3278.9399999999996</v>
      </c>
      <c r="L82" s="47">
        <f t="shared" si="13"/>
        <v>3967.5173999999993</v>
      </c>
    </row>
    <row r="83" spans="2:12" x14ac:dyDescent="0.25">
      <c r="B83" s="1" t="s">
        <v>3</v>
      </c>
      <c r="C83" s="8">
        <v>22</v>
      </c>
      <c r="D83" s="10">
        <v>7</v>
      </c>
      <c r="E83" s="10">
        <f t="shared" si="8"/>
        <v>154</v>
      </c>
      <c r="F83" s="47">
        <f t="shared" si="9"/>
        <v>2642.64</v>
      </c>
      <c r="G83" s="10">
        <v>4</v>
      </c>
      <c r="H83" s="10">
        <v>7</v>
      </c>
      <c r="I83" s="10">
        <f t="shared" si="10"/>
        <v>28</v>
      </c>
      <c r="J83" s="47">
        <f t="shared" si="11"/>
        <v>509.03999999999996</v>
      </c>
      <c r="K83" s="47">
        <f t="shared" si="12"/>
        <v>3151.68</v>
      </c>
      <c r="L83" s="47">
        <f t="shared" si="13"/>
        <v>3813.5327999999995</v>
      </c>
    </row>
    <row r="84" spans="2:12" x14ac:dyDescent="0.25">
      <c r="B84" s="1" t="s">
        <v>2</v>
      </c>
      <c r="C84" s="11">
        <v>22</v>
      </c>
      <c r="D84" s="10">
        <v>7</v>
      </c>
      <c r="E84" s="10">
        <f t="shared" si="8"/>
        <v>154</v>
      </c>
      <c r="F84" s="47">
        <f t="shared" si="9"/>
        <v>2642.64</v>
      </c>
      <c r="G84" s="10">
        <v>3</v>
      </c>
      <c r="H84" s="10">
        <v>7</v>
      </c>
      <c r="I84" s="10">
        <f t="shared" si="10"/>
        <v>21</v>
      </c>
      <c r="J84" s="47">
        <f t="shared" si="11"/>
        <v>381.78</v>
      </c>
      <c r="K84" s="47">
        <f t="shared" si="12"/>
        <v>3024.42</v>
      </c>
      <c r="L84" s="47">
        <f t="shared" si="13"/>
        <v>3659.5482000000002</v>
      </c>
    </row>
    <row r="85" spans="2:12" x14ac:dyDescent="0.25">
      <c r="B85" s="1" t="s">
        <v>1</v>
      </c>
      <c r="C85" s="11">
        <v>20</v>
      </c>
      <c r="D85" s="10">
        <v>7</v>
      </c>
      <c r="E85" s="10">
        <f t="shared" si="8"/>
        <v>140</v>
      </c>
      <c r="F85" s="47">
        <f t="shared" si="9"/>
        <v>2402.4</v>
      </c>
      <c r="G85" s="10">
        <v>5</v>
      </c>
      <c r="H85" s="10">
        <v>7</v>
      </c>
      <c r="I85" s="10">
        <f t="shared" si="10"/>
        <v>35</v>
      </c>
      <c r="J85" s="47">
        <f t="shared" si="11"/>
        <v>636.29999999999995</v>
      </c>
      <c r="K85" s="47">
        <f t="shared" si="12"/>
        <v>3038.7</v>
      </c>
      <c r="L85" s="47">
        <f t="shared" si="13"/>
        <v>3676.8269999999998</v>
      </c>
    </row>
    <row r="86" spans="2:12" x14ac:dyDescent="0.25">
      <c r="B86" s="6" t="s">
        <v>0</v>
      </c>
      <c r="C86" s="8">
        <v>22</v>
      </c>
      <c r="D86" s="7">
        <v>7</v>
      </c>
      <c r="E86" s="10">
        <f t="shared" si="8"/>
        <v>154</v>
      </c>
      <c r="F86" s="47">
        <f t="shared" si="9"/>
        <v>2642.64</v>
      </c>
      <c r="G86" s="10">
        <v>4</v>
      </c>
      <c r="H86" s="7">
        <v>7</v>
      </c>
      <c r="I86" s="10">
        <f t="shared" si="10"/>
        <v>28</v>
      </c>
      <c r="J86" s="47">
        <f t="shared" si="11"/>
        <v>509.03999999999996</v>
      </c>
      <c r="K86" s="47">
        <f t="shared" si="12"/>
        <v>3151.68</v>
      </c>
      <c r="L86" s="47">
        <f t="shared" si="13"/>
        <v>3813.5327999999995</v>
      </c>
    </row>
    <row r="87" spans="2:12" x14ac:dyDescent="0.25">
      <c r="B87" s="4"/>
      <c r="C87" s="50"/>
      <c r="D87" s="3"/>
      <c r="E87" s="8">
        <f>SUM(E75:E86)</f>
        <v>1771</v>
      </c>
      <c r="F87" s="48">
        <f>E87*C$72</f>
        <v>30390.36</v>
      </c>
      <c r="G87" s="3"/>
      <c r="H87" s="3"/>
      <c r="I87" s="8">
        <f>SUM(I75:I86)</f>
        <v>343</v>
      </c>
      <c r="J87" s="47">
        <f>I87*C$71</f>
        <v>6235.74</v>
      </c>
      <c r="K87" s="47">
        <f>F87+J87</f>
        <v>36626.1</v>
      </c>
      <c r="L87" s="48">
        <f>K87*1.21</f>
        <v>44317.580999999998</v>
      </c>
    </row>
    <row r="88" spans="2:12" x14ac:dyDescent="0.25">
      <c r="B88" s="4"/>
      <c r="C88" s="50"/>
      <c r="D88" s="3"/>
      <c r="E88" s="8">
        <f>E87/(E87+I87)</f>
        <v>0.83774834437086088</v>
      </c>
      <c r="F88" s="54"/>
      <c r="G88" s="2"/>
      <c r="I88" s="8">
        <f>I87/(E87+I87)</f>
        <v>0.16225165562913907</v>
      </c>
      <c r="J88" s="53"/>
      <c r="K88" s="52"/>
      <c r="L88" s="52"/>
    </row>
    <row r="89" spans="2:12" x14ac:dyDescent="0.25">
      <c r="B89" s="4"/>
      <c r="C89" s="50"/>
      <c r="D89" s="3"/>
      <c r="E89" s="51"/>
      <c r="F89" s="54"/>
      <c r="G89" s="2"/>
      <c r="I89" s="51"/>
      <c r="J89" s="52"/>
      <c r="K89" s="52"/>
      <c r="L89" s="52"/>
    </row>
    <row r="90" spans="2:12" ht="15.75" thickBot="1" x14ac:dyDescent="0.3">
      <c r="B90" s="34" t="s">
        <v>58</v>
      </c>
      <c r="F90" s="2"/>
      <c r="G90" s="2"/>
    </row>
    <row r="91" spans="2:12" ht="15.75" thickBot="1" x14ac:dyDescent="0.3">
      <c r="B91" s="22" t="s">
        <v>26</v>
      </c>
      <c r="C91" s="21" t="s">
        <v>25</v>
      </c>
      <c r="D91" s="20" t="s">
        <v>24</v>
      </c>
      <c r="F91" s="2"/>
      <c r="G91" s="2"/>
    </row>
    <row r="92" spans="2:12" x14ac:dyDescent="0.25">
      <c r="B92" s="13" t="s">
        <v>45</v>
      </c>
      <c r="C92" s="1">
        <f>C93+1.02</f>
        <v>18.18</v>
      </c>
      <c r="D92" s="5">
        <f>C92*1.21</f>
        <v>21.997799999999998</v>
      </c>
      <c r="F92" s="51"/>
      <c r="G92" s="2"/>
    </row>
    <row r="93" spans="2:12" x14ac:dyDescent="0.25">
      <c r="B93" s="1" t="s">
        <v>23</v>
      </c>
      <c r="C93" s="1">
        <v>17.16</v>
      </c>
      <c r="D93" s="5">
        <f>C93*1.21</f>
        <v>20.7636</v>
      </c>
    </row>
    <row r="94" spans="2:12" ht="15.75" thickBot="1" x14ac:dyDescent="0.3">
      <c r="B94" s="19" t="s">
        <v>22</v>
      </c>
      <c r="C94" s="18"/>
      <c r="D94" s="18">
        <f>17998.75+L88</f>
        <v>17998.75</v>
      </c>
    </row>
    <row r="95" spans="2:12" ht="15.75" thickBot="1" x14ac:dyDescent="0.3">
      <c r="B95" s="17" t="s">
        <v>57</v>
      </c>
      <c r="C95" s="16" t="s">
        <v>47</v>
      </c>
      <c r="D95" s="15" t="s">
        <v>18</v>
      </c>
      <c r="E95" s="15" t="s">
        <v>40</v>
      </c>
      <c r="F95" s="15" t="s">
        <v>49</v>
      </c>
      <c r="G95" s="15" t="s">
        <v>48</v>
      </c>
      <c r="H95" s="15" t="s">
        <v>18</v>
      </c>
      <c r="I95" s="15" t="s">
        <v>17</v>
      </c>
      <c r="J95" s="15" t="s">
        <v>49</v>
      </c>
      <c r="K95" s="15" t="s">
        <v>16</v>
      </c>
      <c r="L95" s="14" t="s">
        <v>15</v>
      </c>
    </row>
    <row r="96" spans="2:12" x14ac:dyDescent="0.25">
      <c r="B96" s="1" t="s">
        <v>59</v>
      </c>
      <c r="C96" s="10">
        <v>14</v>
      </c>
      <c r="D96" s="10">
        <v>7</v>
      </c>
      <c r="E96" s="10">
        <f>C96*D96</f>
        <v>98</v>
      </c>
      <c r="F96" s="47">
        <f>E96*C$72</f>
        <v>1681.68</v>
      </c>
      <c r="G96" s="10">
        <v>3</v>
      </c>
      <c r="H96" s="10">
        <v>7</v>
      </c>
      <c r="I96" s="10">
        <f>G96*H96</f>
        <v>21</v>
      </c>
      <c r="J96" s="47">
        <f>I96*C$71</f>
        <v>381.78</v>
      </c>
      <c r="K96" s="47">
        <f>F96+J96</f>
        <v>2063.46</v>
      </c>
      <c r="L96" s="47">
        <f>K96*1.21</f>
        <v>2496.7865999999999</v>
      </c>
    </row>
    <row r="97" spans="2:12" x14ac:dyDescent="0.25">
      <c r="B97" s="4"/>
      <c r="C97" s="50"/>
      <c r="D97" s="3"/>
      <c r="E97" s="8">
        <f>SUM(E96)</f>
        <v>98</v>
      </c>
      <c r="F97" s="48">
        <f>E97*C$72</f>
        <v>1681.68</v>
      </c>
      <c r="G97" s="3"/>
      <c r="H97" s="3"/>
      <c r="I97" s="8">
        <f>SUM(I96)</f>
        <v>21</v>
      </c>
      <c r="J97" s="47">
        <f>I97*C$71</f>
        <v>381.78</v>
      </c>
      <c r="K97" s="47">
        <f>F97+J97</f>
        <v>2063.46</v>
      </c>
      <c r="L97" s="48">
        <f>K97*1.21</f>
        <v>2496.7865999999999</v>
      </c>
    </row>
    <row r="98" spans="2:12" x14ac:dyDescent="0.25">
      <c r="B98" s="4"/>
      <c r="C98" s="50"/>
      <c r="D98" s="3"/>
      <c r="E98" s="8">
        <f>E97/(E97+I97)</f>
        <v>0.82352941176470584</v>
      </c>
      <c r="F98" s="54"/>
      <c r="G98" s="2"/>
      <c r="I98" s="8">
        <f>I97/(E97+I97)</f>
        <v>0.17647058823529413</v>
      </c>
      <c r="J98" s="53"/>
      <c r="K98" s="52"/>
      <c r="L98" s="52"/>
    </row>
    <row r="99" spans="2:12" x14ac:dyDescent="0.25">
      <c r="B99" s="4"/>
      <c r="C99" s="50"/>
      <c r="D99" s="3"/>
      <c r="E99" s="51"/>
      <c r="F99" s="54"/>
      <c r="G99" s="2"/>
      <c r="I99" s="51"/>
      <c r="J99" s="52"/>
      <c r="K99" s="52"/>
      <c r="L99" s="52"/>
    </row>
    <row r="100" spans="2:12" x14ac:dyDescent="0.25">
      <c r="F100" s="2"/>
      <c r="G100" s="2"/>
      <c r="H100" s="2"/>
      <c r="I100" s="51"/>
      <c r="J100" s="54"/>
      <c r="K100" s="2"/>
    </row>
    <row r="101" spans="2:12" x14ac:dyDescent="0.25">
      <c r="B101" s="40" t="s">
        <v>40</v>
      </c>
      <c r="C101" s="42"/>
      <c r="D101" s="41"/>
      <c r="E101" s="43">
        <f>I67+E87+E67+I87+E97+I97</f>
        <v>2807</v>
      </c>
    </row>
    <row r="102" spans="2:12" x14ac:dyDescent="0.25">
      <c r="B102" s="45" t="s">
        <v>66</v>
      </c>
      <c r="C102" s="46" t="s">
        <v>43</v>
      </c>
      <c r="D102" s="44"/>
      <c r="E102" s="37">
        <v>71995</v>
      </c>
      <c r="F102" s="5">
        <f>L67+L87+L97</f>
        <v>58844.986199999999</v>
      </c>
      <c r="G102" s="5">
        <f>K67+K87+K97</f>
        <v>48632.219999999994</v>
      </c>
    </row>
    <row r="103" spans="2:12" x14ac:dyDescent="0.25">
      <c r="B103" s="36"/>
      <c r="C103" s="40" t="s">
        <v>41</v>
      </c>
      <c r="D103" s="41"/>
      <c r="E103" s="43">
        <f>(C72*0.83+C71*0.17)*1.21</f>
        <v>20.973413999999995</v>
      </c>
      <c r="F103" s="1">
        <f>E103/1.21</f>
        <v>17.333399999999997</v>
      </c>
      <c r="G103" s="56" t="s">
        <v>52</v>
      </c>
    </row>
    <row r="104" spans="2:12" x14ac:dyDescent="0.25">
      <c r="B104" s="36"/>
      <c r="C104" s="38" t="s">
        <v>42</v>
      </c>
      <c r="D104" s="39"/>
      <c r="E104" s="43">
        <f>E102/E103</f>
        <v>3432.6791050803658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191621022701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Dilme</dc:creator>
  <cp:lastModifiedBy>Gemma Herrera Cabello</cp:lastModifiedBy>
  <dcterms:created xsi:type="dcterms:W3CDTF">2023-09-05T08:00:00Z</dcterms:created>
  <dcterms:modified xsi:type="dcterms:W3CDTF">2026-05-18T11:53:00Z</dcterms:modified>
</cp:coreProperties>
</file>