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5"/>
  <workbookPr defaultThemeVersion="124226"/>
  <mc:AlternateContent xmlns:mc="http://schemas.openxmlformats.org/markup-compatibility/2006">
    <mc:Choice Requires="x15">
      <x15ac:absPath xmlns:x15ac="http://schemas.microsoft.com/office/spreadsheetml/2010/11/ac" url="https://uab.sharepoint.com/sites/UTAiU/Documentos compartidos/General/ACTUACIONS/2600_Q_Enginyeria/10219_Sala comuna de servidors a Q5_2007_AH/10219_08_Projecte obres majors/01_Projecte/EntregaFINAL 5-12-25/"/>
    </mc:Choice>
  </mc:AlternateContent>
  <xr:revisionPtr revIDLastSave="0" documentId="8_{5BB1A602-0731-4250-ABCF-7927341E5E18}" xr6:coauthVersionLast="47" xr6:coauthVersionMax="47" xr10:uidLastSave="{00000000-0000-0000-0000-000000000000}"/>
  <bookViews>
    <workbookView xWindow="28680" yWindow="-120" windowWidth="29040" windowHeight="15720" xr2:uid="{00000000-000D-0000-FFFF-FFFF00000000}"/>
  </bookViews>
  <sheets>
    <sheet name="Full 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04" i="1" l="1"/>
  <c r="G204" i="1" s="1"/>
  <c r="F206" i="1" s="1"/>
  <c r="F200" i="1"/>
  <c r="G200" i="1" s="1"/>
  <c r="F198" i="1"/>
  <c r="G198" i="1" s="1"/>
  <c r="F196" i="1"/>
  <c r="G196" i="1" s="1"/>
  <c r="G194" i="1"/>
  <c r="F194" i="1"/>
  <c r="F192" i="1"/>
  <c r="G192" i="1" s="1"/>
  <c r="F190" i="1"/>
  <c r="G190" i="1" s="1"/>
  <c r="F202" i="1" s="1"/>
  <c r="F186" i="1"/>
  <c r="G186" i="1" s="1"/>
  <c r="F184" i="1"/>
  <c r="G184" i="1" s="1"/>
  <c r="F188" i="1" s="1"/>
  <c r="F179" i="1"/>
  <c r="G179" i="1" s="1"/>
  <c r="F177" i="1"/>
  <c r="G177" i="1" s="1"/>
  <c r="F181" i="1" s="1"/>
  <c r="F173" i="1"/>
  <c r="G173" i="1" s="1"/>
  <c r="F171" i="1"/>
  <c r="G171" i="1" s="1"/>
  <c r="F169" i="1"/>
  <c r="G169" i="1" s="1"/>
  <c r="F167" i="1"/>
  <c r="G167" i="1" s="1"/>
  <c r="F175" i="1" s="1"/>
  <c r="F163" i="1"/>
  <c r="G163" i="1" s="1"/>
  <c r="F161" i="1"/>
  <c r="G161" i="1" s="1"/>
  <c r="F159" i="1"/>
  <c r="G159" i="1" s="1"/>
  <c r="F165" i="1" s="1"/>
  <c r="F155" i="1"/>
  <c r="G155" i="1" s="1"/>
  <c r="F153" i="1"/>
  <c r="G153" i="1" s="1"/>
  <c r="F151" i="1"/>
  <c r="G151" i="1" s="1"/>
  <c r="G149" i="1"/>
  <c r="F149" i="1"/>
  <c r="F147" i="1"/>
  <c r="G147" i="1" s="1"/>
  <c r="F145" i="1"/>
  <c r="G145" i="1" s="1"/>
  <c r="F143" i="1"/>
  <c r="G143" i="1" s="1"/>
  <c r="F141" i="1"/>
  <c r="G141" i="1" s="1"/>
  <c r="F139" i="1"/>
  <c r="G139" i="1" s="1"/>
  <c r="G137" i="1"/>
  <c r="F137" i="1"/>
  <c r="F135" i="1"/>
  <c r="G135" i="1" s="1"/>
  <c r="F133" i="1"/>
  <c r="G133" i="1" s="1"/>
  <c r="F131" i="1"/>
  <c r="G131" i="1" s="1"/>
  <c r="F129" i="1"/>
  <c r="G129" i="1" s="1"/>
  <c r="G127" i="1"/>
  <c r="F127" i="1"/>
  <c r="F125" i="1"/>
  <c r="G125" i="1" s="1"/>
  <c r="F123" i="1"/>
  <c r="G123" i="1" s="1"/>
  <c r="F121" i="1"/>
  <c r="G121" i="1" s="1"/>
  <c r="F119" i="1"/>
  <c r="G119" i="1" s="1"/>
  <c r="G117" i="1"/>
  <c r="F117" i="1"/>
  <c r="F115" i="1"/>
  <c r="G115" i="1" s="1"/>
  <c r="F113" i="1"/>
  <c r="G113" i="1" s="1"/>
  <c r="F111" i="1"/>
  <c r="G111" i="1" s="1"/>
  <c r="F109" i="1"/>
  <c r="G109" i="1" s="1"/>
  <c r="F157" i="1" s="1"/>
  <c r="F105" i="1"/>
  <c r="G105" i="1" s="1"/>
  <c r="F103" i="1"/>
  <c r="G103" i="1" s="1"/>
  <c r="F107" i="1" s="1"/>
  <c r="F99" i="1"/>
  <c r="G99" i="1" s="1"/>
  <c r="F97" i="1"/>
  <c r="G97" i="1" s="1"/>
  <c r="F95" i="1"/>
  <c r="G95" i="1" s="1"/>
  <c r="G93" i="1"/>
  <c r="F93" i="1"/>
  <c r="F91" i="1"/>
  <c r="G91" i="1" s="1"/>
  <c r="F89" i="1"/>
  <c r="G89" i="1" s="1"/>
  <c r="F87" i="1"/>
  <c r="G87" i="1" s="1"/>
  <c r="F85" i="1"/>
  <c r="G85" i="1" s="1"/>
  <c r="F83" i="1"/>
  <c r="G83" i="1" s="1"/>
  <c r="F81" i="1"/>
  <c r="G81" i="1" s="1"/>
  <c r="F79" i="1"/>
  <c r="G79" i="1" s="1"/>
  <c r="F77" i="1"/>
  <c r="G77" i="1" s="1"/>
  <c r="G75" i="1"/>
  <c r="F75" i="1"/>
  <c r="F73" i="1"/>
  <c r="G73" i="1" s="1"/>
  <c r="F69" i="1"/>
  <c r="G69" i="1" s="1"/>
  <c r="F67" i="1"/>
  <c r="G67" i="1" s="1"/>
  <c r="F65" i="1"/>
  <c r="G65" i="1" s="1"/>
  <c r="F63" i="1"/>
  <c r="G63" i="1" s="1"/>
  <c r="F61" i="1"/>
  <c r="G61" i="1" s="1"/>
  <c r="F56" i="1"/>
  <c r="G56" i="1" s="1"/>
  <c r="G54" i="1"/>
  <c r="F54" i="1"/>
  <c r="F52" i="1"/>
  <c r="G52" i="1" s="1"/>
  <c r="F50" i="1"/>
  <c r="G50" i="1" s="1"/>
  <c r="F48" i="1"/>
  <c r="G48" i="1" s="1"/>
  <c r="F46" i="1"/>
  <c r="G46" i="1" s="1"/>
  <c r="F44" i="1"/>
  <c r="G44" i="1" s="1"/>
  <c r="F58" i="1" s="1"/>
  <c r="F40" i="1"/>
  <c r="G40" i="1" s="1"/>
  <c r="F38" i="1"/>
  <c r="G38" i="1" s="1"/>
  <c r="F36" i="1"/>
  <c r="G36" i="1" s="1"/>
  <c r="F34" i="1"/>
  <c r="G34" i="1" s="1"/>
  <c r="F42" i="1" s="1"/>
  <c r="F30" i="1"/>
  <c r="G30" i="1" s="1"/>
  <c r="F28" i="1"/>
  <c r="G28" i="1" s="1"/>
  <c r="F32" i="1" s="1"/>
  <c r="F24" i="1"/>
  <c r="G24" i="1" s="1"/>
  <c r="F22" i="1"/>
  <c r="G22" i="1" s="1"/>
  <c r="F20" i="1"/>
  <c r="G20" i="1" s="1"/>
  <c r="F18" i="1"/>
  <c r="G18" i="1" s="1"/>
  <c r="F26" i="1" s="1"/>
  <c r="F14" i="1"/>
  <c r="G14" i="1" s="1"/>
  <c r="F12" i="1"/>
  <c r="G12" i="1" s="1"/>
  <c r="F10" i="1"/>
  <c r="G10" i="1" s="1"/>
  <c r="F6" i="1"/>
  <c r="G6" i="1" s="1"/>
  <c r="F8" i="1" s="1"/>
  <c r="G206" i="1" l="1"/>
  <c r="F203" i="1"/>
  <c r="G203" i="1" s="1"/>
  <c r="G202" i="1"/>
  <c r="F189" i="1"/>
  <c r="G189" i="1" s="1"/>
  <c r="G188" i="1"/>
  <c r="F183" i="1"/>
  <c r="G183" i="1" s="1"/>
  <c r="G181" i="1"/>
  <c r="F176" i="1"/>
  <c r="G176" i="1" s="1"/>
  <c r="G175" i="1"/>
  <c r="F166" i="1"/>
  <c r="G166" i="1" s="1"/>
  <c r="G165" i="1"/>
  <c r="F158" i="1"/>
  <c r="G158" i="1" s="1"/>
  <c r="G157" i="1"/>
  <c r="F108" i="1"/>
  <c r="G108" i="1" s="1"/>
  <c r="G107" i="1"/>
  <c r="F102" i="1"/>
  <c r="G102" i="1" s="1"/>
  <c r="F43" i="1"/>
  <c r="G43" i="1" s="1"/>
  <c r="G58" i="1"/>
  <c r="F33" i="1"/>
  <c r="G33" i="1" s="1"/>
  <c r="G42" i="1"/>
  <c r="F27" i="1"/>
  <c r="G27" i="1" s="1"/>
  <c r="G32" i="1"/>
  <c r="G26" i="1"/>
  <c r="F17" i="1"/>
  <c r="G17" i="1" s="1"/>
  <c r="F5" i="1"/>
  <c r="G5" i="1" s="1"/>
  <c r="G8" i="1"/>
  <c r="F16" i="1"/>
  <c r="F101" i="1"/>
  <c r="F71" i="1"/>
  <c r="F9" i="1" l="1"/>
  <c r="G9" i="1" s="1"/>
  <c r="G16" i="1"/>
  <c r="F72" i="1"/>
  <c r="G72" i="1" s="1"/>
  <c r="G101" i="1"/>
  <c r="G71" i="1"/>
  <c r="F182" i="1" s="1"/>
  <c r="F60" i="1"/>
  <c r="G60" i="1" s="1"/>
  <c r="G182" i="1" l="1"/>
  <c r="F207" i="1" s="1"/>
  <c r="F59" i="1"/>
  <c r="G59" i="1" s="1"/>
  <c r="G207" i="1" l="1"/>
  <c r="F4" i="1"/>
  <c r="G4" i="1" s="1"/>
</calcChain>
</file>

<file path=xl/sharedStrings.xml><?xml version="1.0" encoding="utf-8"?>
<sst xmlns="http://schemas.openxmlformats.org/spreadsheetml/2006/main" count="503" uniqueCount="290">
  <si>
    <t>Obra:</t>
  </si>
  <si>
    <t>Projecte executiu del nou CPD a l'Escola d'Enginyeria de la UAB</t>
  </si>
  <si>
    <t>Pressupost</t>
  </si>
  <si>
    <t>% C.I.</t>
  </si>
  <si>
    <t>Codi</t>
  </si>
  <si>
    <t>Tipus</t>
  </si>
  <si>
    <t>U</t>
  </si>
  <si>
    <t>Resum</t>
  </si>
  <si>
    <t>Quantitat</t>
  </si>
  <si>
    <t>Preu (€)</t>
  </si>
  <si>
    <t>Import (€)</t>
  </si>
  <si>
    <t>PRESSUPOST CPD UAB_NET</t>
  </si>
  <si>
    <t>Capítol</t>
  </si>
  <si>
    <t>01.00</t>
  </si>
  <si>
    <t>TREBALLS PREVIS</t>
  </si>
  <si>
    <t>01.00.01</t>
  </si>
  <si>
    <t>Partida</t>
  </si>
  <si>
    <t>u</t>
  </si>
  <si>
    <t>Retirada i acopi de mobiliari de l'ambit d'actuació</t>
  </si>
  <si>
    <t>Desmuntatge per a retirada i acopi (a espai autoritzat per la propietat) de mobiliari de l'ambit de l'actuació. Inclou mà d'obra i material auxiliar.</t>
  </si>
  <si>
    <t>01.02</t>
  </si>
  <si>
    <t>GESTIÓ DE RESIDUS DE L'OBRA CIVIL</t>
  </si>
  <si>
    <t>P2R2-EU9P</t>
  </si>
  <si>
    <t>m3</t>
  </si>
  <si>
    <t>Classif.obra residus construcció/demoliciós/construcció/demolició,m.man.</t>
  </si>
  <si>
    <t>Classificació a peu d'obra de residus de construcció o demolició en fraccions segons REAL DECRETO 105/2008, amb mitjans manuals</t>
  </si>
  <si>
    <t>P2R5-DT41</t>
  </si>
  <si>
    <t>Transp.residus inerts o no especials,instal.gestió residus,contenidor 8m3</t>
  </si>
  <si>
    <t>Transport de residus inerts o no especials a instal·lació autoritzada de gestió de residus, amb contenidor de 8 m3 de capacitat</t>
  </si>
  <si>
    <t>P2RA-EU6C</t>
  </si>
  <si>
    <t>Disposició controlada dipòsit autoritzat inclòs el cànon sobre la deposició controlada dels residus de la construcció, segons la LLEI 8/2008,,residus barrej. inerts,1t/m3,LER 17 01 07</t>
  </si>
  <si>
    <t>Disposició controlada en dipòsit autoritzat inclòs el cànon sobre la deposició controlada dels residus de la construcció, segons la LLEI 8/2008, de residus barrejats inerts amb una densitat 1 t/m3, procedents de construcció o demolició, amb codi 17 01 07 segons la Llista Europea de Residus</t>
  </si>
  <si>
    <t>01.05</t>
  </si>
  <si>
    <t>TANCAMENTS I DIVISÒRIES</t>
  </si>
  <si>
    <t>P654-12ZME</t>
  </si>
  <si>
    <t>m2</t>
  </si>
  <si>
    <t>Envà pl.guix lam.t+aïll.pl.llana roca,estruc.doble N146mm / 600mm(48mm),2xF(12,5mm)+MW-roca R &gt;=1,176m2·K/W</t>
  </si>
  <si>
    <t>Envà de plaques de guix laminat amb aïllament de plaques de llana de roca format per estructura doble normal amb perfileria de planxa d'acer galvanitzat, amb un gruix total de l'envà de 146 mm, muntants cada 600 mm de 48 mm d'amplària i canals de 48 mm d'amplària, 2 plaques tipus resistent al foc (F) a cada cara de 12,5 mm de gruix cada una, fixades mecànicament i aïllament de plaques de llana mineral de roca de resistència tèrmica &gt;= 1,176 m2·K/W. Compliment de resistència mínima de foc EI90 segons norma UNE 102043.</t>
  </si>
  <si>
    <t>P83EC-97Y3</t>
  </si>
  <si>
    <t>Extradossat pl.guix lam, estruc.autop.arriost.N,73/400(48) A(12,5mm)+placa lr.MW aïll.</t>
  </si>
  <si>
    <t>Extradossat de plaques de guix laminat format per estructura autoportant arriostrada normal amb perfileria de planxa d'acer galvanitzat, amb un gruix total de l'extradossat de 73 mm, muntants cada 400 mm de 48 mm d'amplaria i canals de 48 mm d'amplaria, amb 2 plaques estàndard (A) de 12,5 mm de gruix, fixades mecànicament i aïllament amb plaques de placa llana roca p/aïllaments</t>
  </si>
  <si>
    <t>P660-73G9</t>
  </si>
  <si>
    <t>Mampara modular,g=82mm,tauler part.aglom.fusta+vidre+melamina,doble. vidre 3+3mm,col.</t>
  </si>
  <si>
    <t>Mampara modular, de 82 mm de gruix, formada per doble tauler de partícules aglomerades de fusta amb melamina de 16 mm de gruix amb cantejat de PVS de 1mm, densitat 600kg/m3 i aplacat amb làmina de melamina, espai interior reblert de llana mineral de roca de 48mm i envidriament amb doble vidre laminar de seguretat de 5+5 de gruix, unio de vidres a testa mitjançant perfil de policarbonat transparent adhesiu en "H", sòcol inferior i remat superior d'alumini, amb sistema de suspensió sobre perfileria oculta d'alumini extrusionat i junts termoplàstics per al segellat dels vidres i del perímetre dels taulers, col·locada, inclou detall de tancament de remat i segellat contra finestra. Resistència al foc B-s5,d0. 
Marca i model: Iberperfil Elegance Forma alzado A-3, o equivalent.</t>
  </si>
  <si>
    <t>NBP100</t>
  </si>
  <si>
    <t>m²</t>
  </si>
  <si>
    <t>Aïllament acústic a soroll aeri, en partició desmontable, a través del plènum.</t>
  </si>
  <si>
    <t>Barrera acústica a soroll aeri, en partició desmontable, a través del plènum, formada per panell acústic autoportant de llana mineral, compost per mòduls de 1200x600x80 mm, revestit per les dues cares amb un complex kraft-alumini, col·locat directament entre el forjat i els perfils superiors de la partició desmuntable, per millorar l'aïllament acústic lateral entre espais. Inclús cinta autoadhesiva d'alumini, pel segellat i fixació de l'aïllament.
Inclou: Replanteig. Tall i ajust dels panells. Col·locació dels panells. Segellat de juntes i unions.
Criteri d'amidament de projecte: Superfície mesurada segons documentació gràfica de Projecte.
Criteri de mesura d'obra: Es mesurarà la superfície realment executada segons especificacions de Projecte.</t>
  </si>
  <si>
    <t>01.06</t>
  </si>
  <si>
    <t>DIVISÒRIES PRACTICABLES</t>
  </si>
  <si>
    <t>PAS2-5QMQ</t>
  </si>
  <si>
    <t>Porta tallaf.,metàl.,EI2-C60,2bat.,160x205cm,preu alt,col.</t>
  </si>
  <si>
    <t>Porta tallafocs metàl·lica, EI2-C60, de dues fulles batents, per a una llum de 160x205 cm, preu alt, col·locada</t>
  </si>
  <si>
    <t>LSC020</t>
  </si>
  <si>
    <t>Cortina de lamel·les de PVC, amb propietats tèrmiques</t>
  </si>
  <si>
    <t>Cortina de lamel·les de PVC, amb propietats tèrmiques, fixades mitjançant perfils de dentats muntats sobre cel ras.</t>
  </si>
  <si>
    <t>01.07</t>
  </si>
  <si>
    <t>REVESTIMENTS I F/SOSTRES</t>
  </si>
  <si>
    <t>P89I-4V8T</t>
  </si>
  <si>
    <t>Pint.vert.guix,pintura plàstica llis+segelladora+2acab.</t>
  </si>
  <si>
    <t>Pintat de parament vertical de guix, amb pintura plàstica amb acabat llis, amb una capa segelladora i dues d'acabat</t>
  </si>
  <si>
    <t>P862-6YPH</t>
  </si>
  <si>
    <t>Revest.param.vert.làmina vinílica+reforç cotó,g=0,55mm,350g/m2,col.adh.</t>
  </si>
  <si>
    <t>Revestiment de parament vertical amb làmina vinílica reforçada amb suport de cotó de 0,55 mm de gruix i 350 g/m2 de massa superficial, col·locat adherit</t>
  </si>
  <si>
    <t>01.07.01</t>
  </si>
  <si>
    <t>Treballs de reforma i adaptació d'armaris existents.</t>
  </si>
  <si>
    <t>Treballs de reforma i adaptació d'armaris existents. Inclou l'adaptació de les portes, formació de sòcol inferior.</t>
  </si>
  <si>
    <t>01.07.02</t>
  </si>
  <si>
    <t>Aillament de cel ras de plaques existent a la sala del CPD per aïllament acústic de l'espai amb llana mineral de 20mm.</t>
  </si>
  <si>
    <t>Aillament de cel ras de plaques existent a la sala del CPD per aïllament acústic de l'espai amb llana mineral de 20mm. Inclou els treballs de desmuntatge del cel ras i l'estesa de filtre de llana mineral. Inclou mà d'obra i material auxiliar.</t>
  </si>
  <si>
    <t>01.08</t>
  </si>
  <si>
    <t>PAVIMENTS</t>
  </si>
  <si>
    <t>01.08.02</t>
  </si>
  <si>
    <t>Formació d'estructura per al repartiment de càrregues dels racks, mitjançant entramat de vigues amb perfils laminats IPE80 i T50 soladats, recolzades sobre platines de 10mm de gruix, i sobre làmina de neoprè. Inclou mà d'obra, material auxiliar i càrrega de residus sobre camió o contenidor</t>
  </si>
  <si>
    <t>Formació d'estructura per al repartiment de càrregues dels racks, mitjançant entramat de vigues IPN120 i perfils en "T" soladats. Inclou mà d'obra, material auxiliar i càrrega de residus sobre camió o contenidor</t>
  </si>
  <si>
    <t>P7C45-5O2H</t>
  </si>
  <si>
    <t>Aïllam.Placa ríg.MW-roca,dens.=66 a 85 kg/m3,g=30mm,cond.tèrmica &lt;= 0,034 W/(m·K),col.adhes.especif.</t>
  </si>
  <si>
    <t>Aïllament amb Placa rígida de llana mineral de roca (MW), de densitat 66 a 85 kg/m3, de 30 mm de gruix, amb una conductivitat tèrmica &lt;= 0,034 W/(m·K) i resistència tèrmica &gt;= 0,88235 m2·K/W, col·locada amb adhesiu de formulació específica</t>
  </si>
  <si>
    <t>P941-AJ6X</t>
  </si>
  <si>
    <t>Paviment tècnic int.peus regul.+travessersacer galv.,h=20 a 600 mm,60x60cmx3cm,nucli sulfat de calci,acab.superf.alumini,revest.inferior alumini,classe3</t>
  </si>
  <si>
    <t>Paviment tècnic interior amb peus regulables i amb travessers d'acer galvanitzat per a una alçària de 20 a 600 mm, llosetes de 60x60 cm i 3 cm de gruix amb nucli de sulfat de calci, acabat superficial d'alumini i revestiment inferior d'alumini, classe 3 segons UNE-EN 12825</t>
  </si>
  <si>
    <t>01.08.03</t>
  </si>
  <si>
    <t>Treballs addicionals de col·locació del terra tècnic amb encaix a l'estructura sota el paviment i els armaris rack.</t>
  </si>
  <si>
    <t>P9U9-6Y48</t>
  </si>
  <si>
    <t>m</t>
  </si>
  <si>
    <t>Sòcol PVC imitació fusta, h=60mm,col.adhes.</t>
  </si>
  <si>
    <t>Sòcol de PVC imitant la fusta, de 60 mm d'alçària, col·locat amb adhesiu</t>
  </si>
  <si>
    <t>RSE100</t>
  </si>
  <si>
    <t>Rampa per a terra tècnic, realitzada amb panells amb nucli d'aglomerat de fusta d'alta densitat, amb revestiment exterior de seguretat, recolzats sobre pedestals</t>
  </si>
  <si>
    <t>Rampa per a terra tècnic, realitzada amb panells amb nucli d'aglomerat de fusta d'alta densitat, major o igual a 650 kg/m³, amb revestiment exterior de seguretat, antilliscant, resistència al lliscament Rd&gt;45 segons UNE-EN 16165, lliscabilitat classe 3 segons CTE, recolzats sobre pedestals amb tascó d'acer</t>
  </si>
  <si>
    <t>1.08.01</t>
  </si>
  <si>
    <t>Tall d'aïllament de plaques de llana mineral per fixació de peus de suport del terra tècnic a forjat i posterior segellat amb escuma de poliuretà</t>
  </si>
  <si>
    <t>Tall d'aïllament de plaques de llana mineral per fixació de peus de suport del terra tècnic a forjat i posterior segellat amb escuma de poliuretà. Inclou mà d'obra, material auxiliar i càrrega de residus sobre camió o contenidor.</t>
  </si>
  <si>
    <t>01.09</t>
  </si>
  <si>
    <t>INSTAL·LACIONS</t>
  </si>
  <si>
    <t>01.09.00</t>
  </si>
  <si>
    <t>Treballs previs</t>
  </si>
  <si>
    <t>P124-H9AF</t>
  </si>
  <si>
    <t>Anul·lació i retirada d'instal·lació elèctrica interior existent</t>
  </si>
  <si>
    <t>Anul·lació, desmantellament, adaptació i retirada després de identificaió de detall, de la part proporcional d'instal·lació elèctrica, de comunicacions i multimedia existent afectades per l'actuació i obsoleta després dels treballs. Inclou desmuntatge de mecanismes, subquadre de sala, equips electrònics, multimèdia, part proporcional de cablejat i canalització obsolets per a la reforma. Aplec i acopi dels elements a aprofitar per a l'emmagatzematge per part de la UAB
Criteri d'abonament: abonament íntegre</t>
  </si>
  <si>
    <t>01.09.01.01.01</t>
  </si>
  <si>
    <t>Treballs per tapiat i retirada de tram de conducte de llana mineral per a climatització de l'espai objecte de l'actuació</t>
  </si>
  <si>
    <t>Treballs per tapiat i retirada de tram de conducte de llana mineral per a climatització de l'espai objecte de l'actuació, mitjançant el tall del conducte i la instal·lació de tap ceg, amb l'objectiu de garantir la continuitat del tancament de paret EI90 i de deixar fora de servei la climatització d'aquest espai. Inclou mà d'obra i material auxiliar. Inclou retirada de part proporcional de conducte necessari per la instal·lació de tap ceg.</t>
  </si>
  <si>
    <t>P21DD-HBJX</t>
  </si>
  <si>
    <t>Desmuntatge p/subst.llum.decorativa interior,encast.,h=&lt;3m,a/mitj.manuals,càrr.manual</t>
  </si>
  <si>
    <t>Desmuntatge per a substitució de llumenera decorativa interior, equipada amb làmpades incandescents fluorescents o halògenes, muntada encastada en paraments verticals o horitzontals, a una alçària de 3 m com a màxim, amb mitjans manuals i càrrega manual de runa sobre camió o contenidor, o acopi a espai autoritzat per aprofitament per part de la propietat</t>
  </si>
  <si>
    <t>01.09.00.02</t>
  </si>
  <si>
    <t>Treballs de desplaçament de difusor existent, extensió de conducte circular i reconnexionat. Inclou mà d'obra i material auxiliar.</t>
  </si>
  <si>
    <t>01.09.00.03</t>
  </si>
  <si>
    <t>Formació de nou conducte de retorn amb conducte de llana mineral de 25mm, inclou mà d'obra i material auxiliar.</t>
  </si>
  <si>
    <t>01.09.01</t>
  </si>
  <si>
    <t>Climatització</t>
  </si>
  <si>
    <t>PEG2-RE01</t>
  </si>
  <si>
    <t>Bomba de calor partida d'expansió directa per a conductes, potència frigorífica nominal de 22 kW, potència calorífica nominal de 24 kW, amb uns coeficients d'eficiència energètica estacionals SEER de 5.38 (A++) i SCOP de 3.55 (A+) segons REGLAMENTO (UE) 626/2011, alimentació elèctrica monofàsica de 400 V, gas refrigerant R-32</t>
  </si>
  <si>
    <t>Bomba de calor partida d'expansió directa per a conductes, potència frigorífica nominal de 22 kW, potència calorífica nominal de 24 kW, amb uns coeficients d'eficiència energètica estacionals SEER de 5.38 (A++) i SCOP de 3.55 (A+) segons REGLAMENTO (UE) 626/2011, alimentació elèctrica monofàsica de 400 V, gas refrigerant R-32, col.locada.
Unitat interior:
Dimensions (altxamplexllarg): 470x1.490x1.100 mm
Pes: 115 kg
Unitat exterior:
Dimensions (altxamplexllarg): 870x1.100x460mm
Pes: 117kg
Pressió del ventilador regulada segons necessitat.
Unitat exterior muntada a la coberta de l'edifici, inclou bancada i elements de suport, connectada  a la xarxa d'alimentació elèctrica, bomba de condensats, si s'escau, interconnexió elèctrica i de maniobra entre la unitat terminal i l'exterior, controladors, lona antivibratoria, petit material auxiliar de connexió i muntatge, inclou transport, mitjans d'elevació i muntatge fins emplaçament definitiu. Programació i posada en marxa per part del servei tècnic oficial de l'equip.
Marca i model: Daikin DA250A (RZA250D+FDA250A), o equivalent</t>
  </si>
  <si>
    <t>PE54-35DM</t>
  </si>
  <si>
    <t>Conducte planxa ac.galv.,g=0,6mm,+unió baioneta,munt./suports</t>
  </si>
  <si>
    <t>Formació de conducte rectangular planxa d'acer galvanitzat, de gruix 0,6 mm, amb unió baioneta, muntat adossat amb suports</t>
  </si>
  <si>
    <t>PEVC-H7JV</t>
  </si>
  <si>
    <t>Termòstat electrònic ambient, p/unitat interior, selector 3 velocitats</t>
  </si>
  <si>
    <t>Termòstat electronic d'ambient, amb pantalla LCD, per a fan-coil, selector de 3 velocitats ventilador, amb targeta de comunicació ModBus, amb accessoris de muntatge, muntat i connectat.  Incloent part proporcional de canalització i cablejat necessari fins a la integració amb la unitat de climatització i fins al quadre de control centralitzat, integrat a aquest individualment.
Dimensions: 25x85x85mm (altxllargxample)
Marca i model: Daikin BRC1H52W o equivalent</t>
  </si>
  <si>
    <t>02.01.01.02</t>
  </si>
  <si>
    <t>Interconnexió entre termostat de paret i fancoil, tram horitzontal per fals sostre amb tub corrugat i tram vertical fins a termostat en minicanal de PVC</t>
  </si>
  <si>
    <t>Interconnexió entre termostat de paret i fancoil, tram horitzontal per fals sostre amb tub corrugat i tram vertical fins a termostat en minicanal de PVC. Inclou caixetí per a mecanismes universal per a connexió i elmenents especials de muntatge i ajudes de paleteria per a pas de canalitzacions i connexions.</t>
  </si>
  <si>
    <t>PP44-RE01</t>
  </si>
  <si>
    <t>Cable elèctric per a transmissió de dades, senyals analògics i digitals en plantes industrials i instruments de mesura i control en zones amb sorolls elèctrics, Datax LiYCY CPRO "PRYSMIAN", tipus LiYCY, tensió nominal 250 V, amb conductor de coure recuit, flexible (classe 5), de 4x1 mm² de secció, aïllament de policlorur de vinil (PVC), apantallat amb trena de coure estanyat (cobertura superior al 60%), coberta de policlorur de vinil (PVC), de color gris, i amb les següents característiques: no propagació de la flama, lliure de halògens i resistència a l'absorció d'aigua.</t>
  </si>
  <si>
    <t>PG2N-EUK7</t>
  </si>
  <si>
    <t>Tub flexible corrugat PVC,DN=20mm,1J,320N,2000V,sob/sostremort</t>
  </si>
  <si>
    <t>Tub flexible corrugat de PVC, de 20 mm de diàmetre nominal, aïllant i no propagador de la flama, resistència a l'impacte d'1 J, resistència a compressió de 320 N i una rigidesa dielèctrica de 2000 V, muntat sobre sostremort</t>
  </si>
  <si>
    <t>PF51-6RX8</t>
  </si>
  <si>
    <t>Tub Cu R220 (recuit) DN=3/8¬,g= 0,8mm soldat capil.,dific. Mitjà i col·locat sota canal</t>
  </si>
  <si>
    <t>Tub de coure R220 (recuit) 3/8 " de diàmetre nominal i de gruix 0,8 mm, segons norma UNE-EN 12735-1, soldat per capil·laritat amb soldadura forta (T&gt;450ºC) amb grau de dificultat mitjà i col·locat sota canal per a fluids i subjectat amb el sistema de grapes de la canal</t>
  </si>
  <si>
    <t>PF51-6RXB</t>
  </si>
  <si>
    <t>Tub Cu R220 (recuit) DN=7/8¬,g= 1,0mm soldat capil.,dific. Mitjà i col·locat sota canal</t>
  </si>
  <si>
    <t>Tub de coure R220 (recuit) 7/8 " de diàmetre nominal i de gruix 1,0 mm, segons norma UNE-EN 12735-1, soldat per capil·laritat amb soldadura forta (T&gt;450ºC) amb grau de dificultat mitjà i col·locat sota canal per a fluids i subjectat amb el sistema de grapes de la canal</t>
  </si>
  <si>
    <t>PFQ0-3LIJ</t>
  </si>
  <si>
    <t>Aïllament tèrmic escum.elastom.,fluids (-50 i 105°C),D=10mm,g=19mm,factor dif.vapor&gt;= 5000 1superf.mitjà</t>
  </si>
  <si>
    <t>Aïllament tèrmic d'escuma elastomèrica per a canonades que transporten fluids a temperatura entre -50°C i 105°C, per a tub de diàmetre exterior 10 mm, de 19 mm de gruix, classe de reacció al foc BL-s2, d0 segons norma UNE-EN 13501-1, factor de resistència a la difusió del vapor d'aigua &gt;= 5000 1, col·locat superficialment amb grau de dificultat mitjà</t>
  </si>
  <si>
    <t>PFQ0-IJ2N</t>
  </si>
  <si>
    <t>Aïllament tèrmic escum.elastom.,fluids (-50 i 105°C),D=22mm,g=19mm,autoadh.superf.mitjà</t>
  </si>
  <si>
    <t>Aïllament tèrmic d'escuma elastomèrica per a canonades que transporten fluids a temperatura entre -50°C i 105°C, per a tub de diàmetre exterior 22 mm, de 19 mm de gruix, classe de reacció al foc BL-s3, d0 segons norma UNE-EN 13501-1, autoadhesiva, col·locat superficialment amb grau de dificultat mitjà</t>
  </si>
  <si>
    <t>PG2J-4BPE</t>
  </si>
  <si>
    <t>Safata xapa llisa+coberta acer galv.calent,100mmx200mm,col.s/sup.horitz.</t>
  </si>
  <si>
    <t>Safata metàl·lica de xapa llisa amb coberta d'acer galvanitzat en calent, d'alçària 100 mm i amplària 200 mm, col·locada sobre suports horitzontals amb elements de suport</t>
  </si>
  <si>
    <t>PG2J-4BTQ</t>
  </si>
  <si>
    <t>Safata reixeta acer electrozincat,100mmx300mm,col.susp/param.horitz.</t>
  </si>
  <si>
    <t>Safata metàl·lica de reixeta d'acer electrozincat, d'alçària 100 mm i amplària 300 mm, col·locada suspesa de paraments horitzontals amb elements de suport</t>
  </si>
  <si>
    <t>PG25-SB13</t>
  </si>
  <si>
    <t>Canal aïllant PVC,1 tapa p/distribució,40x60mm,1 compartiment,blanc,IP2X,IK10,n/propag.flama,obertura tapa a/eina especial,de -5ºC a +60 °C,UNE-EN 50085-2-1,terra tècnic</t>
  </si>
  <si>
    <t>Canal aïllant de PVC, amb 1 tapa per a distribució, de 40x60 mm, amb 1 compartiment, de color blanc, resistència a la penetració d'objectes sòlids IP2X, protecció mecànica contra impactes IK10, no propagador de la flama, obertura de la tapa amb eina especial, de temperatura de servei de -5ºC a +60 °C, d'acord amb la norma UNE-EN 50085-2-1, en terra tècnic</t>
  </si>
  <si>
    <t>EEK11G23CLM</t>
  </si>
  <si>
    <t>Conjunt de reixes de climatització segons documentació gràfica</t>
  </si>
  <si>
    <t>Conjunt de reixes de climatització segons documentació gràfica, incloent conjunt d'accessoris de muntatge en paraments d'obra, connexions a conductes, part proporcional de plenum i petit material.
ref        servei     tipo                                         dimensions             n ut.    marca    model
                                                                                  llarg    alt                 
    d1    impulsió   reixa lineal de terra                600    x400         8ut    Madel    AMT-AN+SP+CM</t>
  </si>
  <si>
    <t>01.09.02</t>
  </si>
  <si>
    <t>Sanejament</t>
  </si>
  <si>
    <t>PNL3-RE01</t>
  </si>
  <si>
    <t>Bomba de condensats per a unitats interiors, col·locada superficialment</t>
  </si>
  <si>
    <t>Bomba de condensats per a unitats interiors, amb dipòsit de 170 ml i bombeig de 100ml. Alimentació elèctrica monofàsica 230 V de tensió d'alimentació i consum de 19 W, muntada superficialment.</t>
  </si>
  <si>
    <t>01.09.02.01</t>
  </si>
  <si>
    <t>Xarxa de desguàs de fancoil fins a baixant/desguàs aparell sanitari existent.</t>
  </si>
  <si>
    <t>Xarxa de desguàs d'equip de producció tèrmica o recuperador fins a baixant/desguàs aparell sanitari existent. Inclou sifò, canonada de PVC DN32 i connexió a xarxa de desguàs existent.</t>
  </si>
  <si>
    <t>01.09.03</t>
  </si>
  <si>
    <t>Electricitat</t>
  </si>
  <si>
    <t>01.09.03.00</t>
  </si>
  <si>
    <t>Reforma quadre general de baixa tensió (subministre normal) de l'escola d'Enginyeria de la UAB</t>
  </si>
  <si>
    <t>Reforma quadre general de baixa tensió (subministre normal) de l'escola d'Enginyeria de la UAB , apte per les proteccions descrites en esquema, mes espai de reserva del 30%, cablejat, borns, barres, blocs de connexió, elements de presa de terra, troquelats i elements de fixació dels mecanismes.</t>
  </si>
  <si>
    <t>01.09.03.01</t>
  </si>
  <si>
    <t>Reforma quadre general de baixa tensió (subministre SAI) de l'escola d'Enginyeria de la UAB</t>
  </si>
  <si>
    <t>Reforma quadre general de baixa tensió (subministre SAI) de l'escola d'Enginyeria de la UAB , apte per les proteccions descrites en esquema, mes espai de reserva del 30%, cablejat, borns, barres, blocs de connexió, elements de presa de terra, troquelats i elements de fixació dels mecanismes.</t>
  </si>
  <si>
    <t>01.09.02.02</t>
  </si>
  <si>
    <t>Reforma quadre general de baixa tensió (subministre grup electrògen) de l'escola d'Enginyeria de la UAB</t>
  </si>
  <si>
    <t>Reforma quadre general de baixa tensió (subministre grup electrògen) de l'escola d'Enginyeria de la UAB , apte per les proteccions descrites en esquema, mes espai de reserva del 30%, cablejat, borns, barres, blocs de connexió, elements de presa de terra, troquelats i elements de fixació dels mecanismes.</t>
  </si>
  <si>
    <t>01.09.03.03</t>
  </si>
  <si>
    <t>Subquadre nou CDP (subministrament normal)</t>
  </si>
  <si>
    <t>Subquadre nou CDP (subministrament normal), per a muntatge en armari de la pròpia sala, de peu o mural amb sòcol, metàl·lic, amb tapa cega, apte per les proteccions descrites en esquema, mes espai de reserva del 50%, cablejat, borns, barres, blocs de connexió, elements de presa de terra, troquelats i elements de fixació dels mecanismes.</t>
  </si>
  <si>
    <t>01.09.03.05</t>
  </si>
  <si>
    <t>Subquadre coberta clima nou CDP (subministrament SAI)</t>
  </si>
  <si>
    <t>Subquadre coberta nou CDP (subministrament SAI), per a muntatge en armari de la pròpia sala, de peu o mural amb sòcol, metàl·lic, amb tapa cega, apte per les proteccions descrites en esquema, mes espai de reserva del 50%, cablejat, borns, barres, blocs de connexió, elements de presa de terra, troquelats i elements de fixació dels mecanismes.</t>
  </si>
  <si>
    <t>01.09.03.04</t>
  </si>
  <si>
    <t>Subquadre nou CDP (subministrament grup electrògen)</t>
  </si>
  <si>
    <t>Subquadre nou CDP (subministrament grup electrògen), per a muntatge en armari de la pròpia sala, de peu o mural amb sòcol, metàl·lic, amb tapa cega, apte per les proteccions descrites en esquema, mes espai de reserva del 50%, cablejat, borns, barres, blocs de connexió, elements de presa de terra, troquelats i elements de fixació dels mecanismes.</t>
  </si>
  <si>
    <t>PG33-E4W6</t>
  </si>
  <si>
    <t>Cable 0,6/1 kV RZ1-K (AS), 3x1,5mm2,col.canal/safata</t>
  </si>
  <si>
    <t>Cable amb conductor de coure de tensió assignada0,6/1 kV, de designació RZ1-K (AS), construcció segons norma UNE 21123-4, tripolar, de secció 3x1,5 mm2, amb coberta del cable de poliolefines, classe de reacció al foc Cca-s1b, d1, a1 segons la norma UNE-EN 50575 amb baixa emissió fums, col·locat en canal o safata</t>
  </si>
  <si>
    <t>PG33-E4W7</t>
  </si>
  <si>
    <t>Cable 0,6/1 kV RZ1-K (AS), 3x2,5mm2,col.canal/safata</t>
  </si>
  <si>
    <t>Cable amb conductor de coure de tensió assignada0,6/1 kV, de designació RZ1-K (AS), construcció segons norma UNE 21123-4, tripolar, de secció 3x2,5 mm2, amb coberta del cable de poliolefines, classe de reacció al foc Cca-s1b, d1, a1 segons la norma UNE-EN 50575 amb baixa emissió fums, col·locat en canal o safata</t>
  </si>
  <si>
    <t>PG33-E44Y</t>
  </si>
  <si>
    <t>Cable 0,6/1 kV RZ1-K (AS), 5x6mm2,col.canal/safata</t>
  </si>
  <si>
    <t>Cable amb conductor de coure de tensió assignada0,6/1 kV, de designació RZ1-K (AS), construcció segons norma UNE 21123-4, pentapolar, de secció 5x6 mm2, amb coberta del cable de poliolefines, classe de reacció al foc Cca-s1b, d1, a1 segons la norma UNE-EN 50575 amb baixa emissió fums, col·locat en canal o safata</t>
  </si>
  <si>
    <t>PG33-E4V9</t>
  </si>
  <si>
    <t>Cable 0,6/1 kV RZ1-K (AS), 1x16mm2,col.canal/safata</t>
  </si>
  <si>
    <t>Cable amb conductor de coure de tensió assignada0,6/1 kV, de designació RZ1-K (AS), construcció segons norma UNE 21123-4, unipolar, de secció 1x16 mm2, amb coberta del cable de poliolefines, classe de reacció al foc Cca-s1b, d1, a1 segons la norma UNE-EN 50575 amb baixa emissió fums, col·locat en canal o safata</t>
  </si>
  <si>
    <t>PG33-E4KR</t>
  </si>
  <si>
    <t>Cable 0,6/1 kV RZ1-K (AS), 1x25mm2,col.canal/safata</t>
  </si>
  <si>
    <t>Cable amb conductor de coure de tensió assignada0,6/1 kV, de designació RZ1-K (AS), construcció segons norma UNE 21123-4, unipolar, de secció 1x25 mm2, amb coberta del cable de poliolefines, classe de reacció al foc Cca-s1b, d1, a1 segons la norma UNE-EN 50575 amb baixa emissió fums, col·locat en canal o safata</t>
  </si>
  <si>
    <t>PG33-E4KW</t>
  </si>
  <si>
    <t>Cable 0,6/1 kV RZ1-K (AS), 1x50mm2,col.canal/safata</t>
  </si>
  <si>
    <t>Cable amb conductor de coure de tensió assignada0,6/1 kV, de designació RZ1-K (AS), construcció segons norma UNE 21123-4, unipolar, de secció 1x50 mm2, amb coberta del cable de poliolefines, classe de reacció al foc Cca-s1b, d1, a1 segons la norma UNE-EN 50575 amb baixa emissió fums, col·locat en canal o safata</t>
  </si>
  <si>
    <t>PG2J-4BTB</t>
  </si>
  <si>
    <t>Safata reixeta acer electrozincat,30mmx100mm,col.susp/param.horitz.</t>
  </si>
  <si>
    <t>Safata metàl·lica de reixeta d'acer electrozincat, d'alçària 30 mm i amplària 100 mm, col·locada suspesa de paraments horitzontals amb elements de suport</t>
  </si>
  <si>
    <t>PG25-MKHZ</t>
  </si>
  <si>
    <t>Canal aïllant PVC,1 tapa p/distribució,60x230mm,1 compartiment,blanc,IP2X,IK10,n/propag.flama,obertura tapa a/eina especial,de -5ºC a +60 °C,UNE-EN 50085-2-1,terra tècnic</t>
  </si>
  <si>
    <t>Canal aïllant de PVC, amb 1 tapa per a distribució, de 60x230 mm, amb 1 compartiment, de color blanc, resistència a la penetració d'objectes sòlids IP2X, protecció mecànica contra impactes IK10, no propagador de la flama, obertura de la tapa amb eina especial, de temperatura de servei de -5ºC a +60 °C, d'acord amb la norma UNE-EN 50085-2-1, en terra tècnic</t>
  </si>
  <si>
    <t>PG13-E36E</t>
  </si>
  <si>
    <t>Caixa deriv.plàstic,100x140mm,prot.IP-40,munt.superf.</t>
  </si>
  <si>
    <t>Caixa de derivació rectangular de plàstic, de 100x140 mm, amb grau de protecció IP-40, muntada superficialment</t>
  </si>
  <si>
    <t>PG2N-EUJM</t>
  </si>
  <si>
    <t>Tub flexible corrugat PVC,DN=25mm,1J,320N,2000V,encastat</t>
  </si>
  <si>
    <t>Tub flexible corrugat de PVC, de 25 mm de diàmetre nominal, aïllant i no propagador de la flama, resistència a l'impacte d'1 J, resistència a compressió de 320 N i una rigidesa dielèctrica de 2000 V, muntat encastat</t>
  </si>
  <si>
    <t>PG6N-6PZO</t>
  </si>
  <si>
    <t>Presa corrent indust.CETAC,2P+T,16A 200-250 V,IP-44,col.</t>
  </si>
  <si>
    <t>Presa de corrent industrial de tipus CETAC, 2P+T, de 16 A i 200-250 V de tensió nominal segons norma UNE-EN 60309-1, amb grau de protecció d'IP-44, col.locada</t>
  </si>
  <si>
    <t>PG6N-6PZU</t>
  </si>
  <si>
    <t>Presa corrent indust.CETAC,2P+T,32A 200-250 V,IP-44,col.</t>
  </si>
  <si>
    <t>Presa de corrent industrial de tipus CETAC, 2P+T, de 32 A i 200-250 V de tensió nominal segons norma UNE-EN 60309-1, amb grau de protecció d'IP-44, col.locada</t>
  </si>
  <si>
    <t>PG6O-77MX</t>
  </si>
  <si>
    <t>Presa corrent(2P+T),16A/250V,a/tapa,preu mitjà,munt.superf.</t>
  </si>
  <si>
    <t>Presa de corrent bipolar amb presa de terra lateral, (2P+T), 16 A 250 V, amb tapa, preu mitjà, muntada superficialment</t>
  </si>
  <si>
    <t>PP7H-RE01</t>
  </si>
  <si>
    <t>Presa senyal,tipus univ.,RJ45 simple,cat.6 F/UTP,despl.aïlla.,a/tapa,preu alt,superficial</t>
  </si>
  <si>
    <t>Presa de senyal de veu i dades, de tipus universal, amb connector RJ45 simple, categoria 6 F/UTP, amb connexió per desplaçament de l'aïllament, amb tapa, preu alt, superficial</t>
  </si>
  <si>
    <t>03.03.01.01</t>
  </si>
  <si>
    <t>Electrificació de força per a base d'endoll</t>
  </si>
  <si>
    <t>Electrificació de força per a mecanisme bases endoll (1 o 2 endolls), des de línia d'alimentació fins a mecanisme, amb cable UH07V-R 750V, de secció 2,5 mm2, monofàsic, incloent part proporcional de canalització, cablejat, caixes de derivació i petit material necessari. Criteri de mesurament, amidament unitari de la present partida per endoll o grups d'endoll amb la mateixa línia d'alimentació.</t>
  </si>
  <si>
    <t>03.03.01.06</t>
  </si>
  <si>
    <t>Electrificació de força per a base d'endoll superficial</t>
  </si>
  <si>
    <t>Electrificació de força per a mecanisme bases endoll (1 o 2 endolls), des de línia d'alimentació fins a mecanisme, amb cable UH07V-R 750V, de secció 2,5 mm2, monofàsic, incloent part proporcional de canalització rígida, cablejat, caixes de derivació i petit material necessari. Criteri de mesurament, amidament unitari de la present partida per endoll o grups d'endoll amb la mateixa línia d'alimentació.</t>
  </si>
  <si>
    <t>01.09.04</t>
  </si>
  <si>
    <t>Il·luminació</t>
  </si>
  <si>
    <t>PH23-RE01</t>
  </si>
  <si>
    <t>Llumenera decorativa modular,alumini,60x60cm,31W,3600lm,IP20,no regulable,UGR&lt;19,4000K,encastada</t>
  </si>
  <si>
    <t>Llumenera decorativa modular d'alumini, de 60x60 cm, de 31 W de potència de la llumenera, 3600 lm de flux lluminós, protecció IP20, no regulable, UGR&lt;19, de temperatura de color 4000 K, encastada</t>
  </si>
  <si>
    <t>PH57-B3A1</t>
  </si>
  <si>
    <t>Llum emerg.led,no permanent,IP4X,classe II,70 a 100 lm,auton&lt; 1h,,forma rect.,policarbon.,preu alt, col.superf.</t>
  </si>
  <si>
    <t>Llum d'emergència amb làmpada led, amb una vida útil de 100000 h, no permanent i no estanca amb grau de protecció IP4X, aïllament classe II, amb un flux aproximat de 70 a 100 lm, 1 h d'autonomia, de forma rectangular amb difusor i cos de policarbonat, preu alt, col·locat superficial</t>
  </si>
  <si>
    <t>03.03.01.02</t>
  </si>
  <si>
    <t>Electrificació de punt de llum</t>
  </si>
  <si>
    <t>Electrificació de llumenera per a 1a línia d'encesa, des quadre d'alimentació o llumenera de la mateixa encesa fins a equip, i amb part proporcional de canalització i cablejat d'interruptor o commutador de comandament, amb cable H07V-R 750V 1x1.5 mm2, amb cable monofàsic i presa de terra, incloent part proporcional de canalització, cablejat, caixes de derivació i petit material necessari. Criteri de mesurament, amidament unitari de la present partida per endoll o grups d'endoll amb la mateixa línia d'alimentació.</t>
  </si>
  <si>
    <t>01.09.05</t>
  </si>
  <si>
    <t>Protecció contraincendis</t>
  </si>
  <si>
    <t>PM32-DZ3Z</t>
  </si>
  <si>
    <t>Extintor manual pols seca poliv.,6kg,pressió incorpo.,pintat,sup.paret</t>
  </si>
  <si>
    <t>Extintor manual de pols seca polivalent, de càrrega 6 kg, amb pressió incorporada, pintat, amb suport a paret</t>
  </si>
  <si>
    <t>PM32-DZ48</t>
  </si>
  <si>
    <t>Extintor manual CO2,5kg,pressió incorpo.,pintat,sup.paret</t>
  </si>
  <si>
    <t>Extintor manual de diòxid de carboni, de càrrega 5 kg, amb pressió incorporada, pintat, amb suport a paret</t>
  </si>
  <si>
    <t>PMS0-6Z18</t>
  </si>
  <si>
    <t>Retol seny. instal.protecció/incendis,210x210mm2,panell PVC,gruix=0,7mm,fotoluminiscent (B),col.adherit</t>
  </si>
  <si>
    <t>Rètol senyalització instal·lació de protecció contra incendis, quadrat, de 210x210 mm2 de panell de PVC de 0,7 mm de gruix, fotoluminiscent categoria B segons UNE 23035-4, col·locat adherit sobre parament vertical</t>
  </si>
  <si>
    <t>P7DB-65O3</t>
  </si>
  <si>
    <t>Segellat pas instal.coixinet intumescent termoexp.,EI-180</t>
  </si>
  <si>
    <t>Segellat de buit de pas d'instal·lacions amb coixinet de material intumescent termoexpansiu, amb resistència al foc EI-180</t>
  </si>
  <si>
    <t>01.09.07</t>
  </si>
  <si>
    <t>Gestió de residus instal·lacions</t>
  </si>
  <si>
    <t>P2R5-DT15</t>
  </si>
  <si>
    <t>Transport residus,instal.gestió residus,camió 7t,càrrega mec.,rec.més de 10 i fins a 15km</t>
  </si>
  <si>
    <t>Transport de residus a instal·lació autoritzada de gestió de residus, amb camió de 7 t i temps d'espera per a la càrrega a màquina, amb un recorregut de més de 10 i fins a 15 km</t>
  </si>
  <si>
    <t>01.12</t>
  </si>
  <si>
    <t>DOCUMENTACIÓ FINAL D'OBRA</t>
  </si>
  <si>
    <t>14.1</t>
  </si>
  <si>
    <t>Legalització de la instal·lació tèrmica en edifici, legalització i registre a Indústria</t>
  </si>
  <si>
    <t>Legalització de la instal·lació tèrmica en edifici, signatura del certificat de la instal·lació tèrmica en edifici, projecte de modificació de la legalització anterior/nova i inscripció de la instal·lació al Registre d'instal·lacions de seguretat Industrial de la Generalitat. Inclou pagament de la taxa corresponent</t>
  </si>
  <si>
    <t>14.3</t>
  </si>
  <si>
    <t>Legalització de la instal·lació de baixa tensió en edifici, legalització i registre a Indústria</t>
  </si>
  <si>
    <t>Legalització de la instal·lació de baixa tensió, signatura del certificat de la instal·lació de baixa tensió de l'edifici, projecte de reforma de la instal·lació existent signat per un enginyer, inspecció inicial de BT per part d'un Organisme de Control Autoritzat i inscripció de la instal·lació al Registre d'instal·lacions de seguretat Industrial de la Generalitat. Inclou pagament de la taxa corresponent</t>
  </si>
  <si>
    <t>01.13</t>
  </si>
  <si>
    <t>AJUDES DE RAM DE PALETA</t>
  </si>
  <si>
    <t>EY0310RE</t>
  </si>
  <si>
    <t>Realització de pas de canalitzacions en paret d'obra ceràmica i posterior reconstrucció de tancament amb mitjans manuals</t>
  </si>
  <si>
    <t>Realització de pas de canalitzacions en paret d'obra ceràmica i posterior reconstrucció de tancament amb mitjans manuals, inclou material auxiliar, mà d'obra i càrrega de residus sobre camió o contenedor</t>
  </si>
  <si>
    <t>1.13.01</t>
  </si>
  <si>
    <t>Execució de cales per a pas d'instal·lacions en cel ras continuu o registrable. Inclou l'obertura del forat i el posterior tapiat i restitució segons l'acabat inicial.</t>
  </si>
  <si>
    <t>PA00-ARP1</t>
  </si>
  <si>
    <t>pa</t>
  </si>
  <si>
    <t>Partida alçada a justificar d'ajudes de ram de paleta al llarg de l'obra de reforma o construcció,</t>
  </si>
  <si>
    <t>Partida alçada a justificar d'ajudes de ram de paleta al llarg de l'obra de reforma o construcció, consistent en una bossa d'hores d'oficial 1a paleta i manobre.</t>
  </si>
  <si>
    <t>04.01</t>
  </si>
  <si>
    <t>Partida alçada a justificar en concepte d'ajudes de paleta a les instal·lacions</t>
  </si>
  <si>
    <t>PAIO-ARP2</t>
  </si>
  <si>
    <t>Treballs de muntatge de safata metàl·lica i cablejat elèctric en cel ras metàl·lic, incloent la retirada de planxa metàl·lica i el desplaçament de les instal·lacions existents, per a pas de les noves instal·lacions.</t>
  </si>
  <si>
    <t>04.02</t>
  </si>
  <si>
    <t>Partida alçada a justificar d'imprevistos d'obra i instal·lacions</t>
  </si>
  <si>
    <t>Partida alçada a justificar d'imprevistos d'obra i instal·lacions.</t>
  </si>
  <si>
    <t>01.14</t>
  </si>
  <si>
    <t>SEGURETAT I SALUT</t>
  </si>
  <si>
    <t>P1415-1617</t>
  </si>
  <si>
    <t>Partida alçada a justificar segons el pressupost de l'estudi de seguretat i salut</t>
  </si>
  <si>
    <t>Partida alçada a justificar segons el pressupost de l'estudi de seguretat i salut, segons el decret 555/86, decret 84/1990 i decret 1627/97 amb els elements necessaris per dur a terme el pla de seguretat i salut durant el decurs de l'obra. Inclou els elements de protecció individual, col·lectiva, extinció d'incendis, protecció d'instal·lacions elèctriques, instal·lacions d'higiene i benester, medicina preventiva i primers auxilis i formació. Partida a justificar detalladament sobre pressupost de seguretat o pla de seguretat aprovat.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</si>
</sst>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5">
    <font>
      <sz val="12"/>
      <color rgb="FF000000"/>
      <name val="Verdana"/>
      <family val="2"/>
    </font>
    <font>
      <b/>
      <sz val="9.9499999999999993"/>
      <color rgb="FF000000"/>
      <name val="Arial"/>
      <family val="2"/>
    </font>
    <font>
      <sz val="8"/>
      <color rgb="FF000000"/>
      <name val="Arial"/>
      <family val="2"/>
    </font>
    <font>
      <b/>
      <sz val="9"/>
      <color rgb="FF000000"/>
      <name val="Arial"/>
      <family val="2"/>
    </font>
    <font>
      <b/>
      <sz val="8"/>
      <color rgb="FF000000"/>
      <name val="Arial"/>
      <family val="2"/>
    </font>
  </fonts>
  <fills count="6">
    <fill>
      <patternFill patternType="none"/>
    </fill>
    <fill>
      <patternFill patternType="gray125"/>
    </fill>
    <fill>
      <patternFill patternType="solid">
        <fgColor rgb="FFDFFFBF"/>
      </patternFill>
    </fill>
    <fill>
      <patternFill patternType="solid">
        <fgColor rgb="FF269900"/>
      </patternFill>
    </fill>
    <fill>
      <patternFill patternType="solid">
        <fgColor rgb="FF3FB219"/>
      </patternFill>
    </fill>
    <fill>
      <patternFill patternType="solid">
        <fgColor rgb="FF58CB32"/>
      </patternFill>
    </fill>
  </fills>
  <borders count="4">
    <border>
      <left/>
      <right/>
      <top/>
      <bottom/>
      <diagonal/>
    </border>
    <border>
      <left/>
      <right/>
      <top/>
      <bottom style="thin">
        <color rgb="FF000000"/>
      </bottom>
      <diagonal/>
    </border>
    <border>
      <left/>
      <right/>
      <top style="thin">
        <color rgb="FF000000"/>
      </top>
      <bottom/>
      <diagonal/>
    </border>
    <border>
      <left/>
      <right/>
      <top style="thin">
        <color rgb="FF000000"/>
      </top>
      <bottom style="thin">
        <color rgb="FF000000"/>
      </bottom>
      <diagonal/>
    </border>
  </borders>
  <cellStyleXfs count="1">
    <xf numFmtId="0" fontId="0" fillId="0" borderId="0"/>
  </cellStyleXfs>
  <cellXfs count="49">
    <xf numFmtId="0" fontId="0" fillId="0" borderId="0" xfId="0" applyAlignment="1">
      <alignment horizontal="left" vertical="center"/>
    </xf>
    <xf numFmtId="0" fontId="1" fillId="2" borderId="0" xfId="0" applyFont="1" applyFill="1" applyAlignment="1">
      <alignment horizontal="right" vertical="top" wrapText="1"/>
    </xf>
    <xf numFmtId="0" fontId="0" fillId="2" borderId="0" xfId="0" applyFill="1" applyAlignment="1">
      <alignment horizontal="left" vertical="top" wrapText="1"/>
    </xf>
    <xf numFmtId="0" fontId="2" fillId="2" borderId="0" xfId="0" applyFont="1" applyFill="1" applyAlignment="1">
      <alignment horizontal="right" vertical="top" wrapText="1"/>
    </xf>
    <xf numFmtId="0" fontId="2" fillId="0" borderId="0" xfId="0" applyFont="1" applyAlignment="1">
      <alignment horizontal="left" vertical="top" wrapText="1"/>
    </xf>
    <xf numFmtId="0" fontId="2" fillId="2" borderId="0" xfId="0" applyFont="1" applyFill="1" applyAlignment="1">
      <alignment horizontal="left" vertical="top" wrapText="1"/>
    </xf>
    <xf numFmtId="0" fontId="3" fillId="2" borderId="1" xfId="0" applyFont="1" applyFill="1" applyBorder="1" applyAlignment="1">
      <alignment horizontal="left" vertical="top" wrapText="1"/>
    </xf>
    <xf numFmtId="0" fontId="3" fillId="2" borderId="1" xfId="0" applyFont="1" applyFill="1" applyBorder="1" applyAlignment="1">
      <alignment horizontal="right" vertical="top" wrapText="1"/>
    </xf>
    <xf numFmtId="0" fontId="4" fillId="0" borderId="0" xfId="0" applyFont="1" applyAlignment="1">
      <alignment horizontal="left" vertical="top" wrapText="1"/>
    </xf>
    <xf numFmtId="0" fontId="4" fillId="3" borderId="2" xfId="0" applyFont="1" applyFill="1" applyBorder="1" applyAlignment="1">
      <alignment horizontal="left" vertical="top" wrapText="1"/>
    </xf>
    <xf numFmtId="0" fontId="0" fillId="3" borderId="2" xfId="0" applyFill="1" applyBorder="1" applyAlignment="1">
      <alignment horizontal="left" vertical="top" wrapText="1"/>
    </xf>
    <xf numFmtId="0" fontId="4" fillId="3" borderId="2" xfId="0" applyFont="1" applyFill="1" applyBorder="1" applyAlignment="1">
      <alignment horizontal="justify" vertical="top" wrapText="1"/>
    </xf>
    <xf numFmtId="4" fontId="4" fillId="3" borderId="2" xfId="0" applyNumberFormat="1" applyFont="1" applyFill="1" applyBorder="1" applyAlignment="1">
      <alignment horizontal="right" vertical="top" wrapText="1"/>
    </xf>
    <xf numFmtId="0" fontId="4" fillId="4" borderId="0" xfId="0" applyFont="1" applyFill="1" applyAlignment="1">
      <alignment horizontal="left" vertical="top" wrapText="1"/>
    </xf>
    <xf numFmtId="0" fontId="0" fillId="4" borderId="0" xfId="0" applyFill="1" applyAlignment="1">
      <alignment horizontal="left" vertical="top" wrapText="1"/>
    </xf>
    <xf numFmtId="0" fontId="4" fillId="4" borderId="0" xfId="0" applyFont="1" applyFill="1" applyAlignment="1">
      <alignment horizontal="justify" vertical="top" wrapText="1"/>
    </xf>
    <xf numFmtId="4" fontId="4" fillId="4" borderId="0" xfId="0" applyNumberFormat="1" applyFont="1" applyFill="1" applyAlignment="1">
      <alignment horizontal="right" vertical="top" wrapText="1"/>
    </xf>
    <xf numFmtId="0" fontId="2" fillId="0" borderId="0" xfId="0" applyFont="1" applyAlignment="1">
      <alignment horizontal="justify" vertical="top" wrapText="1"/>
    </xf>
    <xf numFmtId="164" fontId="2" fillId="0" borderId="0" xfId="0" applyNumberFormat="1" applyFont="1" applyAlignment="1">
      <alignment horizontal="right" vertical="top" wrapText="1"/>
    </xf>
    <xf numFmtId="4" fontId="2" fillId="0" borderId="0" xfId="0" applyNumberFormat="1" applyFont="1" applyAlignment="1">
      <alignment horizontal="right" vertical="top" wrapText="1"/>
    </xf>
    <xf numFmtId="0" fontId="0" fillId="0" borderId="0" xfId="0" applyAlignment="1">
      <alignment horizontal="center" vertical="center" wrapText="1"/>
    </xf>
    <xf numFmtId="0" fontId="0" fillId="0" borderId="1" xfId="0" applyBorder="1" applyAlignment="1">
      <alignment horizontal="center" vertical="center" wrapText="1"/>
    </xf>
    <xf numFmtId="0" fontId="4" fillId="4" borderId="1" xfId="0" applyFont="1" applyFill="1" applyBorder="1" applyAlignment="1">
      <alignment horizontal="left" vertical="top" wrapText="1"/>
    </xf>
    <xf numFmtId="0" fontId="0" fillId="4" borderId="1" xfId="0" applyFill="1" applyBorder="1" applyAlignment="1">
      <alignment horizontal="left" vertical="top" wrapText="1"/>
    </xf>
    <xf numFmtId="4" fontId="4" fillId="4" borderId="1" xfId="0" applyNumberFormat="1" applyFont="1" applyFill="1" applyBorder="1" applyAlignment="1">
      <alignment horizontal="right" vertical="top" wrapText="1"/>
    </xf>
    <xf numFmtId="0" fontId="4" fillId="4" borderId="2" xfId="0" applyFont="1" applyFill="1" applyBorder="1" applyAlignment="1">
      <alignment horizontal="left" vertical="top" wrapText="1"/>
    </xf>
    <xf numFmtId="0" fontId="0" fillId="4" borderId="2" xfId="0" applyFill="1" applyBorder="1" applyAlignment="1">
      <alignment horizontal="left" vertical="top" wrapText="1"/>
    </xf>
    <xf numFmtId="0" fontId="4" fillId="4" borderId="2" xfId="0" applyFont="1" applyFill="1" applyBorder="1" applyAlignment="1">
      <alignment horizontal="justify" vertical="top" wrapText="1"/>
    </xf>
    <xf numFmtId="4" fontId="4" fillId="4" borderId="2" xfId="0" applyNumberFormat="1" applyFont="1" applyFill="1" applyBorder="1" applyAlignment="1">
      <alignment horizontal="right" vertical="top" wrapText="1"/>
    </xf>
    <xf numFmtId="0" fontId="4" fillId="5" borderId="0" xfId="0" applyFont="1" applyFill="1" applyAlignment="1">
      <alignment horizontal="left" vertical="top" wrapText="1"/>
    </xf>
    <xf numFmtId="0" fontId="0" fillId="5" borderId="0" xfId="0" applyFill="1" applyAlignment="1">
      <alignment horizontal="left" vertical="top" wrapText="1"/>
    </xf>
    <xf numFmtId="0" fontId="4" fillId="5" borderId="0" xfId="0" applyFont="1" applyFill="1" applyAlignment="1">
      <alignment horizontal="justify" vertical="top" wrapText="1"/>
    </xf>
    <xf numFmtId="4" fontId="4" fillId="5" borderId="0" xfId="0" applyNumberFormat="1" applyFont="1" applyFill="1" applyAlignment="1">
      <alignment horizontal="right" vertical="top" wrapText="1"/>
    </xf>
    <xf numFmtId="0" fontId="4" fillId="5" borderId="1" xfId="0" applyFont="1" applyFill="1" applyBorder="1" applyAlignment="1">
      <alignment horizontal="left" vertical="top" wrapText="1"/>
    </xf>
    <xf numFmtId="0" fontId="0" fillId="5" borderId="1" xfId="0" applyFill="1" applyBorder="1" applyAlignment="1">
      <alignment horizontal="left" vertical="top" wrapText="1"/>
    </xf>
    <xf numFmtId="4" fontId="4" fillId="5" borderId="1" xfId="0" applyNumberFormat="1" applyFont="1" applyFill="1" applyBorder="1" applyAlignment="1">
      <alignment horizontal="right" vertical="top" wrapText="1"/>
    </xf>
    <xf numFmtId="0" fontId="4" fillId="5" borderId="2" xfId="0" applyFont="1" applyFill="1" applyBorder="1" applyAlignment="1">
      <alignment horizontal="left" vertical="top" wrapText="1"/>
    </xf>
    <xf numFmtId="0" fontId="0" fillId="5" borderId="2" xfId="0" applyFill="1" applyBorder="1" applyAlignment="1">
      <alignment horizontal="left" vertical="top" wrapText="1"/>
    </xf>
    <xf numFmtId="0" fontId="4" fillId="5" borderId="2" xfId="0" applyFont="1" applyFill="1" applyBorder="1" applyAlignment="1">
      <alignment horizontal="justify" vertical="top" wrapText="1"/>
    </xf>
    <xf numFmtId="4" fontId="4" fillId="5" borderId="2" xfId="0" applyNumberFormat="1" applyFont="1" applyFill="1" applyBorder="1" applyAlignment="1">
      <alignment horizontal="right" vertical="top" wrapText="1"/>
    </xf>
    <xf numFmtId="0" fontId="0" fillId="0" borderId="3" xfId="0" applyBorder="1" applyAlignment="1">
      <alignment horizontal="center" vertical="center" wrapText="1"/>
    </xf>
    <xf numFmtId="0" fontId="4" fillId="4" borderId="3" xfId="0" applyFont="1" applyFill="1" applyBorder="1" applyAlignment="1">
      <alignment horizontal="left" vertical="top" wrapText="1"/>
    </xf>
    <xf numFmtId="0" fontId="0" fillId="4" borderId="3" xfId="0" applyFill="1" applyBorder="1" applyAlignment="1">
      <alignment horizontal="left" vertical="top" wrapText="1"/>
    </xf>
    <xf numFmtId="4" fontId="4" fillId="4" borderId="3" xfId="0" applyNumberFormat="1" applyFont="1" applyFill="1" applyBorder="1" applyAlignment="1">
      <alignment horizontal="right" vertical="top" wrapText="1"/>
    </xf>
    <xf numFmtId="0" fontId="4" fillId="3" borderId="3" xfId="0" applyFont="1" applyFill="1" applyBorder="1" applyAlignment="1">
      <alignment horizontal="left" vertical="top" wrapText="1"/>
    </xf>
    <xf numFmtId="0" fontId="0" fillId="3" borderId="3" xfId="0" applyFill="1" applyBorder="1" applyAlignment="1">
      <alignment horizontal="left" vertical="top" wrapText="1"/>
    </xf>
    <xf numFmtId="4" fontId="4" fillId="3" borderId="3" xfId="0" applyNumberFormat="1" applyFont="1" applyFill="1" applyBorder="1" applyAlignment="1">
      <alignment horizontal="right" vertical="top" wrapText="1"/>
    </xf>
    <xf numFmtId="0" fontId="1" fillId="2" borderId="0" xfId="0" applyFont="1" applyFill="1" applyAlignment="1">
      <alignment horizontal="left" vertical="top" wrapText="1"/>
    </xf>
    <xf numFmtId="0" fontId="2" fillId="0" borderId="0" xfId="0" applyFont="1" applyAlignment="1">
      <alignment horizontal="justify" vertical="top"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207"/>
  <sheetViews>
    <sheetView tabSelected="1" workbookViewId="0">
      <selection activeCell="D13" sqref="D13:G13"/>
    </sheetView>
  </sheetViews>
  <sheetFormatPr defaultColWidth="10.69921875" defaultRowHeight="15"/>
  <cols>
    <col min="1" max="1" width="12.296875" customWidth="1"/>
    <col min="2" max="2" width="10.796875" customWidth="1"/>
    <col min="3" max="3" width="5.09765625" customWidth="1"/>
    <col min="4" max="4" width="34.69921875" bestFit="1" customWidth="1"/>
    <col min="5" max="5" width="13.5" customWidth="1"/>
    <col min="6" max="6" width="13.296875" customWidth="1"/>
    <col min="7" max="7" width="13.5" customWidth="1"/>
  </cols>
  <sheetData>
    <row r="1" spans="1:7" ht="17.850000000000001" customHeight="1" thickBot="1">
      <c r="A1" s="1" t="s">
        <v>0</v>
      </c>
      <c r="B1" s="47" t="s">
        <v>1</v>
      </c>
      <c r="C1" s="47"/>
      <c r="D1" s="47"/>
      <c r="E1" s="47"/>
      <c r="F1" s="47"/>
      <c r="G1" s="47"/>
    </row>
    <row r="2" spans="1:7" ht="17.850000000000001" customHeight="1" thickBot="1">
      <c r="A2" s="47" t="s">
        <v>2</v>
      </c>
      <c r="B2" s="47"/>
      <c r="C2" s="47"/>
      <c r="D2" s="2"/>
      <c r="E2" s="2"/>
      <c r="F2" s="3" t="s">
        <v>3</v>
      </c>
      <c r="G2" s="5">
        <v>0</v>
      </c>
    </row>
    <row r="3" spans="1:7" ht="16.7" customHeight="1" thickBot="1">
      <c r="A3" s="6" t="s">
        <v>4</v>
      </c>
      <c r="B3" s="6" t="s">
        <v>5</v>
      </c>
      <c r="C3" s="6" t="s">
        <v>6</v>
      </c>
      <c r="D3" s="6" t="s">
        <v>7</v>
      </c>
      <c r="E3" s="7" t="s">
        <v>8</v>
      </c>
      <c r="F3" s="7" t="s">
        <v>9</v>
      </c>
      <c r="G3" s="7" t="s">
        <v>10</v>
      </c>
    </row>
    <row r="4" spans="1:7" ht="24.95" customHeight="1" thickBot="1">
      <c r="A4" s="9" t="s">
        <v>11</v>
      </c>
      <c r="B4" s="9" t="s">
        <v>12</v>
      </c>
      <c r="C4" s="10"/>
      <c r="D4" s="11" t="s">
        <v>1</v>
      </c>
      <c r="E4" s="10"/>
      <c r="F4" s="12">
        <f>F207</f>
        <v>144273.36000000002</v>
      </c>
      <c r="G4" s="12">
        <f>ROUND(F4,2)</f>
        <v>144273.35999999999</v>
      </c>
    </row>
    <row r="5" spans="1:7" ht="15.6" customHeight="1" thickBot="1">
      <c r="A5" s="13" t="s">
        <v>13</v>
      </c>
      <c r="B5" s="13" t="s">
        <v>12</v>
      </c>
      <c r="C5" s="14"/>
      <c r="D5" s="15" t="s">
        <v>14</v>
      </c>
      <c r="E5" s="14"/>
      <c r="F5" s="16">
        <f>F8</f>
        <v>554.94000000000005</v>
      </c>
      <c r="G5" s="16">
        <f>ROUND(F5,2)</f>
        <v>554.94000000000005</v>
      </c>
    </row>
    <row r="6" spans="1:7" ht="15.6" customHeight="1" thickBot="1">
      <c r="A6" s="8" t="s">
        <v>15</v>
      </c>
      <c r="B6" s="4" t="s">
        <v>16</v>
      </c>
      <c r="C6" s="4" t="s">
        <v>17</v>
      </c>
      <c r="D6" s="17" t="s">
        <v>18</v>
      </c>
      <c r="E6" s="18">
        <v>1</v>
      </c>
      <c r="F6" s="19">
        <f>ROUND(554.94*(1+G2/100),2)</f>
        <v>554.94000000000005</v>
      </c>
      <c r="G6" s="19">
        <f>ROUND(E6*F6,2)</f>
        <v>554.94000000000005</v>
      </c>
    </row>
    <row r="7" spans="1:7" ht="12.2" customHeight="1" thickBot="1">
      <c r="A7" s="20"/>
      <c r="B7" s="20"/>
      <c r="C7" s="20"/>
      <c r="D7" s="48" t="s">
        <v>19</v>
      </c>
      <c r="E7" s="48"/>
      <c r="F7" s="48"/>
      <c r="G7" s="48"/>
    </row>
    <row r="8" spans="1:7" ht="15.6" customHeight="1" thickBot="1">
      <c r="A8" s="21"/>
      <c r="B8" s="21"/>
      <c r="C8" s="21"/>
      <c r="D8" s="22" t="s">
        <v>13</v>
      </c>
      <c r="E8" s="23"/>
      <c r="F8" s="24">
        <f>G6</f>
        <v>554.94000000000005</v>
      </c>
      <c r="G8" s="24">
        <f>ROUND(F8,2)</f>
        <v>554.94000000000005</v>
      </c>
    </row>
    <row r="9" spans="1:7" ht="15.6" customHeight="1" thickBot="1">
      <c r="A9" s="25" t="s">
        <v>20</v>
      </c>
      <c r="B9" s="25" t="s">
        <v>12</v>
      </c>
      <c r="C9" s="26"/>
      <c r="D9" s="27" t="s">
        <v>21</v>
      </c>
      <c r="E9" s="26"/>
      <c r="F9" s="28">
        <f>F16</f>
        <v>290.49</v>
      </c>
      <c r="G9" s="28">
        <f>ROUND(F9,2)</f>
        <v>290.49</v>
      </c>
    </row>
    <row r="10" spans="1:7" ht="21.4" customHeight="1" thickBot="1">
      <c r="A10" s="8" t="s">
        <v>22</v>
      </c>
      <c r="B10" s="4" t="s">
        <v>16</v>
      </c>
      <c r="C10" s="4" t="s">
        <v>23</v>
      </c>
      <c r="D10" s="17" t="s">
        <v>24</v>
      </c>
      <c r="E10" s="18">
        <v>3.9049999999999998</v>
      </c>
      <c r="F10" s="19">
        <f>ROUND(27.24*(1+G2/100),2)</f>
        <v>27.24</v>
      </c>
      <c r="G10" s="19">
        <f>ROUND(E10*F10,2)</f>
        <v>106.37</v>
      </c>
    </row>
    <row r="11" spans="1:7" ht="12.2" customHeight="1" thickBot="1">
      <c r="A11" s="20"/>
      <c r="B11" s="20"/>
      <c r="C11" s="20"/>
      <c r="D11" s="48" t="s">
        <v>25</v>
      </c>
      <c r="E11" s="48"/>
      <c r="F11" s="48"/>
      <c r="G11" s="48"/>
    </row>
    <row r="12" spans="1:7" ht="21.4" customHeight="1" thickBot="1">
      <c r="A12" s="8" t="s">
        <v>26</v>
      </c>
      <c r="B12" s="4" t="s">
        <v>16</v>
      </c>
      <c r="C12" s="4" t="s">
        <v>23</v>
      </c>
      <c r="D12" s="17" t="s">
        <v>27</v>
      </c>
      <c r="E12" s="18">
        <v>3.9049999999999998</v>
      </c>
      <c r="F12" s="19">
        <f>ROUND(21.3*(1+G2/100),2)</f>
        <v>21.3</v>
      </c>
      <c r="G12" s="19">
        <f>ROUND(E12*F12,2)</f>
        <v>83.18</v>
      </c>
    </row>
    <row r="13" spans="1:7" ht="12.2" customHeight="1" thickBot="1">
      <c r="A13" s="20"/>
      <c r="B13" s="20"/>
      <c r="C13" s="20"/>
      <c r="D13" s="48" t="s">
        <v>28</v>
      </c>
      <c r="E13" s="48"/>
      <c r="F13" s="48"/>
      <c r="G13" s="48"/>
    </row>
    <row r="14" spans="1:7" ht="39.75" customHeight="1" thickBot="1">
      <c r="A14" s="8" t="s">
        <v>29</v>
      </c>
      <c r="B14" s="4" t="s">
        <v>16</v>
      </c>
      <c r="C14" s="4" t="s">
        <v>23</v>
      </c>
      <c r="D14" s="17" t="s">
        <v>30</v>
      </c>
      <c r="E14" s="18">
        <v>3.9049999999999998</v>
      </c>
      <c r="F14" s="19">
        <f>ROUND(25.85*(1+G2/100),2)</f>
        <v>25.85</v>
      </c>
      <c r="G14" s="19">
        <f>ROUND(E14*F14,2)</f>
        <v>100.94</v>
      </c>
    </row>
    <row r="15" spans="1:7" ht="21.4" customHeight="1" thickBot="1">
      <c r="A15" s="20"/>
      <c r="B15" s="20"/>
      <c r="C15" s="20"/>
      <c r="D15" s="48" t="s">
        <v>31</v>
      </c>
      <c r="E15" s="48"/>
      <c r="F15" s="48"/>
      <c r="G15" s="48"/>
    </row>
    <row r="16" spans="1:7" ht="15.6" customHeight="1" thickBot="1">
      <c r="A16" s="21"/>
      <c r="B16" s="21"/>
      <c r="C16" s="21"/>
      <c r="D16" s="22" t="s">
        <v>20</v>
      </c>
      <c r="E16" s="23"/>
      <c r="F16" s="24">
        <f>G10+G12+G14</f>
        <v>290.49</v>
      </c>
      <c r="G16" s="24">
        <f>ROUND(F16,2)</f>
        <v>290.49</v>
      </c>
    </row>
    <row r="17" spans="1:7" ht="15.6" customHeight="1" thickBot="1">
      <c r="A17" s="25" t="s">
        <v>32</v>
      </c>
      <c r="B17" s="25" t="s">
        <v>12</v>
      </c>
      <c r="C17" s="26"/>
      <c r="D17" s="27" t="s">
        <v>33</v>
      </c>
      <c r="E17" s="26"/>
      <c r="F17" s="28">
        <f>F26</f>
        <v>6266.73</v>
      </c>
      <c r="G17" s="28">
        <f>ROUND(F17,2)</f>
        <v>6266.73</v>
      </c>
    </row>
    <row r="18" spans="1:7" ht="21.4" customHeight="1" thickBot="1">
      <c r="A18" s="8" t="s">
        <v>34</v>
      </c>
      <c r="B18" s="4" t="s">
        <v>16</v>
      </c>
      <c r="C18" s="4" t="s">
        <v>35</v>
      </c>
      <c r="D18" s="17" t="s">
        <v>36</v>
      </c>
      <c r="E18" s="18">
        <v>7.48</v>
      </c>
      <c r="F18" s="19">
        <f>ROUND(80.83*(1+G2/100),2)</f>
        <v>80.83</v>
      </c>
      <c r="G18" s="19">
        <f>ROUND(E18*F18,2)</f>
        <v>604.61</v>
      </c>
    </row>
    <row r="19" spans="1:7" ht="39.75" customHeight="1" thickBot="1">
      <c r="A19" s="20"/>
      <c r="B19" s="20"/>
      <c r="C19" s="20"/>
      <c r="D19" s="48" t="s">
        <v>37</v>
      </c>
      <c r="E19" s="48"/>
      <c r="F19" s="48"/>
      <c r="G19" s="48"/>
    </row>
    <row r="20" spans="1:7" ht="21.4" customHeight="1" thickBot="1">
      <c r="A20" s="8" t="s">
        <v>38</v>
      </c>
      <c r="B20" s="4" t="s">
        <v>16</v>
      </c>
      <c r="C20" s="4" t="s">
        <v>35</v>
      </c>
      <c r="D20" s="17" t="s">
        <v>39</v>
      </c>
      <c r="E20" s="18">
        <v>24.763999999999999</v>
      </c>
      <c r="F20" s="19">
        <f>ROUND(55.68*(1+G2/100),2)</f>
        <v>55.68</v>
      </c>
      <c r="G20" s="19">
        <f>ROUND(E20*F20,2)</f>
        <v>1378.86</v>
      </c>
    </row>
    <row r="21" spans="1:7" ht="30.6" customHeight="1" thickBot="1">
      <c r="A21" s="20"/>
      <c r="B21" s="20"/>
      <c r="C21" s="20"/>
      <c r="D21" s="48" t="s">
        <v>40</v>
      </c>
      <c r="E21" s="48"/>
      <c r="F21" s="48"/>
      <c r="G21" s="48"/>
    </row>
    <row r="22" spans="1:7" ht="21.4" customHeight="1" thickBot="1">
      <c r="A22" s="8" t="s">
        <v>41</v>
      </c>
      <c r="B22" s="4" t="s">
        <v>16</v>
      </c>
      <c r="C22" s="4" t="s">
        <v>35</v>
      </c>
      <c r="D22" s="17" t="s">
        <v>42</v>
      </c>
      <c r="E22" s="18">
        <v>24.03</v>
      </c>
      <c r="F22" s="19">
        <f>ROUND(161.353*(1+G2/100),2)</f>
        <v>161.35</v>
      </c>
      <c r="G22" s="19">
        <f>ROUND(E22*F22,2)</f>
        <v>3877.24</v>
      </c>
    </row>
    <row r="23" spans="1:7" ht="76.7" customHeight="1" thickBot="1">
      <c r="A23" s="20"/>
      <c r="B23" s="20"/>
      <c r="C23" s="20"/>
      <c r="D23" s="48" t="s">
        <v>43</v>
      </c>
      <c r="E23" s="48"/>
      <c r="F23" s="48"/>
      <c r="G23" s="48"/>
    </row>
    <row r="24" spans="1:7" ht="21.4" customHeight="1" thickBot="1">
      <c r="A24" s="8" t="s">
        <v>44</v>
      </c>
      <c r="B24" s="4" t="s">
        <v>16</v>
      </c>
      <c r="C24" s="4" t="s">
        <v>45</v>
      </c>
      <c r="D24" s="17" t="s">
        <v>46</v>
      </c>
      <c r="E24" s="18">
        <v>4.0999999999999996</v>
      </c>
      <c r="F24" s="19">
        <f>ROUND(99.03*(1+G2/100),2)</f>
        <v>99.03</v>
      </c>
      <c r="G24" s="19">
        <f>ROUND(E24*F24,2)</f>
        <v>406.02</v>
      </c>
    </row>
    <row r="25" spans="1:7" ht="67.5" customHeight="1" thickBot="1">
      <c r="A25" s="20"/>
      <c r="B25" s="20"/>
      <c r="C25" s="20"/>
      <c r="D25" s="48" t="s">
        <v>47</v>
      </c>
      <c r="E25" s="48"/>
      <c r="F25" s="48"/>
      <c r="G25" s="48"/>
    </row>
    <row r="26" spans="1:7" ht="15.6" customHeight="1" thickBot="1">
      <c r="A26" s="21"/>
      <c r="B26" s="21"/>
      <c r="C26" s="21"/>
      <c r="D26" s="22" t="s">
        <v>32</v>
      </c>
      <c r="E26" s="23"/>
      <c r="F26" s="24">
        <f>G18+G20+G22+G24</f>
        <v>6266.73</v>
      </c>
      <c r="G26" s="24">
        <f>ROUND(F26,2)</f>
        <v>6266.73</v>
      </c>
    </row>
    <row r="27" spans="1:7" ht="15.6" customHeight="1" thickBot="1">
      <c r="A27" s="25" t="s">
        <v>48</v>
      </c>
      <c r="B27" s="25" t="s">
        <v>12</v>
      </c>
      <c r="C27" s="26"/>
      <c r="D27" s="27" t="s">
        <v>49</v>
      </c>
      <c r="E27" s="26"/>
      <c r="F27" s="28">
        <f>F32</f>
        <v>2496.08</v>
      </c>
      <c r="G27" s="28">
        <f>ROUND(F27,2)</f>
        <v>2496.08</v>
      </c>
    </row>
    <row r="28" spans="1:7" ht="15.6" customHeight="1" thickBot="1">
      <c r="A28" s="8" t="s">
        <v>50</v>
      </c>
      <c r="B28" s="4" t="s">
        <v>16</v>
      </c>
      <c r="C28" s="4" t="s">
        <v>17</v>
      </c>
      <c r="D28" s="17" t="s">
        <v>51</v>
      </c>
      <c r="E28" s="18">
        <v>1</v>
      </c>
      <c r="F28" s="19">
        <f>ROUND(829.17*(1+G2/100),2)</f>
        <v>829.17</v>
      </c>
      <c r="G28" s="19">
        <f>ROUND(E28*F28,2)</f>
        <v>829.17</v>
      </c>
    </row>
    <row r="29" spans="1:7" ht="12.2" customHeight="1" thickBot="1">
      <c r="A29" s="20"/>
      <c r="B29" s="20"/>
      <c r="C29" s="20"/>
      <c r="D29" s="48" t="s">
        <v>52</v>
      </c>
      <c r="E29" s="48"/>
      <c r="F29" s="48"/>
      <c r="G29" s="48"/>
    </row>
    <row r="30" spans="1:7" ht="15.6" customHeight="1" thickBot="1">
      <c r="A30" s="8" t="s">
        <v>53</v>
      </c>
      <c r="B30" s="4" t="s">
        <v>16</v>
      </c>
      <c r="C30" s="4" t="s">
        <v>35</v>
      </c>
      <c r="D30" s="17" t="s">
        <v>54</v>
      </c>
      <c r="E30" s="18">
        <v>30.056000000000001</v>
      </c>
      <c r="F30" s="19">
        <f>ROUND(55.46*(1+G2/100),2)</f>
        <v>55.46</v>
      </c>
      <c r="G30" s="19">
        <f>ROUND(E30*F30,2)</f>
        <v>1666.91</v>
      </c>
    </row>
    <row r="31" spans="1:7" ht="12.2" customHeight="1" thickBot="1">
      <c r="A31" s="20"/>
      <c r="B31" s="20"/>
      <c r="C31" s="20"/>
      <c r="D31" s="48" t="s">
        <v>55</v>
      </c>
      <c r="E31" s="48"/>
      <c r="F31" s="48"/>
      <c r="G31" s="48"/>
    </row>
    <row r="32" spans="1:7" ht="15.6" customHeight="1" thickBot="1">
      <c r="A32" s="21"/>
      <c r="B32" s="21"/>
      <c r="C32" s="21"/>
      <c r="D32" s="22" t="s">
        <v>48</v>
      </c>
      <c r="E32" s="23"/>
      <c r="F32" s="24">
        <f>G28+G30</f>
        <v>2496.08</v>
      </c>
      <c r="G32" s="24">
        <f>ROUND(F32,2)</f>
        <v>2496.08</v>
      </c>
    </row>
    <row r="33" spans="1:7" ht="15.6" customHeight="1" thickBot="1">
      <c r="A33" s="25" t="s">
        <v>56</v>
      </c>
      <c r="B33" s="25" t="s">
        <v>12</v>
      </c>
      <c r="C33" s="26"/>
      <c r="D33" s="27" t="s">
        <v>57</v>
      </c>
      <c r="E33" s="26"/>
      <c r="F33" s="28">
        <f>F42</f>
        <v>990.26</v>
      </c>
      <c r="G33" s="28">
        <f>ROUND(F33,2)</f>
        <v>990.26</v>
      </c>
    </row>
    <row r="34" spans="1:7" ht="15.6" customHeight="1" thickBot="1">
      <c r="A34" s="8" t="s">
        <v>58</v>
      </c>
      <c r="B34" s="4" t="s">
        <v>16</v>
      </c>
      <c r="C34" s="4" t="s">
        <v>35</v>
      </c>
      <c r="D34" s="17" t="s">
        <v>59</v>
      </c>
      <c r="E34" s="18">
        <v>49.201000000000001</v>
      </c>
      <c r="F34" s="19">
        <f>ROUND(5.79*(1+G2/100),2)</f>
        <v>5.79</v>
      </c>
      <c r="G34" s="19">
        <f>ROUND(E34*F34,2)</f>
        <v>284.87</v>
      </c>
    </row>
    <row r="35" spans="1:7" ht="12.2" customHeight="1" thickBot="1">
      <c r="A35" s="20"/>
      <c r="B35" s="20"/>
      <c r="C35" s="20"/>
      <c r="D35" s="48" t="s">
        <v>60</v>
      </c>
      <c r="E35" s="48"/>
      <c r="F35" s="48"/>
      <c r="G35" s="48"/>
    </row>
    <row r="36" spans="1:7" ht="21.4" customHeight="1" thickBot="1">
      <c r="A36" s="8" t="s">
        <v>61</v>
      </c>
      <c r="B36" s="4" t="s">
        <v>16</v>
      </c>
      <c r="C36" s="4" t="s">
        <v>35</v>
      </c>
      <c r="D36" s="17" t="s">
        <v>62</v>
      </c>
      <c r="E36" s="18">
        <v>2.15</v>
      </c>
      <c r="F36" s="19">
        <f>ROUND(37.03*(1+G2/100),2)</f>
        <v>37.03</v>
      </c>
      <c r="G36" s="19">
        <f>ROUND(E36*F36,2)</f>
        <v>79.61</v>
      </c>
    </row>
    <row r="37" spans="1:7" ht="21.4" customHeight="1" thickBot="1">
      <c r="A37" s="20"/>
      <c r="B37" s="20"/>
      <c r="C37" s="20"/>
      <c r="D37" s="48" t="s">
        <v>63</v>
      </c>
      <c r="E37" s="48"/>
      <c r="F37" s="48"/>
      <c r="G37" s="48"/>
    </row>
    <row r="38" spans="1:7" ht="15.6" customHeight="1" thickBot="1">
      <c r="A38" s="8" t="s">
        <v>64</v>
      </c>
      <c r="B38" s="4" t="s">
        <v>16</v>
      </c>
      <c r="C38" s="4" t="s">
        <v>17</v>
      </c>
      <c r="D38" s="17" t="s">
        <v>65</v>
      </c>
      <c r="E38" s="18">
        <v>1</v>
      </c>
      <c r="F38" s="19">
        <f>ROUND(125.5*(1+G2/100),2)</f>
        <v>125.5</v>
      </c>
      <c r="G38" s="19">
        <f>ROUND(E38*F38,2)</f>
        <v>125.5</v>
      </c>
    </row>
    <row r="39" spans="1:7" ht="12.2" customHeight="1" thickBot="1">
      <c r="A39" s="20"/>
      <c r="B39" s="20"/>
      <c r="C39" s="20"/>
      <c r="D39" s="48" t="s">
        <v>66</v>
      </c>
      <c r="E39" s="48"/>
      <c r="F39" s="48"/>
      <c r="G39" s="48"/>
    </row>
    <row r="40" spans="1:7" ht="21.4" customHeight="1" thickBot="1">
      <c r="A40" s="8" t="s">
        <v>67</v>
      </c>
      <c r="B40" s="4" t="s">
        <v>16</v>
      </c>
      <c r="C40" s="4" t="s">
        <v>17</v>
      </c>
      <c r="D40" s="17" t="s">
        <v>68</v>
      </c>
      <c r="E40" s="18">
        <v>1</v>
      </c>
      <c r="F40" s="19">
        <f>ROUND(500.28*(1+G2/100),2)</f>
        <v>500.28</v>
      </c>
      <c r="G40" s="19">
        <f>ROUND(E40*F40,2)</f>
        <v>500.28</v>
      </c>
    </row>
    <row r="41" spans="1:7" ht="21.4" customHeight="1" thickBot="1">
      <c r="A41" s="20"/>
      <c r="B41" s="20"/>
      <c r="C41" s="20"/>
      <c r="D41" s="48" t="s">
        <v>69</v>
      </c>
      <c r="E41" s="48"/>
      <c r="F41" s="48"/>
      <c r="G41" s="48"/>
    </row>
    <row r="42" spans="1:7" ht="15.6" customHeight="1" thickBot="1">
      <c r="A42" s="21"/>
      <c r="B42" s="21"/>
      <c r="C42" s="21"/>
      <c r="D42" s="22" t="s">
        <v>56</v>
      </c>
      <c r="E42" s="23"/>
      <c r="F42" s="24">
        <f>G34+G36+G38+G40</f>
        <v>990.26</v>
      </c>
      <c r="G42" s="24">
        <f>ROUND(F42,2)</f>
        <v>990.26</v>
      </c>
    </row>
    <row r="43" spans="1:7" ht="15.6" customHeight="1" thickBot="1">
      <c r="A43" s="25" t="s">
        <v>70</v>
      </c>
      <c r="B43" s="25" t="s">
        <v>12</v>
      </c>
      <c r="C43" s="26"/>
      <c r="D43" s="27" t="s">
        <v>71</v>
      </c>
      <c r="E43" s="26"/>
      <c r="F43" s="28">
        <f>F58</f>
        <v>13699.86</v>
      </c>
      <c r="G43" s="28">
        <f>ROUND(F43,2)</f>
        <v>13699.86</v>
      </c>
    </row>
    <row r="44" spans="1:7" ht="58.35" customHeight="1" thickBot="1">
      <c r="A44" s="8" t="s">
        <v>72</v>
      </c>
      <c r="B44" s="4" t="s">
        <v>16</v>
      </c>
      <c r="C44" s="4" t="s">
        <v>17</v>
      </c>
      <c r="D44" s="17" t="s">
        <v>73</v>
      </c>
      <c r="E44" s="18">
        <v>1</v>
      </c>
      <c r="F44" s="19">
        <f>ROUND(3163.14*(1+G2/100),2)</f>
        <v>3163.14</v>
      </c>
      <c r="G44" s="19">
        <f>ROUND(E44*F44,2)</f>
        <v>3163.14</v>
      </c>
    </row>
    <row r="45" spans="1:7" ht="21.4" customHeight="1" thickBot="1">
      <c r="A45" s="20"/>
      <c r="B45" s="20"/>
      <c r="C45" s="20"/>
      <c r="D45" s="48" t="s">
        <v>74</v>
      </c>
      <c r="E45" s="48"/>
      <c r="F45" s="48"/>
      <c r="G45" s="48"/>
    </row>
    <row r="46" spans="1:7" ht="30.6" customHeight="1" thickBot="1">
      <c r="A46" s="8" t="s">
        <v>75</v>
      </c>
      <c r="B46" s="4" t="s">
        <v>16</v>
      </c>
      <c r="C46" s="4" t="s">
        <v>35</v>
      </c>
      <c r="D46" s="17" t="s">
        <v>76</v>
      </c>
      <c r="E46" s="18">
        <v>69.459999999999994</v>
      </c>
      <c r="F46" s="19">
        <f>ROUND(9.74*(1+G2/100),2)</f>
        <v>9.74</v>
      </c>
      <c r="G46" s="19">
        <f>ROUND(E46*F46,2)</f>
        <v>676.54</v>
      </c>
    </row>
    <row r="47" spans="1:7" ht="21.4" customHeight="1" thickBot="1">
      <c r="A47" s="20"/>
      <c r="B47" s="20"/>
      <c r="C47" s="20"/>
      <c r="D47" s="48" t="s">
        <v>77</v>
      </c>
      <c r="E47" s="48"/>
      <c r="F47" s="48"/>
      <c r="G47" s="48"/>
    </row>
    <row r="48" spans="1:7" ht="30.6" customHeight="1" thickBot="1">
      <c r="A48" s="8" t="s">
        <v>78</v>
      </c>
      <c r="B48" s="4" t="s">
        <v>16</v>
      </c>
      <c r="C48" s="4" t="s">
        <v>35</v>
      </c>
      <c r="D48" s="17" t="s">
        <v>79</v>
      </c>
      <c r="E48" s="18">
        <v>69.45</v>
      </c>
      <c r="F48" s="19">
        <f>ROUND(98.93*(1+G2/100),2)</f>
        <v>98.93</v>
      </c>
      <c r="G48" s="19">
        <f>ROUND(E48*F48,2)</f>
        <v>6870.69</v>
      </c>
    </row>
    <row r="49" spans="1:7" ht="21.4" customHeight="1" thickBot="1">
      <c r="A49" s="20"/>
      <c r="B49" s="20"/>
      <c r="C49" s="20"/>
      <c r="D49" s="48" t="s">
        <v>80</v>
      </c>
      <c r="E49" s="48"/>
      <c r="F49" s="48"/>
      <c r="G49" s="48"/>
    </row>
    <row r="50" spans="1:7" ht="21.4" customHeight="1" thickBot="1">
      <c r="A50" s="8" t="s">
        <v>81</v>
      </c>
      <c r="B50" s="4" t="s">
        <v>16</v>
      </c>
      <c r="C50" s="4" t="s">
        <v>17</v>
      </c>
      <c r="D50" s="17" t="s">
        <v>82</v>
      </c>
      <c r="E50" s="18">
        <v>1</v>
      </c>
      <c r="F50" s="19">
        <f>ROUND(687*(1+G2/100),2)</f>
        <v>687</v>
      </c>
      <c r="G50" s="19">
        <f>ROUND(E50*F50,2)</f>
        <v>687</v>
      </c>
    </row>
    <row r="51" spans="1:7" ht="12.2" customHeight="1" thickBot="1">
      <c r="A51" s="20"/>
      <c r="B51" s="20"/>
      <c r="C51" s="20"/>
      <c r="D51" s="48" t="s">
        <v>82</v>
      </c>
      <c r="E51" s="48"/>
      <c r="F51" s="48"/>
      <c r="G51" s="48"/>
    </row>
    <row r="52" spans="1:7" ht="15.6" customHeight="1" thickBot="1">
      <c r="A52" s="8" t="s">
        <v>83</v>
      </c>
      <c r="B52" s="4" t="s">
        <v>16</v>
      </c>
      <c r="C52" s="4" t="s">
        <v>84</v>
      </c>
      <c r="D52" s="17" t="s">
        <v>85</v>
      </c>
      <c r="E52" s="18">
        <v>32.5</v>
      </c>
      <c r="F52" s="19">
        <f>ROUND(7.68*(1+G2/100),2)</f>
        <v>7.68</v>
      </c>
      <c r="G52" s="19">
        <f>ROUND(E52*F52,2)</f>
        <v>249.6</v>
      </c>
    </row>
    <row r="53" spans="1:7" ht="12.2" customHeight="1" thickBot="1">
      <c r="A53" s="20"/>
      <c r="B53" s="20"/>
      <c r="C53" s="20"/>
      <c r="D53" s="48" t="s">
        <v>86</v>
      </c>
      <c r="E53" s="48"/>
      <c r="F53" s="48"/>
      <c r="G53" s="48"/>
    </row>
    <row r="54" spans="1:7" ht="30.6" customHeight="1" thickBot="1">
      <c r="A54" s="8" t="s">
        <v>87</v>
      </c>
      <c r="B54" s="4" t="s">
        <v>16</v>
      </c>
      <c r="C54" s="4" t="s">
        <v>35</v>
      </c>
      <c r="D54" s="17" t="s">
        <v>88</v>
      </c>
      <c r="E54" s="18">
        <v>1.6</v>
      </c>
      <c r="F54" s="19">
        <f>ROUND(218.77*(1+G2/100),2)</f>
        <v>218.77</v>
      </c>
      <c r="G54" s="19">
        <f>ROUND(E54*F54,2)</f>
        <v>350.03</v>
      </c>
    </row>
    <row r="55" spans="1:7" ht="30.6" customHeight="1" thickBot="1">
      <c r="A55" s="20"/>
      <c r="B55" s="20"/>
      <c r="C55" s="20"/>
      <c r="D55" s="48" t="s">
        <v>89</v>
      </c>
      <c r="E55" s="48"/>
      <c r="F55" s="48"/>
      <c r="G55" s="48"/>
    </row>
    <row r="56" spans="1:7" ht="30.6" customHeight="1" thickBot="1">
      <c r="A56" s="8" t="s">
        <v>90</v>
      </c>
      <c r="B56" s="4" t="s">
        <v>16</v>
      </c>
      <c r="C56" s="4" t="s">
        <v>17</v>
      </c>
      <c r="D56" s="17" t="s">
        <v>91</v>
      </c>
      <c r="E56" s="18">
        <v>303</v>
      </c>
      <c r="F56" s="19">
        <f>ROUND(5.62*(1+G2/100),2)</f>
        <v>5.62</v>
      </c>
      <c r="G56" s="19">
        <f>ROUND(E56*F56,2)</f>
        <v>1702.86</v>
      </c>
    </row>
    <row r="57" spans="1:7" ht="21.4" customHeight="1" thickBot="1">
      <c r="A57" s="20"/>
      <c r="B57" s="20"/>
      <c r="C57" s="20"/>
      <c r="D57" s="48" t="s">
        <v>92</v>
      </c>
      <c r="E57" s="48"/>
      <c r="F57" s="48"/>
      <c r="G57" s="48"/>
    </row>
    <row r="58" spans="1:7" ht="15.6" customHeight="1" thickBot="1">
      <c r="A58" s="21"/>
      <c r="B58" s="21"/>
      <c r="C58" s="21"/>
      <c r="D58" s="22" t="s">
        <v>70</v>
      </c>
      <c r="E58" s="23"/>
      <c r="F58" s="24">
        <f>G44+G46+G48+G50+G52+G54+G56</f>
        <v>13699.86</v>
      </c>
      <c r="G58" s="24">
        <f>ROUND(F58,2)</f>
        <v>13699.86</v>
      </c>
    </row>
    <row r="59" spans="1:7" ht="15.6" customHeight="1" thickBot="1">
      <c r="A59" s="25" t="s">
        <v>93</v>
      </c>
      <c r="B59" s="25" t="s">
        <v>12</v>
      </c>
      <c r="C59" s="26"/>
      <c r="D59" s="27" t="s">
        <v>94</v>
      </c>
      <c r="E59" s="26"/>
      <c r="F59" s="28">
        <f>F182</f>
        <v>111730.02999999998</v>
      </c>
      <c r="G59" s="28">
        <f>ROUND(F59,2)</f>
        <v>111730.03</v>
      </c>
    </row>
    <row r="60" spans="1:7" ht="15.6" customHeight="1" thickBot="1">
      <c r="A60" s="29" t="s">
        <v>95</v>
      </c>
      <c r="B60" s="29" t="s">
        <v>12</v>
      </c>
      <c r="C60" s="30"/>
      <c r="D60" s="31" t="s">
        <v>96</v>
      </c>
      <c r="E60" s="30"/>
      <c r="F60" s="32">
        <f>F71</f>
        <v>1245.3</v>
      </c>
      <c r="G60" s="32">
        <f>ROUND(F60,2)</f>
        <v>1245.3</v>
      </c>
    </row>
    <row r="61" spans="1:7" ht="15.6" customHeight="1" thickBot="1">
      <c r="A61" s="8" t="s">
        <v>97</v>
      </c>
      <c r="B61" s="4" t="s">
        <v>16</v>
      </c>
      <c r="C61" s="4" t="s">
        <v>17</v>
      </c>
      <c r="D61" s="17" t="s">
        <v>98</v>
      </c>
      <c r="E61" s="18">
        <v>1</v>
      </c>
      <c r="F61" s="19">
        <f>ROUND(458.7*(1+G2/100),2)</f>
        <v>458.7</v>
      </c>
      <c r="G61" s="19">
        <f>ROUND(E61*F61,2)</f>
        <v>458.7</v>
      </c>
    </row>
    <row r="62" spans="1:7" ht="48.95" customHeight="1" thickBot="1">
      <c r="A62" s="20"/>
      <c r="B62" s="20"/>
      <c r="C62" s="20"/>
      <c r="D62" s="48" t="s">
        <v>99</v>
      </c>
      <c r="E62" s="48"/>
      <c r="F62" s="48"/>
      <c r="G62" s="48"/>
    </row>
    <row r="63" spans="1:7" ht="21.4" customHeight="1" thickBot="1">
      <c r="A63" s="8" t="s">
        <v>100</v>
      </c>
      <c r="B63" s="4" t="s">
        <v>16</v>
      </c>
      <c r="C63" s="4" t="s">
        <v>17</v>
      </c>
      <c r="D63" s="17" t="s">
        <v>101</v>
      </c>
      <c r="E63" s="18">
        <v>3</v>
      </c>
      <c r="F63" s="19">
        <f>ROUND(122.3*(1+G2/100),2)</f>
        <v>122.3</v>
      </c>
      <c r="G63" s="19">
        <f>ROUND(E63*F63,2)</f>
        <v>366.9</v>
      </c>
    </row>
    <row r="64" spans="1:7" ht="30.6" customHeight="1" thickBot="1">
      <c r="A64" s="20"/>
      <c r="B64" s="20"/>
      <c r="C64" s="20"/>
      <c r="D64" s="48" t="s">
        <v>102</v>
      </c>
      <c r="E64" s="48"/>
      <c r="F64" s="48"/>
      <c r="G64" s="48"/>
    </row>
    <row r="65" spans="1:7" ht="21.4" customHeight="1" thickBot="1">
      <c r="A65" s="8" t="s">
        <v>103</v>
      </c>
      <c r="B65" s="4" t="s">
        <v>16</v>
      </c>
      <c r="C65" s="4" t="s">
        <v>17</v>
      </c>
      <c r="D65" s="17" t="s">
        <v>104</v>
      </c>
      <c r="E65" s="18">
        <v>12</v>
      </c>
      <c r="F65" s="19">
        <f>ROUND(8.6*(1+G2/100),2)</f>
        <v>8.6</v>
      </c>
      <c r="G65" s="19">
        <f>ROUND(E65*F65,2)</f>
        <v>103.2</v>
      </c>
    </row>
    <row r="66" spans="1:7" ht="30.6" customHeight="1" thickBot="1">
      <c r="A66" s="20"/>
      <c r="B66" s="20"/>
      <c r="C66" s="20"/>
      <c r="D66" s="48" t="s">
        <v>105</v>
      </c>
      <c r="E66" s="48"/>
      <c r="F66" s="48"/>
      <c r="G66" s="48"/>
    </row>
    <row r="67" spans="1:7" ht="30.6" customHeight="1" thickBot="1">
      <c r="A67" s="8" t="s">
        <v>106</v>
      </c>
      <c r="B67" s="4" t="s">
        <v>16</v>
      </c>
      <c r="C67" s="4" t="s">
        <v>17</v>
      </c>
      <c r="D67" s="17" t="s">
        <v>107</v>
      </c>
      <c r="E67" s="18">
        <v>2</v>
      </c>
      <c r="F67" s="19">
        <f>ROUND(110.5*(1+G2/100),2)</f>
        <v>110.5</v>
      </c>
      <c r="G67" s="19">
        <f>ROUND(E67*F67,2)</f>
        <v>221</v>
      </c>
    </row>
    <row r="68" spans="1:7" ht="12.2" customHeight="1" thickBot="1">
      <c r="A68" s="20"/>
      <c r="B68" s="20"/>
      <c r="C68" s="20"/>
      <c r="D68" s="48" t="s">
        <v>107</v>
      </c>
      <c r="E68" s="48"/>
      <c r="F68" s="48"/>
      <c r="G68" s="48"/>
    </row>
    <row r="69" spans="1:7" ht="21.4" customHeight="1" thickBot="1">
      <c r="A69" s="8" t="s">
        <v>108</v>
      </c>
      <c r="B69" s="4" t="s">
        <v>16</v>
      </c>
      <c r="C69" s="4" t="s">
        <v>17</v>
      </c>
      <c r="D69" s="17" t="s">
        <v>109</v>
      </c>
      <c r="E69" s="18">
        <v>1</v>
      </c>
      <c r="F69" s="19">
        <f>ROUND(95.5*(1+G2/100),2)</f>
        <v>95.5</v>
      </c>
      <c r="G69" s="19">
        <f>ROUND(E69*F69,2)</f>
        <v>95.5</v>
      </c>
    </row>
    <row r="70" spans="1:7" ht="12.2" customHeight="1" thickBot="1">
      <c r="A70" s="20"/>
      <c r="B70" s="20"/>
      <c r="C70" s="20"/>
      <c r="D70" s="48" t="s">
        <v>109</v>
      </c>
      <c r="E70" s="48"/>
      <c r="F70" s="48"/>
      <c r="G70" s="48"/>
    </row>
    <row r="71" spans="1:7" ht="15.6" customHeight="1" thickBot="1">
      <c r="A71" s="21"/>
      <c r="B71" s="21"/>
      <c r="C71" s="21"/>
      <c r="D71" s="33" t="s">
        <v>95</v>
      </c>
      <c r="E71" s="34"/>
      <c r="F71" s="35">
        <f>G61+G63+G65+G67+G69</f>
        <v>1245.3</v>
      </c>
      <c r="G71" s="35">
        <f>ROUND(F71,2)</f>
        <v>1245.3</v>
      </c>
    </row>
    <row r="72" spans="1:7" ht="15.6" customHeight="1" thickBot="1">
      <c r="A72" s="36" t="s">
        <v>110</v>
      </c>
      <c r="B72" s="36" t="s">
        <v>12</v>
      </c>
      <c r="C72" s="37"/>
      <c r="D72" s="38" t="s">
        <v>111</v>
      </c>
      <c r="E72" s="37"/>
      <c r="F72" s="39">
        <f>F101</f>
        <v>54887.5</v>
      </c>
      <c r="G72" s="39">
        <f>ROUND(F72,2)</f>
        <v>54887.5</v>
      </c>
    </row>
    <row r="73" spans="1:7" ht="58.35" customHeight="1" thickBot="1">
      <c r="A73" s="8" t="s">
        <v>112</v>
      </c>
      <c r="B73" s="4" t="s">
        <v>16</v>
      </c>
      <c r="C73" s="4" t="s">
        <v>17</v>
      </c>
      <c r="D73" s="17" t="s">
        <v>113</v>
      </c>
      <c r="E73" s="18">
        <v>4</v>
      </c>
      <c r="F73" s="19">
        <f>ROUND(7166.65*(1+G2/100),2)</f>
        <v>7166.65</v>
      </c>
      <c r="G73" s="19">
        <f>ROUND(E73*F73,2)</f>
        <v>28666.6</v>
      </c>
    </row>
    <row r="74" spans="1:7" ht="150.75" customHeight="1" thickBot="1">
      <c r="A74" s="20"/>
      <c r="B74" s="20"/>
      <c r="C74" s="20"/>
      <c r="D74" s="48" t="s">
        <v>114</v>
      </c>
      <c r="E74" s="48"/>
      <c r="F74" s="48"/>
      <c r="G74" s="48"/>
    </row>
    <row r="75" spans="1:7" ht="21.4" customHeight="1" thickBot="1">
      <c r="A75" s="8" t="s">
        <v>115</v>
      </c>
      <c r="B75" s="4" t="s">
        <v>16</v>
      </c>
      <c r="C75" s="4" t="s">
        <v>35</v>
      </c>
      <c r="D75" s="17" t="s">
        <v>116</v>
      </c>
      <c r="E75" s="18">
        <v>74.88</v>
      </c>
      <c r="F75" s="19">
        <f>ROUND(37.78*(1+G2/100),2)</f>
        <v>37.78</v>
      </c>
      <c r="G75" s="19">
        <f>ROUND(E75*F75,2)</f>
        <v>2828.97</v>
      </c>
    </row>
    <row r="76" spans="1:7" ht="12.2" customHeight="1" thickBot="1">
      <c r="A76" s="20"/>
      <c r="B76" s="20"/>
      <c r="C76" s="20"/>
      <c r="D76" s="48" t="s">
        <v>117</v>
      </c>
      <c r="E76" s="48"/>
      <c r="F76" s="48"/>
      <c r="G76" s="48"/>
    </row>
    <row r="77" spans="1:7" ht="21.4" customHeight="1" thickBot="1">
      <c r="A77" s="8" t="s">
        <v>118</v>
      </c>
      <c r="B77" s="4" t="s">
        <v>16</v>
      </c>
      <c r="C77" s="4" t="s">
        <v>17</v>
      </c>
      <c r="D77" s="17" t="s">
        <v>119</v>
      </c>
      <c r="E77" s="18">
        <v>4</v>
      </c>
      <c r="F77" s="19">
        <f>ROUND(187.73*(1+G2/100),2)</f>
        <v>187.73</v>
      </c>
      <c r="G77" s="19">
        <f>ROUND(E77*F77,2)</f>
        <v>750.92</v>
      </c>
    </row>
    <row r="78" spans="1:7" ht="58.35" customHeight="1" thickBot="1">
      <c r="A78" s="20"/>
      <c r="B78" s="20"/>
      <c r="C78" s="20"/>
      <c r="D78" s="48" t="s">
        <v>120</v>
      </c>
      <c r="E78" s="48"/>
      <c r="F78" s="48"/>
      <c r="G78" s="48"/>
    </row>
    <row r="79" spans="1:7" ht="30.6" customHeight="1" thickBot="1">
      <c r="A79" s="8" t="s">
        <v>121</v>
      </c>
      <c r="B79" s="4" t="s">
        <v>16</v>
      </c>
      <c r="C79" s="4" t="s">
        <v>17</v>
      </c>
      <c r="D79" s="17" t="s">
        <v>122</v>
      </c>
      <c r="E79" s="18">
        <v>4</v>
      </c>
      <c r="F79" s="19">
        <f>ROUND(38.3*(1+G2/100),2)</f>
        <v>38.299999999999997</v>
      </c>
      <c r="G79" s="19">
        <f>ROUND(E79*F79,2)</f>
        <v>153.19999999999999</v>
      </c>
    </row>
    <row r="80" spans="1:7" ht="30.6" customHeight="1" thickBot="1">
      <c r="A80" s="20"/>
      <c r="B80" s="20"/>
      <c r="C80" s="20"/>
      <c r="D80" s="48" t="s">
        <v>123</v>
      </c>
      <c r="E80" s="48"/>
      <c r="F80" s="48"/>
      <c r="G80" s="48"/>
    </row>
    <row r="81" spans="1:7" ht="95.25" customHeight="1" thickBot="1">
      <c r="A81" s="8" t="s">
        <v>124</v>
      </c>
      <c r="B81" s="4" t="s">
        <v>16</v>
      </c>
      <c r="C81" s="4" t="s">
        <v>84</v>
      </c>
      <c r="D81" s="17" t="s">
        <v>125</v>
      </c>
      <c r="E81" s="18">
        <v>195.8</v>
      </c>
      <c r="F81" s="19">
        <f>ROUND(4.61*(1+G2/100),2)</f>
        <v>4.6100000000000003</v>
      </c>
      <c r="G81" s="19">
        <f>ROUND(E81*F81,2)</f>
        <v>902.64</v>
      </c>
    </row>
    <row r="82" spans="1:7" ht="39.75" customHeight="1" thickBot="1">
      <c r="A82" s="20"/>
      <c r="B82" s="20"/>
      <c r="C82" s="20"/>
      <c r="D82" s="48" t="s">
        <v>125</v>
      </c>
      <c r="E82" s="48"/>
      <c r="F82" s="48"/>
      <c r="G82" s="48"/>
    </row>
    <row r="83" spans="1:7" ht="21.4" customHeight="1" thickBot="1">
      <c r="A83" s="8" t="s">
        <v>126</v>
      </c>
      <c r="B83" s="4" t="s">
        <v>16</v>
      </c>
      <c r="C83" s="4" t="s">
        <v>84</v>
      </c>
      <c r="D83" s="17" t="s">
        <v>127</v>
      </c>
      <c r="E83" s="18">
        <v>65</v>
      </c>
      <c r="F83" s="19">
        <f>ROUND(1.38*(1+G2/100),2)</f>
        <v>1.38</v>
      </c>
      <c r="G83" s="19">
        <f>ROUND(E83*F83,2)</f>
        <v>89.7</v>
      </c>
    </row>
    <row r="84" spans="1:7" ht="21.4" customHeight="1" thickBot="1">
      <c r="A84" s="20"/>
      <c r="B84" s="20"/>
      <c r="C84" s="20"/>
      <c r="D84" s="48" t="s">
        <v>128</v>
      </c>
      <c r="E84" s="48"/>
      <c r="F84" s="48"/>
      <c r="G84" s="48"/>
    </row>
    <row r="85" spans="1:7" ht="21.4" customHeight="1" thickBot="1">
      <c r="A85" s="8" t="s">
        <v>129</v>
      </c>
      <c r="B85" s="4" t="s">
        <v>16</v>
      </c>
      <c r="C85" s="4" t="s">
        <v>84</v>
      </c>
      <c r="D85" s="17" t="s">
        <v>130</v>
      </c>
      <c r="E85" s="18">
        <v>195.8</v>
      </c>
      <c r="F85" s="19">
        <f>ROUND(16.63*(1+G2/100),2)</f>
        <v>16.63</v>
      </c>
      <c r="G85" s="19">
        <f>ROUND(E85*F85,2)</f>
        <v>3256.15</v>
      </c>
    </row>
    <row r="86" spans="1:7" ht="21.4" customHeight="1" thickBot="1">
      <c r="A86" s="20"/>
      <c r="B86" s="20"/>
      <c r="C86" s="20"/>
      <c r="D86" s="48" t="s">
        <v>131</v>
      </c>
      <c r="E86" s="48"/>
      <c r="F86" s="48"/>
      <c r="G86" s="48"/>
    </row>
    <row r="87" spans="1:7" ht="21.4" customHeight="1" thickBot="1">
      <c r="A87" s="8" t="s">
        <v>132</v>
      </c>
      <c r="B87" s="4" t="s">
        <v>16</v>
      </c>
      <c r="C87" s="4" t="s">
        <v>84</v>
      </c>
      <c r="D87" s="17" t="s">
        <v>133</v>
      </c>
      <c r="E87" s="18">
        <v>195.81</v>
      </c>
      <c r="F87" s="19">
        <f>ROUND(41.66*(1+G2/100),2)</f>
        <v>41.66</v>
      </c>
      <c r="G87" s="19">
        <f>ROUND(E87*F87,2)</f>
        <v>8157.44</v>
      </c>
    </row>
    <row r="88" spans="1:7" ht="21.4" customHeight="1" thickBot="1">
      <c r="A88" s="20"/>
      <c r="B88" s="20"/>
      <c r="C88" s="20"/>
      <c r="D88" s="48" t="s">
        <v>134</v>
      </c>
      <c r="E88" s="48"/>
      <c r="F88" s="48"/>
      <c r="G88" s="48"/>
    </row>
    <row r="89" spans="1:7" ht="30.6" customHeight="1" thickBot="1">
      <c r="A89" s="8" t="s">
        <v>135</v>
      </c>
      <c r="B89" s="4" t="s">
        <v>16</v>
      </c>
      <c r="C89" s="4" t="s">
        <v>84</v>
      </c>
      <c r="D89" s="17" t="s">
        <v>136</v>
      </c>
      <c r="E89" s="18">
        <v>195.8</v>
      </c>
      <c r="F89" s="19">
        <f>ROUND(8.4*(1+G2/100),2)</f>
        <v>8.4</v>
      </c>
      <c r="G89" s="19">
        <f>ROUND(E89*F89,2)</f>
        <v>1644.72</v>
      </c>
    </row>
    <row r="90" spans="1:7" ht="30.6" customHeight="1" thickBot="1">
      <c r="A90" s="20"/>
      <c r="B90" s="20"/>
      <c r="C90" s="20"/>
      <c r="D90" s="48" t="s">
        <v>137</v>
      </c>
      <c r="E90" s="48"/>
      <c r="F90" s="48"/>
      <c r="G90" s="48"/>
    </row>
    <row r="91" spans="1:7" ht="21.4" customHeight="1" thickBot="1">
      <c r="A91" s="8" t="s">
        <v>138</v>
      </c>
      <c r="B91" s="4" t="s">
        <v>16</v>
      </c>
      <c r="C91" s="4" t="s">
        <v>84</v>
      </c>
      <c r="D91" s="17" t="s">
        <v>139</v>
      </c>
      <c r="E91" s="18">
        <v>195.81</v>
      </c>
      <c r="F91" s="19">
        <f>ROUND(25.49*(1+G2/100),2)</f>
        <v>25.49</v>
      </c>
      <c r="G91" s="19">
        <f>ROUND(E91*F91,2)</f>
        <v>4991.2</v>
      </c>
    </row>
    <row r="92" spans="1:7" ht="30.6" customHeight="1" thickBot="1">
      <c r="A92" s="20"/>
      <c r="B92" s="20"/>
      <c r="C92" s="20"/>
      <c r="D92" s="48" t="s">
        <v>140</v>
      </c>
      <c r="E92" s="48"/>
      <c r="F92" s="48"/>
      <c r="G92" s="48"/>
    </row>
    <row r="93" spans="1:7" ht="21.4" customHeight="1" thickBot="1">
      <c r="A93" s="8" t="s">
        <v>141</v>
      </c>
      <c r="B93" s="4" t="s">
        <v>16</v>
      </c>
      <c r="C93" s="4" t="s">
        <v>84</v>
      </c>
      <c r="D93" s="17" t="s">
        <v>142</v>
      </c>
      <c r="E93" s="18">
        <v>5</v>
      </c>
      <c r="F93" s="19">
        <f>ROUND(105.06*(1+G2/100),2)</f>
        <v>105.06</v>
      </c>
      <c r="G93" s="19">
        <f>ROUND(E93*F93,2)</f>
        <v>525.29999999999995</v>
      </c>
    </row>
    <row r="94" spans="1:7" ht="21.4" customHeight="1" thickBot="1">
      <c r="A94" s="20"/>
      <c r="B94" s="20"/>
      <c r="C94" s="20"/>
      <c r="D94" s="48" t="s">
        <v>143</v>
      </c>
      <c r="E94" s="48"/>
      <c r="F94" s="48"/>
      <c r="G94" s="48"/>
    </row>
    <row r="95" spans="1:7" ht="21.4" customHeight="1" thickBot="1">
      <c r="A95" s="8" t="s">
        <v>144</v>
      </c>
      <c r="B95" s="4" t="s">
        <v>16</v>
      </c>
      <c r="C95" s="4" t="s">
        <v>84</v>
      </c>
      <c r="D95" s="17" t="s">
        <v>145</v>
      </c>
      <c r="E95" s="18">
        <v>35</v>
      </c>
      <c r="F95" s="19">
        <f>ROUND(51.82*(1+G2/100),2)</f>
        <v>51.82</v>
      </c>
      <c r="G95" s="19">
        <f>ROUND(E95*F95,2)</f>
        <v>1813.7</v>
      </c>
    </row>
    <row r="96" spans="1:7" ht="21.4" customHeight="1" thickBot="1">
      <c r="A96" s="20"/>
      <c r="B96" s="20"/>
      <c r="C96" s="20"/>
      <c r="D96" s="48" t="s">
        <v>146</v>
      </c>
      <c r="E96" s="48"/>
      <c r="F96" s="48"/>
      <c r="G96" s="48"/>
    </row>
    <row r="97" spans="1:7" ht="39.75" customHeight="1" thickBot="1">
      <c r="A97" s="8" t="s">
        <v>147</v>
      </c>
      <c r="B97" s="4" t="s">
        <v>16</v>
      </c>
      <c r="C97" s="4" t="s">
        <v>84</v>
      </c>
      <c r="D97" s="17" t="s">
        <v>148</v>
      </c>
      <c r="E97" s="18">
        <v>20</v>
      </c>
      <c r="F97" s="19">
        <f>ROUND(13.27*(1+G2/100),2)</f>
        <v>13.27</v>
      </c>
      <c r="G97" s="19">
        <f>ROUND(E97*F97,2)</f>
        <v>265.39999999999998</v>
      </c>
    </row>
    <row r="98" spans="1:7" ht="30.6" customHeight="1" thickBot="1">
      <c r="A98" s="20"/>
      <c r="B98" s="20"/>
      <c r="C98" s="20"/>
      <c r="D98" s="48" t="s">
        <v>149</v>
      </c>
      <c r="E98" s="48"/>
      <c r="F98" s="48"/>
      <c r="G98" s="48"/>
    </row>
    <row r="99" spans="1:7" ht="21.4" customHeight="1" thickBot="1">
      <c r="A99" s="8" t="s">
        <v>150</v>
      </c>
      <c r="B99" s="4" t="s">
        <v>16</v>
      </c>
      <c r="C99" s="4" t="s">
        <v>17</v>
      </c>
      <c r="D99" s="17" t="s">
        <v>151</v>
      </c>
      <c r="E99" s="18">
        <v>1</v>
      </c>
      <c r="F99" s="19">
        <f>ROUND(841.56*(1+G2/100),2)</f>
        <v>841.56</v>
      </c>
      <c r="G99" s="19">
        <f>ROUND(E99*F99,2)</f>
        <v>841.56</v>
      </c>
    </row>
    <row r="100" spans="1:7" ht="67.5" customHeight="1" thickBot="1">
      <c r="A100" s="20"/>
      <c r="B100" s="20"/>
      <c r="C100" s="20"/>
      <c r="D100" s="48" t="s">
        <v>152</v>
      </c>
      <c r="E100" s="48"/>
      <c r="F100" s="48"/>
      <c r="G100" s="48"/>
    </row>
    <row r="101" spans="1:7" ht="15.6" customHeight="1" thickBot="1">
      <c r="A101" s="21"/>
      <c r="B101" s="21"/>
      <c r="C101" s="21"/>
      <c r="D101" s="33" t="s">
        <v>110</v>
      </c>
      <c r="E101" s="34"/>
      <c r="F101" s="35">
        <f>G73+G75+G77+G79+G81+G83+G85+G87+G89+G91+G93+G95+G97+G99</f>
        <v>54887.5</v>
      </c>
      <c r="G101" s="35">
        <f>ROUND(F101,2)</f>
        <v>54887.5</v>
      </c>
    </row>
    <row r="102" spans="1:7" ht="15.6" customHeight="1" thickBot="1">
      <c r="A102" s="36" t="s">
        <v>153</v>
      </c>
      <c r="B102" s="36" t="s">
        <v>12</v>
      </c>
      <c r="C102" s="37"/>
      <c r="D102" s="38" t="s">
        <v>154</v>
      </c>
      <c r="E102" s="37"/>
      <c r="F102" s="39">
        <f>F107</f>
        <v>1252.5999999999999</v>
      </c>
      <c r="G102" s="39">
        <f>ROUND(F102,2)</f>
        <v>1252.5999999999999</v>
      </c>
    </row>
    <row r="103" spans="1:7" ht="21.4" customHeight="1" thickBot="1">
      <c r="A103" s="8" t="s">
        <v>155</v>
      </c>
      <c r="B103" s="4" t="s">
        <v>16</v>
      </c>
      <c r="C103" s="4" t="s">
        <v>17</v>
      </c>
      <c r="D103" s="17" t="s">
        <v>156</v>
      </c>
      <c r="E103" s="18">
        <v>4</v>
      </c>
      <c r="F103" s="19">
        <f>ROUND(131.41*(1+G2/100),2)</f>
        <v>131.41</v>
      </c>
      <c r="G103" s="19">
        <f>ROUND(E103*F103,2)</f>
        <v>525.64</v>
      </c>
    </row>
    <row r="104" spans="1:7" ht="21.4" customHeight="1" thickBot="1">
      <c r="A104" s="20"/>
      <c r="B104" s="20"/>
      <c r="C104" s="20"/>
      <c r="D104" s="48" t="s">
        <v>157</v>
      </c>
      <c r="E104" s="48"/>
      <c r="F104" s="48"/>
      <c r="G104" s="48"/>
    </row>
    <row r="105" spans="1:7" ht="21.4" customHeight="1" thickBot="1">
      <c r="A105" s="8" t="s">
        <v>158</v>
      </c>
      <c r="B105" s="4" t="s">
        <v>16</v>
      </c>
      <c r="C105" s="4" t="s">
        <v>17</v>
      </c>
      <c r="D105" s="17" t="s">
        <v>159</v>
      </c>
      <c r="E105" s="18">
        <v>4</v>
      </c>
      <c r="F105" s="19">
        <f>ROUND(181.74*(1+G2/100),2)</f>
        <v>181.74</v>
      </c>
      <c r="G105" s="19">
        <f>ROUND(E105*F105,2)</f>
        <v>726.96</v>
      </c>
    </row>
    <row r="106" spans="1:7" ht="21.4" customHeight="1" thickBot="1">
      <c r="A106" s="20"/>
      <c r="B106" s="20"/>
      <c r="C106" s="20"/>
      <c r="D106" s="48" t="s">
        <v>160</v>
      </c>
      <c r="E106" s="48"/>
      <c r="F106" s="48"/>
      <c r="G106" s="48"/>
    </row>
    <row r="107" spans="1:7" ht="15.6" customHeight="1" thickBot="1">
      <c r="A107" s="21"/>
      <c r="B107" s="21"/>
      <c r="C107" s="21"/>
      <c r="D107" s="33" t="s">
        <v>153</v>
      </c>
      <c r="E107" s="34"/>
      <c r="F107" s="35">
        <f>G103+G105</f>
        <v>1252.5999999999999</v>
      </c>
      <c r="G107" s="35">
        <f>ROUND(F107,2)</f>
        <v>1252.5999999999999</v>
      </c>
    </row>
    <row r="108" spans="1:7" ht="15.6" customHeight="1" thickBot="1">
      <c r="A108" s="36" t="s">
        <v>161</v>
      </c>
      <c r="B108" s="36" t="s">
        <v>12</v>
      </c>
      <c r="C108" s="37"/>
      <c r="D108" s="38" t="s">
        <v>162</v>
      </c>
      <c r="E108" s="37"/>
      <c r="F108" s="39">
        <f>F157</f>
        <v>51474.28</v>
      </c>
      <c r="G108" s="39">
        <f>ROUND(F108,2)</f>
        <v>51474.28</v>
      </c>
    </row>
    <row r="109" spans="1:7" ht="21.4" customHeight="1" thickBot="1">
      <c r="A109" s="8" t="s">
        <v>163</v>
      </c>
      <c r="B109" s="4" t="s">
        <v>16</v>
      </c>
      <c r="C109" s="4" t="s">
        <v>17</v>
      </c>
      <c r="D109" s="17" t="s">
        <v>164</v>
      </c>
      <c r="E109" s="18">
        <v>1</v>
      </c>
      <c r="F109" s="19">
        <f>ROUND(1048.98*(1+G2/100),2)</f>
        <v>1048.98</v>
      </c>
      <c r="G109" s="19">
        <f>ROUND(E109*F109,2)</f>
        <v>1048.98</v>
      </c>
    </row>
    <row r="110" spans="1:7" ht="30.6" customHeight="1" thickBot="1">
      <c r="A110" s="20"/>
      <c r="B110" s="20"/>
      <c r="C110" s="20"/>
      <c r="D110" s="48" t="s">
        <v>165</v>
      </c>
      <c r="E110" s="48"/>
      <c r="F110" s="48"/>
      <c r="G110" s="48"/>
    </row>
    <row r="111" spans="1:7" ht="21.4" customHeight="1" thickBot="1">
      <c r="A111" s="8" t="s">
        <v>166</v>
      </c>
      <c r="B111" s="4" t="s">
        <v>16</v>
      </c>
      <c r="C111" s="4" t="s">
        <v>17</v>
      </c>
      <c r="D111" s="17" t="s">
        <v>167</v>
      </c>
      <c r="E111" s="18">
        <v>1</v>
      </c>
      <c r="F111" s="19">
        <f>ROUND(1957.01*(1+G2/100),2)</f>
        <v>1957.01</v>
      </c>
      <c r="G111" s="19">
        <f>ROUND(E111*F111,2)</f>
        <v>1957.01</v>
      </c>
    </row>
    <row r="112" spans="1:7" ht="30.6" customHeight="1" thickBot="1">
      <c r="A112" s="20"/>
      <c r="B112" s="20"/>
      <c r="C112" s="20"/>
      <c r="D112" s="48" t="s">
        <v>168</v>
      </c>
      <c r="E112" s="48"/>
      <c r="F112" s="48"/>
      <c r="G112" s="48"/>
    </row>
    <row r="113" spans="1:7" ht="21.4" customHeight="1" thickBot="1">
      <c r="A113" s="8" t="s">
        <v>169</v>
      </c>
      <c r="B113" s="4" t="s">
        <v>16</v>
      </c>
      <c r="C113" s="4" t="s">
        <v>17</v>
      </c>
      <c r="D113" s="17" t="s">
        <v>170</v>
      </c>
      <c r="E113" s="18">
        <v>1</v>
      </c>
      <c r="F113" s="19">
        <f>ROUND(493.64*(1+G2/100),2)</f>
        <v>493.64</v>
      </c>
      <c r="G113" s="19">
        <f>ROUND(E113*F113,2)</f>
        <v>493.64</v>
      </c>
    </row>
    <row r="114" spans="1:7" ht="30.6" customHeight="1" thickBot="1">
      <c r="A114" s="20"/>
      <c r="B114" s="20"/>
      <c r="C114" s="20"/>
      <c r="D114" s="48" t="s">
        <v>171</v>
      </c>
      <c r="E114" s="48"/>
      <c r="F114" s="48"/>
      <c r="G114" s="48"/>
    </row>
    <row r="115" spans="1:7" ht="15.6" customHeight="1" thickBot="1">
      <c r="A115" s="8" t="s">
        <v>172</v>
      </c>
      <c r="B115" s="4" t="s">
        <v>16</v>
      </c>
      <c r="C115" s="4" t="s">
        <v>17</v>
      </c>
      <c r="D115" s="17" t="s">
        <v>173</v>
      </c>
      <c r="E115" s="18">
        <v>1</v>
      </c>
      <c r="F115" s="19">
        <f>ROUND(5841.58*(1+G2/100),2)</f>
        <v>5841.58</v>
      </c>
      <c r="G115" s="19">
        <f>ROUND(E115*F115,2)</f>
        <v>5841.58</v>
      </c>
    </row>
    <row r="116" spans="1:7" ht="30.6" customHeight="1" thickBot="1">
      <c r="A116" s="20"/>
      <c r="B116" s="20"/>
      <c r="C116" s="20"/>
      <c r="D116" s="48" t="s">
        <v>174</v>
      </c>
      <c r="E116" s="48"/>
      <c r="F116" s="48"/>
      <c r="G116" s="48"/>
    </row>
    <row r="117" spans="1:7" ht="15.6" customHeight="1" thickBot="1">
      <c r="A117" s="8" t="s">
        <v>175</v>
      </c>
      <c r="B117" s="4" t="s">
        <v>16</v>
      </c>
      <c r="C117" s="4" t="s">
        <v>17</v>
      </c>
      <c r="D117" s="17" t="s">
        <v>176</v>
      </c>
      <c r="E117" s="18">
        <v>1</v>
      </c>
      <c r="F117" s="19">
        <f>ROUND(5133.78*(1+G2/100),2)</f>
        <v>5133.78</v>
      </c>
      <c r="G117" s="19">
        <f>ROUND(E117*F117,2)</f>
        <v>5133.78</v>
      </c>
    </row>
    <row r="118" spans="1:7" ht="30.6" customHeight="1" thickBot="1">
      <c r="A118" s="20"/>
      <c r="B118" s="20"/>
      <c r="C118" s="20"/>
      <c r="D118" s="48" t="s">
        <v>177</v>
      </c>
      <c r="E118" s="48"/>
      <c r="F118" s="48"/>
      <c r="G118" s="48"/>
    </row>
    <row r="119" spans="1:7" ht="15.6" customHeight="1" thickBot="1">
      <c r="A119" s="8" t="s">
        <v>178</v>
      </c>
      <c r="B119" s="4" t="s">
        <v>16</v>
      </c>
      <c r="C119" s="4" t="s">
        <v>17</v>
      </c>
      <c r="D119" s="17" t="s">
        <v>179</v>
      </c>
      <c r="E119" s="18">
        <v>1</v>
      </c>
      <c r="F119" s="19">
        <f>ROUND(2247.47*(1+G2/100),2)</f>
        <v>2247.4699999999998</v>
      </c>
      <c r="G119" s="19">
        <f>ROUND(E119*F119,2)</f>
        <v>2247.4699999999998</v>
      </c>
    </row>
    <row r="120" spans="1:7" ht="30.6" customHeight="1" thickBot="1">
      <c r="A120" s="20"/>
      <c r="B120" s="20"/>
      <c r="C120" s="20"/>
      <c r="D120" s="48" t="s">
        <v>180</v>
      </c>
      <c r="E120" s="48"/>
      <c r="F120" s="48"/>
      <c r="G120" s="48"/>
    </row>
    <row r="121" spans="1:7" ht="15.6" customHeight="1" thickBot="1">
      <c r="A121" s="8" t="s">
        <v>181</v>
      </c>
      <c r="B121" s="4" t="s">
        <v>16</v>
      </c>
      <c r="C121" s="4" t="s">
        <v>84</v>
      </c>
      <c r="D121" s="17" t="s">
        <v>182</v>
      </c>
      <c r="E121" s="18">
        <v>60</v>
      </c>
      <c r="F121" s="19">
        <f>ROUND(3.14*(1+G2/100),2)</f>
        <v>3.14</v>
      </c>
      <c r="G121" s="19">
        <f>ROUND(E121*F121,2)</f>
        <v>188.4</v>
      </c>
    </row>
    <row r="122" spans="1:7" ht="30.6" customHeight="1" thickBot="1">
      <c r="A122" s="20"/>
      <c r="B122" s="20"/>
      <c r="C122" s="20"/>
      <c r="D122" s="48" t="s">
        <v>183</v>
      </c>
      <c r="E122" s="48"/>
      <c r="F122" s="48"/>
      <c r="G122" s="48"/>
    </row>
    <row r="123" spans="1:7" ht="15.6" customHeight="1" thickBot="1">
      <c r="A123" s="8" t="s">
        <v>184</v>
      </c>
      <c r="B123" s="4" t="s">
        <v>16</v>
      </c>
      <c r="C123" s="4" t="s">
        <v>84</v>
      </c>
      <c r="D123" s="17" t="s">
        <v>185</v>
      </c>
      <c r="E123" s="18">
        <v>390</v>
      </c>
      <c r="F123" s="19">
        <f>ROUND(4.08*(1+G2/100),2)</f>
        <v>4.08</v>
      </c>
      <c r="G123" s="19">
        <f>ROUND(E123*F123,2)</f>
        <v>1591.2</v>
      </c>
    </row>
    <row r="124" spans="1:7" ht="30.6" customHeight="1" thickBot="1">
      <c r="A124" s="20"/>
      <c r="B124" s="20"/>
      <c r="C124" s="20"/>
      <c r="D124" s="48" t="s">
        <v>186</v>
      </c>
      <c r="E124" s="48"/>
      <c r="F124" s="48"/>
      <c r="G124" s="48"/>
    </row>
    <row r="125" spans="1:7" ht="15.6" customHeight="1" thickBot="1">
      <c r="A125" s="8" t="s">
        <v>187</v>
      </c>
      <c r="B125" s="4" t="s">
        <v>16</v>
      </c>
      <c r="C125" s="4" t="s">
        <v>84</v>
      </c>
      <c r="D125" s="17" t="s">
        <v>188</v>
      </c>
      <c r="E125" s="18">
        <v>156</v>
      </c>
      <c r="F125" s="19">
        <f>ROUND(11.56*(1+G2/100),2)</f>
        <v>11.56</v>
      </c>
      <c r="G125" s="19">
        <f>ROUND(E125*F125,2)</f>
        <v>1803.36</v>
      </c>
    </row>
    <row r="126" spans="1:7" ht="30.6" customHeight="1" thickBot="1">
      <c r="A126" s="20"/>
      <c r="B126" s="20"/>
      <c r="C126" s="20"/>
      <c r="D126" s="48" t="s">
        <v>189</v>
      </c>
      <c r="E126" s="48"/>
      <c r="F126" s="48"/>
      <c r="G126" s="48"/>
    </row>
    <row r="127" spans="1:7" ht="15.6" customHeight="1" thickBot="1">
      <c r="A127" s="8" t="s">
        <v>190</v>
      </c>
      <c r="B127" s="4" t="s">
        <v>16</v>
      </c>
      <c r="C127" s="4" t="s">
        <v>84</v>
      </c>
      <c r="D127" s="17" t="s">
        <v>191</v>
      </c>
      <c r="E127" s="18">
        <v>66</v>
      </c>
      <c r="F127" s="19">
        <f>ROUND(7.49*(1+G2/100),2)</f>
        <v>7.49</v>
      </c>
      <c r="G127" s="19">
        <f>ROUND(E127*F127,2)</f>
        <v>494.34</v>
      </c>
    </row>
    <row r="128" spans="1:7" ht="30.6" customHeight="1" thickBot="1">
      <c r="A128" s="20"/>
      <c r="B128" s="20"/>
      <c r="C128" s="20"/>
      <c r="D128" s="48" t="s">
        <v>192</v>
      </c>
      <c r="E128" s="48"/>
      <c r="F128" s="48"/>
      <c r="G128" s="48"/>
    </row>
    <row r="129" spans="1:7" ht="15.6" customHeight="1" thickBot="1">
      <c r="A129" s="8" t="s">
        <v>193</v>
      </c>
      <c r="B129" s="4" t="s">
        <v>16</v>
      </c>
      <c r="C129" s="4" t="s">
        <v>84</v>
      </c>
      <c r="D129" s="17" t="s">
        <v>194</v>
      </c>
      <c r="E129" s="18">
        <v>484</v>
      </c>
      <c r="F129" s="19">
        <f>ROUND(10.11*(1+G2/100),2)</f>
        <v>10.11</v>
      </c>
      <c r="G129" s="19">
        <f>ROUND(E129*F129,2)</f>
        <v>4893.24</v>
      </c>
    </row>
    <row r="130" spans="1:7" ht="30.6" customHeight="1" thickBot="1">
      <c r="A130" s="20"/>
      <c r="B130" s="20"/>
      <c r="C130" s="20"/>
      <c r="D130" s="48" t="s">
        <v>195</v>
      </c>
      <c r="E130" s="48"/>
      <c r="F130" s="48"/>
      <c r="G130" s="48"/>
    </row>
    <row r="131" spans="1:7" ht="15.6" customHeight="1" thickBot="1">
      <c r="A131" s="8" t="s">
        <v>196</v>
      </c>
      <c r="B131" s="4" t="s">
        <v>16</v>
      </c>
      <c r="C131" s="4" t="s">
        <v>84</v>
      </c>
      <c r="D131" s="17" t="s">
        <v>197</v>
      </c>
      <c r="E131" s="18">
        <v>880</v>
      </c>
      <c r="F131" s="19">
        <f>ROUND(16.68*(1+G2/100),2)</f>
        <v>16.68</v>
      </c>
      <c r="G131" s="19">
        <f>ROUND(E131*F131,2)</f>
        <v>14678.4</v>
      </c>
    </row>
    <row r="132" spans="1:7" ht="30.6" customHeight="1" thickBot="1">
      <c r="A132" s="20"/>
      <c r="B132" s="20"/>
      <c r="C132" s="20"/>
      <c r="D132" s="48" t="s">
        <v>198</v>
      </c>
      <c r="E132" s="48"/>
      <c r="F132" s="48"/>
      <c r="G132" s="48"/>
    </row>
    <row r="133" spans="1:7" ht="21.4" customHeight="1" thickBot="1">
      <c r="A133" s="8" t="s">
        <v>144</v>
      </c>
      <c r="B133" s="4" t="s">
        <v>16</v>
      </c>
      <c r="C133" s="4" t="s">
        <v>84</v>
      </c>
      <c r="D133" s="17" t="s">
        <v>145</v>
      </c>
      <c r="E133" s="18">
        <v>145</v>
      </c>
      <c r="F133" s="19">
        <f>ROUND(51.82*(1+G2/100),2)</f>
        <v>51.82</v>
      </c>
      <c r="G133" s="19">
        <f>ROUND(E133*F133,2)</f>
        <v>7513.9</v>
      </c>
    </row>
    <row r="134" spans="1:7" ht="21.4" customHeight="1" thickBot="1">
      <c r="A134" s="20"/>
      <c r="B134" s="20"/>
      <c r="C134" s="20"/>
      <c r="D134" s="48" t="s">
        <v>146</v>
      </c>
      <c r="E134" s="48"/>
      <c r="F134" s="48"/>
      <c r="G134" s="48"/>
    </row>
    <row r="135" spans="1:7" ht="21.4" customHeight="1" thickBot="1">
      <c r="A135" s="8" t="s">
        <v>199</v>
      </c>
      <c r="B135" s="4" t="s">
        <v>16</v>
      </c>
      <c r="C135" s="4" t="s">
        <v>84</v>
      </c>
      <c r="D135" s="17" t="s">
        <v>200</v>
      </c>
      <c r="E135" s="18">
        <v>15</v>
      </c>
      <c r="F135" s="19">
        <f>ROUND(25.4*(1+G2/100),2)</f>
        <v>25.4</v>
      </c>
      <c r="G135" s="19">
        <f>ROUND(E135*F135,2)</f>
        <v>381</v>
      </c>
    </row>
    <row r="136" spans="1:7" ht="21.4" customHeight="1" thickBot="1">
      <c r="A136" s="20"/>
      <c r="B136" s="20"/>
      <c r="C136" s="20"/>
      <c r="D136" s="48" t="s">
        <v>201</v>
      </c>
      <c r="E136" s="48"/>
      <c r="F136" s="48"/>
      <c r="G136" s="48"/>
    </row>
    <row r="137" spans="1:7" ht="39.75" customHeight="1" thickBot="1">
      <c r="A137" s="8" t="s">
        <v>202</v>
      </c>
      <c r="B137" s="4" t="s">
        <v>16</v>
      </c>
      <c r="C137" s="4" t="s">
        <v>84</v>
      </c>
      <c r="D137" s="17" t="s">
        <v>203</v>
      </c>
      <c r="E137" s="18">
        <v>15</v>
      </c>
      <c r="F137" s="19">
        <f>ROUND(42.45*(1+G2/100),2)</f>
        <v>42.45</v>
      </c>
      <c r="G137" s="19">
        <f>ROUND(E137*F137,2)</f>
        <v>636.75</v>
      </c>
    </row>
    <row r="138" spans="1:7" ht="30.6" customHeight="1" thickBot="1">
      <c r="A138" s="20"/>
      <c r="B138" s="20"/>
      <c r="C138" s="20"/>
      <c r="D138" s="48" t="s">
        <v>204</v>
      </c>
      <c r="E138" s="48"/>
      <c r="F138" s="48"/>
      <c r="G138" s="48"/>
    </row>
    <row r="139" spans="1:7" ht="39.75" customHeight="1" thickBot="1">
      <c r="A139" s="8" t="s">
        <v>147</v>
      </c>
      <c r="B139" s="4" t="s">
        <v>16</v>
      </c>
      <c r="C139" s="4" t="s">
        <v>84</v>
      </c>
      <c r="D139" s="17" t="s">
        <v>148</v>
      </c>
      <c r="E139" s="18">
        <v>3</v>
      </c>
      <c r="F139" s="19">
        <f>ROUND(13.27*(1+G2/100),2)</f>
        <v>13.27</v>
      </c>
      <c r="G139" s="19">
        <f>ROUND(E139*F139,2)</f>
        <v>39.81</v>
      </c>
    </row>
    <row r="140" spans="1:7" ht="30.6" customHeight="1" thickBot="1">
      <c r="A140" s="20"/>
      <c r="B140" s="20"/>
      <c r="C140" s="20"/>
      <c r="D140" s="48" t="s">
        <v>149</v>
      </c>
      <c r="E140" s="48"/>
      <c r="F140" s="48"/>
      <c r="G140" s="48"/>
    </row>
    <row r="141" spans="1:7" ht="15.6" customHeight="1" thickBot="1">
      <c r="A141" s="8" t="s">
        <v>205</v>
      </c>
      <c r="B141" s="4" t="s">
        <v>16</v>
      </c>
      <c r="C141" s="4" t="s">
        <v>17</v>
      </c>
      <c r="D141" s="17" t="s">
        <v>206</v>
      </c>
      <c r="E141" s="18">
        <v>17</v>
      </c>
      <c r="F141" s="19">
        <f>ROUND(17.86*(1+G2/100),2)</f>
        <v>17.86</v>
      </c>
      <c r="G141" s="19">
        <f>ROUND(E141*F141,2)</f>
        <v>303.62</v>
      </c>
    </row>
    <row r="142" spans="1:7" ht="12.2" customHeight="1" thickBot="1">
      <c r="A142" s="20"/>
      <c r="B142" s="20"/>
      <c r="C142" s="20"/>
      <c r="D142" s="48" t="s">
        <v>207</v>
      </c>
      <c r="E142" s="48"/>
      <c r="F142" s="48"/>
      <c r="G142" s="48"/>
    </row>
    <row r="143" spans="1:7" ht="21.4" customHeight="1" thickBot="1">
      <c r="A143" s="8" t="s">
        <v>208</v>
      </c>
      <c r="B143" s="4" t="s">
        <v>16</v>
      </c>
      <c r="C143" s="4" t="s">
        <v>84</v>
      </c>
      <c r="D143" s="17" t="s">
        <v>209</v>
      </c>
      <c r="E143" s="18">
        <v>90</v>
      </c>
      <c r="F143" s="19">
        <f>ROUND(1.5*(1+G2/100),2)</f>
        <v>1.5</v>
      </c>
      <c r="G143" s="19">
        <f>ROUND(E143*F143,2)</f>
        <v>135</v>
      </c>
    </row>
    <row r="144" spans="1:7" ht="21.4" customHeight="1" thickBot="1">
      <c r="A144" s="20"/>
      <c r="B144" s="20"/>
      <c r="C144" s="20"/>
      <c r="D144" s="48" t="s">
        <v>210</v>
      </c>
      <c r="E144" s="48"/>
      <c r="F144" s="48"/>
      <c r="G144" s="48"/>
    </row>
    <row r="145" spans="1:7" ht="21.4" customHeight="1" thickBot="1">
      <c r="A145" s="8" t="s">
        <v>211</v>
      </c>
      <c r="B145" s="4" t="s">
        <v>16</v>
      </c>
      <c r="C145" s="4" t="s">
        <v>17</v>
      </c>
      <c r="D145" s="17" t="s">
        <v>212</v>
      </c>
      <c r="E145" s="18">
        <v>28</v>
      </c>
      <c r="F145" s="19">
        <f>ROUND(20.48*(1+G2/100),2)</f>
        <v>20.48</v>
      </c>
      <c r="G145" s="19">
        <f>ROUND(E145*F145,2)</f>
        <v>573.44000000000005</v>
      </c>
    </row>
    <row r="146" spans="1:7" ht="21.4" customHeight="1" thickBot="1">
      <c r="A146" s="20"/>
      <c r="B146" s="20"/>
      <c r="C146" s="20"/>
      <c r="D146" s="48" t="s">
        <v>213</v>
      </c>
      <c r="E146" s="48"/>
      <c r="F146" s="48"/>
      <c r="G146" s="48"/>
    </row>
    <row r="147" spans="1:7" ht="21.4" customHeight="1" thickBot="1">
      <c r="A147" s="8" t="s">
        <v>214</v>
      </c>
      <c r="B147" s="4" t="s">
        <v>16</v>
      </c>
      <c r="C147" s="4" t="s">
        <v>17</v>
      </c>
      <c r="D147" s="17" t="s">
        <v>215</v>
      </c>
      <c r="E147" s="18">
        <v>6</v>
      </c>
      <c r="F147" s="19">
        <f>ROUND(23.45*(1+G2/100),2)</f>
        <v>23.45</v>
      </c>
      <c r="G147" s="19">
        <f>ROUND(E147*F147,2)</f>
        <v>140.69999999999999</v>
      </c>
    </row>
    <row r="148" spans="1:7" ht="21.4" customHeight="1" thickBot="1">
      <c r="A148" s="20"/>
      <c r="B148" s="20"/>
      <c r="C148" s="20"/>
      <c r="D148" s="48" t="s">
        <v>216</v>
      </c>
      <c r="E148" s="48"/>
      <c r="F148" s="48"/>
      <c r="G148" s="48"/>
    </row>
    <row r="149" spans="1:7" ht="21.4" customHeight="1" thickBot="1">
      <c r="A149" s="8" t="s">
        <v>217</v>
      </c>
      <c r="B149" s="4" t="s">
        <v>16</v>
      </c>
      <c r="C149" s="4" t="s">
        <v>17</v>
      </c>
      <c r="D149" s="17" t="s">
        <v>218</v>
      </c>
      <c r="E149" s="18">
        <v>8</v>
      </c>
      <c r="F149" s="19">
        <f>ROUND(14.91*(1+G2/100),2)</f>
        <v>14.91</v>
      </c>
      <c r="G149" s="19">
        <f>ROUND(E149*F149,2)</f>
        <v>119.28</v>
      </c>
    </row>
    <row r="150" spans="1:7" ht="12.2" customHeight="1" thickBot="1">
      <c r="A150" s="20"/>
      <c r="B150" s="20"/>
      <c r="C150" s="20"/>
      <c r="D150" s="48" t="s">
        <v>219</v>
      </c>
      <c r="E150" s="48"/>
      <c r="F150" s="48"/>
      <c r="G150" s="48"/>
    </row>
    <row r="151" spans="1:7" ht="21.4" customHeight="1" thickBot="1">
      <c r="A151" s="8" t="s">
        <v>220</v>
      </c>
      <c r="B151" s="4" t="s">
        <v>16</v>
      </c>
      <c r="C151" s="4" t="s">
        <v>17</v>
      </c>
      <c r="D151" s="17" t="s">
        <v>221</v>
      </c>
      <c r="E151" s="18">
        <v>2</v>
      </c>
      <c r="F151" s="19">
        <f>ROUND(25.12*(1+G2/100),2)</f>
        <v>25.12</v>
      </c>
      <c r="G151" s="19">
        <f>ROUND(E151*F151,2)</f>
        <v>50.24</v>
      </c>
    </row>
    <row r="152" spans="1:7" ht="21.4" customHeight="1" thickBot="1">
      <c r="A152" s="20"/>
      <c r="B152" s="20"/>
      <c r="C152" s="20"/>
      <c r="D152" s="48" t="s">
        <v>222</v>
      </c>
      <c r="E152" s="48"/>
      <c r="F152" s="48"/>
      <c r="G152" s="48"/>
    </row>
    <row r="153" spans="1:7" ht="15.6" customHeight="1" thickBot="1">
      <c r="A153" s="8" t="s">
        <v>223</v>
      </c>
      <c r="B153" s="4" t="s">
        <v>16</v>
      </c>
      <c r="C153" s="4" t="s">
        <v>17</v>
      </c>
      <c r="D153" s="17" t="s">
        <v>224</v>
      </c>
      <c r="E153" s="18">
        <v>38</v>
      </c>
      <c r="F153" s="19">
        <f>ROUND(25.25*(1+G2/100),2)</f>
        <v>25.25</v>
      </c>
      <c r="G153" s="19">
        <f>ROUND(E153*F153,2)</f>
        <v>959.5</v>
      </c>
    </row>
    <row r="154" spans="1:7" ht="30.6" customHeight="1" thickBot="1">
      <c r="A154" s="20"/>
      <c r="B154" s="20"/>
      <c r="C154" s="20"/>
      <c r="D154" s="48" t="s">
        <v>225</v>
      </c>
      <c r="E154" s="48"/>
      <c r="F154" s="48"/>
      <c r="G154" s="48"/>
    </row>
    <row r="155" spans="1:7" ht="15.6" customHeight="1" thickBot="1">
      <c r="A155" s="8" t="s">
        <v>226</v>
      </c>
      <c r="B155" s="4" t="s">
        <v>16</v>
      </c>
      <c r="C155" s="4" t="s">
        <v>17</v>
      </c>
      <c r="D155" s="17" t="s">
        <v>227</v>
      </c>
      <c r="E155" s="18">
        <v>4</v>
      </c>
      <c r="F155" s="19">
        <f>ROUND(62.41*(1+G2/100),2)</f>
        <v>62.41</v>
      </c>
      <c r="G155" s="19">
        <f>ROUND(E155*F155,2)</f>
        <v>249.64</v>
      </c>
    </row>
    <row r="156" spans="1:7" ht="30.6" customHeight="1" thickBot="1">
      <c r="A156" s="20"/>
      <c r="B156" s="20"/>
      <c r="C156" s="20"/>
      <c r="D156" s="48" t="s">
        <v>228</v>
      </c>
      <c r="E156" s="48"/>
      <c r="F156" s="48"/>
      <c r="G156" s="48"/>
    </row>
    <row r="157" spans="1:7" ht="15.6" customHeight="1" thickBot="1">
      <c r="A157" s="21"/>
      <c r="B157" s="21"/>
      <c r="C157" s="21"/>
      <c r="D157" s="33" t="s">
        <v>161</v>
      </c>
      <c r="E157" s="34"/>
      <c r="F157" s="35">
        <f>G109+G111+G113+G115+G117+G119+G121+G123+G125+G127+G129+G131+G133+G135+G137+G139+G141+G143+G145+G147+G149+G151+G153+G155</f>
        <v>51474.28</v>
      </c>
      <c r="G157" s="35">
        <f>ROUND(F157,2)</f>
        <v>51474.28</v>
      </c>
    </row>
    <row r="158" spans="1:7" ht="15.6" customHeight="1" thickBot="1">
      <c r="A158" s="36" t="s">
        <v>229</v>
      </c>
      <c r="B158" s="36" t="s">
        <v>12</v>
      </c>
      <c r="C158" s="37"/>
      <c r="D158" s="38" t="s">
        <v>230</v>
      </c>
      <c r="E158" s="37"/>
      <c r="F158" s="39">
        <f>F165</f>
        <v>2148.42</v>
      </c>
      <c r="G158" s="39">
        <f>ROUND(F158,2)</f>
        <v>2148.42</v>
      </c>
    </row>
    <row r="159" spans="1:7" ht="30.6" customHeight="1" thickBot="1">
      <c r="A159" s="8" t="s">
        <v>231</v>
      </c>
      <c r="B159" s="4" t="s">
        <v>16</v>
      </c>
      <c r="C159" s="4" t="s">
        <v>17</v>
      </c>
      <c r="D159" s="17" t="s">
        <v>232</v>
      </c>
      <c r="E159" s="18">
        <v>15</v>
      </c>
      <c r="F159" s="19">
        <f>ROUND(82.69*(1+G2/100),2)</f>
        <v>82.69</v>
      </c>
      <c r="G159" s="19">
        <f>ROUND(E159*F159,2)</f>
        <v>1240.3499999999999</v>
      </c>
    </row>
    <row r="160" spans="1:7" ht="21.4" customHeight="1" thickBot="1">
      <c r="A160" s="20"/>
      <c r="B160" s="20"/>
      <c r="C160" s="20"/>
      <c r="D160" s="48" t="s">
        <v>233</v>
      </c>
      <c r="E160" s="48"/>
      <c r="F160" s="48"/>
      <c r="G160" s="48"/>
    </row>
    <row r="161" spans="1:7" ht="21.4" customHeight="1" thickBot="1">
      <c r="A161" s="8" t="s">
        <v>234</v>
      </c>
      <c r="B161" s="4" t="s">
        <v>16</v>
      </c>
      <c r="C161" s="4" t="s">
        <v>17</v>
      </c>
      <c r="D161" s="17" t="s">
        <v>235</v>
      </c>
      <c r="E161" s="18">
        <v>3</v>
      </c>
      <c r="F161" s="19">
        <f>ROUND(84.92*(1+G2/100),2)</f>
        <v>84.92</v>
      </c>
      <c r="G161" s="19">
        <f>ROUND(E161*F161,2)</f>
        <v>254.76</v>
      </c>
    </row>
    <row r="162" spans="1:7" ht="21.4" customHeight="1" thickBot="1">
      <c r="A162" s="20"/>
      <c r="B162" s="20"/>
      <c r="C162" s="20"/>
      <c r="D162" s="48" t="s">
        <v>236</v>
      </c>
      <c r="E162" s="48"/>
      <c r="F162" s="48"/>
      <c r="G162" s="48"/>
    </row>
    <row r="163" spans="1:7" ht="15.6" customHeight="1" thickBot="1">
      <c r="A163" s="8" t="s">
        <v>237</v>
      </c>
      <c r="B163" s="4" t="s">
        <v>16</v>
      </c>
      <c r="C163" s="4" t="s">
        <v>17</v>
      </c>
      <c r="D163" s="17" t="s">
        <v>238</v>
      </c>
      <c r="E163" s="18">
        <v>17</v>
      </c>
      <c r="F163" s="19">
        <f>ROUND(38.43*(1+G2/100),2)</f>
        <v>38.43</v>
      </c>
      <c r="G163" s="19">
        <f>ROUND(E163*F163,2)</f>
        <v>653.30999999999995</v>
      </c>
    </row>
    <row r="164" spans="1:7" ht="39.75" customHeight="1" thickBot="1">
      <c r="A164" s="20"/>
      <c r="B164" s="20"/>
      <c r="C164" s="20"/>
      <c r="D164" s="48" t="s">
        <v>239</v>
      </c>
      <c r="E164" s="48"/>
      <c r="F164" s="48"/>
      <c r="G164" s="48"/>
    </row>
    <row r="165" spans="1:7" ht="15.6" customHeight="1" thickBot="1">
      <c r="A165" s="21"/>
      <c r="B165" s="21"/>
      <c r="C165" s="21"/>
      <c r="D165" s="33" t="s">
        <v>229</v>
      </c>
      <c r="E165" s="34"/>
      <c r="F165" s="35">
        <f>G159+G161+G163</f>
        <v>2148.42</v>
      </c>
      <c r="G165" s="35">
        <f>ROUND(F165,2)</f>
        <v>2148.42</v>
      </c>
    </row>
    <row r="166" spans="1:7" ht="15.6" customHeight="1" thickBot="1">
      <c r="A166" s="36" t="s">
        <v>240</v>
      </c>
      <c r="B166" s="36" t="s">
        <v>12</v>
      </c>
      <c r="C166" s="37"/>
      <c r="D166" s="38" t="s">
        <v>241</v>
      </c>
      <c r="E166" s="37"/>
      <c r="F166" s="39">
        <f>F175</f>
        <v>303.43</v>
      </c>
      <c r="G166" s="39">
        <f>ROUND(F166,2)</f>
        <v>303.43</v>
      </c>
    </row>
    <row r="167" spans="1:7" ht="21.4" customHeight="1" thickBot="1">
      <c r="A167" s="8" t="s">
        <v>242</v>
      </c>
      <c r="B167" s="4" t="s">
        <v>16</v>
      </c>
      <c r="C167" s="4" t="s">
        <v>17</v>
      </c>
      <c r="D167" s="17" t="s">
        <v>243</v>
      </c>
      <c r="E167" s="18">
        <v>1</v>
      </c>
      <c r="F167" s="19">
        <f>ROUND(67.3*(1+G2/100),2)</f>
        <v>67.3</v>
      </c>
      <c r="G167" s="19">
        <f>ROUND(E167*F167,2)</f>
        <v>67.3</v>
      </c>
    </row>
    <row r="168" spans="1:7" ht="12.2" customHeight="1" thickBot="1">
      <c r="A168" s="20"/>
      <c r="B168" s="20"/>
      <c r="C168" s="20"/>
      <c r="D168" s="48" t="s">
        <v>244</v>
      </c>
      <c r="E168" s="48"/>
      <c r="F168" s="48"/>
      <c r="G168" s="48"/>
    </row>
    <row r="169" spans="1:7" ht="15.6" customHeight="1" thickBot="1">
      <c r="A169" s="8" t="s">
        <v>245</v>
      </c>
      <c r="B169" s="4" t="s">
        <v>16</v>
      </c>
      <c r="C169" s="4" t="s">
        <v>17</v>
      </c>
      <c r="D169" s="17" t="s">
        <v>246</v>
      </c>
      <c r="E169" s="18">
        <v>1</v>
      </c>
      <c r="F169" s="19">
        <f>ROUND(110.03*(1+G2/100),2)</f>
        <v>110.03</v>
      </c>
      <c r="G169" s="19">
        <f>ROUND(E169*F169,2)</f>
        <v>110.03</v>
      </c>
    </row>
    <row r="170" spans="1:7" ht="12.2" customHeight="1" thickBot="1">
      <c r="A170" s="20"/>
      <c r="B170" s="20"/>
      <c r="C170" s="20"/>
      <c r="D170" s="48" t="s">
        <v>247</v>
      </c>
      <c r="E170" s="48"/>
      <c r="F170" s="48"/>
      <c r="G170" s="48"/>
    </row>
    <row r="171" spans="1:7" ht="21.4" customHeight="1" thickBot="1">
      <c r="A171" s="8" t="s">
        <v>248</v>
      </c>
      <c r="B171" s="4" t="s">
        <v>16</v>
      </c>
      <c r="C171" s="4" t="s">
        <v>17</v>
      </c>
      <c r="D171" s="17" t="s">
        <v>249</v>
      </c>
      <c r="E171" s="18">
        <v>1</v>
      </c>
      <c r="F171" s="19">
        <f>ROUND(10.46*(1+G2/100),2)</f>
        <v>10.46</v>
      </c>
      <c r="G171" s="19">
        <f>ROUND(E171*F171,2)</f>
        <v>10.46</v>
      </c>
    </row>
    <row r="172" spans="1:7" ht="21.4" customHeight="1" thickBot="1">
      <c r="A172" s="20"/>
      <c r="B172" s="20"/>
      <c r="C172" s="20"/>
      <c r="D172" s="48" t="s">
        <v>250</v>
      </c>
      <c r="E172" s="48"/>
      <c r="F172" s="48"/>
      <c r="G172" s="48"/>
    </row>
    <row r="173" spans="1:7" ht="15.6" customHeight="1" thickBot="1">
      <c r="A173" s="8" t="s">
        <v>251</v>
      </c>
      <c r="B173" s="4" t="s">
        <v>16</v>
      </c>
      <c r="C173" s="4" t="s">
        <v>35</v>
      </c>
      <c r="D173" s="17" t="s">
        <v>252</v>
      </c>
      <c r="E173" s="18">
        <v>0.4</v>
      </c>
      <c r="F173" s="19">
        <f>ROUND(289.11*(1+G2/100),2)</f>
        <v>289.11</v>
      </c>
      <c r="G173" s="19">
        <f>ROUND(E173*F173,2)</f>
        <v>115.64</v>
      </c>
    </row>
    <row r="174" spans="1:7" ht="12.2" customHeight="1" thickBot="1">
      <c r="A174" s="20"/>
      <c r="B174" s="20"/>
      <c r="C174" s="20"/>
      <c r="D174" s="48" t="s">
        <v>253</v>
      </c>
      <c r="E174" s="48"/>
      <c r="F174" s="48"/>
      <c r="G174" s="48"/>
    </row>
    <row r="175" spans="1:7" ht="15.6" customHeight="1" thickBot="1">
      <c r="A175" s="21"/>
      <c r="B175" s="21"/>
      <c r="C175" s="21"/>
      <c r="D175" s="33" t="s">
        <v>240</v>
      </c>
      <c r="E175" s="34"/>
      <c r="F175" s="35">
        <f>G167+G169+G171+G173</f>
        <v>303.43</v>
      </c>
      <c r="G175" s="35">
        <f>ROUND(F175,2)</f>
        <v>303.43</v>
      </c>
    </row>
    <row r="176" spans="1:7" ht="15.6" customHeight="1" thickBot="1">
      <c r="A176" s="36" t="s">
        <v>254</v>
      </c>
      <c r="B176" s="36" t="s">
        <v>12</v>
      </c>
      <c r="C176" s="37"/>
      <c r="D176" s="38" t="s">
        <v>255</v>
      </c>
      <c r="E176" s="37"/>
      <c r="F176" s="39">
        <f>F181</f>
        <v>418.5</v>
      </c>
      <c r="G176" s="39">
        <f>ROUND(F176,2)</f>
        <v>418.5</v>
      </c>
    </row>
    <row r="177" spans="1:7" ht="21.4" customHeight="1" thickBot="1">
      <c r="A177" s="8" t="s">
        <v>256</v>
      </c>
      <c r="B177" s="4" t="s">
        <v>16</v>
      </c>
      <c r="C177" s="4" t="s">
        <v>23</v>
      </c>
      <c r="D177" s="17" t="s">
        <v>257</v>
      </c>
      <c r="E177" s="18">
        <v>10.563000000000001</v>
      </c>
      <c r="F177" s="19">
        <f>ROUND(13.77*(1+G2/100),2)</f>
        <v>13.77</v>
      </c>
      <c r="G177" s="19">
        <f>ROUND(E177*F177,2)</f>
        <v>145.44999999999999</v>
      </c>
    </row>
    <row r="178" spans="1:7" ht="21.4" customHeight="1" thickBot="1">
      <c r="A178" s="20"/>
      <c r="B178" s="20"/>
      <c r="C178" s="20"/>
      <c r="D178" s="48" t="s">
        <v>258</v>
      </c>
      <c r="E178" s="48"/>
      <c r="F178" s="48"/>
      <c r="G178" s="48"/>
    </row>
    <row r="179" spans="1:7" ht="39.75" customHeight="1" thickBot="1">
      <c r="A179" s="8" t="s">
        <v>29</v>
      </c>
      <c r="B179" s="4" t="s">
        <v>16</v>
      </c>
      <c r="C179" s="4" t="s">
        <v>23</v>
      </c>
      <c r="D179" s="17" t="s">
        <v>30</v>
      </c>
      <c r="E179" s="18">
        <v>10.563000000000001</v>
      </c>
      <c r="F179" s="19">
        <f>ROUND(25.85*(1+G2/100),2)</f>
        <v>25.85</v>
      </c>
      <c r="G179" s="19">
        <f>ROUND(E179*F179,2)</f>
        <v>273.05</v>
      </c>
    </row>
    <row r="180" spans="1:7" ht="21.4" customHeight="1" thickBot="1">
      <c r="A180" s="20"/>
      <c r="B180" s="20"/>
      <c r="C180" s="20"/>
      <c r="D180" s="48" t="s">
        <v>31</v>
      </c>
      <c r="E180" s="48"/>
      <c r="F180" s="48"/>
      <c r="G180" s="48"/>
    </row>
    <row r="181" spans="1:7" ht="15.6" customHeight="1" thickBot="1">
      <c r="A181" s="21"/>
      <c r="B181" s="21"/>
      <c r="C181" s="21"/>
      <c r="D181" s="33" t="s">
        <v>254</v>
      </c>
      <c r="E181" s="34"/>
      <c r="F181" s="35">
        <f>G177+G179</f>
        <v>418.5</v>
      </c>
      <c r="G181" s="35">
        <f>ROUND(F181,2)</f>
        <v>418.5</v>
      </c>
    </row>
    <row r="182" spans="1:7" ht="15.6" customHeight="1" thickBot="1">
      <c r="A182" s="40"/>
      <c r="B182" s="40"/>
      <c r="C182" s="40"/>
      <c r="D182" s="41" t="s">
        <v>93</v>
      </c>
      <c r="E182" s="42"/>
      <c r="F182" s="43">
        <f>G71+G101+G107+G157+G165+G175+G181</f>
        <v>111730.02999999998</v>
      </c>
      <c r="G182" s="43">
        <f>ROUND(F182,2)</f>
        <v>111730.03</v>
      </c>
    </row>
    <row r="183" spans="1:7" ht="15.6" customHeight="1" thickBot="1">
      <c r="A183" s="25" t="s">
        <v>259</v>
      </c>
      <c r="B183" s="25" t="s">
        <v>12</v>
      </c>
      <c r="C183" s="26"/>
      <c r="D183" s="27" t="s">
        <v>260</v>
      </c>
      <c r="E183" s="26"/>
      <c r="F183" s="28">
        <f>F188</f>
        <v>2390</v>
      </c>
      <c r="G183" s="28">
        <f>ROUND(F183,2)</f>
        <v>2390</v>
      </c>
    </row>
    <row r="184" spans="1:7" ht="21.4" customHeight="1" thickBot="1">
      <c r="A184" s="8" t="s">
        <v>261</v>
      </c>
      <c r="B184" s="4" t="s">
        <v>16</v>
      </c>
      <c r="C184" s="4" t="s">
        <v>17</v>
      </c>
      <c r="D184" s="17" t="s">
        <v>262</v>
      </c>
      <c r="E184" s="18">
        <v>1</v>
      </c>
      <c r="F184" s="19">
        <f>ROUND(1115*(1+G2/100),2)</f>
        <v>1115</v>
      </c>
      <c r="G184" s="19">
        <f>ROUND(E184*F184,2)</f>
        <v>1115</v>
      </c>
    </row>
    <row r="185" spans="1:7" ht="30.6" customHeight="1" thickBot="1">
      <c r="A185" s="20"/>
      <c r="B185" s="20"/>
      <c r="C185" s="20"/>
      <c r="D185" s="48" t="s">
        <v>263</v>
      </c>
      <c r="E185" s="48"/>
      <c r="F185" s="48"/>
      <c r="G185" s="48"/>
    </row>
    <row r="186" spans="1:7" ht="21.4" customHeight="1" thickBot="1">
      <c r="A186" s="8" t="s">
        <v>264</v>
      </c>
      <c r="B186" s="4" t="s">
        <v>16</v>
      </c>
      <c r="C186" s="4" t="s">
        <v>17</v>
      </c>
      <c r="D186" s="17" t="s">
        <v>265</v>
      </c>
      <c r="E186" s="18">
        <v>1</v>
      </c>
      <c r="F186" s="19">
        <f>ROUND(1275*(1+G2/100),2)</f>
        <v>1275</v>
      </c>
      <c r="G186" s="19">
        <f>ROUND(E186*F186,2)</f>
        <v>1275</v>
      </c>
    </row>
    <row r="187" spans="1:7" ht="30.6" customHeight="1" thickBot="1">
      <c r="A187" s="20"/>
      <c r="B187" s="20"/>
      <c r="C187" s="20"/>
      <c r="D187" s="48" t="s">
        <v>266</v>
      </c>
      <c r="E187" s="48"/>
      <c r="F187" s="48"/>
      <c r="G187" s="48"/>
    </row>
    <row r="188" spans="1:7" ht="15.6" customHeight="1" thickBot="1">
      <c r="A188" s="21"/>
      <c r="B188" s="21"/>
      <c r="C188" s="21"/>
      <c r="D188" s="22" t="s">
        <v>259</v>
      </c>
      <c r="E188" s="23"/>
      <c r="F188" s="24">
        <f>G184+G186</f>
        <v>2390</v>
      </c>
      <c r="G188" s="24">
        <f>ROUND(F188,2)</f>
        <v>2390</v>
      </c>
    </row>
    <row r="189" spans="1:7" ht="15.6" customHeight="1" thickBot="1">
      <c r="A189" s="25" t="s">
        <v>267</v>
      </c>
      <c r="B189" s="25" t="s">
        <v>12</v>
      </c>
      <c r="C189" s="26"/>
      <c r="D189" s="27" t="s">
        <v>268</v>
      </c>
      <c r="E189" s="26"/>
      <c r="F189" s="28">
        <f>F202</f>
        <v>4474.9699999999993</v>
      </c>
      <c r="G189" s="28">
        <f>ROUND(F189,2)</f>
        <v>4474.97</v>
      </c>
    </row>
    <row r="190" spans="1:7" ht="30.6" customHeight="1" thickBot="1">
      <c r="A190" s="8" t="s">
        <v>269</v>
      </c>
      <c r="B190" s="4" t="s">
        <v>16</v>
      </c>
      <c r="C190" s="4" t="s">
        <v>17</v>
      </c>
      <c r="D190" s="17" t="s">
        <v>270</v>
      </c>
      <c r="E190" s="18">
        <v>10</v>
      </c>
      <c r="F190" s="19">
        <f>ROUND(91.46*(1+G2/100),2)</f>
        <v>91.46</v>
      </c>
      <c r="G190" s="19">
        <f>ROUND(E190*F190,2)</f>
        <v>914.6</v>
      </c>
    </row>
    <row r="191" spans="1:7" ht="21.4" customHeight="1" thickBot="1">
      <c r="A191" s="20"/>
      <c r="B191" s="20"/>
      <c r="C191" s="20"/>
      <c r="D191" s="48" t="s">
        <v>271</v>
      </c>
      <c r="E191" s="48"/>
      <c r="F191" s="48"/>
      <c r="G191" s="48"/>
    </row>
    <row r="192" spans="1:7" ht="30.6" customHeight="1" thickBot="1">
      <c r="A192" s="8" t="s">
        <v>272</v>
      </c>
      <c r="B192" s="4" t="s">
        <v>16</v>
      </c>
      <c r="C192" s="4" t="s">
        <v>17</v>
      </c>
      <c r="D192" s="17" t="s">
        <v>273</v>
      </c>
      <c r="E192" s="18">
        <v>6</v>
      </c>
      <c r="F192" s="19">
        <f>ROUND(65.5*(1+G2/100),2)</f>
        <v>65.5</v>
      </c>
      <c r="G192" s="19">
        <f>ROUND(E192*F192,2)</f>
        <v>393</v>
      </c>
    </row>
    <row r="193" spans="1:7" ht="21.4" customHeight="1" thickBot="1">
      <c r="A193" s="20"/>
      <c r="B193" s="20"/>
      <c r="C193" s="20"/>
      <c r="D193" s="48" t="s">
        <v>273</v>
      </c>
      <c r="E193" s="48"/>
      <c r="F193" s="48"/>
      <c r="G193" s="48"/>
    </row>
    <row r="194" spans="1:7" ht="21.4" customHeight="1" thickBot="1">
      <c r="A194" s="8" t="s">
        <v>274</v>
      </c>
      <c r="B194" s="4" t="s">
        <v>16</v>
      </c>
      <c r="C194" s="4" t="s">
        <v>275</v>
      </c>
      <c r="D194" s="17" t="s">
        <v>276</v>
      </c>
      <c r="E194" s="18">
        <v>1</v>
      </c>
      <c r="F194" s="19">
        <f>ROUND(450*(1+G2/100),2)</f>
        <v>450</v>
      </c>
      <c r="G194" s="19">
        <f>ROUND(E194*F194,2)</f>
        <v>450</v>
      </c>
    </row>
    <row r="195" spans="1:7" ht="21.4" customHeight="1" thickBot="1">
      <c r="A195" s="20"/>
      <c r="B195" s="20"/>
      <c r="C195" s="20"/>
      <c r="D195" s="48" t="s">
        <v>277</v>
      </c>
      <c r="E195" s="48"/>
      <c r="F195" s="48"/>
      <c r="G195" s="48"/>
    </row>
    <row r="196" spans="1:7" ht="21.4" customHeight="1" thickBot="1">
      <c r="A196" s="8" t="s">
        <v>278</v>
      </c>
      <c r="B196" s="4" t="s">
        <v>16</v>
      </c>
      <c r="C196" s="4" t="s">
        <v>17</v>
      </c>
      <c r="D196" s="17" t="s">
        <v>279</v>
      </c>
      <c r="E196" s="18">
        <v>1</v>
      </c>
      <c r="F196" s="19">
        <f>ROUND(650*(1+G2/100),2)</f>
        <v>650</v>
      </c>
      <c r="G196" s="19">
        <f>ROUND(E196*F196,2)</f>
        <v>650</v>
      </c>
    </row>
    <row r="197" spans="1:7" ht="12.2" customHeight="1" thickBot="1">
      <c r="A197" s="20"/>
      <c r="B197" s="20"/>
      <c r="C197" s="20"/>
      <c r="D197" s="48" t="s">
        <v>279</v>
      </c>
      <c r="E197" s="48"/>
      <c r="F197" s="48"/>
      <c r="G197" s="48"/>
    </row>
    <row r="198" spans="1:7" ht="39.75" customHeight="1" thickBot="1">
      <c r="A198" s="8" t="s">
        <v>280</v>
      </c>
      <c r="B198" s="4" t="s">
        <v>16</v>
      </c>
      <c r="C198" s="4" t="s">
        <v>17</v>
      </c>
      <c r="D198" s="17" t="s">
        <v>281</v>
      </c>
      <c r="E198" s="18">
        <v>1</v>
      </c>
      <c r="F198" s="19">
        <f>ROUND(250*(1+G2/100),2)</f>
        <v>250</v>
      </c>
      <c r="G198" s="19">
        <f>ROUND(E198*F198,2)</f>
        <v>250</v>
      </c>
    </row>
    <row r="199" spans="1:7" ht="21.4" customHeight="1" thickBot="1">
      <c r="A199" s="20"/>
      <c r="B199" s="20"/>
      <c r="C199" s="20"/>
      <c r="D199" s="48" t="s">
        <v>281</v>
      </c>
      <c r="E199" s="48"/>
      <c r="F199" s="48"/>
      <c r="G199" s="48"/>
    </row>
    <row r="200" spans="1:7" ht="21.4" customHeight="1" thickBot="1">
      <c r="A200" s="8" t="s">
        <v>282</v>
      </c>
      <c r="B200" s="4" t="s">
        <v>16</v>
      </c>
      <c r="C200" s="4" t="s">
        <v>17</v>
      </c>
      <c r="D200" s="17" t="s">
        <v>283</v>
      </c>
      <c r="E200" s="18">
        <v>1</v>
      </c>
      <c r="F200" s="19">
        <f>ROUND(1817.37*(1+G2/100),2)</f>
        <v>1817.37</v>
      </c>
      <c r="G200" s="19">
        <f>ROUND(E200*F200,2)</f>
        <v>1817.37</v>
      </c>
    </row>
    <row r="201" spans="1:7" ht="12.2" customHeight="1" thickBot="1">
      <c r="A201" s="20"/>
      <c r="B201" s="20"/>
      <c r="C201" s="20"/>
      <c r="D201" s="48" t="s">
        <v>284</v>
      </c>
      <c r="E201" s="48"/>
      <c r="F201" s="48"/>
      <c r="G201" s="48"/>
    </row>
    <row r="202" spans="1:7" ht="15.6" customHeight="1" thickBot="1">
      <c r="A202" s="21"/>
      <c r="B202" s="21"/>
      <c r="C202" s="21"/>
      <c r="D202" s="22" t="s">
        <v>267</v>
      </c>
      <c r="E202" s="23"/>
      <c r="F202" s="24">
        <f>G190+G192+G194+G196+G198+G200</f>
        <v>4474.9699999999993</v>
      </c>
      <c r="G202" s="24">
        <f>ROUND(F202,2)</f>
        <v>4474.97</v>
      </c>
    </row>
    <row r="203" spans="1:7" ht="15.6" customHeight="1" thickBot="1">
      <c r="A203" s="25" t="s">
        <v>285</v>
      </c>
      <c r="B203" s="25" t="s">
        <v>12</v>
      </c>
      <c r="C203" s="26"/>
      <c r="D203" s="27" t="s">
        <v>286</v>
      </c>
      <c r="E203" s="26"/>
      <c r="F203" s="28">
        <f>F206</f>
        <v>1380</v>
      </c>
      <c r="G203" s="28">
        <f>ROUND(F203,2)</f>
        <v>1380</v>
      </c>
    </row>
    <row r="204" spans="1:7" ht="21.4" customHeight="1" thickBot="1">
      <c r="A204" s="8" t="s">
        <v>287</v>
      </c>
      <c r="B204" s="4" t="s">
        <v>16</v>
      </c>
      <c r="C204" s="4" t="s">
        <v>275</v>
      </c>
      <c r="D204" s="17" t="s">
        <v>288</v>
      </c>
      <c r="E204" s="18">
        <v>1</v>
      </c>
      <c r="F204" s="19">
        <f>ROUND(1380*(1+G2/100),2)</f>
        <v>1380</v>
      </c>
      <c r="G204" s="19">
        <f>ROUND(E204*F204,2)</f>
        <v>1380</v>
      </c>
    </row>
    <row r="205" spans="1:7" ht="39.75" customHeight="1" thickBot="1">
      <c r="A205" s="20"/>
      <c r="B205" s="20"/>
      <c r="C205" s="20"/>
      <c r="D205" s="48" t="s">
        <v>289</v>
      </c>
      <c r="E205" s="48"/>
      <c r="F205" s="48"/>
      <c r="G205" s="48"/>
    </row>
    <row r="206" spans="1:7" ht="15.6" customHeight="1" thickBot="1">
      <c r="A206" s="21"/>
      <c r="B206" s="21"/>
      <c r="C206" s="21"/>
      <c r="D206" s="22" t="s">
        <v>285</v>
      </c>
      <c r="E206" s="23"/>
      <c r="F206" s="24">
        <f>G204</f>
        <v>1380</v>
      </c>
      <c r="G206" s="24">
        <f>ROUND(F206,2)</f>
        <v>1380</v>
      </c>
    </row>
    <row r="207" spans="1:7" ht="15.6" customHeight="1" thickBot="1">
      <c r="A207" s="40"/>
      <c r="B207" s="40"/>
      <c r="C207" s="40"/>
      <c r="D207" s="44" t="s">
        <v>11</v>
      </c>
      <c r="E207" s="45"/>
      <c r="F207" s="46">
        <f>G8+G16+G26+G32+G42+G58+G182+G188+G202+G206</f>
        <v>144273.36000000002</v>
      </c>
      <c r="G207" s="46">
        <f>ROUND(F207,2)</f>
        <v>144273.35999999999</v>
      </c>
    </row>
  </sheetData>
  <mergeCells count="86">
    <mergeCell ref="D205:G205"/>
    <mergeCell ref="D193:G193"/>
    <mergeCell ref="D195:G195"/>
    <mergeCell ref="D197:G197"/>
    <mergeCell ref="D199:G199"/>
    <mergeCell ref="D201:G201"/>
    <mergeCell ref="D178:G178"/>
    <mergeCell ref="D180:G180"/>
    <mergeCell ref="D185:G185"/>
    <mergeCell ref="D187:G187"/>
    <mergeCell ref="D191:G191"/>
    <mergeCell ref="D164:G164"/>
    <mergeCell ref="D168:G168"/>
    <mergeCell ref="D170:G170"/>
    <mergeCell ref="D172:G172"/>
    <mergeCell ref="D174:G174"/>
    <mergeCell ref="D152:G152"/>
    <mergeCell ref="D154:G154"/>
    <mergeCell ref="D156:G156"/>
    <mergeCell ref="D160:G160"/>
    <mergeCell ref="D162:G162"/>
    <mergeCell ref="D142:G142"/>
    <mergeCell ref="D144:G144"/>
    <mergeCell ref="D146:G146"/>
    <mergeCell ref="D148:G148"/>
    <mergeCell ref="D150:G150"/>
    <mergeCell ref="D132:G132"/>
    <mergeCell ref="D134:G134"/>
    <mergeCell ref="D136:G136"/>
    <mergeCell ref="D138:G138"/>
    <mergeCell ref="D140:G140"/>
    <mergeCell ref="D122:G122"/>
    <mergeCell ref="D124:G124"/>
    <mergeCell ref="D126:G126"/>
    <mergeCell ref="D128:G128"/>
    <mergeCell ref="D130:G130"/>
    <mergeCell ref="D112:G112"/>
    <mergeCell ref="D114:G114"/>
    <mergeCell ref="D116:G116"/>
    <mergeCell ref="D118:G118"/>
    <mergeCell ref="D120:G120"/>
    <mergeCell ref="D98:G98"/>
    <mergeCell ref="D100:G100"/>
    <mergeCell ref="D104:G104"/>
    <mergeCell ref="D106:G106"/>
    <mergeCell ref="D110:G110"/>
    <mergeCell ref="D88:G88"/>
    <mergeCell ref="D90:G90"/>
    <mergeCell ref="D92:G92"/>
    <mergeCell ref="D94:G94"/>
    <mergeCell ref="D96:G96"/>
    <mergeCell ref="D78:G78"/>
    <mergeCell ref="D80:G80"/>
    <mergeCell ref="D82:G82"/>
    <mergeCell ref="D84:G84"/>
    <mergeCell ref="D86:G86"/>
    <mergeCell ref="D66:G66"/>
    <mergeCell ref="D68:G68"/>
    <mergeCell ref="D70:G70"/>
    <mergeCell ref="D74:G74"/>
    <mergeCell ref="D76:G76"/>
    <mergeCell ref="D53:G53"/>
    <mergeCell ref="D55:G55"/>
    <mergeCell ref="D57:G57"/>
    <mergeCell ref="D62:G62"/>
    <mergeCell ref="D64:G64"/>
    <mergeCell ref="D41:G41"/>
    <mergeCell ref="D45:G45"/>
    <mergeCell ref="D47:G47"/>
    <mergeCell ref="D49:G49"/>
    <mergeCell ref="D51:G51"/>
    <mergeCell ref="D29:G29"/>
    <mergeCell ref="D31:G31"/>
    <mergeCell ref="D35:G35"/>
    <mergeCell ref="D37:G37"/>
    <mergeCell ref="D39:G39"/>
    <mergeCell ref="D15:G15"/>
    <mergeCell ref="D19:G19"/>
    <mergeCell ref="D21:G21"/>
    <mergeCell ref="D23:G23"/>
    <mergeCell ref="D25:G25"/>
    <mergeCell ref="B1:G1"/>
    <mergeCell ref="A2:C2"/>
    <mergeCell ref="D7:G7"/>
    <mergeCell ref="D11:G11"/>
    <mergeCell ref="D13:G13"/>
  </mergeCells>
  <pageMargins left="0.62007900000000005" right="0.472441" top="0.472441" bottom="0.472441" header="0" footer="0"/>
  <pageSetup paperSize="9" orientation="landscape" r:id="rId1"/>
  <rowBreaks count="2" manualBreakCount="2">
    <brk max="16383" man="1"/>
    <brk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3d05c850-7178-4795-a811-e1b5fefbfcba" xsi:nil="true"/>
    <lcf76f155ced4ddcb4097134ff3c332f xmlns="48bd9967-9f07-4965-b0a3-6b12db914af3">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E75DF671B6C40241BE905647FFFB84EC" ma:contentTypeVersion="18" ma:contentTypeDescription="Crea un document nou" ma:contentTypeScope="" ma:versionID="49117ae6efbe89a7070a9bd233638c98">
  <xsd:schema xmlns:xsd="http://www.w3.org/2001/XMLSchema" xmlns:xs="http://www.w3.org/2001/XMLSchema" xmlns:p="http://schemas.microsoft.com/office/2006/metadata/properties" xmlns:ns2="48bd9967-9f07-4965-b0a3-6b12db914af3" xmlns:ns3="3d05c850-7178-4795-a811-e1b5fefbfcba" targetNamespace="http://schemas.microsoft.com/office/2006/metadata/properties" ma:root="true" ma:fieldsID="1c0b5a0f5c4bd41bfa27c633da30bff1" ns2:_="" ns3:_="">
    <xsd:import namespace="48bd9967-9f07-4965-b0a3-6b12db914af3"/>
    <xsd:import namespace="3d05c850-7178-4795-a811-e1b5fefbfcba"/>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LengthInSeconds" minOccurs="0"/>
                <xsd:element ref="ns2:MediaServiceAutoKeyPoints" minOccurs="0"/>
                <xsd:element ref="ns2:MediaServiceKeyPoints" minOccurs="0"/>
                <xsd:element ref="ns2:MediaServiceOCR" minOccurs="0"/>
                <xsd:element ref="ns2:MediaServiceGenerationTime" minOccurs="0"/>
                <xsd:element ref="ns2:MediaServiceEventHashCode" minOccurs="0"/>
                <xsd:element ref="ns2:MediaServiceLocation" minOccurs="0"/>
                <xsd:element ref="ns2:lcf76f155ced4ddcb4097134ff3c332f" minOccurs="0"/>
                <xsd:element ref="ns3:TaxCatchAll"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8bd9967-9f07-4965-b0a3-6b12db914af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lcf76f155ced4ddcb4097134ff3c332f" ma:index="20" nillable="true" ma:taxonomy="true" ma:internalName="lcf76f155ced4ddcb4097134ff3c332f" ma:taxonomyFieldName="MediaServiceImageTags" ma:displayName="Etiquetes de la imatge" ma:readOnly="false" ma:fieldId="{5cf76f15-5ced-4ddc-b409-7134ff3c332f}" ma:taxonomyMulti="true" ma:sspId="34c01127-bdf0-454e-9077-a20ba63b60e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d05c850-7178-4795-a811-e1b5fefbfcba"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54a304de-0cc7-4efb-8e73-915d11a8a248}" ma:internalName="TaxCatchAll" ma:showField="CatchAllData" ma:web="3d05c850-7178-4795-a811-e1b5fefbfcba">
      <xsd:complexType>
        <xsd:complexContent>
          <xsd:extension base="dms:MultiChoiceLookup">
            <xsd:sequence>
              <xsd:element name="Value" type="dms:Lookup" maxOccurs="unbounded" minOccurs="0" nillable="true"/>
            </xsd:sequence>
          </xsd:extension>
        </xsd:complexContent>
      </xsd:complexType>
    </xsd:element>
    <xsd:element name="SharedWithUsers" ma:index="22" nillable="true" ma:displayName="Compartit amb"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3" nillable="true" ma:displayName="S'ha compartit amb detal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us de contingut"/>
        <xsd:element ref="dc:title" minOccurs="0" maxOccurs="1" ma:index="4" ma:displayName="Títo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5279582-F8FA-401F-A74C-BA4CC5154AD6}"/>
</file>

<file path=customXml/itemProps2.xml><?xml version="1.0" encoding="utf-8"?>
<ds:datastoreItem xmlns:ds="http://schemas.openxmlformats.org/officeDocument/2006/customXml" ds:itemID="{B1B834A8-EF3F-453A-B5FD-16BDC5948702}"/>
</file>

<file path=customXml/itemProps3.xml><?xml version="1.0" encoding="utf-8"?>
<ds:datastoreItem xmlns:ds="http://schemas.openxmlformats.org/officeDocument/2006/customXml" ds:itemID="{826F8FDE-28EF-4D8E-9433-F0303913BC70}"/>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2026-03-02T14:00:57Z</dcterms:created>
  <dcterms:modified xsi:type="dcterms:W3CDTF">2026-03-06T16:22:50Z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0x010100E75DF671B6C40241BE905647FFFB84EC</vt:lpwstr>
  </property>
  <property fmtid="{D5CDD505-2E9C-101B-9397-08002B2CF9AE}" pid="3" name="MediaServiceImageTags">
    <vt:lpwstr/>
  </property>
</Properties>
</file>