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jbcn.sharepoint.com/sites/EquipDretsSocials/Documentos compartidos/Contractació, proveïdors i factures/2025/S0059. Nou contracte implantació Salesforce/"/>
    </mc:Choice>
  </mc:AlternateContent>
  <xr:revisionPtr revIDLastSave="579" documentId="8_{682149A5-97F7-4A24-84EC-7D78483142F6}" xr6:coauthVersionLast="47" xr6:coauthVersionMax="47" xr10:uidLastSave="{1B6C17B4-E3CF-436A-A78C-7B9DD929DE27}"/>
  <bookViews>
    <workbookView xWindow="-48" yWindow="-48" windowWidth="23136" windowHeight="12456" xr2:uid="{00000000-000D-0000-FFFF-FFFF00000000}"/>
  </bookViews>
  <sheets>
    <sheet name="Dimensionament contracte" sheetId="13" r:id="rId1"/>
    <sheet name="Pla de releases" sheetId="14" r:id="rId2"/>
    <sheet name="Fites facturació" sheetId="20" r:id="rId3"/>
    <sheet name="Càlcul pressupost manteniment" sheetId="23" r:id="rId4"/>
    <sheet name="Perfils manteniment" sheetId="24" r:id="rId5"/>
    <sheet name="Model tallatge" sheetId="17" r:id="rId6"/>
    <sheet name="Tallatge èpiques" sheetId="18" r:id="rId7"/>
    <sheet name="Taules IJ" sheetId="19" r:id="rId8"/>
    <sheet name="Costos directes-indirectes" sheetId="25" r:id="rId9"/>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7" l="1"/>
  <c r="L40" i="17"/>
  <c r="M40" i="17"/>
  <c r="N40" i="17"/>
  <c r="K41" i="17"/>
  <c r="L41" i="17"/>
  <c r="M41" i="17"/>
  <c r="N41" i="17"/>
  <c r="K42" i="17"/>
  <c r="L42" i="17"/>
  <c r="M42" i="17"/>
  <c r="N42" i="17"/>
  <c r="K43" i="17"/>
  <c r="L43" i="17"/>
  <c r="M43" i="17"/>
  <c r="N43" i="17"/>
  <c r="K44" i="17"/>
  <c r="L44" i="17"/>
  <c r="M44" i="17"/>
  <c r="N44" i="17"/>
  <c r="J46" i="17"/>
  <c r="N39" i="17"/>
  <c r="B14" i="20"/>
  <c r="C14" i="20"/>
  <c r="C17" i="20" s="1"/>
  <c r="N14" i="20"/>
  <c r="O14" i="20"/>
  <c r="O19" i="20"/>
  <c r="N19" i="20" s="1"/>
  <c r="O21" i="20"/>
  <c r="N21" i="20" s="1"/>
  <c r="N20" i="20" s="1"/>
  <c r="O22" i="20"/>
  <c r="N22" i="20" s="1"/>
  <c r="O24" i="20"/>
  <c r="O23" i="20" s="1"/>
  <c r="O25" i="20"/>
  <c r="N25" i="20" s="1"/>
  <c r="C19" i="19"/>
  <c r="B19" i="19"/>
  <c r="C18" i="19"/>
  <c r="B18" i="19"/>
  <c r="C17" i="19"/>
  <c r="B17" i="19"/>
  <c r="C16" i="19"/>
  <c r="B16" i="19"/>
  <c r="C15" i="19"/>
  <c r="B15" i="19"/>
  <c r="AF15" i="20"/>
  <c r="N8" i="19"/>
  <c r="O8" i="19" s="1"/>
  <c r="F36" i="19"/>
  <c r="E36" i="19"/>
  <c r="B9" i="19"/>
  <c r="C9" i="19"/>
  <c r="L9" i="19"/>
  <c r="I9" i="19"/>
  <c r="F9" i="19"/>
  <c r="L8" i="19"/>
  <c r="L7" i="19"/>
  <c r="L6" i="19"/>
  <c r="I8" i="19"/>
  <c r="I7" i="19"/>
  <c r="I6" i="19"/>
  <c r="F8" i="19"/>
  <c r="F7" i="19"/>
  <c r="F6" i="19"/>
  <c r="C8" i="19"/>
  <c r="C7" i="19"/>
  <c r="C6" i="19"/>
  <c r="D6" i="19"/>
  <c r="D7" i="19"/>
  <c r="D8" i="19"/>
  <c r="C13" i="20"/>
  <c r="B13" i="20"/>
  <c r="C15" i="20"/>
  <c r="B15" i="20"/>
  <c r="AA14" i="20"/>
  <c r="Z14" i="20"/>
  <c r="N6" i="19"/>
  <c r="O6" i="19" s="1"/>
  <c r="N7" i="19"/>
  <c r="O7" i="19"/>
  <c r="Z8" i="20"/>
  <c r="AA13" i="20"/>
  <c r="Z13" i="20"/>
  <c r="AC14" i="20"/>
  <c r="AD14" i="20"/>
  <c r="AD13" i="20"/>
  <c r="AC13" i="20"/>
  <c r="AF13" i="20"/>
  <c r="AG13" i="20"/>
  <c r="AA15" i="20"/>
  <c r="Z15" i="20"/>
  <c r="AD15" i="20"/>
  <c r="AC15" i="20"/>
  <c r="AF16" i="20"/>
  <c r="AG15" i="20"/>
  <c r="AG16" i="20"/>
  <c r="AD16" i="20"/>
  <c r="AC16" i="20" s="1"/>
  <c r="C16" i="20"/>
  <c r="B16" i="20" s="1"/>
  <c r="O16" i="20"/>
  <c r="N16" i="20" s="1"/>
  <c r="C28" i="20"/>
  <c r="B28" i="20" s="1"/>
  <c r="C27" i="20"/>
  <c r="B27" i="20" s="1"/>
  <c r="C25" i="20"/>
  <c r="B25" i="20" s="1"/>
  <c r="C24" i="20"/>
  <c r="B24" i="20" s="1"/>
  <c r="C22" i="20"/>
  <c r="B22" i="20" s="1"/>
  <c r="C21" i="20"/>
  <c r="B21" i="20" s="1"/>
  <c r="C18" i="20"/>
  <c r="B18" i="20" s="1"/>
  <c r="O18" i="20"/>
  <c r="N18" i="20" s="1"/>
  <c r="O28" i="20"/>
  <c r="N28" i="20" s="1"/>
  <c r="O27" i="20"/>
  <c r="N27" i="20" s="1"/>
  <c r="AH17" i="20"/>
  <c r="AA19" i="20"/>
  <c r="AA23" i="20"/>
  <c r="Z23" i="20"/>
  <c r="AA26" i="20"/>
  <c r="Z26" i="20"/>
  <c r="AA20" i="20"/>
  <c r="Z20" i="20"/>
  <c r="AA28" i="20"/>
  <c r="Z28" i="20" s="1"/>
  <c r="AA27" i="20"/>
  <c r="Z27" i="20"/>
  <c r="AA25" i="20"/>
  <c r="Z25" i="20" s="1"/>
  <c r="AA24" i="20"/>
  <c r="Z24" i="20"/>
  <c r="AA22" i="20"/>
  <c r="Z22" i="20" s="1"/>
  <c r="AA21" i="20"/>
  <c r="Z21" i="20" s="1"/>
  <c r="AA18" i="20"/>
  <c r="Z18" i="20"/>
  <c r="AD28" i="20"/>
  <c r="AC28" i="20" s="1"/>
  <c r="AD27" i="20"/>
  <c r="AC27" i="20" s="1"/>
  <c r="AD25" i="20"/>
  <c r="AC25" i="20" s="1"/>
  <c r="AD24" i="20"/>
  <c r="AC24" i="20" s="1"/>
  <c r="AD22" i="20"/>
  <c r="AC22" i="20"/>
  <c r="AC20" i="20" s="1"/>
  <c r="AD21" i="20"/>
  <c r="AC21" i="20"/>
  <c r="AD19" i="20"/>
  <c r="AC19" i="20" s="1"/>
  <c r="AD18" i="20"/>
  <c r="AC18" i="20" s="1"/>
  <c r="AG19" i="20"/>
  <c r="AF19" i="20" s="1"/>
  <c r="AG18" i="20"/>
  <c r="AF18" i="20" s="1"/>
  <c r="AG25" i="20"/>
  <c r="AF25" i="20" s="1"/>
  <c r="AF23" i="20" s="1"/>
  <c r="AG24" i="20"/>
  <c r="AF24" i="20"/>
  <c r="AG28" i="20"/>
  <c r="AF28" i="20" s="1"/>
  <c r="AG27" i="20"/>
  <c r="AF27" i="20" s="1"/>
  <c r="AG22" i="20"/>
  <c r="AF22" i="20" s="1"/>
  <c r="AF20" i="20" s="1"/>
  <c r="AG23" i="20"/>
  <c r="AD20" i="20"/>
  <c r="AG20" i="20"/>
  <c r="AG21" i="20"/>
  <c r="AF21" i="20"/>
  <c r="AH22" i="20"/>
  <c r="D25" i="20"/>
  <c r="H39" i="17"/>
  <c r="G39" i="17"/>
  <c r="F37" i="13"/>
  <c r="F25" i="13"/>
  <c r="Q5" i="13"/>
  <c r="N17" i="20" l="1"/>
  <c r="O20" i="20"/>
  <c r="O15" i="20" s="1"/>
  <c r="O13" i="20" s="1"/>
  <c r="N24" i="20"/>
  <c r="N23" i="20" s="1"/>
  <c r="N15" i="20" s="1"/>
  <c r="N13" i="20" s="1"/>
  <c r="O9" i="19"/>
  <c r="N9" i="19"/>
  <c r="B17" i="20"/>
  <c r="B26" i="20"/>
  <c r="C26" i="20"/>
  <c r="B23" i="20"/>
  <c r="C23" i="20"/>
  <c r="B20" i="20"/>
  <c r="C20" i="20"/>
  <c r="O17" i="20"/>
  <c r="N26" i="20"/>
  <c r="O26" i="20"/>
  <c r="AD17" i="20"/>
  <c r="AC17" i="20"/>
  <c r="AF17" i="20"/>
  <c r="AG17" i="20"/>
  <c r="Z19" i="20"/>
  <c r="Z17" i="20" s="1"/>
  <c r="AC26" i="20"/>
  <c r="AD26" i="20"/>
  <c r="AC23" i="20"/>
  <c r="AD23" i="20"/>
  <c r="AG26" i="20"/>
  <c r="AF26" i="20"/>
  <c r="AA56" i="23"/>
  <c r="AA90" i="23"/>
  <c r="AA73" i="23"/>
  <c r="X38" i="23" l="1"/>
  <c r="Q38" i="23"/>
  <c r="G38" i="23"/>
  <c r="U13" i="20" l="1"/>
  <c r="V13" i="20" s="1"/>
  <c r="P18" i="20"/>
  <c r="G13" i="20"/>
  <c r="E13" i="20"/>
  <c r="F13" i="20" s="1"/>
  <c r="J34" i="23" l="1"/>
  <c r="O21" i="13" l="1"/>
  <c r="Q21" i="13"/>
  <c r="O20" i="13"/>
  <c r="O19" i="13"/>
  <c r="O18" i="13"/>
  <c r="O17" i="13"/>
  <c r="O16" i="13"/>
  <c r="A35" i="13"/>
  <c r="A34" i="13"/>
  <c r="A33" i="13"/>
  <c r="A32" i="13"/>
  <c r="A31" i="13"/>
  <c r="A30" i="13"/>
  <c r="A29" i="13"/>
  <c r="A28" i="13"/>
  <c r="A21" i="13"/>
  <c r="A20" i="13"/>
  <c r="A19" i="13"/>
  <c r="C47" i="24"/>
  <c r="C9" i="24" s="1"/>
  <c r="C46" i="24"/>
  <c r="C8" i="24" s="1"/>
  <c r="C45" i="24"/>
  <c r="C7" i="24" s="1"/>
  <c r="C44" i="24"/>
  <c r="C6" i="24" s="1"/>
  <c r="C43" i="24"/>
  <c r="C5" i="24" s="1"/>
  <c r="C42" i="24"/>
  <c r="C4" i="24" s="1"/>
  <c r="C41" i="24"/>
  <c r="C3" i="24" s="1"/>
  <c r="AL20" i="23"/>
  <c r="AK18" i="20"/>
  <c r="R21" i="13" l="1"/>
  <c r="AM22" i="18"/>
  <c r="AL22" i="18"/>
  <c r="AK22" i="18"/>
  <c r="AJ22" i="18"/>
  <c r="AI22" i="18"/>
  <c r="AM16" i="18"/>
  <c r="AL16" i="18"/>
  <c r="AK16" i="18"/>
  <c r="AJ16" i="18"/>
  <c r="AI16" i="18"/>
  <c r="AM7" i="18"/>
  <c r="AL7" i="18"/>
  <c r="AK7" i="18"/>
  <c r="AJ7" i="18"/>
  <c r="AI7" i="18"/>
  <c r="AM3" i="18"/>
  <c r="AL3" i="18"/>
  <c r="AK3" i="18"/>
  <c r="AJ3" i="18"/>
  <c r="AI3" i="18"/>
  <c r="AN22" i="18"/>
  <c r="AN16" i="18"/>
  <c r="AN7" i="18"/>
  <c r="AN3" i="18"/>
  <c r="R13" i="20"/>
  <c r="S13" i="20" s="1"/>
  <c r="AN26" i="18" l="1"/>
  <c r="AN27" i="18" s="1"/>
  <c r="AL26" i="18"/>
  <c r="AL27" i="18" s="1"/>
  <c r="S21" i="13"/>
  <c r="H49" i="17"/>
  <c r="H50" i="17"/>
  <c r="H51" i="17"/>
  <c r="H52" i="17"/>
  <c r="H53" i="17"/>
  <c r="H54" i="17"/>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B22" i="18"/>
  <c r="AH7" i="18"/>
  <c r="AG7" i="18"/>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Y3" i="18"/>
  <c r="X3" i="18"/>
  <c r="W3" i="18"/>
  <c r="V3" i="18"/>
  <c r="U3" i="18"/>
  <c r="T3" i="18"/>
  <c r="S3" i="18"/>
  <c r="R3" i="18"/>
  <c r="Q3" i="18"/>
  <c r="P3" i="18"/>
  <c r="O3" i="18"/>
  <c r="N3" i="18"/>
  <c r="M3" i="18"/>
  <c r="L3" i="18"/>
  <c r="K3" i="18"/>
  <c r="J3" i="18"/>
  <c r="I3" i="18"/>
  <c r="H3" i="18"/>
  <c r="G3" i="18"/>
  <c r="F3" i="18"/>
  <c r="E3" i="18"/>
  <c r="D3" i="18"/>
  <c r="C3" i="18"/>
  <c r="B3" i="18"/>
  <c r="AH3" i="18"/>
  <c r="AG3" i="18"/>
  <c r="AF3" i="18"/>
  <c r="AE3" i="18"/>
  <c r="AD3" i="18"/>
  <c r="AC3" i="18"/>
  <c r="AB3" i="18"/>
  <c r="AA3" i="18"/>
  <c r="Z3" i="18"/>
  <c r="B4" i="13"/>
  <c r="AK9" i="23"/>
  <c r="AJ9" i="23"/>
  <c r="AI9" i="23"/>
  <c r="AH9" i="23"/>
  <c r="AG9" i="23"/>
  <c r="AL9" i="23"/>
  <c r="AM9" i="23" s="1"/>
  <c r="T21" i="13" l="1"/>
  <c r="V21" i="13" s="1"/>
  <c r="AL36" i="23"/>
  <c r="AE38" i="23"/>
  <c r="AB9" i="23"/>
  <c r="AA9" i="23"/>
  <c r="Z9" i="23"/>
  <c r="Y9" i="23"/>
  <c r="X9" i="23"/>
  <c r="S9" i="23"/>
  <c r="R9" i="23"/>
  <c r="Q9" i="23"/>
  <c r="P9" i="23"/>
  <c r="O9" i="23"/>
  <c r="Q36" i="23"/>
  <c r="Q34" i="23"/>
  <c r="Q32" i="23"/>
  <c r="Q31" i="23"/>
  <c r="Q30" i="23"/>
  <c r="Q29" i="23"/>
  <c r="Q28" i="23"/>
  <c r="Q27" i="23"/>
  <c r="M36" i="23"/>
  <c r="M34" i="23"/>
  <c r="M32" i="23"/>
  <c r="M31" i="23"/>
  <c r="M30" i="23"/>
  <c r="M29" i="23"/>
  <c r="M28" i="23"/>
  <c r="M27" i="23"/>
  <c r="J36" i="23"/>
  <c r="J32" i="23"/>
  <c r="J31" i="23"/>
  <c r="J30" i="23"/>
  <c r="J29" i="23"/>
  <c r="J28" i="23"/>
  <c r="J27" i="23"/>
  <c r="G34" i="23"/>
  <c r="G36" i="23"/>
  <c r="G32" i="23"/>
  <c r="G31" i="23"/>
  <c r="G30" i="23"/>
  <c r="G29" i="23"/>
  <c r="G28" i="23"/>
  <c r="G27" i="23"/>
  <c r="J9" i="23"/>
  <c r="AE106" i="23"/>
  <c r="AE104" i="23"/>
  <c r="AE105" i="23" s="1"/>
  <c r="AE103" i="23"/>
  <c r="AE102" i="23"/>
  <c r="AE100" i="23"/>
  <c r="AE99" i="23"/>
  <c r="AE98" i="23"/>
  <c r="AE97" i="23"/>
  <c r="AE96" i="23"/>
  <c r="AE95" i="23"/>
  <c r="AE101" i="23" s="1"/>
  <c r="P106" i="23"/>
  <c r="Y105" i="23"/>
  <c r="X105" i="23"/>
  <c r="P105" i="23"/>
  <c r="G105" i="23"/>
  <c r="AL104" i="23"/>
  <c r="AL105" i="23" s="1"/>
  <c r="Q104" i="23"/>
  <c r="Q105" i="23" s="1"/>
  <c r="M104" i="23"/>
  <c r="M105" i="23" s="1"/>
  <c r="J104" i="23"/>
  <c r="G104" i="23"/>
  <c r="X103" i="23"/>
  <c r="P103" i="23"/>
  <c r="AL102" i="23"/>
  <c r="AL103" i="23" s="1"/>
  <c r="Q102" i="23"/>
  <c r="M102" i="23"/>
  <c r="M103" i="23" s="1"/>
  <c r="J102" i="23"/>
  <c r="J103" i="23" s="1"/>
  <c r="G102" i="23"/>
  <c r="G103" i="23" s="1"/>
  <c r="X101" i="23"/>
  <c r="X106" i="23" s="1"/>
  <c r="Q101" i="23"/>
  <c r="P101" i="23"/>
  <c r="AL100" i="23"/>
  <c r="Q100" i="23"/>
  <c r="M100" i="23"/>
  <c r="J100" i="23"/>
  <c r="G100" i="23"/>
  <c r="AL99" i="23"/>
  <c r="Q99" i="23"/>
  <c r="M99" i="23"/>
  <c r="J99" i="23"/>
  <c r="G99" i="23"/>
  <c r="AL98" i="23"/>
  <c r="Q98" i="23"/>
  <c r="M98" i="23"/>
  <c r="J98" i="23"/>
  <c r="G98" i="23"/>
  <c r="AL97" i="23"/>
  <c r="Q97" i="23"/>
  <c r="M97" i="23"/>
  <c r="J97" i="23"/>
  <c r="G97" i="23"/>
  <c r="AL96" i="23"/>
  <c r="Q96" i="23"/>
  <c r="M96" i="23"/>
  <c r="J96" i="23"/>
  <c r="G96" i="23"/>
  <c r="AL95" i="23"/>
  <c r="AL101" i="23" s="1"/>
  <c r="AL106" i="23" s="1"/>
  <c r="Q95" i="23"/>
  <c r="M95" i="23"/>
  <c r="M101" i="23" s="1"/>
  <c r="J95" i="23"/>
  <c r="G95" i="23"/>
  <c r="AE53" i="23"/>
  <c r="AE54" i="23" s="1"/>
  <c r="AE51" i="23"/>
  <c r="AE52" i="23" s="1"/>
  <c r="AE49" i="23"/>
  <c r="AE48" i="23"/>
  <c r="AE47" i="23"/>
  <c r="AE46" i="23"/>
  <c r="AE45" i="23"/>
  <c r="AE44" i="23"/>
  <c r="AE87" i="23"/>
  <c r="AE88" i="23" s="1"/>
  <c r="AE85" i="23"/>
  <c r="AE86" i="23" s="1"/>
  <c r="AE83" i="23"/>
  <c r="AE82" i="23"/>
  <c r="AE81" i="23"/>
  <c r="AE80" i="23"/>
  <c r="AE79" i="23"/>
  <c r="AE78" i="23"/>
  <c r="AE70" i="23"/>
  <c r="AE71" i="23" s="1"/>
  <c r="AE68" i="23"/>
  <c r="AE69" i="23" s="1"/>
  <c r="Q87" i="23"/>
  <c r="Q85" i="23"/>
  <c r="M87" i="23"/>
  <c r="M88" i="23" s="1"/>
  <c r="M85" i="23"/>
  <c r="M86" i="23" s="1"/>
  <c r="J87" i="23"/>
  <c r="J85" i="23"/>
  <c r="G87" i="23"/>
  <c r="G85" i="23"/>
  <c r="G86" i="23" s="1"/>
  <c r="Q83" i="23"/>
  <c r="Q82" i="23"/>
  <c r="Q81" i="23"/>
  <c r="Q80" i="23"/>
  <c r="Q79" i="23"/>
  <c r="Q78" i="23"/>
  <c r="M83" i="23"/>
  <c r="M82" i="23"/>
  <c r="M81" i="23"/>
  <c r="M80" i="23"/>
  <c r="M79" i="23"/>
  <c r="M78" i="23"/>
  <c r="J83" i="23"/>
  <c r="J82" i="23"/>
  <c r="J81" i="23"/>
  <c r="J80" i="23"/>
  <c r="J79" i="23"/>
  <c r="J78" i="23"/>
  <c r="G83" i="23"/>
  <c r="G82" i="23"/>
  <c r="G81" i="23"/>
  <c r="G80" i="23"/>
  <c r="G79" i="23"/>
  <c r="G78" i="23"/>
  <c r="Y88" i="23"/>
  <c r="X88" i="23"/>
  <c r="P88" i="23"/>
  <c r="AL87" i="23"/>
  <c r="AL88" i="23" s="1"/>
  <c r="Q88" i="23"/>
  <c r="X86" i="23"/>
  <c r="P86" i="23"/>
  <c r="AL85" i="23"/>
  <c r="AL86" i="23" s="1"/>
  <c r="X84" i="23"/>
  <c r="Q84" i="23"/>
  <c r="P84" i="23"/>
  <c r="P89" i="23" s="1"/>
  <c r="AL83" i="23"/>
  <c r="AL82" i="23"/>
  <c r="AL81" i="23"/>
  <c r="AL80" i="23"/>
  <c r="AL79" i="23"/>
  <c r="AL78" i="23"/>
  <c r="Q70" i="23"/>
  <c r="Q71" i="23" s="1"/>
  <c r="M70" i="23"/>
  <c r="M71" i="23" s="1"/>
  <c r="J70" i="23"/>
  <c r="Q68" i="23"/>
  <c r="M68" i="23"/>
  <c r="J68" i="23"/>
  <c r="J69" i="23" s="1"/>
  <c r="G70" i="23"/>
  <c r="G68" i="23"/>
  <c r="G69" i="23" s="1"/>
  <c r="Q66" i="23"/>
  <c r="Q65" i="23"/>
  <c r="Q64" i="23"/>
  <c r="Q63" i="23"/>
  <c r="Q62" i="23"/>
  <c r="Q61" i="23"/>
  <c r="M66" i="23"/>
  <c r="M65" i="23"/>
  <c r="M64" i="23"/>
  <c r="M63" i="23"/>
  <c r="M62" i="23"/>
  <c r="M61" i="23"/>
  <c r="J66" i="23"/>
  <c r="J65" i="23"/>
  <c r="J64" i="23"/>
  <c r="J63" i="23"/>
  <c r="J62" i="23"/>
  <c r="J61" i="23"/>
  <c r="G66" i="23"/>
  <c r="G65" i="23"/>
  <c r="G64" i="23"/>
  <c r="G63" i="23"/>
  <c r="G62" i="23"/>
  <c r="G61" i="23"/>
  <c r="Y71" i="23"/>
  <c r="X71" i="23"/>
  <c r="P71" i="23"/>
  <c r="AL70" i="23"/>
  <c r="AL71" i="23" s="1"/>
  <c r="X69" i="23"/>
  <c r="P69" i="23"/>
  <c r="AL68" i="23"/>
  <c r="AL69" i="23" s="1"/>
  <c r="X67" i="23"/>
  <c r="X72" i="23" s="1"/>
  <c r="Q67" i="23"/>
  <c r="P67" i="23"/>
  <c r="AL66" i="23"/>
  <c r="AE66" i="23"/>
  <c r="AL65" i="23"/>
  <c r="AE65" i="23"/>
  <c r="AL64" i="23"/>
  <c r="AE64" i="23"/>
  <c r="AL63" i="23"/>
  <c r="AE63" i="23"/>
  <c r="AL62" i="23"/>
  <c r="AE62" i="23"/>
  <c r="AL61" i="23"/>
  <c r="AE61" i="23"/>
  <c r="AL53" i="23"/>
  <c r="M53" i="23"/>
  <c r="Q53" i="23"/>
  <c r="J53" i="23"/>
  <c r="G53" i="23"/>
  <c r="Q51" i="23"/>
  <c r="M51" i="23"/>
  <c r="J51" i="23"/>
  <c r="G51" i="23"/>
  <c r="Q49" i="23"/>
  <c r="Q48" i="23"/>
  <c r="Q47" i="23"/>
  <c r="Q46" i="23"/>
  <c r="Q45" i="23"/>
  <c r="Q44" i="23"/>
  <c r="M49" i="23"/>
  <c r="M48" i="23"/>
  <c r="M47" i="23"/>
  <c r="M46" i="23"/>
  <c r="M45" i="23"/>
  <c r="M44" i="23"/>
  <c r="J49" i="23"/>
  <c r="J48" i="23"/>
  <c r="J47" i="23"/>
  <c r="J46" i="23"/>
  <c r="J45" i="23"/>
  <c r="J44" i="23"/>
  <c r="G49" i="23"/>
  <c r="G48" i="23"/>
  <c r="G47" i="23"/>
  <c r="G46" i="23"/>
  <c r="G45" i="23"/>
  <c r="G44" i="23"/>
  <c r="Q50" i="23"/>
  <c r="M106" i="23" l="1"/>
  <c r="U21" i="13"/>
  <c r="Q103" i="23"/>
  <c r="Q106" i="23" s="1"/>
  <c r="J105" i="23"/>
  <c r="J101" i="23"/>
  <c r="J106" i="23" s="1"/>
  <c r="X89" i="23"/>
  <c r="AE50" i="23"/>
  <c r="AE55" i="23" s="1"/>
  <c r="T95" i="23"/>
  <c r="T96" i="23"/>
  <c r="T97" i="23"/>
  <c r="T98" i="23"/>
  <c r="T99" i="23"/>
  <c r="T100" i="23"/>
  <c r="G101" i="23"/>
  <c r="G106" i="23" s="1"/>
  <c r="T104" i="23"/>
  <c r="T105" i="23" s="1"/>
  <c r="T102" i="23"/>
  <c r="T103" i="23" s="1"/>
  <c r="M84" i="23"/>
  <c r="J86" i="23"/>
  <c r="AE67" i="23"/>
  <c r="P72" i="23"/>
  <c r="AL84" i="23"/>
  <c r="AL89" i="23" s="1"/>
  <c r="AE84" i="23"/>
  <c r="AE89" i="23" s="1"/>
  <c r="I9" i="23" s="1"/>
  <c r="M89" i="23"/>
  <c r="G88" i="23"/>
  <c r="J88" i="23"/>
  <c r="Q86" i="23"/>
  <c r="J84" i="23"/>
  <c r="Q89" i="23"/>
  <c r="T78" i="23"/>
  <c r="T79" i="23"/>
  <c r="T80" i="23"/>
  <c r="T81" i="23"/>
  <c r="T82" i="23"/>
  <c r="T83" i="23"/>
  <c r="G84" i="23"/>
  <c r="G89" i="23" s="1"/>
  <c r="T87" i="23"/>
  <c r="T88" i="23" s="1"/>
  <c r="T70" i="23"/>
  <c r="T85" i="23"/>
  <c r="T86" i="23" s="1"/>
  <c r="AE72" i="23"/>
  <c r="H9" i="23" s="1"/>
  <c r="M67" i="23"/>
  <c r="G71" i="23"/>
  <c r="T63" i="23"/>
  <c r="M69" i="23"/>
  <c r="AL67" i="23"/>
  <c r="AL72" i="23" s="1"/>
  <c r="T64" i="23"/>
  <c r="J71" i="23"/>
  <c r="T71" i="23"/>
  <c r="T62" i="23"/>
  <c r="T66" i="23"/>
  <c r="J67" i="23"/>
  <c r="J72" i="23" s="1"/>
  <c r="T61" i="23"/>
  <c r="T65" i="23"/>
  <c r="G67" i="23"/>
  <c r="G72" i="23" s="1"/>
  <c r="Q69" i="23"/>
  <c r="Q72" i="23" s="1"/>
  <c r="T68" i="23"/>
  <c r="T69" i="23" s="1"/>
  <c r="T101" i="23" l="1"/>
  <c r="T106" i="23" s="1"/>
  <c r="J89" i="23"/>
  <c r="T84" i="23"/>
  <c r="T89" i="23" s="1"/>
  <c r="M72" i="23"/>
  <c r="T67" i="23"/>
  <c r="T72" i="23" s="1"/>
  <c r="AL54" i="23" l="1"/>
  <c r="Y54" i="23"/>
  <c r="X54" i="23"/>
  <c r="Q54" i="23"/>
  <c r="P54" i="23"/>
  <c r="J54" i="23"/>
  <c r="G54" i="23"/>
  <c r="X52" i="23"/>
  <c r="Q52" i="23"/>
  <c r="Q55" i="23" s="1"/>
  <c r="P52" i="23"/>
  <c r="J52" i="23"/>
  <c r="G52" i="23"/>
  <c r="AL51" i="23"/>
  <c r="AL52" i="23" s="1"/>
  <c r="X50" i="23"/>
  <c r="P50" i="23"/>
  <c r="G50" i="23"/>
  <c r="AL49" i="23"/>
  <c r="T49" i="23"/>
  <c r="AL48" i="23"/>
  <c r="T48" i="23"/>
  <c r="AL47" i="23"/>
  <c r="T47" i="23"/>
  <c r="AL46" i="23"/>
  <c r="T46" i="23"/>
  <c r="AL45" i="23"/>
  <c r="T45" i="23"/>
  <c r="AL44" i="23"/>
  <c r="AE36" i="23"/>
  <c r="AE37" i="23" s="1"/>
  <c r="AE29" i="23"/>
  <c r="AE30" i="23"/>
  <c r="AE31" i="23"/>
  <c r="AE32" i="23"/>
  <c r="AE28" i="23"/>
  <c r="AE27" i="23"/>
  <c r="T29" i="23"/>
  <c r="T36" i="23"/>
  <c r="T37" i="23" s="1"/>
  <c r="T34" i="23"/>
  <c r="T32" i="23"/>
  <c r="T31" i="23"/>
  <c r="T30" i="23"/>
  <c r="T28" i="23"/>
  <c r="AL37" i="23"/>
  <c r="AL38" i="23" s="1"/>
  <c r="X37" i="23"/>
  <c r="Q37" i="23"/>
  <c r="P37" i="23"/>
  <c r="J37" i="23"/>
  <c r="G37" i="23"/>
  <c r="C25" i="24"/>
  <c r="C24" i="24"/>
  <c r="C23" i="24"/>
  <c r="C22" i="24"/>
  <c r="C21" i="24"/>
  <c r="C20" i="24"/>
  <c r="C19" i="24"/>
  <c r="C17" i="24"/>
  <c r="C33" i="24" s="1"/>
  <c r="C16" i="24"/>
  <c r="C32" i="24" s="1"/>
  <c r="C15" i="24"/>
  <c r="C31" i="24" s="1"/>
  <c r="C14" i="24"/>
  <c r="C30" i="24" s="1"/>
  <c r="C13" i="24"/>
  <c r="C29" i="24" s="1"/>
  <c r="C12" i="24"/>
  <c r="C28" i="24" s="1"/>
  <c r="C11" i="24"/>
  <c r="C27" i="24" s="1"/>
  <c r="F44" i="24"/>
  <c r="E44" i="24" s="1"/>
  <c r="E6" i="24" s="1"/>
  <c r="F41" i="24"/>
  <c r="E14" i="24" l="1"/>
  <c r="G14" i="24" s="1"/>
  <c r="E30" i="24"/>
  <c r="E22" i="24"/>
  <c r="X55" i="23"/>
  <c r="AL50" i="23"/>
  <c r="AL55" i="23" s="1"/>
  <c r="M52" i="23"/>
  <c r="G55" i="23"/>
  <c r="G9" i="23"/>
  <c r="P55" i="23"/>
  <c r="T53" i="23"/>
  <c r="T54" i="23" s="1"/>
  <c r="M54" i="23"/>
  <c r="T51" i="23"/>
  <c r="T52" i="23" s="1"/>
  <c r="M37" i="23"/>
  <c r="F6" i="24"/>
  <c r="G6" i="24"/>
  <c r="F14" i="24" l="1"/>
  <c r="F22" i="24"/>
  <c r="G22" i="24"/>
  <c r="F30" i="24"/>
  <c r="G30" i="24"/>
  <c r="E35" i="13" l="1"/>
  <c r="E31" i="13"/>
  <c r="E30" i="13"/>
  <c r="Q20" i="13"/>
  <c r="R20" i="13" s="1"/>
  <c r="S20" i="13" s="1"/>
  <c r="Q19" i="13"/>
  <c r="E19" i="13"/>
  <c r="Q18" i="13"/>
  <c r="R18" i="13" s="1"/>
  <c r="S18" i="13" s="1"/>
  <c r="Q17" i="13"/>
  <c r="R17" i="13" s="1"/>
  <c r="Q16" i="13"/>
  <c r="Q10" i="13"/>
  <c r="G8" i="13"/>
  <c r="E8" i="13"/>
  <c r="D20" i="13" s="1"/>
  <c r="Q7" i="13"/>
  <c r="Q3" i="13"/>
  <c r="B3" i="13"/>
  <c r="D35" i="13" l="1"/>
  <c r="F35" i="13" s="1"/>
  <c r="G35" i="13" s="1"/>
  <c r="I35" i="13" s="1"/>
  <c r="D29" i="13"/>
  <c r="D19" i="13"/>
  <c r="F19" i="13" s="1"/>
  <c r="G19" i="13" s="1"/>
  <c r="D31" i="13"/>
  <c r="F31" i="13" s="1"/>
  <c r="G31" i="13" s="1"/>
  <c r="I31" i="13" s="1"/>
  <c r="D21" i="13"/>
  <c r="S17" i="13"/>
  <c r="R16" i="13"/>
  <c r="T18" i="13"/>
  <c r="V18" i="13" s="1"/>
  <c r="P12" i="13" s="1"/>
  <c r="R19" i="13"/>
  <c r="T20" i="13"/>
  <c r="V20" i="13" s="1"/>
  <c r="P11" i="13" s="1"/>
  <c r="F46" i="24" s="1"/>
  <c r="E46" i="24" s="1"/>
  <c r="D34" i="13"/>
  <c r="D30" i="13"/>
  <c r="F30" i="13" s="1"/>
  <c r="G30" i="13" s="1"/>
  <c r="I30" i="13" s="1"/>
  <c r="D33" i="13"/>
  <c r="D28" i="13"/>
  <c r="D32" i="13"/>
  <c r="H19" i="13" l="1"/>
  <c r="K19" i="13"/>
  <c r="J19" i="13"/>
  <c r="I19" i="13"/>
  <c r="K30" i="13"/>
  <c r="J30" i="13"/>
  <c r="H31" i="13"/>
  <c r="K31" i="13"/>
  <c r="J31" i="13"/>
  <c r="L35" i="13"/>
  <c r="J35" i="13"/>
  <c r="K35" i="13"/>
  <c r="U20" i="13"/>
  <c r="U18" i="13"/>
  <c r="T17" i="13"/>
  <c r="V17" i="13" s="1"/>
  <c r="Q4" i="13" s="1"/>
  <c r="P4" i="13" s="1"/>
  <c r="E29" i="13"/>
  <c r="F29" i="13" s="1"/>
  <c r="G29" i="13" s="1"/>
  <c r="I29" i="13" s="1"/>
  <c r="F43" i="24"/>
  <c r="E43" i="24" s="1"/>
  <c r="E8" i="24"/>
  <c r="E32" i="24"/>
  <c r="E16" i="24"/>
  <c r="E24" i="24"/>
  <c r="H35" i="13"/>
  <c r="D22" i="13"/>
  <c r="L31" i="13"/>
  <c r="E33" i="13"/>
  <c r="F33" i="13" s="1"/>
  <c r="G33" i="13" s="1"/>
  <c r="I33" i="13" s="1"/>
  <c r="Q11" i="13"/>
  <c r="Q12" i="13"/>
  <c r="L30" i="13"/>
  <c r="H30" i="13"/>
  <c r="L19" i="13"/>
  <c r="S19" i="13"/>
  <c r="D36" i="13"/>
  <c r="S16" i="13"/>
  <c r="U17" i="13" l="1"/>
  <c r="K29" i="13"/>
  <c r="J29" i="13"/>
  <c r="K33" i="13"/>
  <c r="J33" i="13"/>
  <c r="E5" i="24"/>
  <c r="E13" i="24"/>
  <c r="E21" i="24"/>
  <c r="E29" i="24"/>
  <c r="F8" i="24"/>
  <c r="G8" i="24"/>
  <c r="F16" i="24"/>
  <c r="G16" i="24"/>
  <c r="G24" i="24"/>
  <c r="F24" i="24"/>
  <c r="G32" i="24"/>
  <c r="F32" i="24"/>
  <c r="L29" i="13"/>
  <c r="H29" i="13"/>
  <c r="T19" i="13"/>
  <c r="V19" i="13" s="1"/>
  <c r="E28" i="13"/>
  <c r="F28" i="13" s="1"/>
  <c r="G28" i="13" s="1"/>
  <c r="I28" i="13" s="1"/>
  <c r="E21" i="13"/>
  <c r="F21" i="13" s="1"/>
  <c r="G21" i="13" s="1"/>
  <c r="H33" i="13"/>
  <c r="T16" i="13"/>
  <c r="V16" i="13" s="1"/>
  <c r="Q6" i="13" s="1"/>
  <c r="P6" i="13" s="1"/>
  <c r="E41" i="24"/>
  <c r="J21" i="13" l="1"/>
  <c r="I21" i="13"/>
  <c r="K21" i="13"/>
  <c r="H21" i="13"/>
  <c r="E20" i="13"/>
  <c r="F20" i="13" s="1"/>
  <c r="G20" i="13" s="1"/>
  <c r="U19" i="13"/>
  <c r="U16" i="13"/>
  <c r="G29" i="24"/>
  <c r="F29" i="24"/>
  <c r="F21" i="24"/>
  <c r="G21" i="24"/>
  <c r="G13" i="24"/>
  <c r="F13" i="24"/>
  <c r="G5" i="24"/>
  <c r="F5" i="24"/>
  <c r="E3" i="24"/>
  <c r="E27" i="24"/>
  <c r="E19" i="24"/>
  <c r="E11" i="24"/>
  <c r="Q9" i="13"/>
  <c r="P9" i="13" s="1"/>
  <c r="F47" i="24" s="1"/>
  <c r="E47" i="24" s="1"/>
  <c r="E25" i="24" s="1"/>
  <c r="Q8" i="13"/>
  <c r="P8" i="13" s="1"/>
  <c r="L21" i="13"/>
  <c r="I20" i="13" l="1"/>
  <c r="K20" i="13"/>
  <c r="J20" i="13"/>
  <c r="H20" i="13"/>
  <c r="G22" i="13"/>
  <c r="F42" i="24"/>
  <c r="E42" i="24" s="1"/>
  <c r="K28" i="13"/>
  <c r="J28" i="13"/>
  <c r="E9" i="24"/>
  <c r="E33" i="24"/>
  <c r="F33" i="24" s="1"/>
  <c r="E17" i="24"/>
  <c r="G17" i="24" s="1"/>
  <c r="G25" i="24"/>
  <c r="F25" i="24"/>
  <c r="E32" i="13"/>
  <c r="F32" i="13" s="1"/>
  <c r="G32" i="13" s="1"/>
  <c r="I32" i="13" s="1"/>
  <c r="F45" i="24"/>
  <c r="E45" i="24" s="1"/>
  <c r="G11" i="24"/>
  <c r="F11" i="24"/>
  <c r="G27" i="24"/>
  <c r="F27" i="24"/>
  <c r="G19" i="24"/>
  <c r="F19" i="24"/>
  <c r="E34" i="13"/>
  <c r="F34" i="13" s="1"/>
  <c r="G34" i="13" s="1"/>
  <c r="I34" i="13" s="1"/>
  <c r="L28" i="13"/>
  <c r="H28" i="13"/>
  <c r="F22" i="13"/>
  <c r="G3" i="24"/>
  <c r="F3" i="24"/>
  <c r="E4" i="24" l="1"/>
  <c r="E12" i="24"/>
  <c r="E20" i="24"/>
  <c r="E28" i="24"/>
  <c r="G36" i="13"/>
  <c r="F36" i="13"/>
  <c r="G9" i="13" s="1"/>
  <c r="G10" i="13" s="1"/>
  <c r="G12" i="13" s="1"/>
  <c r="F17" i="24"/>
  <c r="G33" i="24"/>
  <c r="I22" i="13"/>
  <c r="J22" i="13"/>
  <c r="K22" i="13"/>
  <c r="H22" i="13"/>
  <c r="D23" i="13"/>
  <c r="E23" i="13"/>
  <c r="E9" i="13"/>
  <c r="E10" i="13" s="1"/>
  <c r="J34" i="13"/>
  <c r="J42" i="13" s="1"/>
  <c r="AB19" i="20" s="1"/>
  <c r="K34" i="13"/>
  <c r="K42" i="13" s="1"/>
  <c r="AE19" i="20" s="1"/>
  <c r="G9" i="24"/>
  <c r="F9" i="24"/>
  <c r="L34" i="13"/>
  <c r="E7" i="24"/>
  <c r="E23" i="24"/>
  <c r="E15" i="24"/>
  <c r="E31" i="24"/>
  <c r="H34" i="13"/>
  <c r="H42" i="13" s="1"/>
  <c r="L20" i="13"/>
  <c r="L22" i="13" s="1"/>
  <c r="H32" i="13" l="1"/>
  <c r="H36" i="13" s="1"/>
  <c r="I36" i="13"/>
  <c r="L32" i="13"/>
  <c r="J32" i="13"/>
  <c r="J36" i="13" s="1"/>
  <c r="L33" i="13"/>
  <c r="K32" i="13"/>
  <c r="K36" i="13" s="1"/>
  <c r="G28" i="24"/>
  <c r="F28" i="24"/>
  <c r="G20" i="24"/>
  <c r="F20" i="24"/>
  <c r="F12" i="24"/>
  <c r="G12" i="24"/>
  <c r="G4" i="24"/>
  <c r="F4" i="24"/>
  <c r="E11" i="13"/>
  <c r="T8" i="20" s="1"/>
  <c r="I42" i="13"/>
  <c r="P19" i="20" s="1"/>
  <c r="G46" i="13"/>
  <c r="E38" i="13"/>
  <c r="H41" i="17"/>
  <c r="H40" i="17"/>
  <c r="AN29" i="18" s="1"/>
  <c r="H43" i="17"/>
  <c r="H42" i="17"/>
  <c r="H44" i="17"/>
  <c r="G23" i="24"/>
  <c r="F23" i="24"/>
  <c r="G43" i="17"/>
  <c r="G42" i="17"/>
  <c r="G41" i="17"/>
  <c r="G44" i="17"/>
  <c r="G40" i="17"/>
  <c r="AN28" i="18" s="1"/>
  <c r="D38" i="13"/>
  <c r="F7" i="24"/>
  <c r="G7" i="24"/>
  <c r="G10" i="24" s="1"/>
  <c r="H96" i="23" s="1"/>
  <c r="I96" i="23" s="1"/>
  <c r="F31" i="24"/>
  <c r="G31" i="24"/>
  <c r="G15" i="24"/>
  <c r="F15" i="24"/>
  <c r="E12" i="13"/>
  <c r="L36" i="13" l="1"/>
  <c r="G26" i="24"/>
  <c r="N102" i="23" s="1"/>
  <c r="O102" i="23" s="1"/>
  <c r="G18" i="24"/>
  <c r="K95" i="23" s="1"/>
  <c r="G34" i="24"/>
  <c r="R97" i="23" s="1"/>
  <c r="S97" i="23" s="1"/>
  <c r="AF97" i="23" s="1"/>
  <c r="AM97" i="23" s="1"/>
  <c r="AK19" i="20"/>
  <c r="B9" i="13"/>
  <c r="G11" i="13"/>
  <c r="U8" i="20"/>
  <c r="V8" i="20" s="1"/>
  <c r="AC8" i="20"/>
  <c r="E8" i="20"/>
  <c r="N8" i="20"/>
  <c r="K8" i="20"/>
  <c r="W8" i="20"/>
  <c r="H8" i="20"/>
  <c r="Q8" i="20"/>
  <c r="B8" i="20"/>
  <c r="AL29" i="18"/>
  <c r="AL28" i="18"/>
  <c r="H100" i="23"/>
  <c r="I100" i="23" s="1"/>
  <c r="AB100" i="23" s="1"/>
  <c r="H98" i="23"/>
  <c r="I98" i="23" s="1"/>
  <c r="AB98" i="23" s="1"/>
  <c r="H46" i="23"/>
  <c r="I46" i="23" s="1"/>
  <c r="AB46" i="23" s="1"/>
  <c r="H48" i="23"/>
  <c r="I48" i="23" s="1"/>
  <c r="AB48" i="23" s="1"/>
  <c r="H104" i="23"/>
  <c r="I104" i="23" s="1"/>
  <c r="AB104" i="23" s="1"/>
  <c r="H97" i="23"/>
  <c r="I97" i="23" s="1"/>
  <c r="AB97" i="23" s="1"/>
  <c r="H31" i="23"/>
  <c r="H83" i="23"/>
  <c r="I83" i="23" s="1"/>
  <c r="AB83" i="23" s="1"/>
  <c r="H51" i="23"/>
  <c r="I51" i="23" s="1"/>
  <c r="AB51" i="23" s="1"/>
  <c r="H85" i="23"/>
  <c r="I85" i="23" s="1"/>
  <c r="I86" i="23" s="1"/>
  <c r="H34" i="23"/>
  <c r="I34" i="23" s="1"/>
  <c r="AB34" i="23" s="1"/>
  <c r="H45" i="23"/>
  <c r="I45" i="23" s="1"/>
  <c r="AB45" i="23" s="1"/>
  <c r="AI45" i="23" s="1"/>
  <c r="H82" i="23"/>
  <c r="I82" i="23" s="1"/>
  <c r="AB82" i="23" s="1"/>
  <c r="H66" i="23"/>
  <c r="I66" i="23" s="1"/>
  <c r="AB66" i="23" s="1"/>
  <c r="H63" i="23"/>
  <c r="I63" i="23" s="1"/>
  <c r="AB63" i="23" s="1"/>
  <c r="H44" i="23"/>
  <c r="I44" i="23" s="1"/>
  <c r="AB44" i="23" s="1"/>
  <c r="H47" i="23"/>
  <c r="I47" i="23" s="1"/>
  <c r="AB47" i="23" s="1"/>
  <c r="AI47" i="23" s="1"/>
  <c r="H80" i="23"/>
  <c r="I80" i="23" s="1"/>
  <c r="AB80" i="23" s="1"/>
  <c r="H70" i="23"/>
  <c r="I70" i="23" s="1"/>
  <c r="I71" i="23" s="1"/>
  <c r="H68" i="23"/>
  <c r="I68" i="23" s="1"/>
  <c r="AB68" i="23" s="1"/>
  <c r="H32" i="23"/>
  <c r="H53" i="23"/>
  <c r="I53" i="23" s="1"/>
  <c r="AB53" i="23" s="1"/>
  <c r="H30" i="23"/>
  <c r="H49" i="23"/>
  <c r="I49" i="23" s="1"/>
  <c r="AB49" i="23" s="1"/>
  <c r="H65" i="23"/>
  <c r="I65" i="23" s="1"/>
  <c r="AB65" i="23" s="1"/>
  <c r="H87" i="23"/>
  <c r="I87" i="23" s="1"/>
  <c r="AB87" i="23" s="1"/>
  <c r="H61" i="23"/>
  <c r="I61" i="23" s="1"/>
  <c r="AB61" i="23" s="1"/>
  <c r="H78" i="23"/>
  <c r="I78" i="23" s="1"/>
  <c r="AB78" i="23" s="1"/>
  <c r="H99" i="23"/>
  <c r="I99" i="23" s="1"/>
  <c r="AB99" i="23" s="1"/>
  <c r="H79" i="23"/>
  <c r="I79" i="23" s="1"/>
  <c r="AB79" i="23" s="1"/>
  <c r="H29" i="23"/>
  <c r="H28" i="23"/>
  <c r="H36" i="23"/>
  <c r="I36" i="23" s="1"/>
  <c r="I37" i="23" s="1"/>
  <c r="H27" i="23"/>
  <c r="H62" i="23"/>
  <c r="I62" i="23" s="1"/>
  <c r="AB62" i="23" s="1"/>
  <c r="H95" i="23"/>
  <c r="I95" i="23" s="1"/>
  <c r="AB95" i="23" s="1"/>
  <c r="H64" i="23"/>
  <c r="I64" i="23" s="1"/>
  <c r="AB64" i="23" s="1"/>
  <c r="H81" i="23"/>
  <c r="I81" i="23" s="1"/>
  <c r="AB81" i="23" s="1"/>
  <c r="AI81" i="23" s="1"/>
  <c r="H102" i="23"/>
  <c r="I102" i="23" s="1"/>
  <c r="AB102" i="23" s="1"/>
  <c r="AB96" i="23"/>
  <c r="R87" i="23"/>
  <c r="S87" i="23" s="1"/>
  <c r="N85" i="23"/>
  <c r="O85" i="23" s="1"/>
  <c r="N78" i="23"/>
  <c r="O78" i="23" s="1"/>
  <c r="N53" i="23"/>
  <c r="O53" i="23" s="1"/>
  <c r="N45" i="23"/>
  <c r="O45" i="23" s="1"/>
  <c r="AD45" i="23" s="1"/>
  <c r="AK45" i="23" s="1"/>
  <c r="N28" i="23"/>
  <c r="Q35" i="23"/>
  <c r="P35" i="23"/>
  <c r="AL34" i="23"/>
  <c r="AE34" i="23"/>
  <c r="P33" i="23"/>
  <c r="P38" i="23" s="1"/>
  <c r="AC20" i="23"/>
  <c r="T20" i="23"/>
  <c r="K20" i="23"/>
  <c r="AD14" i="23"/>
  <c r="AC14" i="23"/>
  <c r="AB14" i="23"/>
  <c r="Z14" i="23"/>
  <c r="Y14" i="23"/>
  <c r="X14" i="23"/>
  <c r="T14" i="23"/>
  <c r="S14" i="23"/>
  <c r="Q14" i="23"/>
  <c r="L14" i="23"/>
  <c r="K14" i="23"/>
  <c r="J14" i="23"/>
  <c r="H14" i="23"/>
  <c r="G14" i="23"/>
  <c r="F14" i="23"/>
  <c r="N44" i="23" l="1"/>
  <c r="N104" i="23"/>
  <c r="O104" i="23" s="1"/>
  <c r="T11" i="20"/>
  <c r="U11" i="20" s="1"/>
  <c r="V11" i="20" s="1"/>
  <c r="T10" i="20"/>
  <c r="T12" i="20"/>
  <c r="U12" i="20" s="1"/>
  <c r="V12" i="20" s="1"/>
  <c r="N51" i="23"/>
  <c r="O51" i="23" s="1"/>
  <c r="AD51" i="23" s="1"/>
  <c r="N81" i="23"/>
  <c r="O81" i="23" s="1"/>
  <c r="AD81" i="23" s="1"/>
  <c r="AK81" i="23" s="1"/>
  <c r="N99" i="23"/>
  <c r="O99" i="23" s="1"/>
  <c r="AD99" i="23" s="1"/>
  <c r="AK99" i="23" s="1"/>
  <c r="N30" i="23"/>
  <c r="N70" i="23"/>
  <c r="O70" i="23" s="1"/>
  <c r="O71" i="23" s="1"/>
  <c r="N62" i="23"/>
  <c r="O62" i="23" s="1"/>
  <c r="AD62" i="23" s="1"/>
  <c r="AK62" i="23" s="1"/>
  <c r="K64" i="23"/>
  <c r="Y64" i="23" s="1"/>
  <c r="K32" i="23"/>
  <c r="Y32" i="23" s="1"/>
  <c r="K104" i="23"/>
  <c r="L104" i="23" s="1"/>
  <c r="AC104" i="23" s="1"/>
  <c r="R28" i="23"/>
  <c r="S28" i="23" s="1"/>
  <c r="AF28" i="23" s="1"/>
  <c r="AM28" i="23" s="1"/>
  <c r="N34" i="23"/>
  <c r="O34" i="23" s="1"/>
  <c r="N31" i="23"/>
  <c r="O31" i="23" s="1"/>
  <c r="AD31" i="23" s="1"/>
  <c r="AK31" i="23" s="1"/>
  <c r="N64" i="23"/>
  <c r="O64" i="23" s="1"/>
  <c r="AD64" i="23" s="1"/>
  <c r="AK64" i="23" s="1"/>
  <c r="N95" i="23"/>
  <c r="O95" i="23" s="1"/>
  <c r="AD95" i="23" s="1"/>
  <c r="N87" i="23"/>
  <c r="O87" i="23" s="1"/>
  <c r="O88" i="23" s="1"/>
  <c r="N97" i="23"/>
  <c r="O97" i="23" s="1"/>
  <c r="AD97" i="23" s="1"/>
  <c r="AK97" i="23" s="1"/>
  <c r="N96" i="23"/>
  <c r="O96" i="23" s="1"/>
  <c r="AD96" i="23" s="1"/>
  <c r="AK96" i="23" s="1"/>
  <c r="R49" i="23"/>
  <c r="S49" i="23" s="1"/>
  <c r="AF49" i="23" s="1"/>
  <c r="AM49" i="23" s="1"/>
  <c r="R78" i="23"/>
  <c r="S78" i="23" s="1"/>
  <c r="AF78" i="23" s="1"/>
  <c r="AM78" i="23" s="1"/>
  <c r="K49" i="23"/>
  <c r="Y49" i="23" s="1"/>
  <c r="N32" i="23"/>
  <c r="O32" i="23" s="1"/>
  <c r="AD32" i="23" s="1"/>
  <c r="AK32" i="23" s="1"/>
  <c r="N47" i="23"/>
  <c r="O47" i="23" s="1"/>
  <c r="AD47" i="23" s="1"/>
  <c r="AK47" i="23" s="1"/>
  <c r="N36" i="23"/>
  <c r="O36" i="23" s="1"/>
  <c r="O37" i="23" s="1"/>
  <c r="N46" i="23"/>
  <c r="O46" i="23" s="1"/>
  <c r="AD46" i="23" s="1"/>
  <c r="AK46" i="23" s="1"/>
  <c r="N61" i="23"/>
  <c r="O61" i="23" s="1"/>
  <c r="AD61" i="23" s="1"/>
  <c r="N83" i="23"/>
  <c r="O83" i="23" s="1"/>
  <c r="AD83" i="23" s="1"/>
  <c r="AK83" i="23" s="1"/>
  <c r="N63" i="23"/>
  <c r="O63" i="23" s="1"/>
  <c r="AD63" i="23" s="1"/>
  <c r="AK63" i="23" s="1"/>
  <c r="N65" i="23"/>
  <c r="O65" i="23" s="1"/>
  <c r="AD65" i="23" s="1"/>
  <c r="AK65" i="23" s="1"/>
  <c r="N80" i="23"/>
  <c r="O80" i="23" s="1"/>
  <c r="AD80" i="23" s="1"/>
  <c r="AK80" i="23" s="1"/>
  <c r="N98" i="23"/>
  <c r="O98" i="23" s="1"/>
  <c r="AD98" i="23" s="1"/>
  <c r="AK98" i="23" s="1"/>
  <c r="K51" i="23"/>
  <c r="L51" i="23" s="1"/>
  <c r="K68" i="23"/>
  <c r="L68" i="23" s="1"/>
  <c r="K66" i="23"/>
  <c r="L66" i="23" s="1"/>
  <c r="N29" i="23"/>
  <c r="N49" i="23"/>
  <c r="O49" i="23" s="1"/>
  <c r="AD49" i="23" s="1"/>
  <c r="AK49" i="23" s="1"/>
  <c r="N27" i="23"/>
  <c r="N48" i="23"/>
  <c r="O48" i="23" s="1"/>
  <c r="AD48" i="23" s="1"/>
  <c r="AK48" i="23" s="1"/>
  <c r="N66" i="23"/>
  <c r="O66" i="23" s="1"/>
  <c r="AD66" i="23" s="1"/>
  <c r="AK66" i="23" s="1"/>
  <c r="N100" i="23"/>
  <c r="O100" i="23" s="1"/>
  <c r="AD100" i="23" s="1"/>
  <c r="AK100" i="23" s="1"/>
  <c r="N68" i="23"/>
  <c r="O68" i="23" s="1"/>
  <c r="O69" i="23" s="1"/>
  <c r="N79" i="23"/>
  <c r="O79" i="23" s="1"/>
  <c r="AD79" i="23" s="1"/>
  <c r="AK79" i="23" s="1"/>
  <c r="N82" i="23"/>
  <c r="O82" i="23" s="1"/>
  <c r="AD82" i="23" s="1"/>
  <c r="AK82" i="23" s="1"/>
  <c r="K28" i="23"/>
  <c r="L28" i="23" s="1"/>
  <c r="K98" i="23"/>
  <c r="Y98" i="23" s="1"/>
  <c r="K97" i="23"/>
  <c r="L97" i="23" s="1"/>
  <c r="R36" i="23"/>
  <c r="S36" i="23" s="1"/>
  <c r="AF36" i="23" s="1"/>
  <c r="R62" i="23"/>
  <c r="S62" i="23" s="1"/>
  <c r="AF62" i="23" s="1"/>
  <c r="AM62" i="23" s="1"/>
  <c r="R104" i="23"/>
  <c r="S104" i="23" s="1"/>
  <c r="AF104" i="23" s="1"/>
  <c r="K46" i="23"/>
  <c r="Y46" i="23" s="1"/>
  <c r="K29" i="23"/>
  <c r="Y29" i="23" s="1"/>
  <c r="K65" i="23"/>
  <c r="Y65" i="23" s="1"/>
  <c r="K87" i="23"/>
  <c r="L87" i="23" s="1"/>
  <c r="K81" i="23"/>
  <c r="Y81" i="23" s="1"/>
  <c r="R31" i="23"/>
  <c r="S31" i="23" s="1"/>
  <c r="AF31" i="23" s="1"/>
  <c r="AM31" i="23" s="1"/>
  <c r="R61" i="23"/>
  <c r="S61" i="23" s="1"/>
  <c r="AF61" i="23" s="1"/>
  <c r="AM61" i="23" s="1"/>
  <c r="R65" i="23"/>
  <c r="S65" i="23" s="1"/>
  <c r="AF65" i="23" s="1"/>
  <c r="AM65" i="23" s="1"/>
  <c r="K48" i="23"/>
  <c r="L48" i="23" s="1"/>
  <c r="K34" i="23"/>
  <c r="L34" i="23" s="1"/>
  <c r="K79" i="23"/>
  <c r="Y79" i="23" s="1"/>
  <c r="K100" i="23"/>
  <c r="L100" i="23" s="1"/>
  <c r="K83" i="23"/>
  <c r="L83" i="23" s="1"/>
  <c r="R46" i="23"/>
  <c r="S46" i="23" s="1"/>
  <c r="AF46" i="23" s="1"/>
  <c r="AM46" i="23" s="1"/>
  <c r="R30" i="23"/>
  <c r="S30" i="23" s="1"/>
  <c r="AF30" i="23" s="1"/>
  <c r="AM30" i="23" s="1"/>
  <c r="R32" i="23"/>
  <c r="S32" i="23" s="1"/>
  <c r="AF32" i="23" s="1"/>
  <c r="AM32" i="23" s="1"/>
  <c r="R51" i="23"/>
  <c r="S51" i="23" s="1"/>
  <c r="AF51" i="23" s="1"/>
  <c r="R82" i="23"/>
  <c r="S82" i="23" s="1"/>
  <c r="AF82" i="23" s="1"/>
  <c r="AM82" i="23" s="1"/>
  <c r="R64" i="23"/>
  <c r="S64" i="23" s="1"/>
  <c r="AF64" i="23" s="1"/>
  <c r="AM64" i="23" s="1"/>
  <c r="R81" i="23"/>
  <c r="S81" i="23" s="1"/>
  <c r="AF81" i="23" s="1"/>
  <c r="AM81" i="23" s="1"/>
  <c r="R96" i="23"/>
  <c r="S96" i="23" s="1"/>
  <c r="AF96" i="23" s="1"/>
  <c r="AM96" i="23" s="1"/>
  <c r="R63" i="23"/>
  <c r="S63" i="23" s="1"/>
  <c r="AF63" i="23" s="1"/>
  <c r="AM63" i="23" s="1"/>
  <c r="R79" i="23"/>
  <c r="S79" i="23" s="1"/>
  <c r="AF79" i="23" s="1"/>
  <c r="AM79" i="23" s="1"/>
  <c r="R48" i="23"/>
  <c r="S48" i="23" s="1"/>
  <c r="AF48" i="23" s="1"/>
  <c r="AM48" i="23" s="1"/>
  <c r="R44" i="23"/>
  <c r="S44" i="23" s="1"/>
  <c r="AF44" i="23" s="1"/>
  <c r="R45" i="23"/>
  <c r="S45" i="23" s="1"/>
  <c r="AF45" i="23" s="1"/>
  <c r="AM45" i="23" s="1"/>
  <c r="R29" i="23"/>
  <c r="S29" i="23" s="1"/>
  <c r="AF29" i="23" s="1"/>
  <c r="AM29" i="23" s="1"/>
  <c r="R99" i="23"/>
  <c r="S99" i="23" s="1"/>
  <c r="AF99" i="23" s="1"/>
  <c r="AM99" i="23" s="1"/>
  <c r="R66" i="23"/>
  <c r="S66" i="23" s="1"/>
  <c r="AF66" i="23" s="1"/>
  <c r="AM66" i="23" s="1"/>
  <c r="R83" i="23"/>
  <c r="S83" i="23" s="1"/>
  <c r="AF83" i="23" s="1"/>
  <c r="AM83" i="23" s="1"/>
  <c r="R98" i="23"/>
  <c r="S98" i="23" s="1"/>
  <c r="AF98" i="23" s="1"/>
  <c r="AM98" i="23" s="1"/>
  <c r="R68" i="23"/>
  <c r="S68" i="23" s="1"/>
  <c r="AF68" i="23" s="1"/>
  <c r="R95" i="23"/>
  <c r="S95" i="23" s="1"/>
  <c r="K27" i="23"/>
  <c r="K30" i="23"/>
  <c r="Y30" i="23" s="1"/>
  <c r="K44" i="23"/>
  <c r="Y44" i="23" s="1"/>
  <c r="K45" i="23"/>
  <c r="Y45" i="23" s="1"/>
  <c r="K99" i="23"/>
  <c r="Y99" i="23" s="1"/>
  <c r="K82" i="23"/>
  <c r="Y82" i="23" s="1"/>
  <c r="K62" i="23"/>
  <c r="Y62" i="23" s="1"/>
  <c r="K102" i="23"/>
  <c r="Y102" i="23" s="1"/>
  <c r="Y103" i="23" s="1"/>
  <c r="K70" i="23"/>
  <c r="L70" i="23" s="1"/>
  <c r="L71" i="23" s="1"/>
  <c r="K85" i="23"/>
  <c r="Y85" i="23" s="1"/>
  <c r="Y86" i="23" s="1"/>
  <c r="R27" i="23"/>
  <c r="S27" i="23" s="1"/>
  <c r="AF27" i="23" s="1"/>
  <c r="AM27" i="23" s="1"/>
  <c r="R53" i="23"/>
  <c r="S53" i="23" s="1"/>
  <c r="AF53" i="23" s="1"/>
  <c r="R47" i="23"/>
  <c r="S47" i="23" s="1"/>
  <c r="AF47" i="23" s="1"/>
  <c r="AM47" i="23" s="1"/>
  <c r="R34" i="23"/>
  <c r="S34" i="23" s="1"/>
  <c r="AF34" i="23" s="1"/>
  <c r="R80" i="23"/>
  <c r="S80" i="23" s="1"/>
  <c r="AF80" i="23" s="1"/>
  <c r="AM80" i="23" s="1"/>
  <c r="R70" i="23"/>
  <c r="S70" i="23" s="1"/>
  <c r="S71" i="23" s="1"/>
  <c r="R85" i="23"/>
  <c r="S85" i="23" s="1"/>
  <c r="AF85" i="23" s="1"/>
  <c r="R102" i="23"/>
  <c r="S102" i="23" s="1"/>
  <c r="AF102" i="23" s="1"/>
  <c r="R100" i="23"/>
  <c r="S100" i="23" s="1"/>
  <c r="AF100" i="23" s="1"/>
  <c r="AM100" i="23" s="1"/>
  <c r="K31" i="23"/>
  <c r="Y31" i="23" s="1"/>
  <c r="K36" i="23"/>
  <c r="L36" i="23" s="1"/>
  <c r="K53" i="23"/>
  <c r="L53" i="23" s="1"/>
  <c r="L54" i="23" s="1"/>
  <c r="K47" i="23"/>
  <c r="L47" i="23" s="1"/>
  <c r="K63" i="23"/>
  <c r="Y63" i="23" s="1"/>
  <c r="K96" i="23"/>
  <c r="Y96" i="23" s="1"/>
  <c r="K80" i="23"/>
  <c r="Y80" i="23" s="1"/>
  <c r="K61" i="23"/>
  <c r="Y61" i="23" s="1"/>
  <c r="K78" i="23"/>
  <c r="Y78" i="23" s="1"/>
  <c r="F8" i="20"/>
  <c r="E11" i="20"/>
  <c r="F11" i="20" s="1"/>
  <c r="G11" i="20" s="1"/>
  <c r="AC11" i="20"/>
  <c r="E10" i="20"/>
  <c r="AC10" i="20"/>
  <c r="AD10" i="20" s="1"/>
  <c r="AE10" i="20" s="1"/>
  <c r="E12" i="20"/>
  <c r="F12" i="20" s="1"/>
  <c r="G12" i="20" s="1"/>
  <c r="AC12" i="20"/>
  <c r="AD12" i="20" s="1"/>
  <c r="AE12" i="20" s="1"/>
  <c r="Z12" i="20"/>
  <c r="W12" i="20"/>
  <c r="Q12" i="20"/>
  <c r="N12" i="20"/>
  <c r="K12" i="20"/>
  <c r="H12" i="20"/>
  <c r="B12" i="20"/>
  <c r="Z11" i="20"/>
  <c r="W11" i="20"/>
  <c r="Q11" i="20"/>
  <c r="N11" i="20"/>
  <c r="K11" i="20"/>
  <c r="H11" i="20"/>
  <c r="B11" i="20"/>
  <c r="Z10" i="20"/>
  <c r="W10" i="20"/>
  <c r="Q10" i="20"/>
  <c r="N10" i="20"/>
  <c r="K10" i="20"/>
  <c r="H10" i="20"/>
  <c r="B10" i="20"/>
  <c r="AB85" i="23"/>
  <c r="AI85" i="23" s="1"/>
  <c r="I88" i="23"/>
  <c r="I105" i="23"/>
  <c r="I52" i="23"/>
  <c r="I69" i="23"/>
  <c r="B10" i="13"/>
  <c r="AB70" i="23"/>
  <c r="I84" i="23"/>
  <c r="I89" i="23" s="1"/>
  <c r="I103" i="23"/>
  <c r="I101" i="23"/>
  <c r="AB36" i="23"/>
  <c r="AI36" i="23" s="1"/>
  <c r="I54" i="23"/>
  <c r="I50" i="23"/>
  <c r="U104" i="23"/>
  <c r="U105" i="23" s="1"/>
  <c r="I67" i="23"/>
  <c r="AD102" i="23"/>
  <c r="O103" i="23"/>
  <c r="AB69" i="23"/>
  <c r="Z6" i="23" s="1"/>
  <c r="AI68" i="23"/>
  <c r="AD85" i="23"/>
  <c r="O86" i="23"/>
  <c r="AF87" i="23"/>
  <c r="S88" i="23"/>
  <c r="AI98" i="23"/>
  <c r="AI97" i="23"/>
  <c r="AI78" i="23"/>
  <c r="AB84" i="23"/>
  <c r="AB103" i="23"/>
  <c r="AB6" i="23" s="1"/>
  <c r="AI102" i="23"/>
  <c r="AB101" i="23"/>
  <c r="AI95" i="23"/>
  <c r="Y95" i="23"/>
  <c r="L95" i="23"/>
  <c r="AI65" i="23"/>
  <c r="AB105" i="23"/>
  <c r="AK6" i="23" s="1"/>
  <c r="AI104" i="23"/>
  <c r="AB52" i="23"/>
  <c r="Y6" i="23" s="1"/>
  <c r="AI51" i="23"/>
  <c r="AI48" i="23"/>
  <c r="AI83" i="23"/>
  <c r="AI79" i="23"/>
  <c r="AI49" i="23"/>
  <c r="AI64" i="23"/>
  <c r="AI62" i="23"/>
  <c r="AI99" i="23"/>
  <c r="AI61" i="23"/>
  <c r="AB67" i="23"/>
  <c r="AI80" i="23"/>
  <c r="AI96" i="23"/>
  <c r="AI100" i="23"/>
  <c r="AB50" i="23"/>
  <c r="AI44" i="23"/>
  <c r="AD53" i="23"/>
  <c r="O54" i="23"/>
  <c r="AD78" i="23"/>
  <c r="AD104" i="23"/>
  <c r="O105" i="23"/>
  <c r="AI63" i="23"/>
  <c r="AI66" i="23"/>
  <c r="AI82" i="23"/>
  <c r="AI46" i="23"/>
  <c r="AB88" i="23"/>
  <c r="AJ6" i="23" s="1"/>
  <c r="AI87" i="23"/>
  <c r="AB54" i="23"/>
  <c r="AH6" i="23" s="1"/>
  <c r="AI53" i="23"/>
  <c r="J35" i="23"/>
  <c r="I27" i="23"/>
  <c r="AB27" i="23" s="1"/>
  <c r="I29" i="23"/>
  <c r="AB29" i="23" s="1"/>
  <c r="AI29" i="23" s="1"/>
  <c r="I28" i="23"/>
  <c r="AB28" i="23" s="1"/>
  <c r="AI28" i="23" s="1"/>
  <c r="I32" i="23"/>
  <c r="I31" i="23"/>
  <c r="I30" i="23"/>
  <c r="O30" i="23"/>
  <c r="AD30" i="23" s="1"/>
  <c r="AK30" i="23" s="1"/>
  <c r="G35" i="23"/>
  <c r="O28" i="23"/>
  <c r="L32" i="23"/>
  <c r="AE35" i="23"/>
  <c r="G33" i="23"/>
  <c r="AE33" i="23"/>
  <c r="X35" i="23"/>
  <c r="L65" i="23" l="1"/>
  <c r="S37" i="23"/>
  <c r="L64" i="23"/>
  <c r="AD87" i="23"/>
  <c r="AD88" i="23" s="1"/>
  <c r="AJ8" i="23" s="1"/>
  <c r="AD36" i="23"/>
  <c r="S35" i="23"/>
  <c r="U87" i="23"/>
  <c r="U88" i="23" s="1"/>
  <c r="AD70" i="23"/>
  <c r="AK70" i="23" s="1"/>
  <c r="AK71" i="23" s="1"/>
  <c r="AI19" i="23" s="1"/>
  <c r="O52" i="23"/>
  <c r="AC87" i="23"/>
  <c r="L61" i="23"/>
  <c r="U61" i="23" s="1"/>
  <c r="AD68" i="23"/>
  <c r="AD69" i="23" s="1"/>
  <c r="Z8" i="23" s="1"/>
  <c r="Y97" i="23"/>
  <c r="S86" i="23"/>
  <c r="L99" i="23"/>
  <c r="U99" i="23" s="1"/>
  <c r="L105" i="23"/>
  <c r="AM33" i="23"/>
  <c r="O21" i="23" s="1"/>
  <c r="Y100" i="23"/>
  <c r="AC100" i="23" s="1"/>
  <c r="L29" i="23"/>
  <c r="L88" i="23"/>
  <c r="Y68" i="23"/>
  <c r="Y69" i="23" s="1"/>
  <c r="Y47" i="23"/>
  <c r="Y34" i="23"/>
  <c r="AC34" i="23" s="1"/>
  <c r="AJ34" i="23" s="1"/>
  <c r="AJ35" i="23" s="1"/>
  <c r="X18" i="23" s="1"/>
  <c r="O101" i="23"/>
  <c r="O106" i="23" s="1"/>
  <c r="Y51" i="23"/>
  <c r="Y52" i="23" s="1"/>
  <c r="I72" i="23"/>
  <c r="S84" i="23"/>
  <c r="AC70" i="23"/>
  <c r="AI7" i="23" s="1"/>
  <c r="L79" i="23"/>
  <c r="U79" i="23" s="1"/>
  <c r="U70" i="23"/>
  <c r="U71" i="23" s="1"/>
  <c r="O84" i="23"/>
  <c r="O89" i="23" s="1"/>
  <c r="O67" i="23"/>
  <c r="O72" i="23" s="1"/>
  <c r="Y66" i="23"/>
  <c r="L46" i="23"/>
  <c r="AC46" i="23" s="1"/>
  <c r="L80" i="23"/>
  <c r="AC80" i="23" s="1"/>
  <c r="S101" i="23"/>
  <c r="S67" i="23"/>
  <c r="L31" i="23"/>
  <c r="U31" i="23" s="1"/>
  <c r="L102" i="23"/>
  <c r="U102" i="23" s="1"/>
  <c r="U103" i="23" s="1"/>
  <c r="L81" i="23"/>
  <c r="AC81" i="23" s="1"/>
  <c r="AJ81" i="23" s="1"/>
  <c r="AN81" i="23" s="1"/>
  <c r="Y48" i="23"/>
  <c r="L62" i="23"/>
  <c r="AC62" i="23" s="1"/>
  <c r="AF95" i="23"/>
  <c r="AM95" i="23" s="1"/>
  <c r="AM101" i="23" s="1"/>
  <c r="S21" i="23" s="1"/>
  <c r="L98" i="23"/>
  <c r="AC98" i="23" s="1"/>
  <c r="L49" i="23"/>
  <c r="U49" i="23" s="1"/>
  <c r="S105" i="23"/>
  <c r="Y83" i="23"/>
  <c r="Y84" i="23" s="1"/>
  <c r="Y89" i="23" s="1"/>
  <c r="S69" i="23"/>
  <c r="S33" i="23"/>
  <c r="S54" i="23"/>
  <c r="S52" i="23"/>
  <c r="S50" i="23"/>
  <c r="L45" i="23"/>
  <c r="AC45" i="23" s="1"/>
  <c r="L78" i="23"/>
  <c r="AC78" i="23" s="1"/>
  <c r="AF70" i="23"/>
  <c r="AI10" i="23" s="1"/>
  <c r="AB28" i="20" s="1"/>
  <c r="L63" i="23"/>
  <c r="AC63" i="23" s="1"/>
  <c r="U53" i="23"/>
  <c r="U54" i="23" s="1"/>
  <c r="AM34" i="23"/>
  <c r="AM35" i="23" s="1"/>
  <c r="X21" i="23" s="1"/>
  <c r="AF35" i="23"/>
  <c r="X10" i="23" s="1"/>
  <c r="P27" i="19" s="1"/>
  <c r="AC53" i="23"/>
  <c r="AC54" i="23" s="1"/>
  <c r="AH7" i="23" s="1"/>
  <c r="U34" i="23"/>
  <c r="L85" i="23"/>
  <c r="AC85" i="23" s="1"/>
  <c r="L82" i="23"/>
  <c r="U82" i="23" s="1"/>
  <c r="S103" i="23"/>
  <c r="S106" i="23" s="1"/>
  <c r="L96" i="23"/>
  <c r="Y36" i="23"/>
  <c r="Y37" i="23" s="1"/>
  <c r="L30" i="23"/>
  <c r="U30" i="23" s="1"/>
  <c r="G8" i="20"/>
  <c r="AB71" i="23"/>
  <c r="AB72" i="23" s="1"/>
  <c r="H6" i="23" s="1"/>
  <c r="AI6" i="23"/>
  <c r="AI12" i="20"/>
  <c r="AI10" i="20"/>
  <c r="AD11" i="20"/>
  <c r="AE11" i="20" s="1"/>
  <c r="E9" i="20"/>
  <c r="F10" i="20"/>
  <c r="F9" i="20" s="1"/>
  <c r="AI11" i="20"/>
  <c r="U10" i="20"/>
  <c r="T9" i="20"/>
  <c r="H9" i="20"/>
  <c r="Z9" i="20"/>
  <c r="AB86" i="23"/>
  <c r="AA6" i="23" s="1"/>
  <c r="AI70" i="23"/>
  <c r="AI71" i="23" s="1"/>
  <c r="AI17" i="23" s="1"/>
  <c r="I106" i="23"/>
  <c r="I55" i="23"/>
  <c r="AB37" i="23"/>
  <c r="AG6" i="23" s="1"/>
  <c r="AF84" i="23"/>
  <c r="R10" i="23" s="1"/>
  <c r="AE22" i="20" s="1"/>
  <c r="AM84" i="23"/>
  <c r="R21" i="23" s="1"/>
  <c r="AI50" i="23"/>
  <c r="P17" i="23" s="1"/>
  <c r="AM67" i="23"/>
  <c r="Q21" i="23" s="1"/>
  <c r="AF67" i="23"/>
  <c r="Q10" i="23" s="1"/>
  <c r="AB22" i="20" s="1"/>
  <c r="AC105" i="23"/>
  <c r="AK7" i="23" s="1"/>
  <c r="AJ104" i="23"/>
  <c r="AJ105" i="23" s="1"/>
  <c r="AK18" i="23" s="1"/>
  <c r="AF105" i="23"/>
  <c r="AK10" i="23" s="1"/>
  <c r="AH28" i="20" s="1"/>
  <c r="AM104" i="23"/>
  <c r="AM105" i="23" s="1"/>
  <c r="AK21" i="23" s="1"/>
  <c r="AM44" i="23"/>
  <c r="AM50" i="23" s="1"/>
  <c r="P21" i="23" s="1"/>
  <c r="AF50" i="23"/>
  <c r="P10" i="23" s="1"/>
  <c r="P22" i="20" s="1"/>
  <c r="AF103" i="23"/>
  <c r="AB10" i="23" s="1"/>
  <c r="AH25" i="20" s="1"/>
  <c r="AM102" i="23"/>
  <c r="AM103" i="23" s="1"/>
  <c r="AB21" i="23" s="1"/>
  <c r="AF54" i="23"/>
  <c r="AH10" i="23" s="1"/>
  <c r="P28" i="20" s="1"/>
  <c r="AM53" i="23"/>
  <c r="AM54" i="23" s="1"/>
  <c r="AH21" i="23" s="1"/>
  <c r="AK78" i="23"/>
  <c r="AK84" i="23" s="1"/>
  <c r="R19" i="23" s="1"/>
  <c r="AD84" i="23"/>
  <c r="AD52" i="23"/>
  <c r="Y8" i="23" s="1"/>
  <c r="AK51" i="23"/>
  <c r="AK52" i="23" s="1"/>
  <c r="Y19" i="23" s="1"/>
  <c r="AC66" i="23"/>
  <c r="U66" i="23"/>
  <c r="L52" i="23"/>
  <c r="AC51" i="23"/>
  <c r="U51" i="23"/>
  <c r="U52" i="23" s="1"/>
  <c r="Q6" i="23"/>
  <c r="AC65" i="23"/>
  <c r="U65" i="23"/>
  <c r="AF52" i="23"/>
  <c r="AM51" i="23"/>
  <c r="AM52" i="23" s="1"/>
  <c r="Y21" i="23" s="1"/>
  <c r="AG104" i="23"/>
  <c r="AG105" i="23" s="1"/>
  <c r="AI37" i="23"/>
  <c r="AG17" i="23" s="1"/>
  <c r="AB106" i="23"/>
  <c r="J6" i="23" s="1"/>
  <c r="S6" i="23"/>
  <c r="AD71" i="23"/>
  <c r="AI69" i="23"/>
  <c r="Z17" i="23" s="1"/>
  <c r="U100" i="23"/>
  <c r="AC68" i="23"/>
  <c r="L69" i="23"/>
  <c r="U68" i="23"/>
  <c r="U69" i="23" s="1"/>
  <c r="AK68" i="23"/>
  <c r="AK69" i="23" s="1"/>
  <c r="Z19" i="23" s="1"/>
  <c r="AD37" i="23"/>
  <c r="AG8" i="23" s="1"/>
  <c r="AK36" i="23"/>
  <c r="AK37" i="23" s="1"/>
  <c r="AG19" i="23" s="1"/>
  <c r="AI105" i="23"/>
  <c r="AK17" i="23" s="1"/>
  <c r="AI101" i="23"/>
  <c r="S17" i="23" s="1"/>
  <c r="AF37" i="23"/>
  <c r="AG10" i="23" s="1"/>
  <c r="D28" i="20" s="1"/>
  <c r="AM36" i="23"/>
  <c r="AM37" i="23" s="1"/>
  <c r="AI54" i="23"/>
  <c r="AH17" i="23" s="1"/>
  <c r="AI88" i="23"/>
  <c r="AJ17" i="23" s="1"/>
  <c r="AI86" i="23"/>
  <c r="AA17" i="23" s="1"/>
  <c r="AJ87" i="23"/>
  <c r="AJ88" i="23" s="1"/>
  <c r="AJ18" i="23" s="1"/>
  <c r="AI52" i="23"/>
  <c r="Y17" i="23" s="1"/>
  <c r="AC95" i="23"/>
  <c r="U95" i="23"/>
  <c r="AC61" i="23"/>
  <c r="AC47" i="23"/>
  <c r="U47" i="23"/>
  <c r="AI103" i="23"/>
  <c r="AB17" i="23" s="1"/>
  <c r="R6" i="23"/>
  <c r="AM68" i="23"/>
  <c r="AM69" i="23" s="1"/>
  <c r="Z21" i="23" s="1"/>
  <c r="AF69" i="23"/>
  <c r="AD103" i="23"/>
  <c r="AB8" i="23" s="1"/>
  <c r="AK102" i="23"/>
  <c r="AK103" i="23" s="1"/>
  <c r="AB19" i="23" s="1"/>
  <c r="AC71" i="23"/>
  <c r="AF86" i="23"/>
  <c r="AA10" i="23" s="1"/>
  <c r="AM85" i="23"/>
  <c r="AM86" i="23" s="1"/>
  <c r="AA21" i="23" s="1"/>
  <c r="AD105" i="23"/>
  <c r="AK8" i="23" s="1"/>
  <c r="AK104" i="23"/>
  <c r="AK105" i="23" s="1"/>
  <c r="AK19" i="23" s="1"/>
  <c r="AD101" i="23"/>
  <c r="AK95" i="23"/>
  <c r="AK101" i="23" s="1"/>
  <c r="S19" i="23" s="1"/>
  <c r="AD54" i="23"/>
  <c r="AH8" i="23" s="1"/>
  <c r="AK53" i="23"/>
  <c r="AK54" i="23" s="1"/>
  <c r="AH19" i="23" s="1"/>
  <c r="P6" i="23"/>
  <c r="AB55" i="23"/>
  <c r="G6" i="23" s="1"/>
  <c r="AI67" i="23"/>
  <c r="Q17" i="23" s="1"/>
  <c r="AC97" i="23"/>
  <c r="U97" i="23"/>
  <c r="AC64" i="23"/>
  <c r="U64" i="23"/>
  <c r="AC49" i="23"/>
  <c r="AK61" i="23"/>
  <c r="AK67" i="23" s="1"/>
  <c r="Q19" i="23" s="1"/>
  <c r="AD67" i="23"/>
  <c r="Y67" i="23"/>
  <c r="Y72" i="23" s="1"/>
  <c r="L37" i="23"/>
  <c r="U36" i="23"/>
  <c r="U37" i="23" s="1"/>
  <c r="AI84" i="23"/>
  <c r="R17" i="23" s="1"/>
  <c r="AF88" i="23"/>
  <c r="AJ10" i="23" s="1"/>
  <c r="AE28" i="20" s="1"/>
  <c r="AM87" i="23"/>
  <c r="AM88" i="23" s="1"/>
  <c r="AJ21" i="23" s="1"/>
  <c r="AD86" i="23"/>
  <c r="AA8" i="23" s="1"/>
  <c r="AK85" i="23"/>
  <c r="AK86" i="23" s="1"/>
  <c r="AA19" i="23" s="1"/>
  <c r="AC83" i="23"/>
  <c r="U83" i="23"/>
  <c r="AC48" i="23"/>
  <c r="U48" i="23"/>
  <c r="AD34" i="23"/>
  <c r="AK34" i="23" s="1"/>
  <c r="AD28" i="23"/>
  <c r="AK28" i="23" s="1"/>
  <c r="U28" i="23"/>
  <c r="AF33" i="23"/>
  <c r="AB32" i="23"/>
  <c r="AI32" i="23" s="1"/>
  <c r="U32" i="23"/>
  <c r="AB31" i="23"/>
  <c r="AI31" i="23" s="1"/>
  <c r="AB30" i="23"/>
  <c r="AI30" i="23" s="1"/>
  <c r="M35" i="23"/>
  <c r="O29" i="23"/>
  <c r="AD29" i="23" s="1"/>
  <c r="AK29" i="23" s="1"/>
  <c r="AL35" i="23"/>
  <c r="I35" i="23"/>
  <c r="F9" i="23"/>
  <c r="O35" i="23"/>
  <c r="L35" i="23"/>
  <c r="AI27" i="23"/>
  <c r="AI34" i="23"/>
  <c r="AB35" i="23"/>
  <c r="X6" i="23" s="1"/>
  <c r="I33" i="23"/>
  <c r="AK87" i="23" l="1"/>
  <c r="AK88" i="23" s="1"/>
  <c r="AJ19" i="23" s="1"/>
  <c r="AG81" i="23"/>
  <c r="AG53" i="23"/>
  <c r="AG54" i="23" s="1"/>
  <c r="AG87" i="23"/>
  <c r="AG88" i="23" s="1"/>
  <c r="I38" i="23"/>
  <c r="AI8" i="23"/>
  <c r="U98" i="23"/>
  <c r="AJ70" i="23"/>
  <c r="AJ71" i="23" s="1"/>
  <c r="AI18" i="23" s="1"/>
  <c r="S38" i="23"/>
  <c r="AC88" i="23"/>
  <c r="AJ7" i="23" s="1"/>
  <c r="AC99" i="23"/>
  <c r="AG99" i="23" s="1"/>
  <c r="L101" i="23"/>
  <c r="Y35" i="23"/>
  <c r="AC35" i="23"/>
  <c r="X7" i="23" s="1"/>
  <c r="Y101" i="23"/>
  <c r="Y106" i="23" s="1"/>
  <c r="AC79" i="23"/>
  <c r="AJ79" i="23" s="1"/>
  <c r="AN79" i="23" s="1"/>
  <c r="S55" i="23"/>
  <c r="S89" i="23"/>
  <c r="Y50" i="23"/>
  <c r="Y55" i="23" s="1"/>
  <c r="U78" i="23"/>
  <c r="AF71" i="23"/>
  <c r="AF72" i="23" s="1"/>
  <c r="H10" i="23" s="1"/>
  <c r="L103" i="23"/>
  <c r="AF101" i="23"/>
  <c r="S10" i="23" s="1"/>
  <c r="O35" i="19" s="1"/>
  <c r="U80" i="23"/>
  <c r="AC102" i="23"/>
  <c r="AG102" i="23" s="1"/>
  <c r="AG103" i="23" s="1"/>
  <c r="AG70" i="23"/>
  <c r="AG71" i="23" s="1"/>
  <c r="U85" i="23"/>
  <c r="U86" i="23" s="1"/>
  <c r="AE27" i="20"/>
  <c r="N32" i="19" s="1"/>
  <c r="S72" i="23"/>
  <c r="L67" i="23"/>
  <c r="L72" i="23" s="1"/>
  <c r="U62" i="23"/>
  <c r="U46" i="23"/>
  <c r="AC82" i="23"/>
  <c r="AG82" i="23" s="1"/>
  <c r="AM70" i="23"/>
  <c r="AM71" i="23" s="1"/>
  <c r="AI21" i="23" s="1"/>
  <c r="L84" i="23"/>
  <c r="U96" i="23"/>
  <c r="U101" i="23" s="1"/>
  <c r="U106" i="23" s="1"/>
  <c r="U45" i="23"/>
  <c r="U81" i="23"/>
  <c r="U63" i="23"/>
  <c r="AC96" i="23"/>
  <c r="AJ96" i="23" s="1"/>
  <c r="AN96" i="23" s="1"/>
  <c r="AJ53" i="23"/>
  <c r="AJ54" i="23" s="1"/>
  <c r="AH18" i="23" s="1"/>
  <c r="L86" i="23"/>
  <c r="AC36" i="23"/>
  <c r="AJ36" i="23" s="1"/>
  <c r="P27" i="20"/>
  <c r="N28" i="19" s="1"/>
  <c r="AB27" i="20"/>
  <c r="N30" i="19" s="1"/>
  <c r="AE25" i="20"/>
  <c r="Q33" i="19"/>
  <c r="Q29" i="19"/>
  <c r="Q31" i="19"/>
  <c r="G10" i="20"/>
  <c r="G9" i="20" s="1"/>
  <c r="V10" i="20"/>
  <c r="V9" i="20" s="1"/>
  <c r="U9" i="20"/>
  <c r="P35" i="19"/>
  <c r="Q27" i="19"/>
  <c r="AH27" i="20"/>
  <c r="N34" i="19" s="1"/>
  <c r="AF38" i="23"/>
  <c r="F10" i="23" s="1"/>
  <c r="Q35" i="19"/>
  <c r="AB89" i="23"/>
  <c r="I6" i="23" s="1"/>
  <c r="T21" i="23"/>
  <c r="AL6" i="23"/>
  <c r="AM6" i="23" s="1"/>
  <c r="AK28" i="20"/>
  <c r="AM38" i="23"/>
  <c r="F21" i="23" s="1"/>
  <c r="AG21" i="23"/>
  <c r="AL17" i="23"/>
  <c r="AK72" i="23"/>
  <c r="H19" i="23" s="1"/>
  <c r="AK11" i="23"/>
  <c r="AK106" i="23"/>
  <c r="J19" i="23" s="1"/>
  <c r="AH11" i="23"/>
  <c r="AI55" i="23"/>
  <c r="G17" i="23" s="1"/>
  <c r="AI89" i="23"/>
  <c r="I17" i="23" s="1"/>
  <c r="AJ61" i="23"/>
  <c r="AC67" i="23"/>
  <c r="AG61" i="23"/>
  <c r="AC86" i="23"/>
  <c r="AA7" i="23" s="1"/>
  <c r="AE24" i="20" s="1"/>
  <c r="M32" i="19" s="1"/>
  <c r="AJ85" i="23"/>
  <c r="AG85" i="23"/>
  <c r="AG86" i="23" s="1"/>
  <c r="AQ98" i="23"/>
  <c r="AP81" i="23"/>
  <c r="AR81" i="23"/>
  <c r="AR98" i="23"/>
  <c r="AQ81" i="23"/>
  <c r="AS98" i="23"/>
  <c r="AO81" i="23"/>
  <c r="AO98" i="23"/>
  <c r="AS81" i="23"/>
  <c r="AD89" i="23"/>
  <c r="I8" i="23" s="1"/>
  <c r="R8" i="23"/>
  <c r="AF89" i="23"/>
  <c r="I10" i="23" s="1"/>
  <c r="AN87" i="23"/>
  <c r="AI106" i="23"/>
  <c r="J17" i="23" s="1"/>
  <c r="AC69" i="23"/>
  <c r="Z7" i="23" s="1"/>
  <c r="AB24" i="20" s="1"/>
  <c r="M30" i="19" s="1"/>
  <c r="AJ68" i="23"/>
  <c r="AG68" i="23"/>
  <c r="AG69" i="23" s="1"/>
  <c r="AJ66" i="23"/>
  <c r="AN66" i="23" s="1"/>
  <c r="AG66" i="23"/>
  <c r="AK89" i="23"/>
  <c r="I19" i="23" s="1"/>
  <c r="AM55" i="23"/>
  <c r="G21" i="23" s="1"/>
  <c r="AJ98" i="23"/>
  <c r="AN98" i="23" s="1"/>
  <c r="AG98" i="23"/>
  <c r="AJ99" i="23"/>
  <c r="AN99" i="23" s="1"/>
  <c r="AJ46" i="23"/>
  <c r="AN46" i="23" s="1"/>
  <c r="AG46" i="23"/>
  <c r="S8" i="23"/>
  <c r="AD106" i="23"/>
  <c r="J8" i="23" s="1"/>
  <c r="AI11" i="23"/>
  <c r="AJ48" i="23"/>
  <c r="AN48" i="23" s="1"/>
  <c r="AG48" i="23"/>
  <c r="AJ83" i="23"/>
  <c r="AN83" i="23" s="1"/>
  <c r="AG83" i="23"/>
  <c r="Q8" i="23"/>
  <c r="AD72" i="23"/>
  <c r="H8" i="23" s="1"/>
  <c r="AJ49" i="23"/>
  <c r="AN49" i="23" s="1"/>
  <c r="AG49" i="23"/>
  <c r="AJ64" i="23"/>
  <c r="AN64" i="23" s="1"/>
  <c r="AG64" i="23"/>
  <c r="AI72" i="23"/>
  <c r="H17" i="23" s="1"/>
  <c r="AM89" i="23"/>
  <c r="I21" i="23" s="1"/>
  <c r="AJ11" i="23"/>
  <c r="Z10" i="23"/>
  <c r="AJ62" i="23"/>
  <c r="AN62" i="23" s="1"/>
  <c r="AG62" i="23"/>
  <c r="AL10" i="23"/>
  <c r="AM10" i="23" s="1"/>
  <c r="AJ78" i="23"/>
  <c r="AG78" i="23"/>
  <c r="AL8" i="23"/>
  <c r="AM8" i="23" s="1"/>
  <c r="AF55" i="23"/>
  <c r="G10" i="23" s="1"/>
  <c r="Y10" i="23"/>
  <c r="P25" i="20" s="1"/>
  <c r="AJ65" i="23"/>
  <c r="AN65" i="23" s="1"/>
  <c r="AG65" i="23"/>
  <c r="AJ51" i="23"/>
  <c r="AC52" i="23"/>
  <c r="Y7" i="23" s="1"/>
  <c r="P24" i="20" s="1"/>
  <c r="M28" i="19" s="1"/>
  <c r="AG51" i="23"/>
  <c r="AG52" i="23" s="1"/>
  <c r="AM106" i="23"/>
  <c r="J21" i="23" s="1"/>
  <c r="AJ80" i="23"/>
  <c r="AN80" i="23" s="1"/>
  <c r="AG80" i="23"/>
  <c r="AG45" i="23"/>
  <c r="AJ45" i="23"/>
  <c r="AN45" i="23" s="1"/>
  <c r="AJ97" i="23"/>
  <c r="AN97" i="23" s="1"/>
  <c r="AG97" i="23"/>
  <c r="AG47" i="23"/>
  <c r="AJ47" i="23"/>
  <c r="AN47" i="23" s="1"/>
  <c r="AJ95" i="23"/>
  <c r="AG95" i="23"/>
  <c r="AJ63" i="23"/>
  <c r="AN63" i="23" s="1"/>
  <c r="AG63" i="23"/>
  <c r="AN104" i="23"/>
  <c r="AN105" i="23" s="1"/>
  <c r="AJ100" i="23"/>
  <c r="AN100" i="23" s="1"/>
  <c r="AG100" i="23"/>
  <c r="O10" i="23"/>
  <c r="D22" i="20" s="1"/>
  <c r="AN34" i="23"/>
  <c r="AG34" i="23"/>
  <c r="AG35" i="23" s="1"/>
  <c r="U29" i="23"/>
  <c r="AB33" i="23"/>
  <c r="AB38" i="23" s="1"/>
  <c r="T35" i="23"/>
  <c r="U35" i="23"/>
  <c r="AI35" i="23"/>
  <c r="X17" i="23" s="1"/>
  <c r="AK35" i="23"/>
  <c r="X19" i="23" s="1"/>
  <c r="AD35" i="23"/>
  <c r="X8" i="23" s="1"/>
  <c r="D24" i="20" s="1"/>
  <c r="T9" i="23"/>
  <c r="U9" i="23" s="1"/>
  <c r="K9" i="23"/>
  <c r="L9" i="23" s="1"/>
  <c r="AG79" i="23" l="1"/>
  <c r="AF106" i="23"/>
  <c r="J10" i="23" s="1"/>
  <c r="U67" i="23"/>
  <c r="U72" i="23" s="1"/>
  <c r="U84" i="23"/>
  <c r="U89" i="23" s="1"/>
  <c r="L106" i="23"/>
  <c r="AG36" i="23"/>
  <c r="AG37" i="23" s="1"/>
  <c r="AJ82" i="23"/>
  <c r="AN82" i="23" s="1"/>
  <c r="AR99" i="23" s="1"/>
  <c r="AN70" i="23"/>
  <c r="AP70" i="23" s="1"/>
  <c r="AJ102" i="23"/>
  <c r="AJ103" i="23" s="1"/>
  <c r="AB18" i="23" s="1"/>
  <c r="AM72" i="23"/>
  <c r="H21" i="23" s="1"/>
  <c r="J31" i="24" s="1"/>
  <c r="AN53" i="23"/>
  <c r="AS53" i="23" s="1"/>
  <c r="AC103" i="23"/>
  <c r="AB7" i="23" s="1"/>
  <c r="AH24" i="20" s="1"/>
  <c r="M34" i="19" s="1"/>
  <c r="AC84" i="23"/>
  <c r="AC89" i="23" s="1"/>
  <c r="I7" i="23" s="1"/>
  <c r="AE26" i="20"/>
  <c r="AC101" i="23"/>
  <c r="L89" i="23"/>
  <c r="AG96" i="23"/>
  <c r="AG101" i="23" s="1"/>
  <c r="AG106" i="23" s="1"/>
  <c r="AC37" i="23"/>
  <c r="AG7" i="23" s="1"/>
  <c r="D27" i="20" s="1"/>
  <c r="AK27" i="20" s="1"/>
  <c r="P29" i="19"/>
  <c r="P33" i="19"/>
  <c r="AB25" i="20"/>
  <c r="AK25" i="20" s="1"/>
  <c r="M26" i="19"/>
  <c r="AK22" i="20"/>
  <c r="L32" i="24"/>
  <c r="L28" i="24"/>
  <c r="L31" i="24"/>
  <c r="L27" i="24"/>
  <c r="L30" i="24"/>
  <c r="L33" i="24"/>
  <c r="L29" i="24"/>
  <c r="I31" i="24"/>
  <c r="I27" i="24"/>
  <c r="I30" i="24"/>
  <c r="I33" i="24"/>
  <c r="I29" i="24"/>
  <c r="I32" i="24"/>
  <c r="I28" i="24"/>
  <c r="K33" i="24"/>
  <c r="K29" i="24"/>
  <c r="K31" i="24"/>
  <c r="K32" i="24"/>
  <c r="K28" i="24"/>
  <c r="K27" i="24"/>
  <c r="K30" i="24"/>
  <c r="J28" i="24"/>
  <c r="J33" i="24"/>
  <c r="H32" i="24"/>
  <c r="H28" i="24"/>
  <c r="H30" i="24"/>
  <c r="H31" i="24"/>
  <c r="H27" i="24"/>
  <c r="H33" i="24"/>
  <c r="H29" i="24"/>
  <c r="L24" i="24"/>
  <c r="L20" i="24"/>
  <c r="L23" i="24"/>
  <c r="L19" i="24"/>
  <c r="L22" i="24"/>
  <c r="L25" i="24"/>
  <c r="L21" i="24"/>
  <c r="K25" i="24"/>
  <c r="K21" i="24"/>
  <c r="K24" i="24"/>
  <c r="K20" i="24"/>
  <c r="K23" i="24"/>
  <c r="K19" i="24"/>
  <c r="K22" i="24"/>
  <c r="J22" i="24"/>
  <c r="J25" i="24"/>
  <c r="J21" i="24"/>
  <c r="J24" i="24"/>
  <c r="J20" i="24"/>
  <c r="J23" i="24"/>
  <c r="J19" i="24"/>
  <c r="L9" i="24"/>
  <c r="L5" i="24"/>
  <c r="L8" i="24"/>
  <c r="L4" i="24"/>
  <c r="L7" i="24"/>
  <c r="L3" i="24"/>
  <c r="L6" i="24"/>
  <c r="J6" i="24"/>
  <c r="J3" i="24"/>
  <c r="J7" i="24"/>
  <c r="J4" i="24"/>
  <c r="J8" i="24"/>
  <c r="J5" i="24"/>
  <c r="J9" i="24"/>
  <c r="I7" i="24"/>
  <c r="I4" i="24"/>
  <c r="I8" i="24"/>
  <c r="I5" i="24"/>
  <c r="I9" i="24"/>
  <c r="I6" i="24"/>
  <c r="I3" i="24"/>
  <c r="K5" i="24"/>
  <c r="K9" i="24"/>
  <c r="K6" i="24"/>
  <c r="K3" i="24"/>
  <c r="K7" i="24"/>
  <c r="K4" i="24"/>
  <c r="K8" i="24"/>
  <c r="AK24" i="20"/>
  <c r="D23" i="20"/>
  <c r="AL21" i="23"/>
  <c r="P26" i="20"/>
  <c r="AH26" i="20"/>
  <c r="AB26" i="20"/>
  <c r="AC21" i="23"/>
  <c r="AJ101" i="23"/>
  <c r="S18" i="23" s="1"/>
  <c r="AN95" i="23"/>
  <c r="AN101" i="23" s="1"/>
  <c r="AP96" i="23"/>
  <c r="AS79" i="23"/>
  <c r="AQ96" i="23"/>
  <c r="AO96" i="23"/>
  <c r="AQ79" i="23"/>
  <c r="AP79" i="23"/>
  <c r="AR96" i="23"/>
  <c r="AS96" i="23"/>
  <c r="AO79" i="23"/>
  <c r="AR79" i="23"/>
  <c r="AN78" i="23"/>
  <c r="AQ49" i="23"/>
  <c r="AP49" i="23"/>
  <c r="AS49" i="23"/>
  <c r="AR49" i="23"/>
  <c r="AO49" i="23"/>
  <c r="AO66" i="23"/>
  <c r="AS66" i="23"/>
  <c r="AQ66" i="23"/>
  <c r="AP66" i="23"/>
  <c r="AR66" i="23"/>
  <c r="AO63" i="23"/>
  <c r="AQ63" i="23"/>
  <c r="AR63" i="23"/>
  <c r="AP63" i="23"/>
  <c r="AS63" i="23"/>
  <c r="AR45" i="23"/>
  <c r="AS45" i="23"/>
  <c r="AQ45" i="23"/>
  <c r="AP45" i="23"/>
  <c r="AO45" i="23"/>
  <c r="AP62" i="23"/>
  <c r="AS62" i="23"/>
  <c r="AO62" i="23"/>
  <c r="AQ62" i="23"/>
  <c r="AR62" i="23"/>
  <c r="AQ104" i="23"/>
  <c r="AN88" i="23"/>
  <c r="AO87" i="23"/>
  <c r="AS104" i="23"/>
  <c r="AP104" i="23"/>
  <c r="AR87" i="23"/>
  <c r="AQ87" i="23"/>
  <c r="AR104" i="23"/>
  <c r="AS87" i="23"/>
  <c r="AO104" i="23"/>
  <c r="AP87" i="23"/>
  <c r="AJ37" i="23"/>
  <c r="AG18" i="23" s="1"/>
  <c r="AN36" i="23"/>
  <c r="AP98" i="23"/>
  <c r="AG67" i="23"/>
  <c r="AG72" i="23" s="1"/>
  <c r="AS80" i="23"/>
  <c r="AP97" i="23"/>
  <c r="AP80" i="23"/>
  <c r="AR80" i="23"/>
  <c r="AO97" i="23"/>
  <c r="AO80" i="23"/>
  <c r="AQ80" i="23"/>
  <c r="AR97" i="23"/>
  <c r="AS97" i="23"/>
  <c r="AQ97" i="23"/>
  <c r="AP100" i="23"/>
  <c r="AQ83" i="23"/>
  <c r="AO100" i="23"/>
  <c r="AP83" i="23"/>
  <c r="AQ100" i="23"/>
  <c r="AR100" i="23"/>
  <c r="AS100" i="23"/>
  <c r="AR83" i="23"/>
  <c r="AS83" i="23"/>
  <c r="AO83" i="23"/>
  <c r="AE23" i="20"/>
  <c r="AR53" i="23"/>
  <c r="AO99" i="23"/>
  <c r="AO82" i="23"/>
  <c r="Q36" i="19"/>
  <c r="AP64" i="23"/>
  <c r="AR64" i="23"/>
  <c r="AQ64" i="23"/>
  <c r="AS64" i="23"/>
  <c r="AO64" i="23"/>
  <c r="AP48" i="23"/>
  <c r="AS48" i="23"/>
  <c r="AO48" i="23"/>
  <c r="AQ48" i="23"/>
  <c r="AR48" i="23"/>
  <c r="AQ46" i="23"/>
  <c r="AP46" i="23"/>
  <c r="AR46" i="23"/>
  <c r="AS46" i="23"/>
  <c r="AO46" i="23"/>
  <c r="Q7" i="23"/>
  <c r="AB21" i="20" s="1"/>
  <c r="AC72" i="23"/>
  <c r="H7" i="23" s="1"/>
  <c r="AJ52" i="23"/>
  <c r="Y18" i="23" s="1"/>
  <c r="AN51" i="23"/>
  <c r="AR47" i="23"/>
  <c r="AO47" i="23"/>
  <c r="AQ47" i="23"/>
  <c r="AS47" i="23"/>
  <c r="AP47" i="23"/>
  <c r="AO70" i="23"/>
  <c r="P23" i="20"/>
  <c r="AO65" i="23"/>
  <c r="AS65" i="23"/>
  <c r="AR65" i="23"/>
  <c r="AP65" i="23"/>
  <c r="AQ65" i="23"/>
  <c r="AG84" i="23"/>
  <c r="AG89" i="23" s="1"/>
  <c r="AJ69" i="23"/>
  <c r="Z18" i="23" s="1"/>
  <c r="AN68" i="23"/>
  <c r="AJ86" i="23"/>
  <c r="AA18" i="23" s="1"/>
  <c r="AN85" i="23"/>
  <c r="AJ67" i="23"/>
  <c r="Q18" i="23" s="1"/>
  <c r="AN61" i="23"/>
  <c r="F6" i="23"/>
  <c r="AO34" i="23"/>
  <c r="AP34" i="23"/>
  <c r="AR34" i="23"/>
  <c r="AQ34" i="23"/>
  <c r="AS34" i="23"/>
  <c r="O6" i="23"/>
  <c r="AI33" i="23"/>
  <c r="AI38" i="23" s="1"/>
  <c r="AN35" i="23"/>
  <c r="AN40" i="23" s="1"/>
  <c r="AC9" i="23"/>
  <c r="AD9" i="23" s="1"/>
  <c r="AQ82" i="23" l="1"/>
  <c r="AR82" i="23"/>
  <c r="AP82" i="23"/>
  <c r="AS99" i="23"/>
  <c r="J32" i="24"/>
  <c r="AS82" i="23"/>
  <c r="AN54" i="23"/>
  <c r="AS54" i="23" s="1"/>
  <c r="AJ84" i="23"/>
  <c r="R18" i="23" s="1"/>
  <c r="J29" i="24"/>
  <c r="AN102" i="23"/>
  <c r="AN103" i="23" s="1"/>
  <c r="AN108" i="23" s="1"/>
  <c r="AN71" i="23"/>
  <c r="AR71" i="23" s="1"/>
  <c r="AR70" i="23"/>
  <c r="AS70" i="23"/>
  <c r="AQ70" i="23"/>
  <c r="AC106" i="23"/>
  <c r="J7" i="23" s="1"/>
  <c r="AH23" i="20"/>
  <c r="AP99" i="23"/>
  <c r="AQ99" i="23"/>
  <c r="R7" i="23"/>
  <c r="AE21" i="20" s="1"/>
  <c r="AE20" i="20" s="1"/>
  <c r="AE15" i="20" s="1"/>
  <c r="AP53" i="23"/>
  <c r="AO53" i="23"/>
  <c r="S7" i="23"/>
  <c r="AH21" i="20" s="1"/>
  <c r="D34" i="19" s="1"/>
  <c r="J27" i="24"/>
  <c r="J30" i="24"/>
  <c r="AQ53" i="23"/>
  <c r="K21" i="23"/>
  <c r="AG11" i="23"/>
  <c r="N26" i="19"/>
  <c r="N36" i="19" s="1"/>
  <c r="D26" i="20"/>
  <c r="AK26" i="20" s="1"/>
  <c r="AL7" i="23"/>
  <c r="AL11" i="23" s="1"/>
  <c r="P31" i="19"/>
  <c r="L32" i="19"/>
  <c r="AB23" i="20"/>
  <c r="L30" i="19"/>
  <c r="D30" i="19"/>
  <c r="AM21" i="20"/>
  <c r="K34" i="24"/>
  <c r="L34" i="24"/>
  <c r="H34" i="24"/>
  <c r="I34" i="24"/>
  <c r="J26" i="24"/>
  <c r="K26" i="24"/>
  <c r="L26" i="24"/>
  <c r="L10" i="24"/>
  <c r="K10" i="24"/>
  <c r="I10" i="24"/>
  <c r="J10" i="24"/>
  <c r="AJ72" i="23"/>
  <c r="H18" i="23" s="1"/>
  <c r="AS102" i="23"/>
  <c r="AQ85" i="23"/>
  <c r="AQ102" i="23"/>
  <c r="AP85" i="23"/>
  <c r="AO102" i="23"/>
  <c r="AS85" i="23"/>
  <c r="AO85" i="23"/>
  <c r="AP102" i="23"/>
  <c r="AR85" i="23"/>
  <c r="AR102" i="23"/>
  <c r="AN86" i="23"/>
  <c r="AB20" i="20"/>
  <c r="AR95" i="23"/>
  <c r="AS95" i="23"/>
  <c r="AO78" i="23"/>
  <c r="AO95" i="23"/>
  <c r="AS78" i="23"/>
  <c r="AR78" i="23"/>
  <c r="AQ95" i="23"/>
  <c r="AQ78" i="23"/>
  <c r="AP95" i="23"/>
  <c r="AN84" i="23"/>
  <c r="AP78" i="23"/>
  <c r="AQ71" i="23"/>
  <c r="AP71" i="23"/>
  <c r="AO51" i="23"/>
  <c r="AR51" i="23"/>
  <c r="AP51" i="23"/>
  <c r="AN52" i="23"/>
  <c r="AS51" i="23"/>
  <c r="AQ51" i="23"/>
  <c r="AJ89" i="23"/>
  <c r="I18" i="23" s="1"/>
  <c r="AN69" i="23"/>
  <c r="AR68" i="23"/>
  <c r="AP68" i="23"/>
  <c r="AQ68" i="23"/>
  <c r="AO68" i="23"/>
  <c r="AS68" i="23"/>
  <c r="AQ61" i="23"/>
  <c r="AP61" i="23"/>
  <c r="AS61" i="23"/>
  <c r="AN67" i="23"/>
  <c r="AR61" i="23"/>
  <c r="AO61" i="23"/>
  <c r="AQ54" i="23"/>
  <c r="AO54" i="23"/>
  <c r="AP105" i="23"/>
  <c r="AR88" i="23"/>
  <c r="AS105" i="23"/>
  <c r="AP88" i="23"/>
  <c r="AQ88" i="23"/>
  <c r="AQ105" i="23"/>
  <c r="AO105" i="23"/>
  <c r="AS88" i="23"/>
  <c r="AR105" i="23"/>
  <c r="AO88" i="23"/>
  <c r="AN106" i="23"/>
  <c r="AN107" i="23"/>
  <c r="AR36" i="23"/>
  <c r="AS36" i="23"/>
  <c r="AO36" i="23"/>
  <c r="AQ36" i="23"/>
  <c r="AP36" i="23"/>
  <c r="AN37" i="23"/>
  <c r="AJ106" i="23"/>
  <c r="J18" i="23" s="1"/>
  <c r="F17" i="23"/>
  <c r="O17" i="23"/>
  <c r="F34" i="19" l="1"/>
  <c r="E34" i="19" s="1"/>
  <c r="F30" i="19"/>
  <c r="E30" i="19"/>
  <c r="AP54" i="23"/>
  <c r="AO71" i="23"/>
  <c r="AR54" i="23"/>
  <c r="AS71" i="23"/>
  <c r="L34" i="19"/>
  <c r="D32" i="19"/>
  <c r="F32" i="19" s="1"/>
  <c r="E32" i="19" s="1"/>
  <c r="J34" i="24"/>
  <c r="AK23" i="20"/>
  <c r="AM7" i="23"/>
  <c r="AM11" i="23" s="1"/>
  <c r="AH20" i="20"/>
  <c r="AH15" i="20" s="1"/>
  <c r="AH13" i="20" s="1"/>
  <c r="P8" i="19" s="1"/>
  <c r="AB15" i="20"/>
  <c r="AB13" i="20" s="1"/>
  <c r="AE13" i="20"/>
  <c r="K17" i="24"/>
  <c r="K47" i="24" s="1"/>
  <c r="K13" i="24"/>
  <c r="K43" i="24" s="1"/>
  <c r="K11" i="24"/>
  <c r="K41" i="24" s="1"/>
  <c r="K14" i="24"/>
  <c r="K44" i="24" s="1"/>
  <c r="K16" i="24"/>
  <c r="K46" i="24" s="1"/>
  <c r="K12" i="24"/>
  <c r="K42" i="24" s="1"/>
  <c r="K15" i="24"/>
  <c r="K45" i="24" s="1"/>
  <c r="L16" i="24"/>
  <c r="L46" i="24" s="1"/>
  <c r="L12" i="24"/>
  <c r="L42" i="24" s="1"/>
  <c r="L14" i="24"/>
  <c r="L44" i="24" s="1"/>
  <c r="L17" i="24"/>
  <c r="L47" i="24" s="1"/>
  <c r="L13" i="24"/>
  <c r="L43" i="24" s="1"/>
  <c r="L15" i="24"/>
  <c r="L45" i="24" s="1"/>
  <c r="L11" i="24"/>
  <c r="L41" i="24" s="1"/>
  <c r="J14" i="24"/>
  <c r="J44" i="24" s="1"/>
  <c r="J17" i="24"/>
  <c r="J47" i="24" s="1"/>
  <c r="J13" i="24"/>
  <c r="J43" i="24" s="1"/>
  <c r="J16" i="24"/>
  <c r="J46" i="24" s="1"/>
  <c r="J12" i="24"/>
  <c r="J42" i="24" s="1"/>
  <c r="J15" i="24"/>
  <c r="J45" i="24" s="1"/>
  <c r="J11" i="24"/>
  <c r="J41" i="24" s="1"/>
  <c r="H4" i="24"/>
  <c r="H8" i="24"/>
  <c r="H5" i="24"/>
  <c r="H9" i="24"/>
  <c r="H6" i="24"/>
  <c r="H3" i="24"/>
  <c r="H7" i="24"/>
  <c r="AS67" i="23"/>
  <c r="AN72" i="23"/>
  <c r="AO67" i="23"/>
  <c r="AN73" i="23"/>
  <c r="AQ67" i="23"/>
  <c r="AR67" i="23"/>
  <c r="AP67" i="23"/>
  <c r="AR103" i="23"/>
  <c r="AO103" i="23"/>
  <c r="AQ86" i="23"/>
  <c r="AS103" i="23"/>
  <c r="AQ103" i="23"/>
  <c r="AN91" i="23"/>
  <c r="AR86" i="23"/>
  <c r="AP86" i="23"/>
  <c r="AP103" i="23"/>
  <c r="AS86" i="23"/>
  <c r="AO86" i="23"/>
  <c r="AO52" i="23"/>
  <c r="AP52" i="23"/>
  <c r="AN57" i="23"/>
  <c r="AR52" i="23"/>
  <c r="AQ52" i="23"/>
  <c r="AS52" i="23"/>
  <c r="AN74" i="23"/>
  <c r="AQ69" i="23"/>
  <c r="AS69" i="23"/>
  <c r="AP69" i="23"/>
  <c r="AR69" i="23"/>
  <c r="AO69" i="23"/>
  <c r="AN90" i="23"/>
  <c r="AR101" i="23"/>
  <c r="AN89" i="23"/>
  <c r="AO84" i="23"/>
  <c r="AS84" i="23"/>
  <c r="AP101" i="23"/>
  <c r="AQ101" i="23"/>
  <c r="AR84" i="23"/>
  <c r="AO101" i="23"/>
  <c r="AS101" i="23"/>
  <c r="AP84" i="23"/>
  <c r="AQ84" i="23"/>
  <c r="Q11" i="23"/>
  <c r="M8" i="19" l="1"/>
  <c r="K8" i="19" s="1"/>
  <c r="J8" i="19"/>
  <c r="H8" i="19" s="1"/>
  <c r="K48" i="24"/>
  <c r="L48" i="24"/>
  <c r="J48" i="24"/>
  <c r="K18" i="24"/>
  <c r="L18" i="24"/>
  <c r="J18" i="24"/>
  <c r="H10" i="24"/>
  <c r="AO72" i="23"/>
  <c r="AP72" i="23"/>
  <c r="AS72" i="23"/>
  <c r="AR72" i="23"/>
  <c r="AQ72" i="23"/>
  <c r="AS106" i="23"/>
  <c r="AP106" i="23"/>
  <c r="AS89" i="23"/>
  <c r="AO89" i="23"/>
  <c r="AR89" i="23"/>
  <c r="AQ106" i="23"/>
  <c r="AO106" i="23"/>
  <c r="AP89" i="23"/>
  <c r="AQ89" i="23"/>
  <c r="AR106" i="23"/>
  <c r="T10" i="23"/>
  <c r="U10" i="23" s="1"/>
  <c r="AI22" i="23" l="1"/>
  <c r="AC10" i="23"/>
  <c r="AD10" i="23" s="1"/>
  <c r="K10" i="23"/>
  <c r="L10" i="23" s="1"/>
  <c r="R11" i="23"/>
  <c r="H22" i="23"/>
  <c r="Z22" i="23"/>
  <c r="K6" i="23"/>
  <c r="S11" i="23"/>
  <c r="Q22" i="23"/>
  <c r="L6" i="23" l="1"/>
  <c r="R22" i="23"/>
  <c r="AB11" i="23"/>
  <c r="J11" i="23"/>
  <c r="AJ22" i="23"/>
  <c r="AC6" i="23"/>
  <c r="I11" i="23"/>
  <c r="I22" i="23"/>
  <c r="T6" i="23"/>
  <c r="Z11" i="23"/>
  <c r="H11" i="23"/>
  <c r="AA11" i="23" l="1"/>
  <c r="J22" i="23"/>
  <c r="K17" i="23"/>
  <c r="U6" i="23"/>
  <c r="AK22" i="23"/>
  <c r="AD6" i="23"/>
  <c r="S22" i="23"/>
  <c r="T17" i="23"/>
  <c r="AB22" i="23" l="1"/>
  <c r="AC17" i="23"/>
  <c r="AA22" i="23"/>
  <c r="AH16" i="18" l="1"/>
  <c r="AG16" i="18"/>
  <c r="AF16" i="18"/>
  <c r="AE16" i="18"/>
  <c r="AD16" i="18"/>
  <c r="AC16" i="18"/>
  <c r="AB16" i="18"/>
  <c r="AA16" i="18"/>
  <c r="Z16" i="18"/>
  <c r="Y16" i="18"/>
  <c r="X16" i="18"/>
  <c r="W16" i="18"/>
  <c r="V16" i="18"/>
  <c r="U16" i="18"/>
  <c r="T16" i="18"/>
  <c r="S16" i="18"/>
  <c r="R16" i="18"/>
  <c r="Q16" i="18"/>
  <c r="P16" i="18"/>
  <c r="O16" i="18"/>
  <c r="N16" i="18"/>
  <c r="M16" i="18"/>
  <c r="L16" i="18"/>
  <c r="K16" i="18"/>
  <c r="J16" i="18"/>
  <c r="I16" i="18"/>
  <c r="H16" i="18"/>
  <c r="G16" i="18"/>
  <c r="F16" i="18"/>
  <c r="E16" i="18"/>
  <c r="D16" i="18"/>
  <c r="C16" i="18"/>
  <c r="B16" i="18"/>
  <c r="I4" i="17"/>
  <c r="AH9" i="20"/>
  <c r="AG9" i="20"/>
  <c r="AF9" i="20"/>
  <c r="AE9" i="20"/>
  <c r="M7" i="19" s="1"/>
  <c r="K7" i="19" s="1"/>
  <c r="AD9" i="20"/>
  <c r="AC9" i="20"/>
  <c r="X13" i="20"/>
  <c r="A9" i="20"/>
  <c r="A8" i="20"/>
  <c r="M36" i="19" l="1"/>
  <c r="P36" i="19"/>
  <c r="J26" i="18"/>
  <c r="J27" i="18" s="1"/>
  <c r="N26" i="18"/>
  <c r="N27" i="18" s="1"/>
  <c r="R26" i="18"/>
  <c r="R27" i="18" s="1"/>
  <c r="V26" i="18"/>
  <c r="V27" i="18" s="1"/>
  <c r="Z26" i="18"/>
  <c r="Z27" i="18" s="1"/>
  <c r="AD26" i="18"/>
  <c r="AD27" i="18" s="1"/>
  <c r="AH26" i="18"/>
  <c r="AH27" i="18" s="1"/>
  <c r="AM26" i="18"/>
  <c r="AM27" i="18" s="1"/>
  <c r="I26" i="18"/>
  <c r="I27" i="18" s="1"/>
  <c r="M26" i="18"/>
  <c r="M27" i="18" s="1"/>
  <c r="Q26" i="18"/>
  <c r="Q27" i="18" s="1"/>
  <c r="U26" i="18"/>
  <c r="U27" i="18" s="1"/>
  <c r="Y26" i="18"/>
  <c r="Y27" i="18" s="1"/>
  <c r="AC26" i="18"/>
  <c r="AC27" i="18" s="1"/>
  <c r="AG26" i="18"/>
  <c r="AG27" i="18" s="1"/>
  <c r="AK26" i="18"/>
  <c r="AK27" i="18" s="1"/>
  <c r="H26" i="18"/>
  <c r="H27" i="18" s="1"/>
  <c r="L26" i="18"/>
  <c r="L27" i="18" s="1"/>
  <c r="P26" i="18"/>
  <c r="P27" i="18" s="1"/>
  <c r="T26" i="18"/>
  <c r="T27" i="18" s="1"/>
  <c r="X26" i="18"/>
  <c r="X27" i="18" s="1"/>
  <c r="AB26" i="18"/>
  <c r="AB27" i="18" s="1"/>
  <c r="AF26" i="18"/>
  <c r="AF27" i="18" s="1"/>
  <c r="AJ26" i="18"/>
  <c r="AJ27" i="18" s="1"/>
  <c r="C26" i="18"/>
  <c r="C27" i="18" s="1"/>
  <c r="G26" i="18"/>
  <c r="G27" i="18" s="1"/>
  <c r="K26" i="18"/>
  <c r="K27" i="18" s="1"/>
  <c r="O26" i="18"/>
  <c r="O27" i="18" s="1"/>
  <c r="S26" i="18"/>
  <c r="S27" i="18" s="1"/>
  <c r="W26" i="18"/>
  <c r="W27" i="18" s="1"/>
  <c r="AA26" i="18"/>
  <c r="AA27" i="18" s="1"/>
  <c r="AE26" i="18"/>
  <c r="AE27" i="18" s="1"/>
  <c r="AI26" i="18"/>
  <c r="AI27" i="18" s="1"/>
  <c r="F26" i="18"/>
  <c r="F27" i="18" s="1"/>
  <c r="E26" i="18"/>
  <c r="E27" i="18" s="1"/>
  <c r="D26" i="18"/>
  <c r="D27" i="18" s="1"/>
  <c r="B26" i="18"/>
  <c r="B27" i="18" s="1"/>
  <c r="Y13" i="20"/>
  <c r="F29" i="18" l="1"/>
  <c r="F28" i="18"/>
  <c r="W29" i="18"/>
  <c r="W28" i="18"/>
  <c r="G29" i="18"/>
  <c r="G28" i="18"/>
  <c r="AB29" i="18"/>
  <c r="AB28" i="18"/>
  <c r="L29" i="18"/>
  <c r="L28" i="18"/>
  <c r="AC29" i="18"/>
  <c r="AC28" i="18"/>
  <c r="M29" i="18"/>
  <c r="M28" i="18"/>
  <c r="AD29" i="18"/>
  <c r="AD28" i="18"/>
  <c r="N29" i="18"/>
  <c r="N28" i="18"/>
  <c r="B29" i="18"/>
  <c r="B28" i="18"/>
  <c r="AI29" i="18"/>
  <c r="AI28" i="18"/>
  <c r="S29" i="18"/>
  <c r="S28" i="18"/>
  <c r="C29" i="18"/>
  <c r="C28" i="18"/>
  <c r="X29" i="18"/>
  <c r="X28" i="18"/>
  <c r="H29" i="18"/>
  <c r="H28" i="18"/>
  <c r="Y29" i="18"/>
  <c r="Y28" i="18"/>
  <c r="I29" i="18"/>
  <c r="I28" i="18"/>
  <c r="Z29" i="18"/>
  <c r="Z28" i="18"/>
  <c r="J29" i="18"/>
  <c r="J28" i="18"/>
  <c r="D29" i="18"/>
  <c r="D28" i="18"/>
  <c r="AE29" i="18"/>
  <c r="AE28" i="18"/>
  <c r="O29" i="18"/>
  <c r="O28" i="18"/>
  <c r="AJ29" i="18"/>
  <c r="AJ28" i="18"/>
  <c r="T29" i="18"/>
  <c r="T28" i="18"/>
  <c r="AK29" i="18"/>
  <c r="AK28" i="18"/>
  <c r="U29" i="18"/>
  <c r="U28" i="18"/>
  <c r="AM29" i="18"/>
  <c r="AM28" i="18"/>
  <c r="V29" i="18"/>
  <c r="V28" i="18"/>
  <c r="E29" i="18"/>
  <c r="E28" i="18"/>
  <c r="AA29" i="18"/>
  <c r="AA28" i="18"/>
  <c r="K29" i="18"/>
  <c r="K28" i="18"/>
  <c r="AF29" i="18"/>
  <c r="AF28" i="18"/>
  <c r="P29" i="18"/>
  <c r="P28" i="18"/>
  <c r="AG29" i="18"/>
  <c r="AG28" i="18"/>
  <c r="Q29" i="18"/>
  <c r="Q28" i="18"/>
  <c r="AH29" i="18"/>
  <c r="AH28" i="18"/>
  <c r="R29" i="18"/>
  <c r="R28" i="18"/>
  <c r="B49" i="17"/>
  <c r="B51" i="17"/>
  <c r="B52" i="17"/>
  <c r="B53" i="17"/>
  <c r="B50" i="17"/>
  <c r="B54" i="17"/>
  <c r="A7" i="19"/>
  <c r="A6" i="19"/>
  <c r="E52" i="19"/>
  <c r="C52" i="19"/>
  <c r="AO28" i="18" l="1"/>
  <c r="AO29" i="18"/>
  <c r="G53" i="17"/>
  <c r="D53" i="17"/>
  <c r="D52" i="17"/>
  <c r="G52" i="17"/>
  <c r="D54" i="17"/>
  <c r="G54" i="17"/>
  <c r="D51" i="17"/>
  <c r="G51" i="17"/>
  <c r="D50" i="17"/>
  <c r="G50" i="17"/>
  <c r="D49" i="17"/>
  <c r="G49" i="17"/>
  <c r="G55" i="17" l="1"/>
  <c r="D55" i="17"/>
  <c r="AF8" i="20"/>
  <c r="AI8" i="20" s="1"/>
  <c r="L13" i="20"/>
  <c r="AG8" i="20" l="1"/>
  <c r="AH8" i="20" s="1"/>
  <c r="AH14" i="20" s="1"/>
  <c r="R12" i="20"/>
  <c r="S12" i="20" s="1"/>
  <c r="O11" i="20"/>
  <c r="P11" i="20" s="1"/>
  <c r="I12" i="20"/>
  <c r="J12" i="20" s="1"/>
  <c r="X12" i="20"/>
  <c r="Y12" i="20" s="1"/>
  <c r="R11" i="20"/>
  <c r="S11" i="20" s="1"/>
  <c r="L12" i="20"/>
  <c r="M12" i="20" s="1"/>
  <c r="I11" i="20"/>
  <c r="J11" i="20" s="1"/>
  <c r="O12" i="20"/>
  <c r="P12" i="20" s="1"/>
  <c r="AA12" i="20"/>
  <c r="AB12" i="20" s="1"/>
  <c r="X11" i="20"/>
  <c r="Y11" i="20" s="1"/>
  <c r="L11" i="20"/>
  <c r="M11" i="20" s="1"/>
  <c r="AA11" i="20"/>
  <c r="AB11" i="20" s="1"/>
  <c r="D35" i="19" l="1"/>
  <c r="AD8" i="20"/>
  <c r="C12" i="20"/>
  <c r="AJ12" i="20" s="1"/>
  <c r="O10" i="20"/>
  <c r="N9" i="20"/>
  <c r="W9" i="20"/>
  <c r="X10" i="20"/>
  <c r="Q9" i="20"/>
  <c r="R10" i="20"/>
  <c r="B9" i="20"/>
  <c r="C10" i="20"/>
  <c r="C11" i="20"/>
  <c r="AJ11" i="20" s="1"/>
  <c r="L10" i="20"/>
  <c r="L9" i="20" s="1"/>
  <c r="K9" i="20"/>
  <c r="I10" i="20"/>
  <c r="AA10" i="20"/>
  <c r="AA9" i="20" s="1"/>
  <c r="I34" i="19"/>
  <c r="I44" i="19"/>
  <c r="F35" i="19" l="1"/>
  <c r="E35" i="19" s="1"/>
  <c r="AE8" i="20"/>
  <c r="M6" i="19" s="1"/>
  <c r="K6" i="19" s="1"/>
  <c r="D10" i="20"/>
  <c r="AJ10" i="20"/>
  <c r="AI9" i="20"/>
  <c r="J35" i="19"/>
  <c r="AB10" i="20"/>
  <c r="AB9" i="20" s="1"/>
  <c r="J10" i="20"/>
  <c r="J9" i="20" s="1"/>
  <c r="I9" i="20"/>
  <c r="M10" i="20"/>
  <c r="M9" i="20" s="1"/>
  <c r="C9" i="20"/>
  <c r="P10" i="20"/>
  <c r="P9" i="20" s="1"/>
  <c r="O9" i="20"/>
  <c r="D12" i="20"/>
  <c r="AK12" i="20" s="1"/>
  <c r="S10" i="20"/>
  <c r="S9" i="20" s="1"/>
  <c r="R9" i="20"/>
  <c r="D11" i="20"/>
  <c r="AK11" i="20" s="1"/>
  <c r="Y10" i="20"/>
  <c r="Y9" i="20" s="1"/>
  <c r="X9" i="20"/>
  <c r="I30" i="19"/>
  <c r="I32" i="19"/>
  <c r="I42" i="19"/>
  <c r="C64" i="19"/>
  <c r="J7" i="19" l="1"/>
  <c r="H7" i="19" s="1"/>
  <c r="G7" i="19"/>
  <c r="E7" i="19" s="1"/>
  <c r="AE14" i="20"/>
  <c r="AJ9" i="20"/>
  <c r="AK10" i="20"/>
  <c r="I43" i="17"/>
  <c r="I39" i="17"/>
  <c r="I44" i="17"/>
  <c r="I42" i="17"/>
  <c r="I40" i="17"/>
  <c r="AN30" i="18" s="1"/>
  <c r="AN31" i="18" s="1"/>
  <c r="AH16" i="20"/>
  <c r="M9" i="19"/>
  <c r="K9" i="19" s="1"/>
  <c r="I8" i="20"/>
  <c r="AA8" i="20"/>
  <c r="AA17" i="20" s="1"/>
  <c r="C8" i="20"/>
  <c r="X8" i="20"/>
  <c r="Y8" i="20" s="1"/>
  <c r="R8" i="20"/>
  <c r="L8" i="20"/>
  <c r="O8" i="20"/>
  <c r="D9" i="20"/>
  <c r="AK9" i="20" s="1"/>
  <c r="AP29" i="18" s="1"/>
  <c r="J45" i="19"/>
  <c r="J43" i="19"/>
  <c r="D18" i="19" l="1"/>
  <c r="B62" i="19"/>
  <c r="AE16" i="20"/>
  <c r="AJ8" i="20"/>
  <c r="AE17" i="20"/>
  <c r="D33" i="19"/>
  <c r="F33" i="19" s="1"/>
  <c r="E33" i="19" s="1"/>
  <c r="B7" i="19"/>
  <c r="J8" i="20"/>
  <c r="M8" i="20"/>
  <c r="D8" i="20"/>
  <c r="F30" i="18"/>
  <c r="D41" i="20" s="1"/>
  <c r="J30" i="18"/>
  <c r="K45" i="20" s="1"/>
  <c r="E30" i="18"/>
  <c r="C40" i="20" s="1"/>
  <c r="AJ30" i="18"/>
  <c r="AF30" i="18"/>
  <c r="AC30" i="18"/>
  <c r="AA30" i="18"/>
  <c r="W30" i="18"/>
  <c r="AD30" i="18"/>
  <c r="M30" i="18"/>
  <c r="C48" i="20" s="1"/>
  <c r="N30" i="18"/>
  <c r="AI30" i="18"/>
  <c r="L30" i="18"/>
  <c r="AH30" i="18"/>
  <c r="O30" i="18"/>
  <c r="AG30" i="18"/>
  <c r="Q30" i="18"/>
  <c r="AB30" i="18"/>
  <c r="AK30" i="18"/>
  <c r="D30" i="18"/>
  <c r="C39" i="20" s="1"/>
  <c r="P30" i="18"/>
  <c r="H51" i="20" s="1"/>
  <c r="C30" i="18"/>
  <c r="P8" i="20"/>
  <c r="S8" i="20"/>
  <c r="AB8" i="20"/>
  <c r="J6" i="19" l="1"/>
  <c r="H6" i="19" s="1"/>
  <c r="G6" i="19"/>
  <c r="E6" i="19" s="1"/>
  <c r="J33" i="19"/>
  <c r="AB14" i="20"/>
  <c r="D31" i="19" s="1"/>
  <c r="B6" i="19"/>
  <c r="AK8" i="20"/>
  <c r="AP28" i="18" s="1"/>
  <c r="P14" i="20"/>
  <c r="O33" i="19"/>
  <c r="D14" i="20"/>
  <c r="AH31" i="18"/>
  <c r="B47" i="20"/>
  <c r="P31" i="18"/>
  <c r="B38" i="20"/>
  <c r="D50" i="20"/>
  <c r="D49" i="20"/>
  <c r="J9" i="19" l="1"/>
  <c r="H9" i="19" s="1"/>
  <c r="F31" i="19"/>
  <c r="E31" i="19" s="1"/>
  <c r="D29" i="19"/>
  <c r="D27" i="19"/>
  <c r="D17" i="20"/>
  <c r="AK14" i="20"/>
  <c r="AB17" i="20"/>
  <c r="P17" i="20"/>
  <c r="AB16" i="20"/>
  <c r="AA16" i="20" s="1"/>
  <c r="Z16" i="20" s="1"/>
  <c r="F29" i="19" l="1"/>
  <c r="E29" i="19" s="1"/>
  <c r="F27" i="19"/>
  <c r="E27" i="19" s="1"/>
  <c r="J29" i="19"/>
  <c r="O27" i="19"/>
  <c r="O31" i="19"/>
  <c r="O29" i="19"/>
  <c r="AK17" i="20"/>
  <c r="J31" i="19"/>
  <c r="B61" i="19" l="1"/>
  <c r="O36" i="19"/>
  <c r="D17" i="19" l="1"/>
  <c r="E64" i="19"/>
  <c r="J27" i="19"/>
  <c r="J36" i="19" l="1"/>
  <c r="AL27" i="23" l="1"/>
  <c r="AC32" i="23"/>
  <c r="AG32" i="23" s="1"/>
  <c r="Y27" i="23"/>
  <c r="X33" i="23"/>
  <c r="AL32" i="23"/>
  <c r="AC31" i="23"/>
  <c r="AL31" i="23"/>
  <c r="AC30" i="23"/>
  <c r="AL30" i="23"/>
  <c r="AC29" i="23"/>
  <c r="AL29" i="23"/>
  <c r="Y28" i="23"/>
  <c r="AC28" i="23" s="1"/>
  <c r="AL28" i="23"/>
  <c r="AL33" i="23" l="1"/>
  <c r="AJ28" i="23"/>
  <c r="AN28" i="23" s="1"/>
  <c r="AS28" i="23" s="1"/>
  <c r="AG28" i="23"/>
  <c r="AJ30" i="23"/>
  <c r="AN30" i="23" s="1"/>
  <c r="AS30" i="23" s="1"/>
  <c r="AG30" i="23"/>
  <c r="AG29" i="23"/>
  <c r="AJ29" i="23"/>
  <c r="AN29" i="23" s="1"/>
  <c r="AS29" i="23" s="1"/>
  <c r="AJ31" i="23"/>
  <c r="AN31" i="23" s="1"/>
  <c r="AS31" i="23" s="1"/>
  <c r="AG31" i="23"/>
  <c r="AJ32" i="23"/>
  <c r="AN32" i="23" s="1"/>
  <c r="AS32" i="23" s="1"/>
  <c r="Y33" i="23"/>
  <c r="Y38" i="23" s="1"/>
  <c r="AR31" i="23" l="1"/>
  <c r="AQ31" i="23"/>
  <c r="AP31" i="23"/>
  <c r="AO31" i="23"/>
  <c r="AR29" i="23"/>
  <c r="AQ29" i="23"/>
  <c r="AP29" i="23"/>
  <c r="AO29" i="23"/>
  <c r="AR30" i="23"/>
  <c r="AQ30" i="23"/>
  <c r="AP30" i="23"/>
  <c r="AO30" i="23"/>
  <c r="AR28" i="23"/>
  <c r="AQ28" i="23"/>
  <c r="AP28" i="23"/>
  <c r="AO28" i="23"/>
  <c r="AR32" i="23"/>
  <c r="AQ32" i="23"/>
  <c r="AP32" i="23"/>
  <c r="AO32" i="23"/>
  <c r="J50" i="23" l="1"/>
  <c r="J55" i="23" s="1"/>
  <c r="L44" i="23"/>
  <c r="AC44" i="23" s="1"/>
  <c r="M50" i="23"/>
  <c r="M55" i="23" s="1"/>
  <c r="O44" i="23"/>
  <c r="AD44" i="23" s="1"/>
  <c r="AD50" i="23" s="1"/>
  <c r="AD55" i="23" l="1"/>
  <c r="G8" i="23" s="1"/>
  <c r="P8" i="23"/>
  <c r="AC50" i="23"/>
  <c r="AG44" i="23"/>
  <c r="AG50" i="23" s="1"/>
  <c r="AG55" i="23" s="1"/>
  <c r="L50" i="23"/>
  <c r="L55" i="23" s="1"/>
  <c r="AK44" i="23"/>
  <c r="AK50" i="23" s="1"/>
  <c r="O50" i="23"/>
  <c r="O55" i="23" s="1"/>
  <c r="U44" i="23"/>
  <c r="U50" i="23" s="1"/>
  <c r="U55" i="23" s="1"/>
  <c r="T44" i="23"/>
  <c r="T50" i="23" s="1"/>
  <c r="T55" i="23" s="1"/>
  <c r="AK55" i="23" l="1"/>
  <c r="G19" i="23" s="1"/>
  <c r="P19" i="23"/>
  <c r="AC55" i="23"/>
  <c r="G7" i="23" s="1"/>
  <c r="P7" i="23"/>
  <c r="P21" i="20" s="1"/>
  <c r="AJ44" i="23"/>
  <c r="D28" i="19" l="1"/>
  <c r="F28" i="19" s="1"/>
  <c r="E28" i="19" s="1"/>
  <c r="L28" i="19"/>
  <c r="AL19" i="23"/>
  <c r="I23" i="24"/>
  <c r="I19" i="24"/>
  <c r="I22" i="24"/>
  <c r="I25" i="24"/>
  <c r="I21" i="24"/>
  <c r="I24" i="24"/>
  <c r="I20" i="24"/>
  <c r="P11" i="23"/>
  <c r="Y11" i="23"/>
  <c r="G11" i="23"/>
  <c r="AJ50" i="23"/>
  <c r="AN44" i="23"/>
  <c r="I26" i="24" l="1"/>
  <c r="AJ55" i="23"/>
  <c r="G18" i="23" s="1"/>
  <c r="G22" i="23" s="1"/>
  <c r="P18" i="23"/>
  <c r="P22" i="23" s="1"/>
  <c r="P20" i="20"/>
  <c r="P15" i="20" s="1"/>
  <c r="AN50" i="23"/>
  <c r="AS44" i="23"/>
  <c r="AO44" i="23"/>
  <c r="AR44" i="23"/>
  <c r="AQ44" i="23"/>
  <c r="AP44" i="23"/>
  <c r="I15" i="24" l="1"/>
  <c r="I45" i="24" s="1"/>
  <c r="I11" i="24"/>
  <c r="I41" i="24" s="1"/>
  <c r="I17" i="24"/>
  <c r="I47" i="24" s="1"/>
  <c r="I13" i="24"/>
  <c r="I43" i="24" s="1"/>
  <c r="I16" i="24"/>
  <c r="I46" i="24" s="1"/>
  <c r="I12" i="24"/>
  <c r="I42" i="24" s="1"/>
  <c r="I14" i="24"/>
  <c r="I44" i="24" s="1"/>
  <c r="AH22" i="23"/>
  <c r="Y22" i="23"/>
  <c r="P13" i="20"/>
  <c r="P16" i="20"/>
  <c r="I28" i="19"/>
  <c r="AN56" i="23"/>
  <c r="AQ50" i="23"/>
  <c r="AP50" i="23"/>
  <c r="AO50" i="23"/>
  <c r="AN55" i="23"/>
  <c r="AS50" i="23"/>
  <c r="AR50" i="23"/>
  <c r="I48" i="24" l="1"/>
  <c r="I18" i="24"/>
  <c r="G8" i="19"/>
  <c r="AS55" i="23"/>
  <c r="AR55" i="23"/>
  <c r="AQ55" i="23"/>
  <c r="AP55" i="23"/>
  <c r="AO55" i="23"/>
  <c r="J33" i="23"/>
  <c r="J38" i="23" s="1"/>
  <c r="L27" i="23"/>
  <c r="G9" i="19" l="1"/>
  <c r="E9" i="19" s="1"/>
  <c r="E8" i="19"/>
  <c r="L33" i="23"/>
  <c r="L38" i="23" s="1"/>
  <c r="AC27" i="23"/>
  <c r="D16" i="19" l="1"/>
  <c r="B60" i="19"/>
  <c r="AC33" i="23"/>
  <c r="AJ27" i="23"/>
  <c r="O7" i="23" l="1"/>
  <c r="AC38" i="23"/>
  <c r="F7" i="23" s="1"/>
  <c r="AJ33" i="23"/>
  <c r="AJ38" i="23" s="1"/>
  <c r="F18" i="23" s="1"/>
  <c r="H16" i="24" l="1"/>
  <c r="H12" i="24"/>
  <c r="H15" i="24"/>
  <c r="H11" i="24"/>
  <c r="H17" i="24"/>
  <c r="H14" i="24"/>
  <c r="H13" i="24"/>
  <c r="T7" i="23"/>
  <c r="K7" i="23"/>
  <c r="O18" i="23"/>
  <c r="H18" i="24" l="1"/>
  <c r="U7" i="23"/>
  <c r="X11" i="23"/>
  <c r="AC7" i="23"/>
  <c r="T18" i="23"/>
  <c r="K18" i="23"/>
  <c r="L7" i="23"/>
  <c r="AL18" i="23" l="1"/>
  <c r="AL22" i="23" s="1"/>
  <c r="AG22" i="23"/>
  <c r="AD7" i="23"/>
  <c r="AC18" i="23"/>
  <c r="T27" i="23"/>
  <c r="T33" i="23" s="1"/>
  <c r="T38" i="23" s="1"/>
  <c r="M33" i="23"/>
  <c r="M38" i="23" s="1"/>
  <c r="O27" i="23"/>
  <c r="U27" i="23" s="1"/>
  <c r="U33" i="23" s="1"/>
  <c r="U38" i="23" s="1"/>
  <c r="AD27" i="23" l="1"/>
  <c r="AK27" i="23" s="1"/>
  <c r="O33" i="23"/>
  <c r="J39" i="23"/>
  <c r="M107" i="23"/>
  <c r="J90" i="23"/>
  <c r="G39" i="23"/>
  <c r="M56" i="23"/>
  <c r="M90" i="23"/>
  <c r="J56" i="23"/>
  <c r="G107" i="23"/>
  <c r="J73" i="23"/>
  <c r="G90" i="23"/>
  <c r="M73" i="23"/>
  <c r="G73" i="23"/>
  <c r="G56" i="23"/>
  <c r="J107" i="23"/>
  <c r="G91" i="23"/>
  <c r="J91" i="23"/>
  <c r="M108" i="23"/>
  <c r="M74" i="23"/>
  <c r="M57" i="23"/>
  <c r="J57" i="23"/>
  <c r="G74" i="23"/>
  <c r="G57" i="23"/>
  <c r="J108" i="23"/>
  <c r="J40" i="23"/>
  <c r="J74" i="23"/>
  <c r="M91" i="23"/>
  <c r="G40" i="23"/>
  <c r="G108" i="23"/>
  <c r="M39" i="23"/>
  <c r="O38" i="23" l="1"/>
  <c r="M40" i="23" s="1"/>
  <c r="AD33" i="23"/>
  <c r="AG27" i="23"/>
  <c r="AG33" i="23" s="1"/>
  <c r="AG38" i="23" s="1"/>
  <c r="AK33" i="23"/>
  <c r="AN27" i="23"/>
  <c r="AK38" i="23" l="1"/>
  <c r="F19" i="23" s="1"/>
  <c r="O19" i="23"/>
  <c r="O8" i="23"/>
  <c r="D21" i="20" s="1"/>
  <c r="AD38" i="23"/>
  <c r="F8" i="23" s="1"/>
  <c r="AO27" i="23"/>
  <c r="AS27" i="23"/>
  <c r="AQ27" i="23"/>
  <c r="AN33" i="23"/>
  <c r="AN38" i="23" s="1"/>
  <c r="AP27" i="23"/>
  <c r="AR27" i="23"/>
  <c r="L26" i="19" l="1"/>
  <c r="D26" i="19"/>
  <c r="F26" i="19" s="1"/>
  <c r="E26" i="19" s="1"/>
  <c r="H24" i="24"/>
  <c r="H46" i="24" s="1"/>
  <c r="H20" i="24"/>
  <c r="H42" i="24" s="1"/>
  <c r="H23" i="24"/>
  <c r="H45" i="24" s="1"/>
  <c r="H19" i="24"/>
  <c r="H41" i="24" s="1"/>
  <c r="H22" i="24"/>
  <c r="H44" i="24" s="1"/>
  <c r="H25" i="24"/>
  <c r="H47" i="24" s="1"/>
  <c r="H21" i="24"/>
  <c r="H43" i="24" s="1"/>
  <c r="T8" i="23"/>
  <c r="U8" i="23" s="1"/>
  <c r="U11" i="23" s="1"/>
  <c r="O11" i="23"/>
  <c r="O12" i="23" s="1"/>
  <c r="AC8" i="23"/>
  <c r="K8" i="23"/>
  <c r="F11" i="23"/>
  <c r="AN39" i="23"/>
  <c r="T19" i="23"/>
  <c r="T22" i="23" s="1"/>
  <c r="O22" i="23"/>
  <c r="O23" i="23" s="1"/>
  <c r="P23" i="23" s="1"/>
  <c r="K19" i="23"/>
  <c r="K22" i="23" s="1"/>
  <c r="F22" i="23"/>
  <c r="P12" i="23" l="1"/>
  <c r="P14" i="23" s="1"/>
  <c r="O14" i="23"/>
  <c r="H48" i="24"/>
  <c r="T11" i="23"/>
  <c r="H26" i="24"/>
  <c r="L36" i="19"/>
  <c r="AK21" i="20"/>
  <c r="AM20" i="20" s="1"/>
  <c r="D20" i="20"/>
  <c r="AD8" i="23"/>
  <c r="AD11" i="23" s="1"/>
  <c r="AC11" i="23"/>
  <c r="L8" i="23"/>
  <c r="K11" i="23"/>
  <c r="L11" i="23" s="1"/>
  <c r="X22" i="23"/>
  <c r="AC19" i="23"/>
  <c r="AC22" i="23" s="1"/>
  <c r="I41" i="17"/>
  <c r="AL30" i="18" s="1"/>
  <c r="AK20" i="20" l="1"/>
  <c r="D15" i="20"/>
  <c r="D13" i="20" s="1"/>
  <c r="I26" i="19"/>
  <c r="I36" i="19" s="1"/>
  <c r="K36" i="19" s="1"/>
  <c r="D36" i="19"/>
  <c r="T30" i="18"/>
  <c r="I30" i="18"/>
  <c r="K44" i="20" s="1"/>
  <c r="AE30" i="18"/>
  <c r="AE31" i="18" s="1"/>
  <c r="G30" i="18"/>
  <c r="K30" i="18"/>
  <c r="L46" i="20" s="1"/>
  <c r="Z30" i="18"/>
  <c r="S30" i="18"/>
  <c r="R30" i="18"/>
  <c r="AM30" i="18"/>
  <c r="Y30" i="18"/>
  <c r="V30" i="18"/>
  <c r="U30" i="18"/>
  <c r="B30" i="18"/>
  <c r="H30" i="18"/>
  <c r="K43" i="20" s="1"/>
  <c r="X30" i="18"/>
  <c r="D16" i="20" l="1"/>
  <c r="AK16" i="20" s="1"/>
  <c r="AK15" i="20"/>
  <c r="AO30" i="18"/>
  <c r="AP30" i="18" s="1"/>
  <c r="AM31" i="18"/>
  <c r="J13" i="20"/>
  <c r="B37" i="20"/>
  <c r="F31" i="18"/>
  <c r="U31" i="18"/>
  <c r="Z31" i="18"/>
  <c r="J42" i="20"/>
  <c r="K31" i="18"/>
  <c r="AK13" i="20" l="1"/>
  <c r="AI13" i="20"/>
  <c r="H13" i="20"/>
  <c r="D9" i="19" l="1"/>
  <c r="B8" i="19"/>
  <c r="S8" i="19"/>
  <c r="I13" i="20"/>
  <c r="AJ13" i="20" l="1"/>
  <c r="Q8" i="19"/>
  <c r="D15" i="19" l="1"/>
  <c r="B59" i="19"/>
  <c r="R8" i="19"/>
  <c r="R6" i="19" l="1"/>
  <c r="B63" i="19"/>
  <c r="C20" i="19"/>
  <c r="Q6" i="19"/>
  <c r="R7" i="19"/>
  <c r="P7" i="19"/>
  <c r="S7" i="19" s="1"/>
  <c r="Q7" i="19"/>
  <c r="P6" i="19"/>
  <c r="P9" i="19" s="1"/>
  <c r="R9" i="19" l="1"/>
  <c r="Q9" i="19"/>
  <c r="S6" i="19"/>
  <c r="S9" i="19" s="1"/>
  <c r="D19" i="19"/>
  <c r="B64" i="19"/>
  <c r="B20" i="19" l="1"/>
  <c r="D20" i="19" s="1"/>
  <c r="B51" i="19" s="1"/>
  <c r="C5" i="25"/>
  <c r="D17" i="25" l="1"/>
  <c r="D5" i="25"/>
  <c r="F51" i="19"/>
  <c r="F52" i="19" s="1"/>
  <c r="F53" i="19" s="1"/>
  <c r="D51" i="19"/>
  <c r="D52" i="19" s="1"/>
  <c r="D53" i="19" s="1"/>
  <c r="B52" i="19"/>
  <c r="F59" i="19" l="1"/>
  <c r="F61" i="19"/>
  <c r="F60" i="19"/>
  <c r="F63" i="19"/>
  <c r="F62" i="19"/>
  <c r="D16" i="25"/>
  <c r="D60" i="19"/>
  <c r="G60" i="19" s="1"/>
  <c r="D62" i="19"/>
  <c r="G62" i="19" s="1"/>
  <c r="D63" i="19"/>
  <c r="G63" i="19" s="1"/>
  <c r="D61" i="19"/>
  <c r="G61" i="19" s="1"/>
  <c r="D59" i="19"/>
  <c r="E5" i="25"/>
  <c r="G59" i="19" l="1"/>
  <c r="G64" i="19" s="1"/>
  <c r="A70" i="19" s="1"/>
  <c r="D64" i="19"/>
  <c r="D15" i="25"/>
  <c r="F5" i="25"/>
  <c r="H5" i="25" s="1"/>
  <c r="F64" i="19"/>
  <c r="K5" i="25" l="1"/>
  <c r="L5" i="25"/>
  <c r="D11" i="25" s="1"/>
  <c r="D14" i="25"/>
  <c r="G5" i="25"/>
  <c r="D72" i="19"/>
  <c r="E72" i="19" s="1"/>
  <c r="B72" i="19"/>
  <c r="C72" i="19" s="1"/>
  <c r="D8" i="25" l="1"/>
  <c r="D10" i="25" s="1"/>
  <c r="J5" i="25"/>
  <c r="I5" i="25"/>
  <c r="D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tc={AC7B211A-6C67-4C18-B1C1-069A196F95A4}</author>
    <author>tc={B14458C5-7733-4CB9-A357-353AE7360296}</author>
    <author>FRISON PUJOL, ALBERT</author>
    <author>tc={0F35428D-E9C5-4C81-BC01-5894E5F35B9E}</author>
    <author>tc={12C79C1C-3992-4D71-AD18-285DA86D93C2}</author>
    <author>tc={E510E0E6-9D47-41FC-9090-E6C1437D498B}</author>
    <author>tc={5F541B8A-593E-4545-97D3-D5FFBB651C70}</author>
    <author>tc={87EFB865-8D32-47EE-BDE7-B4A8488F41A3}</author>
  </authors>
  <commentList>
    <comment ref="AI2" authorId="0" shapeId="0" xr:uid="{AC7B211A-6C67-4C18-B1C1-069A196F95A4}">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considera el cas pitjor: que sigui procediment administratiu</t>
      </text>
    </comment>
    <comment ref="AL2" authorId="1" shapeId="0" xr:uid="{B14458C5-7733-4CB9-A357-353AE7360296}">
      <text>
        <t>[Comentari en fils]
La vostra versió de l'Excel us permet llegir aquest comentari en fils. No obstant això, les edicions que s'hi apliquin se suprimiran si el fitxer s'obre en una versió més recent de l'Excel. Més informació: https://go.microsoft.com/fwlink/?linkid=870924.
Comentari:
    Es considera el cas pitjor: gestió d'expedient a Salesforce en comptes de Subventio</t>
      </text>
    </comment>
    <comment ref="R8" authorId="2" shapeId="0" xr:uid="{FBA4143C-6C9B-4BE3-BB08-D82111F4700C}">
      <text>
        <r>
          <rPr>
            <sz val="11"/>
            <color theme="1"/>
            <rFont val="Calibri"/>
            <family val="2"/>
            <scheme val="minor"/>
          </rPr>
          <t>FRISON PUJOL, ALBERT:
Consulta dels recursos d'ATDom des del portal</t>
        </r>
      </text>
    </comment>
    <comment ref="Q10" authorId="2" shapeId="0" xr:uid="{4755B35C-721C-448E-825A-F5956F02946C}">
      <text>
        <r>
          <rPr>
            <sz val="11"/>
            <color theme="1"/>
            <rFont val="Calibri"/>
            <family val="2"/>
            <scheme val="minor"/>
          </rPr>
          <t xml:space="preserve">Copagament: 
- Modificació: TF/N i Àpats
</t>
        </r>
      </text>
    </comment>
    <comment ref="AI10" authorId="3" shapeId="0" xr:uid="{0F35428D-E9C5-4C81-BC01-5894E5F35B9E}">
      <text>
        <t>[Comentari en fils]
La vostra versió de l'Excel us permet llegir aquest comentari en fils. No obstant això, les edicions que s'hi apliquin se suprimiran si el fitxer s'obre en una versió més recent de l'Excel. Més informació: https://go.microsoft.com/fwlink/?linkid=870924.
Comentari:
    Còpia, esborrany, tramitació</t>
      </text>
    </comment>
    <comment ref="AJ10" authorId="4" shapeId="0" xr:uid="{12C79C1C-3992-4D71-AD18-285DA86D93C2}">
      <text>
        <t>[Comentari en fils]
La vostra versió de l'Excel us permet llegir aquest comentari en fils. No obstant això, les edicions que s'hi apliquin se suprimiran si el fitxer s'obre en una versió més recent de l'Excel. Més informació: https://go.microsoft.com/fwlink/?linkid=870924.
Comentari:
    Baixa o canvi</t>
      </text>
    </comment>
    <comment ref="AK10" authorId="5" shapeId="0" xr:uid="{E510E0E6-9D47-41FC-9090-E6C1437D498B}">
      <text>
        <t>[Comentari en fils]
La vostra versió de l'Excel us permet llegir aquest comentari en fils. No obstant això, les edicions que s'hi apliquin se suprimiran si el fitxer s'obre en una versió més recent de l'Excel. Més informació: https://go.microsoft.com/fwlink/?linkid=870924.
Comentari:
    Alta i renovació</t>
      </text>
    </comment>
    <comment ref="AL10" authorId="6" shapeId="0" xr:uid="{5F541B8A-593E-4545-97D3-D5FFBB651C70}">
      <text>
        <t>[Comentari en fils]
La vostra versió de l'Excel us permet llegir aquest comentari en fils. No obstant això, les edicions que s'hi apliquin se suprimiran si el fitxer s'obre en una versió més recent de l'Excel. Més informació: https://go.microsoft.com/fwlink/?linkid=870924.
Comentari:
    Pagament inicial i liquidació</t>
      </text>
    </comment>
    <comment ref="AM10" authorId="7" shapeId="0" xr:uid="{87EFB865-8D32-47EE-BDE7-B4A8488F41A3}">
      <text>
        <t>[Comentari en fils]
La vostra versió de l'Excel us permet llegir aquest comentari en fils. No obstant això, les edicions que s'hi apliquin se suprimiran si el fitxer s'obre en una versió més recent de l'Excel. Més informació: https://go.microsoft.com/fwlink/?linkid=870924.
Comentari:
    Modificació</t>
      </text>
    </comment>
    <comment ref="Q12" authorId="2" shapeId="0" xr:uid="{1F391FBB-9349-4A1F-AC53-01E61372B044}">
      <text>
        <r>
          <rPr>
            <sz val="11"/>
            <color theme="1"/>
            <rFont val="Calibri"/>
            <family val="2"/>
            <scheme val="minor"/>
          </rPr>
          <t xml:space="preserve">1. Actualització mensual copagament
2. Simulació copagament TF/N
3. Simulació copagament Àpats
4. generació fitxer cobrament per a IMH
</t>
        </r>
      </text>
    </comment>
    <comment ref="R12" authorId="2" shapeId="0" xr:uid="{59684A7E-5A1D-4CB9-A655-90D793900F71}">
      <text>
        <r>
          <rPr>
            <sz val="11"/>
            <color theme="1"/>
            <rFont val="Calibri"/>
            <family val="2"/>
            <scheme val="minor"/>
          </rPr>
          <t xml:space="preserve">FRISON PUJOL, ALBERT:
1. Gestió Tasques. (ex: pdt. autorització)
</t>
        </r>
      </text>
    </comment>
    <comment ref="T12" authorId="2" shapeId="0" xr:uid="{135034EA-A07B-4F15-969B-6106D60CE4A7}">
      <text>
        <r>
          <rPr>
            <sz val="11"/>
            <color theme="1"/>
            <rFont val="Calibri"/>
            <family val="2"/>
            <scheme val="minor"/>
          </rPr>
          <t xml:space="preserve">FRISON PUJOL, ALBERT:
Seguiment d'àpats
</t>
        </r>
      </text>
    </comment>
    <comment ref="U12" authorId="2" shapeId="0" xr:uid="{1CDA3589-E5E4-4307-9BBB-0A454A139383}">
      <text>
        <r>
          <rPr>
            <sz val="11"/>
            <color theme="1"/>
            <rFont val="Calibri"/>
            <family val="2"/>
            <scheme val="minor"/>
          </rPr>
          <t>FRISON PUJOL, ALBERT:
Gestió proveïdors
Generació certificacions /Albarans
Gestió "empremptes"</t>
        </r>
      </text>
    </comment>
    <comment ref="Q13" authorId="2" shapeId="0" xr:uid="{C7AE677A-50C4-441F-9ED8-660E844B51A9}">
      <text>
        <r>
          <rPr>
            <sz val="11"/>
            <color theme="1"/>
            <rFont val="Calibri"/>
            <family val="2"/>
            <scheme val="minor"/>
          </rPr>
          <t>FRISON PUJOL, ALBERT:
Manteniment de paràmetres, tarifes, indexos relacionats amb Atenció domiciliaria i que els perfils administradors de Negoci puguin mantenir.</t>
        </r>
      </text>
    </comment>
    <comment ref="T13" authorId="2" shapeId="0" xr:uid="{1020ACCB-BAA0-4DA6-ACAF-7C8A51E6A98A}">
      <text>
        <r>
          <rPr>
            <sz val="11"/>
            <color theme="1"/>
            <rFont val="Calibri"/>
            <family val="2"/>
            <scheme val="minor"/>
          </rPr>
          <t xml:space="preserve">FRISON PUJOL, ALBERT:
Caldrà adaptar les funcionalitats de TF/N perquè també puguin utilitzar-se pels àpats
</t>
        </r>
      </text>
    </comment>
    <comment ref="Q17" authorId="2" shapeId="0" xr:uid="{E38C5D0C-DFEC-4601-9447-A337DFAE43A2}">
      <text>
        <r>
          <rPr>
            <sz val="11"/>
            <color theme="1"/>
            <rFont val="Calibri"/>
            <family val="2"/>
            <scheme val="minor"/>
          </rPr>
          <t xml:space="preserve">FRISON PUJOL, ALBERT:
1. Servei Ariadna
</t>
        </r>
      </text>
    </comment>
    <comment ref="Q18" authorId="2" shapeId="0" xr:uid="{FB6D7F33-86EF-4234-8051-82E8E8FBF782}">
      <text>
        <r>
          <rPr>
            <sz val="11"/>
            <color theme="1"/>
            <rFont val="Calibri"/>
            <family val="2"/>
            <scheme val="minor"/>
          </rPr>
          <t>FRISON PUJOL, ALBERT:
1. 6 serveis integració eDomus (TF/N)
2. 6 serveis integració (àpats)
3. Integració consulta dependència Generalitat</t>
        </r>
      </text>
    </comment>
    <comment ref="U18" authorId="2" shapeId="0" xr:uid="{F580B747-9B15-439E-A645-799743B6E8CF}">
      <text>
        <r>
          <rPr>
            <sz val="11"/>
            <color theme="1"/>
            <rFont val="Calibri"/>
            <family val="2"/>
            <scheme val="minor"/>
          </rPr>
          <t>FRISON PUJOL, ALBERT:
Quadrament servei real prestat edomus i apats</t>
        </r>
      </text>
    </comment>
    <comment ref="Q19" authorId="2" shapeId="0" xr:uid="{93ED9D34-182E-4166-84FA-BE1D7F76293C}">
      <text>
        <r>
          <rPr>
            <sz val="11"/>
            <color theme="1"/>
            <rFont val="Calibri"/>
            <family val="2"/>
            <scheme val="minor"/>
          </rPr>
          <t xml:space="preserve">FRISON PUJOL, ALBERT:
Caldrà desar els pàctes de pretació del servei, documents d'acceptació de copagament, </t>
        </r>
      </text>
    </comment>
  </commentList>
</comments>
</file>

<file path=xl/sharedStrings.xml><?xml version="1.0" encoding="utf-8"?>
<sst xmlns="http://schemas.openxmlformats.org/spreadsheetml/2006/main" count="1678" uniqueCount="535">
  <si>
    <t>Total Projecte</t>
  </si>
  <si>
    <t>Consultoria i refinament</t>
  </si>
  <si>
    <t>Parametrització, desenvolupament i implantació</t>
  </si>
  <si>
    <t xml:space="preserve">Perfil </t>
  </si>
  <si>
    <t>Tarifa IVA exclòs</t>
  </si>
  <si>
    <t>Tarifa IVA inclòs</t>
  </si>
  <si>
    <t>Perfil equivlent</t>
  </si>
  <si>
    <t>Data d'inici prevista</t>
  </si>
  <si>
    <t>Cap de projecte</t>
  </si>
  <si>
    <t>Perfil consulta al mercat</t>
  </si>
  <si>
    <t>Data de fi prevista</t>
  </si>
  <si>
    <t>Consultor sènior Salesforce</t>
  </si>
  <si>
    <t>Dies festius entre setmana</t>
  </si>
  <si>
    <t>Consultor sènior BI</t>
  </si>
  <si>
    <t>Dies laborables naturals</t>
  </si>
  <si>
    <t>Arquitecte cloud</t>
  </si>
  <si>
    <t>Duració del projecte en mesos</t>
  </si>
  <si>
    <t>Disseny gràfic</t>
  </si>
  <si>
    <t>Hores laborables contracte (per FTE)</t>
  </si>
  <si>
    <t>Analista programador sènior Salesforce</t>
  </si>
  <si>
    <t>Desenvolupador sènior Salesforce</t>
  </si>
  <si>
    <t>Cost total del projecte (Sense IVA)</t>
  </si>
  <si>
    <t>Cost total del projecte (Amb IVA)</t>
  </si>
  <si>
    <t>Tècnic testing</t>
  </si>
  <si>
    <t>Cost del projecte per mes (Sense IVA)</t>
  </si>
  <si>
    <t>Preu del projecte per mes (Amb IVA)</t>
  </si>
  <si>
    <t>Hores anuals</t>
  </si>
  <si>
    <t>Sou brut anual </t>
  </si>
  <si>
    <t>Sou brut / h </t>
  </si>
  <si>
    <t>COSTOS TGSS 34 % + Costos formació i prevenció 1%</t>
  </si>
  <si>
    <t>DESPESES GENERALS D'ESTRUCTURA 15 %</t>
  </si>
  <si>
    <t>BENEFICI INDUSTRIAL 10 %</t>
  </si>
  <si>
    <t>Servei 1. Gestió, Consultoria, refinament i disseny tècnic</t>
  </si>
  <si>
    <t>Perfils</t>
  </si>
  <si>
    <t>Número persones</t>
  </si>
  <si>
    <t>% dedicació</t>
  </si>
  <si>
    <t>Hores estimades</t>
  </si>
  <si>
    <t>Preu/hora (iva exclòs)</t>
  </si>
  <si>
    <t>Cost</t>
  </si>
  <si>
    <t>Import (iva inclòs)</t>
  </si>
  <si>
    <t>Cap de projecte i Responsable del servei</t>
  </si>
  <si>
    <t>Preu/mig Servei 1</t>
  </si>
  <si>
    <t>Servei 2. Parametrització, desenvolupament i implantació</t>
  </si>
  <si>
    <t>Preu/mig Servei 2</t>
  </si>
  <si>
    <t>Drets Socials</t>
  </si>
  <si>
    <t>Cultura</t>
  </si>
  <si>
    <t>Increment en 1 FTE AP sènior Mulesoft (OGE)</t>
  </si>
  <si>
    <t>IMI (OGE)</t>
  </si>
  <si>
    <t>Equip</t>
  </si>
  <si>
    <t>Actuacions</t>
  </si>
  <si>
    <t>Release 1</t>
  </si>
  <si>
    <t>Release 2</t>
  </si>
  <si>
    <t>Release 3</t>
  </si>
  <si>
    <t>Release 4</t>
  </si>
  <si>
    <t>Release 5</t>
  </si>
  <si>
    <t>Release 6</t>
  </si>
  <si>
    <t>Release 7</t>
  </si>
  <si>
    <t>Release 8</t>
  </si>
  <si>
    <t>Set</t>
  </si>
  <si>
    <t>Oct</t>
  </si>
  <si>
    <t>Nov</t>
  </si>
  <si>
    <t>Des</t>
  </si>
  <si>
    <t>Gen</t>
  </si>
  <si>
    <t>Feb</t>
  </si>
  <si>
    <t>Mar</t>
  </si>
  <si>
    <t>Abr</t>
  </si>
  <si>
    <t>Mai</t>
  </si>
  <si>
    <t>Jun</t>
  </si>
  <si>
    <t>Jul</t>
  </si>
  <si>
    <t>Ago</t>
  </si>
  <si>
    <t>Actuacions prèvies a la licitació</t>
  </si>
  <si>
    <t>Millora canals d'atenció social</t>
  </si>
  <si>
    <t>Teleassistència</t>
  </si>
  <si>
    <t>Procés d'atenció 1</t>
  </si>
  <si>
    <t>Onboarding</t>
  </si>
  <si>
    <t>Consultoria/Refinament</t>
  </si>
  <si>
    <t>Procés d'atenció 2</t>
  </si>
  <si>
    <t>Ajuts econòmics</t>
  </si>
  <si>
    <t>Campanyes Fase 2</t>
  </si>
  <si>
    <t>Prescripció ATUs, eQualiment, Labora i Guardamobles</t>
  </si>
  <si>
    <t>Resta allotjaments</t>
  </si>
  <si>
    <t>ICR</t>
  </si>
  <si>
    <t>Procés d'atenció 3</t>
  </si>
  <si>
    <t>Resta Atenció Domiciliària</t>
  </si>
  <si>
    <t>Suport als equips</t>
  </si>
  <si>
    <t>Equip 1</t>
  </si>
  <si>
    <t>Equip 2</t>
  </si>
  <si>
    <t>Equip 3</t>
  </si>
  <si>
    <t>Manteniment</t>
  </si>
  <si>
    <t>SER0004 Ajuts econòmics</t>
  </si>
  <si>
    <t>SER0007 Equipaments</t>
  </si>
  <si>
    <t>Allotjaments</t>
  </si>
  <si>
    <t>ATU, Guardamobles i resta allotjaments, Guardamobles</t>
  </si>
  <si>
    <t>SER0009 Expedients serveis socials</t>
  </si>
  <si>
    <t>Gestió d'usuaris, procés d'atenció i prescripció bàsica</t>
  </si>
  <si>
    <t>Procés d'atenció 1, 2 i 3 + Prescripció Labora i equaliment</t>
  </si>
  <si>
    <t>SER0015 Atenció domiciliària</t>
  </si>
  <si>
    <t>Atenció domiciliària</t>
  </si>
  <si>
    <t>Teleassistència, SAD i àpats a domicili</t>
  </si>
  <si>
    <t>SER0006 Campanyes</t>
  </si>
  <si>
    <t>Campanyes</t>
  </si>
  <si>
    <t>SERXXXX Informe coneixement de residència</t>
  </si>
  <si>
    <t>Informe coneixement de residència</t>
  </si>
  <si>
    <t>SERYYYY Integracions transverals</t>
  </si>
  <si>
    <t>Integracions transversals</t>
  </si>
  <si>
    <t>Algun dia hauria de passar al CoE</t>
  </si>
  <si>
    <t>PUNTUACIÓ</t>
  </si>
  <si>
    <t>FACTORS CLAU QUE DETERMINEN LA COMPLEXITAT</t>
  </si>
  <si>
    <t>Migració de dades</t>
  </si>
  <si>
    <t>XS</t>
  </si>
  <si>
    <t>Número d’orígens dels quals s'han de migrar dades</t>
  </si>
  <si>
    <t>De 2 a 4</t>
  </si>
  <si>
    <t>&gt;=5</t>
  </si>
  <si>
    <t>N.A.</t>
  </si>
  <si>
    <t>S</t>
  </si>
  <si>
    <t>Existeixen orígens en bases de dades no corporatives</t>
  </si>
  <si>
    <t>No</t>
  </si>
  <si>
    <t>Sí</t>
  </si>
  <si>
    <t>M</t>
  </si>
  <si>
    <t>Qualitat de les dades</t>
  </si>
  <si>
    <t>Alta</t>
  </si>
  <si>
    <t>Mitja</t>
  </si>
  <si>
    <t>Baixa</t>
  </si>
  <si>
    <t>L</t>
  </si>
  <si>
    <t>Funcionalitats a implementar</t>
  </si>
  <si>
    <t>XL</t>
  </si>
  <si>
    <t>Número de sol·licituds a implementar</t>
  </si>
  <si>
    <t>De 2 a 3</t>
  </si>
  <si>
    <t>De 4 a 5</t>
  </si>
  <si>
    <t>&gt;5</t>
  </si>
  <si>
    <t>Número de prescripcions de recursos a implementar</t>
  </si>
  <si>
    <t>Número d'accions de seguiment de recursos a implementar (baixa, modificació interrupció, renovació, seguiment)</t>
  </si>
  <si>
    <t>De 3 a 5</t>
  </si>
  <si>
    <t>Número de serveis d'atenció a configurar</t>
  </si>
  <si>
    <t>Número noves funcionalitats a desenvolupar</t>
  </si>
  <si>
    <t>Número de funcionalitats a evolucionar</t>
  </si>
  <si>
    <t>Inclou funcionalitats a desenvolupar o evolucionar custom</t>
  </si>
  <si>
    <t>Molt baix</t>
  </si>
  <si>
    <t>Baix</t>
  </si>
  <si>
    <t>Mig</t>
  </si>
  <si>
    <t>Alt</t>
  </si>
  <si>
    <t>Integracions i sincronització de dades</t>
  </si>
  <si>
    <t>Número d'integracions amb sistemes municipals</t>
  </si>
  <si>
    <t>De 4 a 6</t>
  </si>
  <si>
    <t>De 7 a 9</t>
  </si>
  <si>
    <t>&gt;=10</t>
  </si>
  <si>
    <t>Número d'integracions amb amb sistemes externs</t>
  </si>
  <si>
    <t>De 3 a 4</t>
  </si>
  <si>
    <t>De 5 a 7</t>
  </si>
  <si>
    <t>&gt;=7</t>
  </si>
  <si>
    <t xml:space="preserve">Gestió documental </t>
  </si>
  <si>
    <t>N.A</t>
  </si>
  <si>
    <t>Si</t>
  </si>
  <si>
    <t>Procediment administratiu</t>
  </si>
  <si>
    <t>Implica sincronització de dades amb sistemes actuals</t>
  </si>
  <si>
    <t>Explotació de dades</t>
  </si>
  <si>
    <t>Informes actuals en PowerBI a actualitzar</t>
  </si>
  <si>
    <t>Necessitat de nous informes en PowerBI</t>
  </si>
  <si>
    <t>Necessitat de nous informes o configuració de views dins Salesforce</t>
  </si>
  <si>
    <t>Talla èpiques</t>
  </si>
  <si>
    <t>Punts mínims</t>
  </si>
  <si>
    <t>Punts màxim</t>
  </si>
  <si>
    <t>Esforç Servei 1 (hores)</t>
  </si>
  <si>
    <t>Esforç Servei 2 (hores)</t>
  </si>
  <si>
    <t>Cost 
Servei 1</t>
  </si>
  <si>
    <t>Cost 
Servei 2</t>
  </si>
  <si>
    <t>Cost total</t>
  </si>
  <si>
    <t>XXL</t>
  </si>
  <si>
    <t>Servei 1</t>
  </si>
  <si>
    <t>Total Servei 1</t>
  </si>
  <si>
    <t>Servei 2</t>
  </si>
  <si>
    <t>Total Servei 2</t>
  </si>
  <si>
    <r>
      <t xml:space="preserve">Atenció domiciliària (TF, Neteja i àpats) </t>
    </r>
    <r>
      <rPr>
        <b/>
        <i/>
        <sz val="10"/>
        <color rgb="FFFFFFFF"/>
        <rFont val="Calibri"/>
        <family val="2"/>
      </rPr>
      <t>Albert</t>
    </r>
  </si>
  <si>
    <t>ATU, Banc d'aliments, Labora i Guardamobles</t>
  </si>
  <si>
    <t>Altres allotjaments</t>
  </si>
  <si>
    <t>1. Noves eines de diagnòstic (SSM-Cat, IAR i DPR automàtic)</t>
  </si>
  <si>
    <t>2. Integracions PDIB, HC3 i altres</t>
  </si>
  <si>
    <t>3. Procés d'atenció, pla de millora,  prescripció bàsica, seguiment de l'atenció i explotació de dades CSS, SEAIA, NIU, EDEIAR, SOASS (configuració)</t>
  </si>
  <si>
    <t xml:space="preserve"> 4. Procés d'atenció,  pla de millora , prescripció bàsica, seguiment de l'atenció i explotació de dades  SAIER, IMPD i Plural (configuració)</t>
  </si>
  <si>
    <t>5. Derivació i/o atenció compartida i integració amb eSocial consolidació procediments</t>
  </si>
  <si>
    <t>1. Gestió intervencions i agrupacions d'usuaris</t>
  </si>
  <si>
    <t>2. Procés d'atenció i pla de millora, prescripció bàsica, seguiment de l'atenció i explotació de dades CUESB i SAS-UTEH (configuració)</t>
  </si>
  <si>
    <t>3. Procés d'atenció i pla de millora i prescripció bàsica Sensellarisme (configuració)</t>
  </si>
  <si>
    <t>4. Gestió d'incidències, reclamacions i queixes i integració amb eSocial consolidació procediments</t>
  </si>
  <si>
    <t>5. Gestió de l'inventari</t>
  </si>
  <si>
    <t>1. Gestió del pressupost i bosses i integracions (SAP Ecofin, SAP Bestretes i Portasignatures)</t>
  </si>
  <si>
    <t>2. Càrrega, modificació, baixa i seguiment de recursos d'ajuts econòmics (Targeta fons)</t>
  </si>
  <si>
    <t>3. Precripció, modificació, baixa i seguiment de recursos d'ajuts econòmics i gestió de tercers (targeta moneder,  efectiu, transferència, factura i xec)</t>
  </si>
  <si>
    <t>4. Ordres de treball i prescripció SCAD</t>
  </si>
  <si>
    <t>5. Sol·licitud  d'accés lliure de Respir+</t>
  </si>
  <si>
    <t>1. Gestió de copagament  i integracions d'Atenció Domiciliària</t>
  </si>
  <si>
    <t>2. Prescripció i activació de recursos TF i Neteja</t>
  </si>
  <si>
    <t>3. Modificació, renovació, interrupció, baixa i seguiment de TF i Neteja</t>
  </si>
  <si>
    <t>4. Prescripció, activació, modificació, renovació, baixa i seguiment de recursos Àpats a domicili</t>
  </si>
  <si>
    <t>5. Gestió proveïdors, gestió econòmica, interiorització explotació de dades</t>
  </si>
  <si>
    <t>1. Integracions</t>
  </si>
  <si>
    <t>2. Prescripció , aprovació, modificació, renovació, interrupció, baixa i seguiment ATU</t>
  </si>
  <si>
    <t>3. Prescripció , aprovació, modificació, renovació, interrupció, baixa i seguiment Labora</t>
  </si>
  <si>
    <t>4. Prescripció, aprovació, modificació, renovació, interrupció, baixa i seguiment Banc d'aliments</t>
  </si>
  <si>
    <t>5. Prescripció , aprovació, modificació, renovació, interrupció, baixa i seguiment Guardamobles</t>
  </si>
  <si>
    <t>1. Integracions, gestió d'ocupacions per volumetria i gestió d'activitats</t>
  </si>
  <si>
    <t>2. Prescripció  i aprovació allotjament SARA, CUESB</t>
  </si>
  <si>
    <t>3. Prescripció  i aprovació  Sensellarisme</t>
  </si>
  <si>
    <t>4. Prescripció  i aprovació  Gent gran</t>
  </si>
  <si>
    <t>5. Prescripció i aprovació allotjament Nausica</t>
  </si>
  <si>
    <t>2. Sol.licitud lliure accés</t>
  </si>
  <si>
    <t>3. Prescripció</t>
  </si>
  <si>
    <t>1. Homologació d'activitats</t>
  </si>
  <si>
    <t>2. Gestió d'Inscrits</t>
  </si>
  <si>
    <t>3. Registre d'Entitats</t>
  </si>
  <si>
    <t>4. Gestió pagament subvencions</t>
  </si>
  <si>
    <t>5. Proactivitat</t>
  </si>
  <si>
    <t>1. Vincles</t>
  </si>
  <si>
    <t>NA</t>
  </si>
  <si>
    <t>Número de sol·licituds de lliure accés a implementar</t>
  </si>
  <si>
    <t>Número d'accions de seguiment de recursos a implementar (baixa, modificació, interrupció, renovació, seguiment)</t>
  </si>
  <si>
    <t>Necessitat de desenvolupament de funcionalitats custom</t>
  </si>
  <si>
    <t>Molt Baix</t>
  </si>
  <si>
    <t> </t>
  </si>
  <si>
    <t>Número d'integracions amb sistemes externs</t>
  </si>
  <si>
    <t>Gestió procediment administratiu</t>
  </si>
  <si>
    <t>PUNTS</t>
  </si>
  <si>
    <t>TALLA</t>
  </si>
  <si>
    <t>Import Servei 1</t>
  </si>
  <si>
    <t>Import Servei 2</t>
  </si>
  <si>
    <t>Import total</t>
  </si>
  <si>
    <t>TOTAL Actuació</t>
  </si>
  <si>
    <t>Mesos Servei 1</t>
  </si>
  <si>
    <t>Mesos Servei 2</t>
  </si>
  <si>
    <t>Serveis</t>
  </si>
  <si>
    <t>Import net</t>
  </si>
  <si>
    <t>IVA 21%</t>
  </si>
  <si>
    <t>Total import net</t>
  </si>
  <si>
    <t>Total IVA 21%</t>
  </si>
  <si>
    <t>Total import contracte</t>
  </si>
  <si>
    <t>TOTAL ANUAL PROJECTE</t>
  </si>
  <si>
    <t>TOTAL ANUAL MANTENIMENT</t>
  </si>
  <si>
    <t>TOTAL ANUAL</t>
  </si>
  <si>
    <t>Projectes Drets Socials</t>
  </si>
  <si>
    <t>Projectes Cultura</t>
  </si>
  <si>
    <t>Projectes IMI</t>
  </si>
  <si>
    <t>Manteniment Drets Socials</t>
  </si>
  <si>
    <t>Manteniment Drets Socials - C2</t>
  </si>
  <si>
    <t>Manteniment Drets Socials - C6</t>
  </si>
  <si>
    <t>Manteniment Cultura</t>
  </si>
  <si>
    <t>Manteniment Cultura - C2</t>
  </si>
  <si>
    <t>Manteniment Cultura - C6</t>
  </si>
  <si>
    <t>Manteniment IMI</t>
  </si>
  <si>
    <t>Manteniment IMI - C2</t>
  </si>
  <si>
    <t>Manteniment IMI - C6</t>
  </si>
  <si>
    <t>%Manteniment C2</t>
  </si>
  <si>
    <t>%Manteiment C6</t>
  </si>
  <si>
    <t>Mapeig èpiques</t>
  </si>
  <si>
    <t>Procés d'atenció 2 - Èpica 1</t>
  </si>
  <si>
    <t>Procés d'atenció 2 - Èpica 2</t>
  </si>
  <si>
    <t>Procés d'atenció 2 - Èpica 3</t>
  </si>
  <si>
    <t>Procés d'atenció 2 - Èpica 4</t>
  </si>
  <si>
    <t>Procés d'atenció 2 - Èpica 5</t>
  </si>
  <si>
    <t>Procés d'atenció 3 - Èpica 1</t>
  </si>
  <si>
    <t>Procés d'atenció 3 - Èpica 2</t>
  </si>
  <si>
    <t>Procés d'atenció 3 - Èpica 3</t>
  </si>
  <si>
    <t>Procés d'atenció 3 - Èpica 4</t>
  </si>
  <si>
    <t>Procés d'atenció 3 - Èpica 5</t>
  </si>
  <si>
    <t>Ajuts econòmics - Èpica 1</t>
  </si>
  <si>
    <t>Ajuts econòmics - Èpica 2</t>
  </si>
  <si>
    <t>Ajuts econòmics - Èpica 3</t>
  </si>
  <si>
    <t>Ajuts econòmics - Èpica 4</t>
  </si>
  <si>
    <t>Ajuts econòmics - Èpica 5</t>
  </si>
  <si>
    <t>Atenció domiciliària - Èpica 1</t>
  </si>
  <si>
    <t>Atenció domiciliària - Èpica 2</t>
  </si>
  <si>
    <t>Atenció domiciliària - Èpica 3</t>
  </si>
  <si>
    <t>Atenció domiciliària - Èpica 4</t>
  </si>
  <si>
    <t>Atenció domiciliària - Èpica 5</t>
  </si>
  <si>
    <t>ATU, Banc d'aliments, Labora i Guardamobles - Èpica 1</t>
  </si>
  <si>
    <t>ATU, Banc d'aliments, Labora i Guardamobles - Èpica 2</t>
  </si>
  <si>
    <t>ATU, Banc d'aliments, Labora i Guardamobles - Èpica 3</t>
  </si>
  <si>
    <t>ATU, Banc d'aliments, Labora i Guardamobles - Èpica 4</t>
  </si>
  <si>
    <t>ATU, Banc d'aliments, Labora i Guardamobles - Èpica 5</t>
  </si>
  <si>
    <t>Altres allotjaments - Èpica 1</t>
  </si>
  <si>
    <t>Altres allotjaments - Èpica 2</t>
  </si>
  <si>
    <t>Altres allotjaments - Èpica 3</t>
  </si>
  <si>
    <t>Altres allotjaments - Èpica 4</t>
  </si>
  <si>
    <t>Altres allotjaments - Èpica 5</t>
  </si>
  <si>
    <t>ICR (Informe coneixement de Residència) - Èpica 1</t>
  </si>
  <si>
    <t>ICR (Informe coneixement de Residència) - Èpica 2</t>
  </si>
  <si>
    <t>ICR (Informe coneixement de Residència) - Èpica 3</t>
  </si>
  <si>
    <t>Manteniment_Salesforce (4+ 0)</t>
  </si>
  <si>
    <t>Contracte</t>
  </si>
  <si>
    <t>4+0</t>
  </si>
  <si>
    <t>2026, 2027, 2028,2029, 2030</t>
  </si>
  <si>
    <r>
      <rPr>
        <strike/>
        <sz val="11"/>
        <color theme="1"/>
        <rFont val="Calibri"/>
        <family val="2"/>
        <scheme val="minor"/>
      </rPr>
      <t>Treure AMPLIACIÓ</t>
    </r>
    <r>
      <rPr>
        <sz val="11"/>
        <color theme="1"/>
        <rFont val="Calibri"/>
        <family val="2"/>
        <scheme val="minor"/>
      </rPr>
      <t xml:space="preserve">,   </t>
    </r>
    <r>
      <rPr>
        <strike/>
        <sz val="11"/>
        <color theme="1"/>
        <rFont val="Calibri"/>
        <family val="2"/>
        <scheme val="minor"/>
      </rPr>
      <t>REDUIR 15%. Afegir 2030.</t>
    </r>
    <r>
      <rPr>
        <sz val="11"/>
        <color theme="1"/>
        <rFont val="Calibri"/>
        <family val="2"/>
        <scheme val="minor"/>
      </rPr>
      <t>, ajustar transició eq1-6, perfil Salesforce</t>
    </r>
  </si>
  <si>
    <t>Data inici contracte</t>
  </si>
  <si>
    <t>Data inici tots serveis</t>
  </si>
  <si>
    <t>Data inici devolució si no hi ha pròrrogues</t>
  </si>
  <si>
    <t xml:space="preserve"> DS</t>
  </si>
  <si>
    <t>Data fi del contracte</t>
  </si>
  <si>
    <t>LB Licitació (€)</t>
  </si>
  <si>
    <t>Servei</t>
  </si>
  <si>
    <t>Import 2026</t>
  </si>
  <si>
    <t>Import 2027</t>
  </si>
  <si>
    <t>Import 2028</t>
  </si>
  <si>
    <t>Import 2029</t>
  </si>
  <si>
    <t>Import 2030</t>
  </si>
  <si>
    <t>Import Total IVA inclòs</t>
  </si>
  <si>
    <t>Import Total IVA exclòs</t>
  </si>
  <si>
    <t xml:space="preserve">DS €  </t>
  </si>
  <si>
    <t>Cultura €</t>
  </si>
  <si>
    <t>Data inici possible pròrroga</t>
  </si>
  <si>
    <t>Treball fet real en incidència</t>
  </si>
  <si>
    <t>Manteniment correctiu</t>
  </si>
  <si>
    <t>M. correctiu</t>
  </si>
  <si>
    <t>Data màxim possible pròrroga</t>
  </si>
  <si>
    <t>Treball valorat i acceptat</t>
  </si>
  <si>
    <t>Manteniment recurrent</t>
  </si>
  <si>
    <t>M. recurrent</t>
  </si>
  <si>
    <t>Data inici devolució si max pròrroga</t>
  </si>
  <si>
    <t>Tarifa plana</t>
  </si>
  <si>
    <t xml:space="preserve">Serveis Transversals de Manteniment </t>
  </si>
  <si>
    <t>STM</t>
  </si>
  <si>
    <t xml:space="preserve"> Llicències</t>
  </si>
  <si>
    <t>Servei d'evolutius recurrents</t>
  </si>
  <si>
    <t>S.Ev recurrents</t>
  </si>
  <si>
    <t>Import total licitació</t>
  </si>
  <si>
    <t>TOTAL</t>
  </si>
  <si>
    <t>LB licitació (H)</t>
  </si>
  <si>
    <t>H 2026</t>
  </si>
  <si>
    <t>H 2027</t>
  </si>
  <si>
    <t>H 2028</t>
  </si>
  <si>
    <t>H 2029</t>
  </si>
  <si>
    <t>H20230</t>
  </si>
  <si>
    <t>Total Hores</t>
  </si>
  <si>
    <t>DS H</t>
  </si>
  <si>
    <t>H 2030</t>
  </si>
  <si>
    <t>Cultura H</t>
  </si>
  <si>
    <t>HORES</t>
  </si>
  <si>
    <t>LB PRESSUPOST BASE 2026</t>
  </si>
  <si>
    <t>Inclòs manteniment recurrent</t>
  </si>
  <si>
    <t>SERVEIS 2026</t>
  </si>
  <si>
    <t>H SERVEIS 2026</t>
  </si>
  <si>
    <t>GRUP</t>
  </si>
  <si>
    <t>Nom Servei</t>
  </si>
  <si>
    <t>Codi Aplicació</t>
  </si>
  <si>
    <t>Nom Aplicació</t>
  </si>
  <si>
    <t>IT Manteniment correctiu</t>
  </si>
  <si>
    <t>Preu/hora</t>
  </si>
  <si>
    <t>€ Manteniment correctiu</t>
  </si>
  <si>
    <t>IT  Manteniment recurrent</t>
  </si>
  <si>
    <t>€ Manteniment recurrent</t>
  </si>
  <si>
    <t xml:space="preserve">TT Serveis Transversals de Manteniment </t>
  </si>
  <si>
    <t>€ STM</t>
  </si>
  <si>
    <t>€ Llicències</t>
  </si>
  <si>
    <t>IT  Evolutius recurrents</t>
  </si>
  <si>
    <t>€ Evolutius recurrents</t>
  </si>
  <si>
    <t>h TOTAL</t>
  </si>
  <si>
    <t>€ Import TOTAL</t>
  </si>
  <si>
    <t>Data inici transició</t>
  </si>
  <si>
    <t>Data inici servei</t>
  </si>
  <si>
    <t>H transició</t>
  </si>
  <si>
    <t>€ Transició (import màxim)</t>
  </si>
  <si>
    <t>Data fi servei</t>
  </si>
  <si>
    <t>€ Evolutiu recurrent</t>
  </si>
  <si>
    <t>Total €</t>
  </si>
  <si>
    <t>H Manteniment correctiu</t>
  </si>
  <si>
    <t>H Manteniment recurrent</t>
  </si>
  <si>
    <t>H STM</t>
  </si>
  <si>
    <t>H Transició</t>
  </si>
  <si>
    <t>H Evolutiu recurrent</t>
  </si>
  <si>
    <t>Total</t>
  </si>
  <si>
    <t>% Manteniment correctiu</t>
  </si>
  <si>
    <t>% Manteniment recurrent</t>
  </si>
  <si>
    <t>% STM</t>
  </si>
  <si>
    <t>% Transició</t>
  </si>
  <si>
    <t>% Evolutiu recurrent</t>
  </si>
  <si>
    <t>ds</t>
  </si>
  <si>
    <t>SER0004</t>
  </si>
  <si>
    <t>Ajuts econòmics Serveis Socials</t>
  </si>
  <si>
    <t>APPXXXX</t>
  </si>
  <si>
    <t>Salesforce - Ajuts Econòmics</t>
  </si>
  <si>
    <t>cultura</t>
  </si>
  <si>
    <t>SER00XX</t>
  </si>
  <si>
    <t>Equipaments i altres recursos Persones vulnerables</t>
  </si>
  <si>
    <t>Salesforce - ICR</t>
  </si>
  <si>
    <t>Transversal</t>
  </si>
  <si>
    <t>SER0015</t>
  </si>
  <si>
    <t>Servei d'atenció Domiciliària</t>
  </si>
  <si>
    <t>Salesforce - Atenció domiciliària</t>
  </si>
  <si>
    <t>SER0009</t>
  </si>
  <si>
    <t>Expedients Serveis Socials</t>
  </si>
  <si>
    <t>Salesforce - Gestió d'usuaris, procés d'atenció i prescripció bàsica</t>
  </si>
  <si>
    <t>SER0007</t>
  </si>
  <si>
    <t>Equipaments</t>
  </si>
  <si>
    <t>Salesforce - Allotjament</t>
  </si>
  <si>
    <t xml:space="preserve">SER0017 </t>
  </si>
  <si>
    <t>Servei indicadors i explotació de dades</t>
  </si>
  <si>
    <t>Salesforce - Explotació de dades i ETLs</t>
  </si>
  <si>
    <t>Total DS</t>
  </si>
  <si>
    <t>SER0006</t>
  </si>
  <si>
    <t>Total Cultura</t>
  </si>
  <si>
    <t>SERYYYY</t>
  </si>
  <si>
    <t>Desenvolupaments transversals</t>
  </si>
  <si>
    <t>Desenvolupaments transversals Salesforce</t>
  </si>
  <si>
    <t>TOTAL Transversal</t>
  </si>
  <si>
    <t>Total transversal</t>
  </si>
  <si>
    <t>hores</t>
  </si>
  <si>
    <t>€</t>
  </si>
  <si>
    <t>LB PRESSUPOST BASE 2027</t>
  </si>
  <si>
    <t>SERVEIS 2027</t>
  </si>
  <si>
    <t>H SERVEIS 2027</t>
  </si>
  <si>
    <t>LB PRESSUPOST BASE 2028</t>
  </si>
  <si>
    <t>SERVEIS 2028</t>
  </si>
  <si>
    <t>H SERVEIS 2028</t>
  </si>
  <si>
    <t>LB PRESSUPOST BASE 2029</t>
  </si>
  <si>
    <t>SERVEIS 2029</t>
  </si>
  <si>
    <t>H SERVEIS 2029</t>
  </si>
  <si>
    <t>LB PRESSUPOST BASE 2030</t>
  </si>
  <si>
    <t>SERVEIS 2030</t>
  </si>
  <si>
    <t>H SERVEIS 2030</t>
  </si>
  <si>
    <t>Servei plec</t>
  </si>
  <si>
    <t>Perfil</t>
  </si>
  <si>
    <t>Preu perfil IVA inclòs</t>
  </si>
  <si>
    <t>Preu perfil IVA exclòs</t>
  </si>
  <si>
    <t>Preu / hora /perfil  IVA inclòs</t>
  </si>
  <si>
    <t xml:space="preserve">Manteniment correctiu
</t>
  </si>
  <si>
    <t>Preu perfil tipus</t>
  </si>
  <si>
    <t>Evolutius recurrents</t>
  </si>
  <si>
    <t>Import €/hora amb IVA</t>
  </si>
  <si>
    <t>Preu/hora IVA exclòs</t>
  </si>
  <si>
    <t>FTEs(mes)</t>
  </si>
  <si>
    <t>Salesforce</t>
  </si>
  <si>
    <t>Distribució de pressupost per any i per servei</t>
  </si>
  <si>
    <t>Servei 3 . Manteniment</t>
  </si>
  <si>
    <t>Distribució de pressupost per any</t>
  </si>
  <si>
    <t xml:space="preserve"> </t>
  </si>
  <si>
    <t>Any</t>
  </si>
  <si>
    <t>Pressupost net</t>
  </si>
  <si>
    <t>IVA</t>
  </si>
  <si>
    <t>Període</t>
  </si>
  <si>
    <t>Capítol</t>
  </si>
  <si>
    <t>C2</t>
  </si>
  <si>
    <t>C6</t>
  </si>
  <si>
    <t>C2 Drets Socials</t>
  </si>
  <si>
    <t>C2 Cultura</t>
  </si>
  <si>
    <t>C2 IMI</t>
  </si>
  <si>
    <t>C6 Drets Socials (P.11.6187.01)</t>
  </si>
  <si>
    <t>C6 Cultura</t>
  </si>
  <si>
    <t>C6 IMI</t>
  </si>
  <si>
    <t>de l'14-4 al 31-12</t>
  </si>
  <si>
    <t>II</t>
  </si>
  <si>
    <t>VI</t>
  </si>
  <si>
    <t>de l'1-1 al 31-12</t>
  </si>
  <si>
    <t>de l'1-1 al 13-4</t>
  </si>
  <si>
    <t>  </t>
  </si>
  <si>
    <t>Pròrroga</t>
  </si>
  <si>
    <t>Modificacions de contracte: ampliació / disminució</t>
  </si>
  <si>
    <t>Causes previstes de modificació</t>
  </si>
  <si>
    <t>Import contracte (IVA inclòs)</t>
  </si>
  <si>
    <t>% Ampliació sobre import del contracte</t>
  </si>
  <si>
    <t>Import màxim ampliació (amb IVA)</t>
  </si>
  <si>
    <t>% Disminució sobre import del contracte</t>
  </si>
  <si>
    <t>Import màxim disminució (amb IVA)</t>
  </si>
  <si>
    <t xml:space="preserve">Modificacions per augment o disminució de volumetries en Serveis/Aplicacions </t>
  </si>
  <si>
    <t> TOTAL</t>
  </si>
  <si>
    <t>IVA EXCLÒS</t>
  </si>
  <si>
    <t>VEC</t>
  </si>
  <si>
    <t>VE prestació</t>
  </si>
  <si>
    <t>VE eventuals pròrrogues</t>
  </si>
  <si>
    <t>VE modificacions contracte amb increment de cost previstes</t>
  </si>
  <si>
    <t>VE increment 10%</t>
  </si>
  <si>
    <t>VE modificacions contracte amb disminució de cost previstes</t>
  </si>
  <si>
    <t>SUMA</t>
  </si>
  <si>
    <t>Marges possibles solvènvia</t>
  </si>
  <si>
    <t>Solvència económica</t>
  </si>
  <si>
    <t>Solvència tècnica</t>
  </si>
  <si>
    <t>Anys de contracte</t>
  </si>
  <si>
    <t>ANUALITAT MITJANA VEC</t>
  </si>
  <si>
    <t>MÀXIM</t>
  </si>
  <si>
    <t>(VEC / durada contracte en mesos)*12</t>
  </si>
  <si>
    <t>1,5 x ANUALITAT MITJANA</t>
  </si>
  <si>
    <t>0,7 x ANUALITAT MITJANA</t>
  </si>
  <si>
    <t>CÀLCUL COSTOS DIRECTES I INDIRECTES PEL PROJECTE</t>
  </si>
  <si>
    <t>Preu
 IVA exclòs</t>
  </si>
  <si>
    <t>Cost Total</t>
  </si>
  <si>
    <t>Suma costos 
Indirectes</t>
  </si>
  <si>
    <t>Cost 
personal</t>
  </si>
  <si>
    <t>Seguretat 
Social (34%)</t>
  </si>
  <si>
    <t>Salari 
Brut</t>
  </si>
  <si>
    <t>Suma costos 
directes</t>
  </si>
  <si>
    <t>Costos directes:</t>
  </si>
  <si>
    <t>Costos salarials - Salari Brut</t>
  </si>
  <si>
    <t>Costos salarials - Seguretat Social (34%)</t>
  </si>
  <si>
    <t>TOTAL (Suma costos directes)</t>
  </si>
  <si>
    <t>Costos indirectes:</t>
  </si>
  <si>
    <t>Perfil salaris publicats consultores RRHH</t>
  </si>
  <si>
    <t>Vincles</t>
  </si>
  <si>
    <t>iva exclòs</t>
  </si>
  <si>
    <t>iva inclòs</t>
  </si>
  <si>
    <t>Preu/h 
(iva exclòs)</t>
  </si>
  <si>
    <t>Analista programador sènior integracions</t>
  </si>
  <si>
    <t>Transversal €</t>
  </si>
  <si>
    <t>TRANSVERSAL</t>
  </si>
  <si>
    <t>Transversal H</t>
  </si>
  <si>
    <t>Arquitecte/a Salesforce</t>
  </si>
  <si>
    <t>Dissenyador/a UX/UI</t>
  </si>
  <si>
    <t>Tècnic/a de testing</t>
  </si>
  <si>
    <t>Consultor/a BI</t>
  </si>
  <si>
    <t>Consultor/a sènior Salesforce</t>
  </si>
  <si>
    <t>Perfil específics Salesforce </t>
  </si>
  <si>
    <t>Hores 2026</t>
  </si>
  <si>
    <t>Hores 2027</t>
  </si>
  <si>
    <t>Hores 2028</t>
  </si>
  <si>
    <t>Hores 2029</t>
  </si>
  <si>
    <t>Hores 2030</t>
  </si>
  <si>
    <t>TOTAL FTE</t>
  </si>
  <si>
    <t>Analista programador Salesforce</t>
  </si>
  <si>
    <t>Consultor/a Salesforce</t>
  </si>
  <si>
    <t>Desenvolupador Salesforce</t>
  </si>
  <si>
    <t>Consultor Salesforce</t>
  </si>
  <si>
    <t>Release 9</t>
  </si>
  <si>
    <t>OB + Release 0</t>
  </si>
  <si>
    <t>OB+R0</t>
  </si>
  <si>
    <t>Costos de formació i prevenció (1%)</t>
  </si>
  <si>
    <t>Formació i prevenció (1%)</t>
  </si>
  <si>
    <t>Benefici industrial (10%)</t>
  </si>
  <si>
    <t>Despeses generals d’estructura (15%)</t>
  </si>
  <si>
    <t>Benefici 
Industrial (10%)</t>
  </si>
  <si>
    <t>Cost 
Indirecte (15%)</t>
  </si>
  <si>
    <t>TOTAL (Suma costos directes+indirectes)</t>
  </si>
  <si>
    <t>TOTAL DE COSTOS CONTRACTE:</t>
  </si>
  <si>
    <t>(*)</t>
  </si>
  <si>
    <t>(**)</t>
  </si>
  <si>
    <t>Preu/h 
(iva inclòs)</t>
  </si>
  <si>
    <t>Distribució de pressupost per any i capítol</t>
  </si>
  <si>
    <t>(*) L'import del pressupost net per cada anualitat correspon a la suma dels imports nets per anualitat i capítol de la taula següent (files 26 a 35, columna F) i no a la suma dels imports nets per cada anualitat i servei (fila 9, columnes B, E, H, K i N)
(*) L'import de l'IVA per cada anualitat correspon a la suma dels imports d'IVA per anualitat i capítol de la taula següent (files 26 a 35, columna E) i no a la suma dels imports d'IVA per cada anualitat i servei del contracte (fila 9, columnes C, F, I, L i O)</t>
  </si>
  <si>
    <r>
      <rPr>
        <sz val="10"/>
        <color theme="1"/>
        <rFont val="Calibri"/>
        <family val="2"/>
        <scheme val="minor"/>
      </rPr>
      <t>(*)</t>
    </r>
    <r>
      <rPr>
        <b/>
        <sz val="10"/>
        <color theme="1"/>
        <rFont val="Calibri"/>
        <family val="2"/>
        <scheme val="minor"/>
      </rPr>
      <t xml:space="preserve"> </t>
    </r>
    <r>
      <rPr>
        <sz val="10"/>
        <color theme="1"/>
        <rFont val="Calibri"/>
        <family val="2"/>
        <scheme val="minor"/>
      </rPr>
      <t>L'import net total per cada anualitat</t>
    </r>
    <r>
      <rPr>
        <b/>
        <sz val="10"/>
        <color theme="1"/>
        <rFont val="Calibri"/>
        <family val="2"/>
        <scheme val="minor"/>
      </rPr>
      <t xml:space="preserve"> </t>
    </r>
    <r>
      <rPr>
        <sz val="10"/>
        <color theme="1"/>
        <rFont val="Calibri"/>
        <family val="2"/>
        <scheme val="minor"/>
      </rPr>
      <t xml:space="preserve">s'ha calculat a partir del Import total (fila 16, columnes D, P, AB, AE i AH) i no a la suma dels imports nets anuals de projecte i de manteniment (files 14 i 15, columnes, B, N, Z, AC i AF)
</t>
    </r>
    <r>
      <rPr>
        <b/>
        <sz val="10"/>
        <color theme="1"/>
        <rFont val="Calibri"/>
        <family val="2"/>
        <scheme val="minor"/>
      </rPr>
      <t xml:space="preserve">
</t>
    </r>
    <r>
      <rPr>
        <sz val="10"/>
        <color theme="1"/>
        <rFont val="Calibri"/>
        <family val="2"/>
        <scheme val="minor"/>
      </rPr>
      <t>(*) L'import d'IVA total per cada anualitat s'ha calculat a partir del Import total (fila 16, columnes D, P, AB, AE i AH) i no a la suma dels imports d'IVA anuals de projecte i de manteniment (files 14 i 15, columnes, C, O, AA, AD i AG)</t>
    </r>
  </si>
  <si>
    <t>(*) Limport total per anualitat de cada servei (Servei 1 i Servei 2) calculat a partir de la suma de cadascun dels perfils detallats a les dues taules anteriors, pot diferir en alguns cèntims de l'import total per anualitat i servei de la pestanya "Fites de facturació". Això és provocat pels arrodoniments d'estar aplicant els càlculs dels mesos de cada anualitat a un import detallat per perfils (en aquesta pestanya) o d'estar aplicant els càlculs dels mesos de cada release a la totalitat de l'import mensual per servei al Servei 1 i per servei i equip al Servei 2 (a la pestanya Fites facturació).
(**) L'import total IVA inclòs correspon al sumatori dels imports individuals iva inclòs detallats a les taules anteriors (columna G files 18 a 20 pel servei 1 i columna G files 28 a 35 pel servei 2) i no a l'aplicació directa de l'IVA actual del 21% sobre el pressupost net totalitzat.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</si>
</sst>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0.00\ [$€-1]"/>
    <numFmt numFmtId="165" formatCode="#,##0.00\ &quot;€&quot;"/>
    <numFmt numFmtId="166" formatCode="0.0"/>
    <numFmt numFmtId="167" formatCode="_-* #,##0.00\ [$€-403]_-;\-* #,##0.00\ [$€-403]_-;_-* &quot;-&quot;??\ [$€-403]_-;_-@_-"/>
    <numFmt numFmtId="168" formatCode="0.0000%"/>
    <numFmt numFmtId="169" formatCode="#,##0.0000"/>
    <numFmt numFmtId="170" formatCode="0.0%"/>
    <numFmt numFmtId="171" formatCode="#,##0.00&quot;€&quot;"/>
    <numFmt numFmtId="172" formatCode="0.000%"/>
    <numFmt numFmtId="173" formatCode="#,##0.000\ [$€-1]"/>
    <numFmt numFmtId="174" formatCode="_-* #,##0.0000\ &quot;€&quot;_-;\-* #,##0.0000\ &quot;€&quot;_-;_-* &quot;-&quot;??\ &quot;€&quot;_-;_-@_-"/>
    <numFmt numFmtId="176" formatCode="_-* #,##0.000\ &quot;€&quot;_-;\-* #,##0.000\ &quot;€&quot;_-;_-* &quot;-&quot;??\ &quot;€&quot;_-;_-@_-"/>
  </numFmts>
  <fonts count="6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sz val="11"/>
      <name val="Calibri"/>
      <family val="2"/>
    </font>
    <font>
      <sz val="11"/>
      <color theme="1"/>
      <name val="Calibri"/>
      <family val="2"/>
      <scheme val="minor"/>
    </font>
    <font>
      <b/>
      <sz val="11"/>
      <color theme="1"/>
      <name val="Calibri"/>
      <family val="2"/>
      <scheme val="minor"/>
    </font>
    <font>
      <b/>
      <sz val="11"/>
      <color theme="0"/>
      <name val="Calibri"/>
      <family val="2"/>
      <scheme val="minor"/>
    </font>
    <font>
      <sz val="12"/>
      <color theme="1"/>
      <name val="Calibri"/>
      <family val="2"/>
      <scheme val="minor"/>
    </font>
    <font>
      <i/>
      <sz val="12"/>
      <color rgb="FFC00000"/>
      <name val="Calibri"/>
      <family val="2"/>
      <scheme val="minor"/>
    </font>
    <font>
      <sz val="12"/>
      <color rgb="FFC00000"/>
      <name val="Calibri"/>
      <family val="2"/>
      <scheme val="minor"/>
    </font>
    <font>
      <sz val="12"/>
      <name val="Calibri"/>
      <family val="2"/>
      <scheme val="minor"/>
    </font>
    <font>
      <sz val="11"/>
      <color rgb="FFC00000"/>
      <name val="Calibri"/>
      <family val="2"/>
      <scheme val="minor"/>
    </font>
    <font>
      <b/>
      <sz val="12"/>
      <color theme="1"/>
      <name val="Calibri"/>
      <family val="2"/>
      <scheme val="minor"/>
    </font>
    <font>
      <sz val="11"/>
      <color rgb="FF000000"/>
      <name val="Calibri"/>
      <family val="2"/>
    </font>
    <font>
      <b/>
      <sz val="11"/>
      <color rgb="FFC00000"/>
      <name val="Calibri"/>
      <family val="2"/>
      <scheme val="minor"/>
    </font>
    <font>
      <b/>
      <sz val="12"/>
      <color theme="0"/>
      <name val="Calibri"/>
      <family val="2"/>
      <scheme val="minor"/>
    </font>
    <font>
      <b/>
      <sz val="14"/>
      <color theme="0"/>
      <name val="Calibri"/>
      <family val="2"/>
      <scheme val="minor"/>
    </font>
    <font>
      <sz val="10"/>
      <color theme="1"/>
      <name val="Times New Roman"/>
      <family val="1"/>
    </font>
    <font>
      <b/>
      <sz val="10"/>
      <color rgb="FFFFFFFF"/>
      <name val="Calibri"/>
      <family val="2"/>
    </font>
    <font>
      <sz val="10"/>
      <color rgb="FF000000"/>
      <name val="Calibri"/>
      <family val="2"/>
    </font>
    <font>
      <b/>
      <sz val="8"/>
      <color rgb="FFFFFFFF"/>
      <name val="Calibri"/>
      <family val="2"/>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i/>
      <sz val="10"/>
      <color rgb="FF000000"/>
      <name val="Calibri"/>
      <family val="2"/>
    </font>
    <font>
      <i/>
      <sz val="10"/>
      <color theme="1"/>
      <name val="Calibri"/>
      <family val="2"/>
      <scheme val="minor"/>
    </font>
    <font>
      <sz val="10"/>
      <color theme="1"/>
      <name val="Calibri"/>
      <family val="2"/>
    </font>
    <font>
      <b/>
      <sz val="10"/>
      <color theme="1"/>
      <name val="Calibri"/>
      <family val="2"/>
    </font>
    <font>
      <b/>
      <sz val="10"/>
      <color theme="0"/>
      <name val="Calibri"/>
      <family val="2"/>
    </font>
    <font>
      <b/>
      <sz val="10"/>
      <name val="Calibri"/>
      <family val="2"/>
    </font>
    <font>
      <b/>
      <sz val="10"/>
      <color rgb="FFFF0000"/>
      <name val="Calibri"/>
      <family val="2"/>
    </font>
    <font>
      <sz val="11"/>
      <color rgb="FF1F497D"/>
      <name val="Calibri"/>
      <family val="2"/>
      <scheme val="minor"/>
    </font>
    <font>
      <b/>
      <sz val="11"/>
      <color rgb="FF1F497D"/>
      <name val="Calibri"/>
      <family val="2"/>
      <scheme val="minor"/>
    </font>
    <font>
      <b/>
      <sz val="12"/>
      <color theme="0"/>
      <name val="Calibri"/>
      <family val="2"/>
    </font>
    <font>
      <b/>
      <sz val="10"/>
      <color rgb="FFFF000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i/>
      <sz val="10"/>
      <color rgb="FFFFFFFF"/>
      <name val="Calibri"/>
      <family val="2"/>
    </font>
    <font>
      <b/>
      <sz val="10"/>
      <color rgb="FF000000"/>
      <name val="Calibri"/>
      <family val="2"/>
    </font>
    <font>
      <sz val="11"/>
      <color rgb="FFFF0000"/>
      <name val="Calibri"/>
      <family val="2"/>
      <scheme val="minor"/>
    </font>
    <font>
      <sz val="11"/>
      <color theme="0"/>
      <name val="Calibri"/>
      <family val="2"/>
      <scheme val="minor"/>
    </font>
    <font>
      <sz val="10"/>
      <color rgb="FFFF0000"/>
      <name val="Calibri"/>
      <family val="2"/>
    </font>
    <font>
      <strike/>
      <sz val="11"/>
      <color theme="1"/>
      <name val="Calibri"/>
      <family val="2"/>
      <scheme val="minor"/>
    </font>
    <font>
      <b/>
      <sz val="11"/>
      <name val="Calibri"/>
      <family val="2"/>
      <scheme val="minor"/>
    </font>
    <font>
      <b/>
      <sz val="11"/>
      <color rgb="FFFF0000"/>
      <name val="Calibri"/>
      <family val="2"/>
      <scheme val="minor"/>
    </font>
    <font>
      <b/>
      <sz val="11"/>
      <color rgb="FFFFFF00"/>
      <name val="Calibri"/>
      <family val="2"/>
      <scheme val="minor"/>
    </font>
    <font>
      <sz val="11"/>
      <name val="Calibri"/>
      <family val="2"/>
      <scheme val="minor"/>
    </font>
    <font>
      <sz val="11"/>
      <color rgb="FF000000"/>
      <name val="Calibri"/>
      <family val="2"/>
      <scheme val="minor"/>
    </font>
    <font>
      <b/>
      <sz val="8"/>
      <color theme="1"/>
      <name val="Calibri"/>
      <family val="2"/>
      <scheme val="minor"/>
    </font>
    <font>
      <sz val="10"/>
      <color theme="0"/>
      <name val="Calibri"/>
      <family val="2"/>
      <scheme val="minor"/>
    </font>
    <font>
      <b/>
      <sz val="10"/>
      <name val="Calibri"/>
      <family val="2"/>
      <scheme val="minor"/>
    </font>
    <font>
      <b/>
      <sz val="11"/>
      <color rgb="FF0000FF"/>
      <name val="Calibri"/>
      <family val="2"/>
    </font>
    <font>
      <sz val="11"/>
      <color rgb="FF0000FF"/>
      <name val="Calibri"/>
      <family val="2"/>
    </font>
    <font>
      <i/>
      <sz val="11"/>
      <color rgb="FF0000FF"/>
      <name val="Calibri"/>
      <family val="2"/>
    </font>
    <font>
      <i/>
      <sz val="11"/>
      <color theme="0" tint="-0.499984740745262"/>
      <name val="Calibri"/>
      <family val="2"/>
      <scheme val="minor"/>
    </font>
    <font>
      <i/>
      <sz val="11"/>
      <color theme="1"/>
      <name val="Calibri"/>
      <family val="2"/>
      <scheme val="minor"/>
    </font>
  </fonts>
  <fills count="43">
    <fill>
      <patternFill patternType="none"/>
    </fill>
    <fill>
      <patternFill patternType="gray125"/>
    </fill>
    <fill>
      <patternFill patternType="solid">
        <fgColor rgb="FFFFFF99"/>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C0504D"/>
        <bgColor indexed="64"/>
      </patternFill>
    </fill>
    <fill>
      <patternFill patternType="solid">
        <fgColor rgb="FFE6B8B7"/>
        <bgColor indexed="64"/>
      </patternFill>
    </fill>
    <fill>
      <patternFill patternType="solid">
        <fgColor rgb="FFC00000"/>
        <bgColor indexed="64"/>
      </patternFill>
    </fill>
    <fill>
      <patternFill patternType="solid">
        <fgColor theme="2"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4"/>
        <bgColor indexed="64"/>
      </patternFill>
    </fill>
    <fill>
      <patternFill patternType="solid">
        <fgColor theme="7" tint="0.39997558519241921"/>
        <bgColor indexed="64"/>
      </patternFill>
    </fill>
    <fill>
      <patternFill patternType="solid">
        <fgColor theme="7" tint="0.39997558519241921"/>
        <bgColor indexed="65"/>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499984740745262"/>
        <bgColor indexed="64"/>
      </patternFill>
    </fill>
    <fill>
      <patternFill patternType="solid">
        <fgColor theme="7" tint="-0.249977111117893"/>
        <bgColor indexed="64"/>
      </patternFill>
    </fill>
    <fill>
      <patternFill patternType="solid">
        <fgColor rgb="FFAC000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2"/>
        <bgColor rgb="FF000000"/>
      </patternFill>
    </fill>
    <fill>
      <patternFill patternType="solid">
        <fgColor rgb="FFC00000"/>
        <bgColor rgb="FF000000"/>
      </patternFill>
    </fill>
    <fill>
      <patternFill patternType="solid">
        <fgColor theme="6" tint="-0.249977111117893"/>
        <bgColor indexed="64"/>
      </patternFill>
    </fill>
    <fill>
      <patternFill patternType="solid">
        <fgColor rgb="FF00B050"/>
        <bgColor indexed="64"/>
      </patternFill>
    </fill>
    <fill>
      <patternFill patternType="solid">
        <fgColor rgb="FFDDEBF7"/>
        <bgColor rgb="FFDDEBF7"/>
      </patternFill>
    </fill>
  </fills>
  <borders count="8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bottom style="thin">
        <color rgb="FF000000"/>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1" tint="0.34998626667073579"/>
      </left>
      <right/>
      <top/>
      <bottom style="thin">
        <color theme="0" tint="-0.14996795556505021"/>
      </bottom>
      <diagonal/>
    </border>
    <border>
      <left style="thin">
        <color theme="1" tint="0.34998626667073579"/>
      </left>
      <right/>
      <top style="thin">
        <color theme="0" tint="-0.14996795556505021"/>
      </top>
      <bottom style="thin">
        <color theme="0" tint="-0.14996795556505021"/>
      </bottom>
      <diagonal/>
    </border>
    <border>
      <left style="thin">
        <color theme="1" tint="0.34998626667073579"/>
      </left>
      <right/>
      <top style="thin">
        <color theme="0" tint="-0.14996795556505021"/>
      </top>
      <bottom/>
      <diagonal/>
    </border>
    <border>
      <left/>
      <right style="mediumDashed">
        <color theme="0" tint="-0.24994659260841701"/>
      </right>
      <top/>
      <bottom/>
      <diagonal/>
    </border>
    <border>
      <left style="mediumDashed">
        <color theme="0" tint="-0.24994659260841701"/>
      </left>
      <right/>
      <top/>
      <bottom/>
      <diagonal/>
    </border>
    <border>
      <left style="mediumDashed">
        <color theme="0" tint="-0.24994659260841701"/>
      </left>
      <right style="thin">
        <color theme="0" tint="-0.14996795556505021"/>
      </right>
      <top/>
      <bottom style="thin">
        <color theme="0" tint="-0.14996795556505021"/>
      </bottom>
      <diagonal/>
    </border>
    <border>
      <left style="mediumDashed">
        <color theme="0" tint="-0.24994659260841701"/>
      </left>
      <right style="thin">
        <color theme="0" tint="-0.14996795556505021"/>
      </right>
      <top style="thin">
        <color theme="0" tint="-0.14996795556505021"/>
      </top>
      <bottom style="thin">
        <color theme="0" tint="-0.14996795556505021"/>
      </bottom>
      <diagonal/>
    </border>
    <border>
      <left style="mediumDashed">
        <color theme="0" tint="-0.2499465926084170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n">
        <color theme="2"/>
      </left>
      <right style="thin">
        <color them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medium">
        <color indexed="64"/>
      </left>
      <right/>
      <top style="thin">
        <color indexed="64"/>
      </top>
      <bottom/>
      <diagonal/>
    </border>
    <border>
      <left/>
      <right style="mediumDashed">
        <color theme="0" tint="-0.24994659260841701"/>
      </right>
      <top/>
      <bottom style="thin">
        <color theme="0" tint="-0.14996795556505021"/>
      </bottom>
      <diagonal/>
    </border>
    <border>
      <left/>
      <right style="mediumDashed">
        <color theme="0" tint="-0.24994659260841701"/>
      </right>
      <top style="thin">
        <color theme="0" tint="-0.14996795556505021"/>
      </top>
      <bottom style="thin">
        <color theme="0" tint="-0.14996795556505021"/>
      </bottom>
      <diagonal/>
    </border>
    <border>
      <left/>
      <right style="mediumDashed">
        <color theme="0" tint="-0.24994659260841701"/>
      </right>
      <top style="thin">
        <color theme="0" tint="-0.14996795556505021"/>
      </top>
      <bottom/>
      <diagonal/>
    </border>
    <border>
      <left style="mediumDashed">
        <color theme="0" tint="-0.24994659260841701"/>
      </left>
      <right/>
      <top/>
      <bottom style="thin">
        <color theme="0" tint="-0.14996795556505021"/>
      </bottom>
      <diagonal/>
    </border>
    <border>
      <left style="mediumDashed">
        <color theme="0" tint="-0.24994659260841701"/>
      </left>
      <right/>
      <top style="thin">
        <color theme="0" tint="-0.14996795556505021"/>
      </top>
      <bottom style="thin">
        <color theme="0" tint="-0.14996795556505021"/>
      </bottom>
      <diagonal/>
    </border>
    <border>
      <left style="mediumDashed">
        <color theme="0" tint="-0.24994659260841701"/>
      </left>
      <right/>
      <top style="thin">
        <color theme="0" tint="-0.14996795556505021"/>
      </top>
      <bottom/>
      <diagonal/>
    </border>
    <border>
      <left/>
      <right/>
      <top/>
      <bottom style="thin">
        <color rgb="FF000000"/>
      </bottom>
      <diagonal/>
    </border>
    <border>
      <left/>
      <right style="thin">
        <color auto="1"/>
      </right>
      <top/>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diagonal/>
    </border>
    <border>
      <left/>
      <right/>
      <top style="thin">
        <color indexed="64"/>
      </top>
      <bottom/>
      <diagonal/>
    </border>
    <border>
      <left/>
      <right style="thin">
        <color indexed="64"/>
      </right>
      <top style="thin">
        <color indexed="64"/>
      </top>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thin">
        <color theme="0" tint="-0.14996795556505021"/>
      </bottom>
      <diagonal/>
    </border>
    <border>
      <left style="thin">
        <color theme="0" tint="-0.14996795556505021"/>
      </left>
      <right style="medium">
        <color theme="0" tint="-0.499984740745262"/>
      </right>
      <top/>
      <bottom style="thin">
        <color theme="0" tint="-0.14996795556505021"/>
      </bottom>
      <diagonal/>
    </border>
    <border>
      <left style="medium">
        <color theme="0" tint="-0.499984740745262"/>
      </left>
      <right/>
      <top style="thin">
        <color theme="0" tint="-0.14996795556505021"/>
      </top>
      <bottom style="thin">
        <color theme="0" tint="-0.14996795556505021"/>
      </bottom>
      <diagonal/>
    </border>
    <border>
      <left style="thin">
        <color theme="0" tint="-0.14996795556505021"/>
      </left>
      <right style="medium">
        <color theme="0" tint="-0.499984740745262"/>
      </right>
      <top style="thin">
        <color theme="0" tint="-0.14996795556505021"/>
      </top>
      <bottom style="thin">
        <color theme="0" tint="-0.14996795556505021"/>
      </bottom>
      <diagonal/>
    </border>
    <border>
      <left style="medium">
        <color theme="0" tint="-0.499984740745262"/>
      </left>
      <right/>
      <top style="thin">
        <color theme="0" tint="-0.14996795556505021"/>
      </top>
      <bottom/>
      <diagonal/>
    </border>
    <border>
      <left style="thin">
        <color theme="0" tint="-0.14996795556505021"/>
      </left>
      <right style="medium">
        <color theme="0" tint="-0.499984740745262"/>
      </right>
      <top style="thin">
        <color theme="0" tint="-0.14996795556505021"/>
      </top>
      <bottom/>
      <diagonal/>
    </border>
    <border>
      <left style="medium">
        <color theme="0" tint="-0.499984740745262"/>
      </left>
      <right style="mediumDashed">
        <color theme="0" tint="-0.24994659260841701"/>
      </right>
      <top/>
      <bottom style="thin">
        <color theme="0" tint="-0.14996795556505021"/>
      </bottom>
      <diagonal/>
    </border>
    <border>
      <left style="medium">
        <color theme="0" tint="-0.499984740745262"/>
      </left>
      <right style="mediumDashed">
        <color theme="0" tint="-0.24994659260841701"/>
      </right>
      <top style="thin">
        <color theme="0" tint="-0.14996795556505021"/>
      </top>
      <bottom style="thin">
        <color theme="0" tint="-0.14996795556505021"/>
      </bottom>
      <diagonal/>
    </border>
    <border>
      <left style="medium">
        <color theme="0" tint="-0.499984740745262"/>
      </left>
      <right style="mediumDashed">
        <color theme="0" tint="-0.24994659260841701"/>
      </right>
      <top style="thin">
        <color theme="0" tint="-0.14996795556505021"/>
      </top>
      <bottom/>
      <diagonal/>
    </border>
    <border>
      <left/>
      <right style="medium">
        <color theme="0" tint="-0.499984740745262"/>
      </right>
      <top/>
      <bottom style="thin">
        <color theme="0" tint="-0.14996795556505021"/>
      </bottom>
      <diagonal/>
    </border>
    <border>
      <left/>
      <right style="medium">
        <color theme="0" tint="-0.499984740745262"/>
      </right>
      <top style="thin">
        <color theme="0" tint="-0.14996795556505021"/>
      </top>
      <bottom style="thin">
        <color theme="0" tint="-0.14996795556505021"/>
      </bottom>
      <diagonal/>
    </border>
    <border>
      <left/>
      <right style="medium">
        <color theme="0" tint="-0.499984740745262"/>
      </right>
      <top style="thin">
        <color theme="0" tint="-0.14996795556505021"/>
      </top>
      <bottom/>
      <diagonal/>
    </border>
  </borders>
  <cellStyleXfs count="6">
    <xf numFmtId="0" fontId="0" fillId="0" borderId="0"/>
    <xf numFmtId="44" fontId="12" fillId="0" borderId="0" applyFont="0" applyFill="0" applyBorder="0" applyAlignment="0" applyProtection="0"/>
    <xf numFmtId="0" fontId="9" fillId="0" borderId="2"/>
    <xf numFmtId="9" fontId="9" fillId="0" borderId="2" applyFont="0" applyFill="0" applyBorder="0" applyAlignment="0" applyProtection="0"/>
    <xf numFmtId="9" fontId="29" fillId="0" borderId="0" applyFont="0" applyFill="0" applyBorder="0" applyAlignment="0" applyProtection="0"/>
    <xf numFmtId="0" fontId="8" fillId="21" borderId="0" applyNumberFormat="0" applyBorder="0" applyAlignment="0" applyProtection="0"/>
  </cellStyleXfs>
  <cellXfs count="608">
    <xf numFmtId="0" fontId="0" fillId="0" borderId="0" xfId="0"/>
    <xf numFmtId="0" fontId="0" fillId="0" borderId="0" xfId="0" applyAlignment="1">
      <alignment horizontal="center"/>
    </xf>
    <xf numFmtId="0" fontId="14" fillId="3" borderId="0" xfId="0" applyFont="1" applyFill="1" applyAlignment="1">
      <alignment vertical="center" wrapText="1"/>
    </xf>
    <xf numFmtId="0" fontId="14" fillId="3" borderId="0" xfId="0" applyFont="1" applyFill="1" applyAlignment="1">
      <alignment horizontal="center" vertical="center" wrapText="1"/>
    </xf>
    <xf numFmtId="9" fontId="0" fillId="0" borderId="0" xfId="0" applyNumberFormat="1" applyAlignment="1">
      <alignment horizontal="center"/>
    </xf>
    <xf numFmtId="44" fontId="0" fillId="0" borderId="0" xfId="1" applyFont="1" applyAlignment="1"/>
    <xf numFmtId="44" fontId="0" fillId="0" borderId="0" xfId="1" applyFont="1" applyAlignment="1">
      <alignment horizontal="center"/>
    </xf>
    <xf numFmtId="0" fontId="9" fillId="2" borderId="2" xfId="2" applyFill="1"/>
    <xf numFmtId="0" fontId="15" fillId="2" borderId="2" xfId="2" applyFont="1" applyFill="1"/>
    <xf numFmtId="0" fontId="20" fillId="2" borderId="2" xfId="2" applyFont="1" applyFill="1"/>
    <xf numFmtId="0" fontId="16" fillId="2" borderId="2" xfId="2" applyFont="1" applyFill="1" applyAlignment="1">
      <alignment horizontal="center" vertical="center"/>
    </xf>
    <xf numFmtId="44" fontId="14" fillId="3" borderId="0" xfId="1" applyFont="1" applyFill="1" applyAlignment="1">
      <alignment horizontal="center" vertical="center" wrapText="1"/>
    </xf>
    <xf numFmtId="2" fontId="0" fillId="0" borderId="0" xfId="0" applyNumberFormat="1" applyAlignment="1">
      <alignment horizontal="center"/>
    </xf>
    <xf numFmtId="2" fontId="14" fillId="3" borderId="0" xfId="0" applyNumberFormat="1" applyFont="1" applyFill="1" applyAlignment="1">
      <alignment horizontal="center" vertical="center" wrapText="1"/>
    </xf>
    <xf numFmtId="14" fontId="17" fillId="2" borderId="3" xfId="2" applyNumberFormat="1" applyFont="1" applyFill="1" applyBorder="1" applyAlignment="1">
      <alignment horizontal="center"/>
    </xf>
    <xf numFmtId="1" fontId="17" fillId="2" borderId="3" xfId="2" applyNumberFormat="1" applyFont="1" applyFill="1" applyBorder="1" applyAlignment="1">
      <alignment horizontal="center" vertical="center"/>
    </xf>
    <xf numFmtId="1" fontId="15" fillId="2" borderId="3" xfId="2" applyNumberFormat="1" applyFont="1" applyFill="1" applyBorder="1" applyAlignment="1">
      <alignment horizontal="center"/>
    </xf>
    <xf numFmtId="166" fontId="15" fillId="2" borderId="3" xfId="2" applyNumberFormat="1" applyFont="1" applyFill="1" applyBorder="1" applyAlignment="1">
      <alignment horizontal="center"/>
    </xf>
    <xf numFmtId="165" fontId="20" fillId="2" borderId="3" xfId="2" applyNumberFormat="1" applyFont="1" applyFill="1" applyBorder="1" applyAlignment="1">
      <alignment horizontal="center"/>
    </xf>
    <xf numFmtId="0" fontId="19" fillId="2" borderId="2" xfId="2" applyFont="1" applyFill="1" applyAlignment="1">
      <alignment horizontal="center" vertical="center" wrapText="1"/>
    </xf>
    <xf numFmtId="0" fontId="22" fillId="2" borderId="2" xfId="2" applyFont="1" applyFill="1" applyAlignment="1">
      <alignment horizontal="center" vertical="center" wrapText="1"/>
    </xf>
    <xf numFmtId="0" fontId="22" fillId="2" borderId="4" xfId="2" applyFont="1" applyFill="1" applyBorder="1" applyAlignment="1">
      <alignment horizontal="center" vertical="center" wrapText="1"/>
    </xf>
    <xf numFmtId="0" fontId="0" fillId="5" borderId="0" xfId="0" applyFill="1"/>
    <xf numFmtId="0" fontId="14" fillId="7" borderId="0" xfId="0" applyFont="1" applyFill="1" applyAlignment="1">
      <alignment horizontal="center"/>
    </xf>
    <xf numFmtId="0" fontId="0" fillId="0" borderId="13" xfId="0" applyBorder="1"/>
    <xf numFmtId="0" fontId="0" fillId="0" borderId="14" xfId="0" applyBorder="1"/>
    <xf numFmtId="0" fontId="0" fillId="10" borderId="15" xfId="0" applyFill="1" applyBorder="1"/>
    <xf numFmtId="0" fontId="0" fillId="10" borderId="16" xfId="0" applyFill="1" applyBorder="1"/>
    <xf numFmtId="0" fontId="0" fillId="0" borderId="16" xfId="0" applyBorder="1"/>
    <xf numFmtId="0" fontId="0" fillId="0" borderId="15" xfId="0" applyBorder="1"/>
    <xf numFmtId="0" fontId="0" fillId="12" borderId="16" xfId="0" applyFill="1" applyBorder="1"/>
    <xf numFmtId="0" fontId="0" fillId="0" borderId="17" xfId="0" applyBorder="1"/>
    <xf numFmtId="0" fontId="0" fillId="0" borderId="18" xfId="0" applyBorder="1"/>
    <xf numFmtId="0" fontId="25" fillId="0" borderId="0" xfId="0" applyFont="1"/>
    <xf numFmtId="0" fontId="26" fillId="13" borderId="20" xfId="0" applyFont="1" applyFill="1" applyBorder="1" applyAlignment="1">
      <alignment horizontal="center" vertical="center" wrapText="1"/>
    </xf>
    <xf numFmtId="0" fontId="26" fillId="13" borderId="8" xfId="0" applyFont="1" applyFill="1" applyBorder="1" applyAlignment="1">
      <alignment horizontal="center" vertical="center" wrapText="1"/>
    </xf>
    <xf numFmtId="0" fontId="27" fillId="14" borderId="21" xfId="0" applyFont="1" applyFill="1" applyBorder="1" applyAlignment="1">
      <alignment horizontal="left" vertical="center" wrapText="1"/>
    </xf>
    <xf numFmtId="0" fontId="27" fillId="14" borderId="8" xfId="0" applyFont="1" applyFill="1" applyBorder="1" applyAlignment="1">
      <alignment horizontal="center" vertical="center" wrapText="1"/>
    </xf>
    <xf numFmtId="0" fontId="27" fillId="0" borderId="21" xfId="0" applyFont="1" applyBorder="1" applyAlignment="1">
      <alignment horizontal="left" vertical="center" wrapText="1"/>
    </xf>
    <xf numFmtId="0" fontId="27" fillId="0" borderId="8" xfId="0" applyFont="1" applyBorder="1" applyAlignment="1">
      <alignment horizontal="center" vertical="center" wrapText="1"/>
    </xf>
    <xf numFmtId="0" fontId="13" fillId="0" borderId="0" xfId="0" applyFont="1"/>
    <xf numFmtId="0" fontId="28" fillId="13" borderId="8" xfId="0" applyFont="1" applyFill="1" applyBorder="1" applyAlignment="1">
      <alignment horizontal="center" vertical="center" wrapText="1"/>
    </xf>
    <xf numFmtId="0" fontId="30" fillId="0" borderId="0" xfId="0" applyFont="1" applyAlignment="1">
      <alignment horizontal="left"/>
    </xf>
    <xf numFmtId="0" fontId="31" fillId="0" borderId="0" xfId="0" applyFont="1"/>
    <xf numFmtId="0" fontId="30" fillId="16" borderId="3" xfId="0" applyFont="1" applyFill="1" applyBorder="1" applyAlignment="1">
      <alignment vertical="center" wrapText="1"/>
    </xf>
    <xf numFmtId="0" fontId="32" fillId="15" borderId="24"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31" fillId="0" borderId="0" xfId="0" applyFont="1" applyAlignment="1">
      <alignment wrapText="1"/>
    </xf>
    <xf numFmtId="0" fontId="30" fillId="0" borderId="3" xfId="0" applyFont="1" applyBorder="1" applyAlignment="1">
      <alignment vertical="center" wrapText="1"/>
    </xf>
    <xf numFmtId="44" fontId="31" fillId="0" borderId="3" xfId="0" applyNumberFormat="1" applyFont="1" applyBorder="1" applyAlignment="1">
      <alignment horizontal="center" vertical="center"/>
    </xf>
    <xf numFmtId="44" fontId="31" fillId="0" borderId="0" xfId="0" applyNumberFormat="1" applyFont="1"/>
    <xf numFmtId="0" fontId="30" fillId="0" borderId="0" xfId="0" applyFont="1"/>
    <xf numFmtId="0" fontId="33" fillId="15" borderId="3" xfId="0" applyFont="1" applyFill="1" applyBorder="1" applyAlignment="1">
      <alignment horizontal="center" vertical="center" wrapText="1"/>
    </xf>
    <xf numFmtId="0" fontId="34" fillId="0" borderId="3" xfId="0" applyFont="1" applyBorder="1" applyAlignment="1">
      <alignment horizontal="center" vertical="center" wrapText="1"/>
    </xf>
    <xf numFmtId="44" fontId="35" fillId="0" borderId="3" xfId="0" applyNumberFormat="1" applyFont="1" applyBorder="1" applyAlignment="1">
      <alignment horizontal="center" vertical="center" wrapText="1"/>
    </xf>
    <xf numFmtId="0" fontId="31" fillId="0" borderId="0" xfId="0" applyFont="1" applyAlignment="1">
      <alignment horizontal="center" vertical="center" wrapText="1"/>
    </xf>
    <xf numFmtId="44" fontId="34" fillId="0" borderId="3" xfId="0" applyNumberFormat="1" applyFont="1" applyBorder="1" applyAlignment="1">
      <alignment horizontal="center" vertical="center" wrapText="1"/>
    </xf>
    <xf numFmtId="165" fontId="30" fillId="17" borderId="3" xfId="0" applyNumberFormat="1" applyFont="1" applyFill="1" applyBorder="1" applyAlignment="1">
      <alignment horizontal="right" vertical="center"/>
    </xf>
    <xf numFmtId="10" fontId="31" fillId="0" borderId="0" xfId="0" applyNumberFormat="1" applyFont="1"/>
    <xf numFmtId="165" fontId="31" fillId="0" borderId="0" xfId="0" applyNumberFormat="1" applyFont="1"/>
    <xf numFmtId="0" fontId="26" fillId="13" borderId="26" xfId="0" applyFont="1" applyFill="1" applyBorder="1" applyAlignment="1">
      <alignment horizontal="center" vertical="center" wrapText="1"/>
    </xf>
    <xf numFmtId="0" fontId="26" fillId="13" borderId="27" xfId="0" applyFont="1" applyFill="1" applyBorder="1" applyAlignment="1">
      <alignment horizontal="center" vertical="center" wrapText="1"/>
    </xf>
    <xf numFmtId="0" fontId="27" fillId="0" borderId="28" xfId="0" applyFont="1" applyBorder="1" applyAlignment="1">
      <alignment horizontal="center" vertical="center"/>
    </xf>
    <xf numFmtId="0" fontId="27" fillId="0" borderId="29" xfId="0" applyFont="1" applyBorder="1" applyAlignment="1">
      <alignment horizontal="center" vertical="center" wrapText="1"/>
    </xf>
    <xf numFmtId="0" fontId="27" fillId="0" borderId="29" xfId="0" applyFont="1" applyBorder="1" applyAlignment="1">
      <alignment horizontal="center" vertical="center"/>
    </xf>
    <xf numFmtId="44" fontId="27" fillId="0" borderId="29" xfId="0" applyNumberFormat="1" applyFont="1" applyBorder="1" applyAlignment="1">
      <alignment horizontal="right" vertical="center"/>
    </xf>
    <xf numFmtId="44" fontId="27" fillId="0" borderId="28" xfId="0" applyNumberFormat="1" applyFont="1" applyBorder="1" applyAlignment="1">
      <alignment horizontal="right" vertical="center" wrapText="1"/>
    </xf>
    <xf numFmtId="44" fontId="27" fillId="0" borderId="3" xfId="0" applyNumberFormat="1" applyFont="1" applyBorder="1" applyAlignment="1">
      <alignment horizontal="right" vertical="center" wrapText="1"/>
    </xf>
    <xf numFmtId="8" fontId="27" fillId="0" borderId="0" xfId="0" applyNumberFormat="1" applyFont="1" applyAlignment="1">
      <alignment horizontal="right" vertical="center" wrapText="1"/>
    </xf>
    <xf numFmtId="165" fontId="30" fillId="17" borderId="3" xfId="0" applyNumberFormat="1" applyFont="1" applyFill="1" applyBorder="1" applyAlignment="1">
      <alignment horizontal="center" vertical="center"/>
    </xf>
    <xf numFmtId="44" fontId="36" fillId="0" borderId="0" xfId="0" applyNumberFormat="1" applyFont="1" applyAlignment="1">
      <alignment horizontal="right" vertical="center" wrapText="1"/>
    </xf>
    <xf numFmtId="44" fontId="27" fillId="0" borderId="0" xfId="0" applyNumberFormat="1" applyFont="1" applyAlignment="1">
      <alignment horizontal="right" vertical="center" wrapText="1"/>
    </xf>
    <xf numFmtId="8" fontId="31" fillId="0" borderId="0" xfId="0" applyNumberFormat="1" applyFont="1"/>
    <xf numFmtId="44" fontId="37" fillId="0" borderId="0" xfId="0" applyNumberFormat="1" applyFont="1"/>
    <xf numFmtId="44" fontId="35" fillId="0" borderId="0" xfId="0" applyNumberFormat="1" applyFont="1" applyAlignment="1">
      <alignment horizontal="center" vertical="center" wrapText="1"/>
    </xf>
    <xf numFmtId="0" fontId="26" fillId="15" borderId="3" xfId="0" applyFont="1" applyFill="1" applyBorder="1" applyAlignment="1">
      <alignment horizontal="center" vertical="center" wrapText="1"/>
    </xf>
    <xf numFmtId="0" fontId="27" fillId="0" borderId="3" xfId="0" applyFont="1" applyBorder="1" applyAlignment="1">
      <alignment horizontal="left" vertical="center" wrapText="1"/>
    </xf>
    <xf numFmtId="165" fontId="38" fillId="0" borderId="3" xfId="0" applyNumberFormat="1" applyFont="1" applyBorder="1" applyAlignment="1">
      <alignment horizontal="right" vertical="center" wrapText="1"/>
    </xf>
    <xf numFmtId="10" fontId="38" fillId="0" borderId="3" xfId="0" applyNumberFormat="1" applyFont="1" applyBorder="1" applyAlignment="1">
      <alignment horizontal="center" vertical="center" wrapText="1"/>
    </xf>
    <xf numFmtId="8" fontId="38" fillId="0" borderId="3" xfId="0" applyNumberFormat="1" applyFont="1" applyBorder="1" applyAlignment="1">
      <alignment horizontal="right" vertical="center"/>
    </xf>
    <xf numFmtId="0" fontId="27" fillId="17" borderId="3" xfId="0" applyFont="1" applyFill="1" applyBorder="1" applyAlignment="1">
      <alignment horizontal="left" vertical="center"/>
    </xf>
    <xf numFmtId="165" fontId="39" fillId="17" borderId="3" xfId="0" applyNumberFormat="1" applyFont="1" applyFill="1" applyBorder="1" applyAlignment="1">
      <alignment horizontal="right" vertical="center" wrapText="1"/>
    </xf>
    <xf numFmtId="10" fontId="39" fillId="17" borderId="3" xfId="0" applyNumberFormat="1" applyFont="1" applyFill="1" applyBorder="1" applyAlignment="1">
      <alignment horizontal="center" vertical="center" wrapText="1"/>
    </xf>
    <xf numFmtId="8" fontId="39" fillId="17" borderId="3" xfId="0" applyNumberFormat="1" applyFont="1" applyFill="1" applyBorder="1" applyAlignment="1">
      <alignment horizontal="right" vertical="center"/>
    </xf>
    <xf numFmtId="8" fontId="38" fillId="18" borderId="3" xfId="0" applyNumberFormat="1" applyFont="1" applyFill="1" applyBorder="1" applyAlignment="1">
      <alignment horizontal="right" vertical="center"/>
    </xf>
    <xf numFmtId="0" fontId="31" fillId="18" borderId="3" xfId="0" applyFont="1" applyFill="1" applyBorder="1" applyAlignment="1">
      <alignment horizontal="right"/>
    </xf>
    <xf numFmtId="0" fontId="40" fillId="15" borderId="5" xfId="0" applyFont="1" applyFill="1" applyBorder="1" applyAlignment="1">
      <alignment horizontal="center" vertical="center"/>
    </xf>
    <xf numFmtId="0" fontId="40" fillId="15" borderId="5" xfId="0" applyFont="1" applyFill="1" applyBorder="1" applyAlignment="1">
      <alignment horizontal="center" vertical="center" wrapText="1"/>
    </xf>
    <xf numFmtId="44" fontId="38" fillId="0" borderId="3" xfId="0" applyNumberFormat="1" applyFont="1" applyBorder="1" applyAlignment="1">
      <alignment horizontal="right" vertical="center"/>
    </xf>
    <xf numFmtId="0" fontId="41" fillId="17" borderId="3" xfId="0" applyFont="1" applyFill="1" applyBorder="1" applyAlignment="1">
      <alignment horizontal="center" vertical="center"/>
    </xf>
    <xf numFmtId="44" fontId="39" fillId="17" borderId="3" xfId="0" applyNumberFormat="1" applyFont="1" applyFill="1" applyBorder="1" applyAlignment="1">
      <alignment horizontal="right" vertical="center"/>
    </xf>
    <xf numFmtId="44" fontId="42" fillId="17" borderId="3" xfId="0" applyNumberFormat="1" applyFont="1" applyFill="1" applyBorder="1" applyAlignment="1">
      <alignment horizontal="right" vertical="center"/>
    </xf>
    <xf numFmtId="0" fontId="43" fillId="0" borderId="0" xfId="0" applyFont="1" applyAlignment="1">
      <alignment wrapText="1"/>
    </xf>
    <xf numFmtId="0" fontId="44" fillId="0" borderId="3" xfId="0" applyFont="1" applyBorder="1" applyAlignment="1">
      <alignment horizontal="center" wrapText="1"/>
    </xf>
    <xf numFmtId="8" fontId="31" fillId="6" borderId="0" xfId="0" applyNumberFormat="1" applyFont="1" applyFill="1"/>
    <xf numFmtId="0" fontId="31" fillId="6" borderId="0" xfId="0" applyFont="1" applyFill="1" applyAlignment="1">
      <alignment horizontal="center"/>
    </xf>
    <xf numFmtId="0" fontId="46" fillId="0" borderId="0" xfId="0" applyFont="1"/>
    <xf numFmtId="0" fontId="31" fillId="0" borderId="0" xfId="0" quotePrefix="1" applyFont="1" applyAlignment="1">
      <alignment horizontal="center"/>
    </xf>
    <xf numFmtId="4" fontId="31" fillId="0" borderId="0" xfId="0" applyNumberFormat="1" applyFont="1"/>
    <xf numFmtId="44" fontId="31" fillId="0" borderId="0" xfId="1" applyFont="1"/>
    <xf numFmtId="9" fontId="31" fillId="0" borderId="0" xfId="4" applyFont="1"/>
    <xf numFmtId="44" fontId="0" fillId="0" borderId="0" xfId="0" applyNumberFormat="1"/>
    <xf numFmtId="0" fontId="14" fillId="19" borderId="0" xfId="0" applyFont="1" applyFill="1" applyAlignment="1">
      <alignment horizontal="center" vertical="center" wrapText="1"/>
    </xf>
    <xf numFmtId="44" fontId="14" fillId="19" borderId="0" xfId="1" applyFont="1" applyFill="1" applyAlignment="1">
      <alignment horizontal="center" vertical="center" wrapText="1"/>
    </xf>
    <xf numFmtId="44" fontId="30" fillId="17" borderId="3" xfId="0" applyNumberFormat="1" applyFont="1" applyFill="1" applyBorder="1" applyAlignment="1">
      <alignment horizontal="center" vertical="center"/>
    </xf>
    <xf numFmtId="0" fontId="14" fillId="7" borderId="2" xfId="0" applyFont="1" applyFill="1" applyBorder="1" applyAlignment="1">
      <alignment horizontal="center"/>
    </xf>
    <xf numFmtId="0" fontId="32" fillId="15" borderId="23" xfId="0" applyFont="1" applyFill="1" applyBorder="1" applyAlignment="1">
      <alignment horizontal="center" vertical="center"/>
    </xf>
    <xf numFmtId="0" fontId="0" fillId="0" borderId="30" xfId="0" applyBorder="1"/>
    <xf numFmtId="0" fontId="0" fillId="0" borderId="31" xfId="0" applyBorder="1"/>
    <xf numFmtId="0" fontId="0" fillId="11" borderId="15" xfId="0" applyFill="1" applyBorder="1"/>
    <xf numFmtId="0" fontId="0" fillId="0" borderId="32" xfId="0" applyBorder="1"/>
    <xf numFmtId="0" fontId="0" fillId="12" borderId="15" xfId="0" applyFill="1" applyBorder="1"/>
    <xf numFmtId="0" fontId="0" fillId="0" borderId="2" xfId="0" applyBorder="1"/>
    <xf numFmtId="0" fontId="0" fillId="0" borderId="35" xfId="0" applyBorder="1"/>
    <xf numFmtId="0" fontId="0" fillId="0" borderId="36" xfId="0" applyBorder="1"/>
    <xf numFmtId="0" fontId="0" fillId="0" borderId="33" xfId="0" applyBorder="1"/>
    <xf numFmtId="0" fontId="0" fillId="0" borderId="37" xfId="0" applyBorder="1"/>
    <xf numFmtId="0" fontId="0" fillId="0" borderId="38" xfId="0" applyBorder="1"/>
    <xf numFmtId="0" fontId="0" fillId="0" borderId="39" xfId="0" applyBorder="1"/>
    <xf numFmtId="0" fontId="0" fillId="10" borderId="39" xfId="0" applyFill="1" applyBorder="1"/>
    <xf numFmtId="0" fontId="0" fillId="11" borderId="39" xfId="0" applyFill="1" applyBorder="1"/>
    <xf numFmtId="0" fontId="0" fillId="3" borderId="39" xfId="0" applyFill="1" applyBorder="1"/>
    <xf numFmtId="0" fontId="0" fillId="12" borderId="39" xfId="0" applyFill="1" applyBorder="1"/>
    <xf numFmtId="0" fontId="0" fillId="0" borderId="40" xfId="0" applyBorder="1"/>
    <xf numFmtId="44" fontId="47" fillId="0" borderId="3" xfId="0" applyNumberFormat="1" applyFont="1" applyBorder="1" applyAlignment="1">
      <alignment horizontal="center" vertical="center"/>
    </xf>
    <xf numFmtId="0" fontId="14" fillId="15" borderId="5" xfId="0" applyFont="1" applyFill="1" applyBorder="1" applyAlignment="1">
      <alignment horizontal="center" vertical="center"/>
    </xf>
    <xf numFmtId="0" fontId="14" fillId="15" borderId="23" xfId="0" applyFont="1" applyFill="1" applyBorder="1" applyAlignment="1">
      <alignment horizontal="center" vertical="center"/>
    </xf>
    <xf numFmtId="0" fontId="14" fillId="15" borderId="6" xfId="0" applyFont="1" applyFill="1" applyBorder="1" applyAlignment="1">
      <alignment horizontal="center" vertical="center"/>
    </xf>
    <xf numFmtId="0" fontId="49" fillId="15" borderId="3" xfId="0" applyFont="1" applyFill="1" applyBorder="1" applyAlignment="1">
      <alignment horizontal="center" vertical="center" wrapText="1"/>
    </xf>
    <xf numFmtId="0" fontId="49" fillId="15" borderId="6" xfId="0" applyFont="1" applyFill="1" applyBorder="1" applyAlignment="1">
      <alignment horizontal="center" vertical="center" wrapText="1"/>
    </xf>
    <xf numFmtId="44" fontId="47" fillId="0" borderId="6" xfId="0" applyNumberFormat="1" applyFont="1" applyBorder="1" applyAlignment="1">
      <alignment horizontal="center" vertical="center"/>
    </xf>
    <xf numFmtId="0" fontId="14" fillId="15" borderId="41" xfId="0" applyFont="1" applyFill="1" applyBorder="1" applyAlignment="1">
      <alignment horizontal="center" vertical="center"/>
    </xf>
    <xf numFmtId="0" fontId="14" fillId="15" borderId="42" xfId="0" applyFont="1" applyFill="1" applyBorder="1" applyAlignment="1">
      <alignment horizontal="center" vertical="center"/>
    </xf>
    <xf numFmtId="0" fontId="49" fillId="15" borderId="43" xfId="0" applyFont="1" applyFill="1" applyBorder="1" applyAlignment="1">
      <alignment horizontal="center" vertical="center" wrapText="1"/>
    </xf>
    <xf numFmtId="0" fontId="49" fillId="15" borderId="44" xfId="0" applyFont="1" applyFill="1" applyBorder="1" applyAlignment="1">
      <alignment horizontal="center" vertical="center" wrapText="1"/>
    </xf>
    <xf numFmtId="44" fontId="47" fillId="0" borderId="43" xfId="0" applyNumberFormat="1" applyFont="1" applyBorder="1" applyAlignment="1">
      <alignment horizontal="center" vertical="center"/>
    </xf>
    <xf numFmtId="44" fontId="47" fillId="0" borderId="44" xfId="0" applyNumberFormat="1" applyFont="1" applyBorder="1" applyAlignment="1">
      <alignment horizontal="center" vertical="center"/>
    </xf>
    <xf numFmtId="0" fontId="32" fillId="15" borderId="41" xfId="0" applyFont="1" applyFill="1" applyBorder="1" applyAlignment="1">
      <alignment horizontal="center" vertical="center"/>
    </xf>
    <xf numFmtId="0" fontId="32" fillId="15" borderId="42" xfId="0" applyFont="1" applyFill="1" applyBorder="1" applyAlignment="1">
      <alignment horizontal="center" vertical="center"/>
    </xf>
    <xf numFmtId="0" fontId="31" fillId="0" borderId="2" xfId="0" applyFont="1" applyBorder="1"/>
    <xf numFmtId="0" fontId="48" fillId="16" borderId="5" xfId="0" applyFont="1" applyFill="1" applyBorder="1" applyAlignment="1">
      <alignment vertical="center" wrapText="1"/>
    </xf>
    <xf numFmtId="0" fontId="48" fillId="0" borderId="5" xfId="0" applyFont="1" applyBorder="1" applyAlignment="1">
      <alignment vertical="center" wrapText="1"/>
    </xf>
    <xf numFmtId="0" fontId="49" fillId="15" borderId="45" xfId="0" applyFont="1" applyFill="1" applyBorder="1" applyAlignment="1">
      <alignment horizontal="center" vertical="center" wrapText="1"/>
    </xf>
    <xf numFmtId="0" fontId="47" fillId="0" borderId="5" xfId="0" applyFont="1" applyBorder="1" applyAlignment="1">
      <alignment vertical="center" wrapText="1"/>
    </xf>
    <xf numFmtId="44" fontId="48" fillId="0" borderId="43" xfId="0" applyNumberFormat="1" applyFont="1" applyBorder="1" applyAlignment="1">
      <alignment horizontal="center" vertical="center"/>
    </xf>
    <xf numFmtId="44" fontId="48" fillId="0" borderId="3" xfId="0" applyNumberFormat="1" applyFont="1" applyBorder="1" applyAlignment="1">
      <alignment horizontal="center" vertical="center"/>
    </xf>
    <xf numFmtId="44" fontId="48" fillId="0" borderId="44" xfId="0" applyNumberFormat="1" applyFont="1" applyBorder="1" applyAlignment="1">
      <alignment horizontal="center" vertical="center"/>
    </xf>
    <xf numFmtId="44" fontId="48" fillId="0" borderId="6" xfId="0" applyNumberFormat="1" applyFont="1" applyBorder="1" applyAlignment="1">
      <alignment horizontal="center" vertical="center"/>
    </xf>
    <xf numFmtId="44" fontId="30" fillId="0" borderId="0" xfId="0" applyNumberFormat="1" applyFont="1"/>
    <xf numFmtId="8" fontId="30" fillId="0" borderId="0" xfId="0" applyNumberFormat="1" applyFont="1"/>
    <xf numFmtId="44" fontId="30" fillId="0" borderId="0" xfId="1" applyFont="1"/>
    <xf numFmtId="0" fontId="32" fillId="15" borderId="0" xfId="0" applyFont="1" applyFill="1"/>
    <xf numFmtId="44" fontId="32" fillId="15" borderId="0" xfId="0" applyNumberFormat="1" applyFont="1" applyFill="1"/>
    <xf numFmtId="8" fontId="32" fillId="15" borderId="0" xfId="0" applyNumberFormat="1" applyFont="1" applyFill="1"/>
    <xf numFmtId="0" fontId="27" fillId="14" borderId="8" xfId="0" applyFont="1" applyFill="1" applyBorder="1" applyAlignment="1">
      <alignment horizontal="left" vertical="center" wrapText="1"/>
    </xf>
    <xf numFmtId="0" fontId="27" fillId="0" borderId="8" xfId="0" applyFont="1" applyBorder="1" applyAlignment="1">
      <alignment horizontal="left" vertical="center" wrapText="1"/>
    </xf>
    <xf numFmtId="165" fontId="27" fillId="0" borderId="2" xfId="1" applyNumberFormat="1" applyFont="1" applyBorder="1" applyAlignment="1">
      <alignment horizontal="right" vertical="center" wrapText="1"/>
    </xf>
    <xf numFmtId="44" fontId="0" fillId="0" borderId="0" xfId="1" applyFont="1"/>
    <xf numFmtId="44" fontId="30" fillId="17" borderId="3" xfId="1" applyFont="1" applyFill="1" applyBorder="1" applyAlignment="1">
      <alignment horizontal="right" vertical="center"/>
    </xf>
    <xf numFmtId="0" fontId="47" fillId="0" borderId="0" xfId="0" applyFont="1"/>
    <xf numFmtId="44" fontId="47" fillId="0" borderId="0" xfId="0" applyNumberFormat="1" applyFont="1"/>
    <xf numFmtId="0" fontId="0" fillId="20" borderId="36" xfId="0" applyFill="1" applyBorder="1"/>
    <xf numFmtId="0" fontId="0" fillId="20" borderId="39" xfId="0" applyFill="1" applyBorder="1"/>
    <xf numFmtId="0" fontId="0" fillId="20" borderId="15" xfId="0" applyFill="1" applyBorder="1"/>
    <xf numFmtId="0" fontId="51" fillId="0" borderId="47" xfId="0" applyFont="1" applyBorder="1" applyAlignment="1">
      <alignment horizontal="right" vertical="center" wrapText="1"/>
    </xf>
    <xf numFmtId="44" fontId="11" fillId="0" borderId="7" xfId="1" applyFont="1" applyBorder="1" applyAlignment="1">
      <alignment horizontal="center" vertical="center" wrapText="1"/>
    </xf>
    <xf numFmtId="44" fontId="21" fillId="0" borderId="11" xfId="1" applyFont="1" applyBorder="1" applyAlignment="1">
      <alignment horizontal="center" vertical="center" wrapText="1"/>
    </xf>
    <xf numFmtId="44" fontId="11" fillId="0" borderId="8" xfId="1" applyFont="1" applyBorder="1" applyAlignment="1">
      <alignment horizontal="center" vertical="center" wrapText="1"/>
    </xf>
    <xf numFmtId="44" fontId="21" fillId="0" borderId="8" xfId="1" applyFont="1" applyBorder="1" applyAlignment="1">
      <alignment horizontal="center" vertical="center" wrapText="1"/>
    </xf>
    <xf numFmtId="0" fontId="13" fillId="22" borderId="3" xfId="0" applyFont="1" applyFill="1" applyBorder="1" applyAlignment="1">
      <alignment horizontal="center" vertical="center" wrapText="1"/>
    </xf>
    <xf numFmtId="0" fontId="54" fillId="0" borderId="8" xfId="0" applyFont="1" applyBorder="1" applyAlignment="1">
      <alignment horizontal="center" vertical="center" wrapText="1"/>
    </xf>
    <xf numFmtId="0" fontId="8" fillId="0" borderId="0" xfId="0" applyFont="1"/>
    <xf numFmtId="0" fontId="24" fillId="23" borderId="0" xfId="0" applyFont="1" applyFill="1" applyAlignment="1" applyProtection="1">
      <alignment horizontal="left" vertical="center"/>
      <protection hidden="1"/>
    </xf>
    <xf numFmtId="0" fontId="14" fillId="23" borderId="0" xfId="0" applyFont="1" applyFill="1"/>
    <xf numFmtId="0" fontId="56" fillId="0" borderId="3" xfId="0" applyFont="1" applyBorder="1" applyAlignment="1" applyProtection="1">
      <alignment vertical="justify"/>
      <protection hidden="1"/>
    </xf>
    <xf numFmtId="165" fontId="13" fillId="0" borderId="0" xfId="0" applyNumberFormat="1" applyFont="1" applyAlignment="1">
      <alignment vertical="center"/>
    </xf>
    <xf numFmtId="0" fontId="13" fillId="0" borderId="3" xfId="0" applyFont="1" applyBorder="1" applyAlignment="1">
      <alignment vertical="justify"/>
    </xf>
    <xf numFmtId="14" fontId="0" fillId="0" borderId="0" xfId="0" applyNumberFormat="1"/>
    <xf numFmtId="165" fontId="0" fillId="0" borderId="0" xfId="0" applyNumberFormat="1"/>
    <xf numFmtId="0" fontId="8" fillId="0" borderId="0" xfId="0" applyFont="1" applyProtection="1">
      <protection locked="0"/>
    </xf>
    <xf numFmtId="0" fontId="53" fillId="26" borderId="0" xfId="0" applyFont="1" applyFill="1" applyAlignment="1">
      <alignment horizontal="center"/>
    </xf>
    <xf numFmtId="0" fontId="53" fillId="27" borderId="0" xfId="0" applyFont="1" applyFill="1" applyAlignment="1">
      <alignment horizontal="center"/>
    </xf>
    <xf numFmtId="0" fontId="14" fillId="28" borderId="0" xfId="0" applyFont="1" applyFill="1" applyAlignment="1">
      <alignment horizontal="center" vertical="center" wrapText="1"/>
    </xf>
    <xf numFmtId="0" fontId="14" fillId="29" borderId="0" xfId="0" applyFont="1" applyFill="1" applyAlignment="1">
      <alignment horizontal="center" vertical="center" wrapText="1"/>
    </xf>
    <xf numFmtId="0" fontId="14" fillId="30" borderId="0" xfId="0" applyFont="1" applyFill="1" applyAlignment="1">
      <alignment horizontal="center" vertical="center" wrapText="1"/>
    </xf>
    <xf numFmtId="0" fontId="14" fillId="31" borderId="0" xfId="0" applyFont="1" applyFill="1" applyAlignment="1">
      <alignment horizontal="center" vertical="center" wrapText="1"/>
    </xf>
    <xf numFmtId="0" fontId="56" fillId="18" borderId="0" xfId="0" applyFont="1" applyFill="1" applyAlignment="1">
      <alignment horizontal="center" vertical="center" wrapText="1"/>
    </xf>
    <xf numFmtId="0" fontId="0" fillId="0" borderId="0" xfId="0" applyAlignment="1" applyProtection="1">
      <alignment horizontal="right" vertical="center"/>
      <protection locked="0"/>
    </xf>
    <xf numFmtId="4" fontId="13" fillId="0" borderId="3" xfId="0" applyNumberFormat="1" applyFont="1" applyBorder="1" applyAlignment="1">
      <alignment horizontal="left" wrapText="1"/>
    </xf>
    <xf numFmtId="4" fontId="13" fillId="0" borderId="0" xfId="0" applyNumberFormat="1" applyFont="1" applyAlignment="1">
      <alignment horizontal="left" wrapText="1"/>
    </xf>
    <xf numFmtId="0" fontId="8" fillId="0" borderId="0" xfId="0" applyFont="1" applyAlignment="1" applyProtection="1">
      <alignment wrapText="1"/>
      <protection locked="0"/>
    </xf>
    <xf numFmtId="4" fontId="14" fillId="32" borderId="0" xfId="0" applyNumberFormat="1" applyFont="1" applyFill="1" applyAlignment="1">
      <alignment horizontal="left" wrapText="1"/>
    </xf>
    <xf numFmtId="165" fontId="14" fillId="32" borderId="0" xfId="0" applyNumberFormat="1" applyFont="1" applyFill="1"/>
    <xf numFmtId="4" fontId="14" fillId="32" borderId="0" xfId="0" applyNumberFormat="1" applyFont="1" applyFill="1" applyAlignment="1">
      <alignment horizontal="right" wrapText="1"/>
    </xf>
    <xf numFmtId="165" fontId="56" fillId="25" borderId="0" xfId="0" applyNumberFormat="1" applyFont="1" applyFill="1"/>
    <xf numFmtId="4" fontId="0" fillId="25" borderId="0" xfId="0" applyNumberFormat="1" applyFill="1"/>
    <xf numFmtId="0" fontId="0" fillId="25" borderId="0" xfId="0" applyFill="1"/>
    <xf numFmtId="4" fontId="14" fillId="32" borderId="0" xfId="0" applyNumberFormat="1" applyFont="1" applyFill="1"/>
    <xf numFmtId="165" fontId="56" fillId="33" borderId="0" xfId="0" applyNumberFormat="1" applyFont="1" applyFill="1"/>
    <xf numFmtId="14" fontId="13" fillId="0" borderId="0" xfId="0" applyNumberFormat="1" applyFont="1"/>
    <xf numFmtId="0" fontId="57" fillId="0" borderId="0" xfId="0" applyFont="1" applyAlignment="1">
      <alignment vertical="center"/>
    </xf>
    <xf numFmtId="0" fontId="14" fillId="29" borderId="3" xfId="0" applyFont="1" applyFill="1" applyBorder="1" applyAlignment="1">
      <alignment horizontal="center" vertical="center" wrapText="1"/>
    </xf>
    <xf numFmtId="0" fontId="58" fillId="28" borderId="0" xfId="0" applyFont="1" applyFill="1" applyAlignment="1">
      <alignment horizontal="center" vertical="center" wrapText="1"/>
    </xf>
    <xf numFmtId="0" fontId="58" fillId="29" borderId="0" xfId="0" applyFont="1" applyFill="1" applyAlignment="1">
      <alignment horizontal="center" vertical="center" wrapText="1"/>
    </xf>
    <xf numFmtId="4" fontId="14" fillId="28" borderId="0" xfId="0" applyNumberFormat="1" applyFont="1" applyFill="1" applyAlignment="1">
      <alignment horizontal="center" vertical="center" wrapText="1"/>
    </xf>
    <xf numFmtId="0" fontId="13" fillId="35" borderId="0" xfId="0" applyFont="1" applyFill="1"/>
    <xf numFmtId="0" fontId="0" fillId="35" borderId="0" xfId="0" applyFill="1"/>
    <xf numFmtId="4" fontId="59" fillId="25" borderId="0" xfId="0" applyNumberFormat="1" applyFont="1" applyFill="1" applyAlignment="1">
      <alignment horizontal="right" vertical="center"/>
    </xf>
    <xf numFmtId="165" fontId="59" fillId="36" borderId="0" xfId="0" applyNumberFormat="1" applyFont="1" applyFill="1" applyAlignment="1">
      <alignment horizontal="right" vertical="center"/>
    </xf>
    <xf numFmtId="4" fontId="59" fillId="25" borderId="0" xfId="0" applyNumberFormat="1" applyFont="1" applyFill="1" applyAlignment="1">
      <alignment horizontal="right"/>
    </xf>
    <xf numFmtId="169" fontId="59" fillId="25" borderId="0" xfId="0" applyNumberFormat="1" applyFont="1" applyFill="1" applyAlignment="1">
      <alignment horizontal="right" vertical="center"/>
    </xf>
    <xf numFmtId="4" fontId="59" fillId="17" borderId="0" xfId="0" applyNumberFormat="1" applyFont="1" applyFill="1" applyAlignment="1">
      <alignment horizontal="right" vertical="center"/>
    </xf>
    <xf numFmtId="14" fontId="59" fillId="0" borderId="48" xfId="0" applyNumberFormat="1" applyFont="1" applyBorder="1" applyAlignment="1">
      <alignment horizontal="center"/>
    </xf>
    <xf numFmtId="44" fontId="59" fillId="36" borderId="49" xfId="1" applyFont="1" applyFill="1" applyBorder="1" applyAlignment="1">
      <alignment horizontal="center" vertical="center"/>
    </xf>
    <xf numFmtId="0" fontId="13" fillId="18" borderId="0" xfId="0" applyFont="1" applyFill="1"/>
    <xf numFmtId="0" fontId="13" fillId="25" borderId="0" xfId="0" applyFont="1" applyFill="1"/>
    <xf numFmtId="2" fontId="53" fillId="31" borderId="0" xfId="0" applyNumberFormat="1" applyFont="1" applyFill="1" applyAlignment="1">
      <alignment horizontal="left"/>
    </xf>
    <xf numFmtId="4" fontId="53" fillId="31" borderId="0" xfId="0" applyNumberFormat="1" applyFont="1" applyFill="1" applyAlignment="1">
      <alignment horizontal="right" vertical="center"/>
    </xf>
    <xf numFmtId="4" fontId="53" fillId="31" borderId="48" xfId="0" applyNumberFormat="1" applyFont="1" applyFill="1" applyBorder="1" applyAlignment="1">
      <alignment horizontal="right"/>
    </xf>
    <xf numFmtId="2" fontId="0" fillId="18" borderId="0" xfId="0" applyNumberFormat="1" applyFill="1"/>
    <xf numFmtId="0" fontId="60" fillId="18" borderId="0" xfId="0" applyFont="1" applyFill="1"/>
    <xf numFmtId="14" fontId="59" fillId="0" borderId="0" xfId="0" applyNumberFormat="1" applyFont="1" applyAlignment="1">
      <alignment horizontal="center"/>
    </xf>
    <xf numFmtId="4" fontId="53" fillId="27" borderId="0" xfId="0" applyNumberFormat="1" applyFont="1" applyFill="1" applyAlignment="1">
      <alignment horizontal="right" vertical="center"/>
    </xf>
    <xf numFmtId="4" fontId="13" fillId="0" borderId="0" xfId="0" applyNumberFormat="1" applyFont="1"/>
    <xf numFmtId="0" fontId="23" fillId="29" borderId="0" xfId="0" applyFont="1" applyFill="1" applyAlignment="1">
      <alignment horizontal="center" vertical="center" wrapText="1"/>
    </xf>
    <xf numFmtId="0" fontId="0" fillId="17" borderId="50" xfId="0" applyFill="1" applyBorder="1" applyAlignment="1">
      <alignment wrapText="1"/>
    </xf>
    <xf numFmtId="0" fontId="0" fillId="17" borderId="0" xfId="0" applyFill="1" applyAlignment="1">
      <alignment wrapText="1"/>
    </xf>
    <xf numFmtId="0" fontId="53" fillId="32" borderId="0" xfId="0" applyFont="1" applyFill="1" applyAlignment="1">
      <alignment wrapText="1"/>
    </xf>
    <xf numFmtId="4" fontId="14" fillId="32" borderId="0" xfId="0" applyNumberFormat="1" applyFont="1" applyFill="1" applyAlignment="1">
      <alignment horizontal="right" vertical="center"/>
    </xf>
    <xf numFmtId="4" fontId="14" fillId="32" borderId="0" xfId="0" applyNumberFormat="1" applyFont="1" applyFill="1" applyAlignment="1">
      <alignment horizontal="center" vertical="center"/>
    </xf>
    <xf numFmtId="4" fontId="14" fillId="32" borderId="0" xfId="0" applyNumberFormat="1" applyFont="1" applyFill="1" applyAlignment="1">
      <alignment horizontal="left" vertical="center"/>
    </xf>
    <xf numFmtId="0" fontId="0" fillId="0" borderId="50" xfId="0" applyBorder="1" applyAlignment="1">
      <alignment horizontal="center" vertical="center"/>
    </xf>
    <xf numFmtId="0" fontId="0" fillId="0" borderId="50" xfId="0" applyBorder="1" applyAlignment="1">
      <alignment horizontal="left"/>
    </xf>
    <xf numFmtId="0" fontId="0" fillId="0" borderId="51" xfId="0" applyBorder="1" applyAlignment="1">
      <alignment wrapText="1"/>
    </xf>
    <xf numFmtId="0" fontId="0" fillId="0" borderId="0" xfId="0" applyAlignment="1">
      <alignment wrapText="1"/>
    </xf>
    <xf numFmtId="10" fontId="59" fillId="0" borderId="0" xfId="4" applyNumberFormat="1" applyFont="1" applyAlignment="1">
      <alignment horizontal="center" vertical="center"/>
    </xf>
    <xf numFmtId="4" fontId="59" fillId="0" borderId="0" xfId="0" applyNumberFormat="1" applyFont="1" applyAlignment="1">
      <alignment horizontal="center" vertical="center"/>
    </xf>
    <xf numFmtId="165" fontId="59" fillId="0" borderId="0" xfId="0" applyNumberFormat="1" applyFont="1" applyAlignment="1">
      <alignment horizontal="right" vertical="center"/>
    </xf>
    <xf numFmtId="44" fontId="59" fillId="0" borderId="49" xfId="1" applyFont="1" applyFill="1" applyBorder="1" applyAlignment="1">
      <alignment horizontal="center" vertical="center"/>
    </xf>
    <xf numFmtId="44" fontId="59" fillId="0" borderId="2" xfId="1" applyFont="1" applyFill="1" applyBorder="1" applyAlignment="1">
      <alignment horizontal="center" vertical="center"/>
    </xf>
    <xf numFmtId="165" fontId="13" fillId="0" borderId="0" xfId="0" applyNumberFormat="1" applyFont="1"/>
    <xf numFmtId="2" fontId="61" fillId="0" borderId="0" xfId="0" applyNumberFormat="1" applyFont="1" applyAlignment="1">
      <alignment horizontal="left" indent="3"/>
    </xf>
    <xf numFmtId="0" fontId="0" fillId="0" borderId="0" xfId="0" applyProtection="1">
      <protection locked="0"/>
    </xf>
    <xf numFmtId="44" fontId="52" fillId="0" borderId="0" xfId="1" applyFont="1" applyFill="1"/>
    <xf numFmtId="0" fontId="0" fillId="6" borderId="0" xfId="0" applyFill="1"/>
    <xf numFmtId="0" fontId="32" fillId="28" borderId="0" xfId="0" applyFont="1" applyFill="1" applyAlignment="1">
      <alignment horizontal="center" vertical="center" wrapText="1"/>
    </xf>
    <xf numFmtId="0" fontId="27" fillId="33" borderId="3" xfId="0" applyFont="1" applyFill="1" applyBorder="1" applyAlignment="1">
      <alignment vertical="center"/>
    </xf>
    <xf numFmtId="10" fontId="35" fillId="38" borderId="3" xfId="0" applyNumberFormat="1" applyFont="1" applyFill="1" applyBorder="1"/>
    <xf numFmtId="2" fontId="31" fillId="33" borderId="3" xfId="0" applyNumberFormat="1" applyFont="1" applyFill="1" applyBorder="1"/>
    <xf numFmtId="0" fontId="63" fillId="9" borderId="3" xfId="0" applyFont="1" applyFill="1" applyBorder="1" applyAlignment="1">
      <alignment horizontal="left"/>
    </xf>
    <xf numFmtId="2" fontId="63" fillId="9" borderId="3" xfId="0" applyNumberFormat="1" applyFont="1" applyFill="1" applyBorder="1" applyAlignment="1">
      <alignment horizontal="right"/>
    </xf>
    <xf numFmtId="0" fontId="33" fillId="39" borderId="3" xfId="0" applyFont="1" applyFill="1" applyBorder="1" applyAlignment="1">
      <alignment horizontal="center" vertical="center" wrapText="1"/>
    </xf>
    <xf numFmtId="2" fontId="30" fillId="0" borderId="3" xfId="0" applyNumberFormat="1" applyFont="1" applyBorder="1"/>
    <xf numFmtId="4" fontId="31" fillId="20" borderId="3" xfId="0" applyNumberFormat="1" applyFont="1" applyFill="1" applyBorder="1"/>
    <xf numFmtId="2" fontId="31" fillId="24" borderId="3" xfId="5" applyNumberFormat="1" applyFont="1" applyFill="1" applyBorder="1"/>
    <xf numFmtId="0" fontId="31" fillId="25" borderId="0" xfId="0" applyFont="1" applyFill="1"/>
    <xf numFmtId="0" fontId="27" fillId="25" borderId="0" xfId="0" applyFont="1" applyFill="1" applyAlignment="1">
      <alignment horizontal="left" vertical="center"/>
    </xf>
    <xf numFmtId="2" fontId="30" fillId="25" borderId="0" xfId="0" applyNumberFormat="1" applyFont="1" applyFill="1"/>
    <xf numFmtId="4" fontId="31" fillId="25" borderId="0" xfId="0" applyNumberFormat="1" applyFont="1" applyFill="1"/>
    <xf numFmtId="2" fontId="30" fillId="0" borderId="0" xfId="0" applyNumberFormat="1" applyFont="1"/>
    <xf numFmtId="44" fontId="30" fillId="0" borderId="2" xfId="1" applyFont="1" applyBorder="1"/>
    <xf numFmtId="0" fontId="31" fillId="0" borderId="0" xfId="0" applyFont="1" applyAlignment="1">
      <alignment horizontal="left" vertical="center"/>
    </xf>
    <xf numFmtId="2" fontId="31" fillId="0" borderId="0" xfId="0" applyNumberFormat="1" applyFont="1" applyAlignment="1">
      <alignment horizontal="center" vertical="center"/>
    </xf>
    <xf numFmtId="0" fontId="21" fillId="0" borderId="2" xfId="0" applyFont="1" applyBorder="1" applyAlignment="1">
      <alignment horizontal="center" vertical="center" wrapText="1"/>
    </xf>
    <xf numFmtId="0" fontId="13" fillId="5" borderId="0" xfId="0" applyFont="1" applyFill="1"/>
    <xf numFmtId="2" fontId="53" fillId="40" borderId="0" xfId="0" applyNumberFormat="1" applyFont="1" applyFill="1" applyAlignment="1">
      <alignment horizontal="left"/>
    </xf>
    <xf numFmtId="4" fontId="53" fillId="40" borderId="0" xfId="0" applyNumberFormat="1" applyFont="1" applyFill="1" applyAlignment="1">
      <alignment horizontal="right" vertical="center"/>
    </xf>
    <xf numFmtId="4" fontId="14" fillId="40" borderId="0" xfId="0" applyNumberFormat="1" applyFont="1" applyFill="1"/>
    <xf numFmtId="4" fontId="53" fillId="40" borderId="0" xfId="0" applyNumberFormat="1" applyFont="1" applyFill="1" applyAlignment="1">
      <alignment horizontal="center" vertical="center"/>
    </xf>
    <xf numFmtId="2" fontId="59" fillId="5" borderId="0" xfId="0" applyNumberFormat="1" applyFont="1" applyFill="1" applyAlignment="1">
      <alignment horizontal="left"/>
    </xf>
    <xf numFmtId="0" fontId="13" fillId="0" borderId="0" xfId="0" applyFont="1" applyAlignment="1">
      <alignment horizontal="right"/>
    </xf>
    <xf numFmtId="0" fontId="0" fillId="25" borderId="0" xfId="0" applyFill="1" applyAlignment="1">
      <alignment horizontal="right"/>
    </xf>
    <xf numFmtId="2" fontId="53" fillId="27" borderId="0" xfId="0" applyNumberFormat="1" applyFont="1" applyFill="1" applyAlignment="1">
      <alignment horizontal="right"/>
    </xf>
    <xf numFmtId="4" fontId="14" fillId="27" borderId="0" xfId="0" applyNumberFormat="1" applyFont="1" applyFill="1" applyAlignment="1">
      <alignment horizontal="right"/>
    </xf>
    <xf numFmtId="4" fontId="53" fillId="4" borderId="0" xfId="0" applyNumberFormat="1" applyFont="1" applyFill="1" applyAlignment="1">
      <alignment horizontal="right" vertical="center"/>
    </xf>
    <xf numFmtId="4" fontId="59" fillId="25" borderId="0" xfId="0" applyNumberFormat="1" applyFont="1" applyFill="1" applyAlignment="1">
      <alignment vertical="center"/>
    </xf>
    <xf numFmtId="165" fontId="59" fillId="36" borderId="0" xfId="0" applyNumberFormat="1" applyFont="1" applyFill="1" applyAlignment="1">
      <alignment vertical="center"/>
    </xf>
    <xf numFmtId="4" fontId="59" fillId="17" borderId="0" xfId="0" applyNumberFormat="1" applyFont="1" applyFill="1" applyAlignment="1">
      <alignment vertical="center"/>
    </xf>
    <xf numFmtId="14" fontId="59" fillId="0" borderId="48" xfId="0" applyNumberFormat="1" applyFont="1" applyBorder="1"/>
    <xf numFmtId="44" fontId="59" fillId="36" borderId="49" xfId="1" applyFont="1" applyFill="1" applyBorder="1" applyAlignment="1">
      <alignment vertical="center"/>
    </xf>
    <xf numFmtId="2" fontId="14" fillId="31" borderId="0" xfId="0" applyNumberFormat="1" applyFont="1" applyFill="1" applyAlignment="1">
      <alignment horizontal="left"/>
    </xf>
    <xf numFmtId="4" fontId="14" fillId="27" borderId="0" xfId="0" applyNumberFormat="1" applyFont="1" applyFill="1" applyAlignment="1">
      <alignment horizontal="left" vertical="center"/>
    </xf>
    <xf numFmtId="4" fontId="14" fillId="40" borderId="0" xfId="0" applyNumberFormat="1" applyFont="1" applyFill="1" applyAlignment="1">
      <alignment horizontal="left" vertical="center"/>
    </xf>
    <xf numFmtId="9" fontId="31" fillId="0" borderId="0" xfId="0" applyNumberFormat="1" applyFont="1"/>
    <xf numFmtId="2" fontId="47" fillId="0" borderId="0" xfId="0" applyNumberFormat="1" applyFont="1"/>
    <xf numFmtId="4" fontId="53" fillId="5" borderId="0" xfId="0" applyNumberFormat="1" applyFont="1" applyFill="1" applyAlignment="1">
      <alignment horizontal="right" vertical="center"/>
    </xf>
    <xf numFmtId="10" fontId="53" fillId="5" borderId="0" xfId="4" applyNumberFormat="1" applyFont="1" applyFill="1" applyAlignment="1">
      <alignment horizontal="right" vertical="center"/>
    </xf>
    <xf numFmtId="0" fontId="53" fillId="32" borderId="0" xfId="0" applyFont="1" applyFill="1" applyAlignment="1">
      <alignment horizontal="right" wrapText="1"/>
    </xf>
    <xf numFmtId="10" fontId="53" fillId="31" borderId="0" xfId="4" applyNumberFormat="1" applyFont="1" applyFill="1" applyAlignment="1">
      <alignment horizontal="right" vertical="center"/>
    </xf>
    <xf numFmtId="10" fontId="53" fillId="4" borderId="0" xfId="4" applyNumberFormat="1" applyFont="1" applyFill="1" applyAlignment="1">
      <alignment horizontal="right" vertical="center"/>
    </xf>
    <xf numFmtId="10" fontId="53" fillId="40" borderId="0" xfId="4" applyNumberFormat="1" applyFont="1" applyFill="1" applyAlignment="1">
      <alignment horizontal="right" vertical="center"/>
    </xf>
    <xf numFmtId="10" fontId="14" fillId="32" borderId="0" xfId="4" applyNumberFormat="1" applyFont="1" applyFill="1" applyAlignment="1">
      <alignment horizontal="right" vertical="center"/>
    </xf>
    <xf numFmtId="4" fontId="13" fillId="0" borderId="3" xfId="0" applyNumberFormat="1" applyFont="1" applyBorder="1" applyAlignment="1">
      <alignment horizontal="left" vertical="center" wrapText="1"/>
    </xf>
    <xf numFmtId="44" fontId="53" fillId="31" borderId="0" xfId="1" applyFont="1" applyFill="1" applyAlignment="1">
      <alignment horizontal="right" vertical="center"/>
    </xf>
    <xf numFmtId="44" fontId="53" fillId="4" borderId="0" xfId="1" applyFont="1" applyFill="1" applyAlignment="1">
      <alignment horizontal="right" vertical="center"/>
    </xf>
    <xf numFmtId="44" fontId="53" fillId="5" borderId="0" xfId="1" applyFont="1" applyFill="1" applyAlignment="1">
      <alignment horizontal="right" vertical="center"/>
    </xf>
    <xf numFmtId="44" fontId="53" fillId="40" borderId="0" xfId="1" applyFont="1" applyFill="1" applyAlignment="1">
      <alignment horizontal="right" vertical="center"/>
    </xf>
    <xf numFmtId="44" fontId="14" fillId="32" borderId="0" xfId="1" applyFont="1" applyFill="1" applyAlignment="1">
      <alignment horizontal="right" vertical="center"/>
    </xf>
    <xf numFmtId="0" fontId="0" fillId="0" borderId="54" xfId="0" applyBorder="1"/>
    <xf numFmtId="0" fontId="0" fillId="0" borderId="55" xfId="0" applyBorder="1"/>
    <xf numFmtId="0" fontId="0" fillId="0" borderId="56" xfId="0" applyBorder="1"/>
    <xf numFmtId="0" fontId="0" fillId="11" borderId="54" xfId="0" applyFill="1" applyBorder="1"/>
    <xf numFmtId="0" fontId="0" fillId="3" borderId="54" xfId="0" applyFill="1" applyBorder="1"/>
    <xf numFmtId="0" fontId="53" fillId="40" borderId="0" xfId="0" applyFont="1" applyFill="1" applyAlignment="1">
      <alignment horizontal="center"/>
    </xf>
    <xf numFmtId="0" fontId="56" fillId="12" borderId="0" xfId="0" applyFont="1" applyFill="1" applyAlignment="1">
      <alignment horizontal="center" vertical="center" wrapText="1"/>
    </xf>
    <xf numFmtId="0" fontId="14" fillId="15" borderId="57" xfId="0" applyFont="1" applyFill="1" applyBorder="1" applyAlignment="1">
      <alignment horizontal="center" vertical="center"/>
    </xf>
    <xf numFmtId="0" fontId="0" fillId="20" borderId="13" xfId="0" applyFill="1" applyBorder="1"/>
    <xf numFmtId="0" fontId="0" fillId="0" borderId="58" xfId="0" applyBorder="1"/>
    <xf numFmtId="0" fontId="0" fillId="20" borderId="58" xfId="0" applyFill="1" applyBorder="1"/>
    <xf numFmtId="0" fontId="0" fillId="20" borderId="59" xfId="0" applyFill="1" applyBorder="1"/>
    <xf numFmtId="0" fontId="0" fillId="0" borderId="59" xfId="0" applyBorder="1"/>
    <xf numFmtId="0" fontId="0" fillId="10" borderId="59" xfId="0" applyFill="1" applyBorder="1"/>
    <xf numFmtId="0" fontId="0" fillId="11" borderId="59" xfId="0" applyFill="1" applyBorder="1"/>
    <xf numFmtId="0" fontId="0" fillId="12" borderId="59" xfId="0" applyFill="1" applyBorder="1"/>
    <xf numFmtId="0" fontId="0" fillId="0" borderId="60" xfId="0" applyBorder="1"/>
    <xf numFmtId="0" fontId="0" fillId="3" borderId="59" xfId="0" applyFill="1" applyBorder="1"/>
    <xf numFmtId="0" fontId="0" fillId="0" borderId="61" xfId="0" applyBorder="1"/>
    <xf numFmtId="0" fontId="0" fillId="0" borderId="62" xfId="0" applyBorder="1"/>
    <xf numFmtId="0" fontId="0" fillId="10" borderId="62" xfId="0" applyFill="1" applyBorder="1"/>
    <xf numFmtId="0" fontId="0" fillId="11" borderId="62" xfId="0" applyFill="1" applyBorder="1"/>
    <xf numFmtId="0" fontId="0" fillId="12" borderId="62" xfId="0" applyFill="1" applyBorder="1"/>
    <xf numFmtId="0" fontId="0" fillId="0" borderId="63" xfId="0" applyBorder="1"/>
    <xf numFmtId="9" fontId="0" fillId="0" borderId="0" xfId="4" applyFont="1"/>
    <xf numFmtId="44" fontId="13" fillId="0" borderId="0" xfId="1" applyFont="1" applyAlignment="1">
      <alignment horizontal="center"/>
    </xf>
    <xf numFmtId="44" fontId="13" fillId="0" borderId="0" xfId="0" applyNumberFormat="1" applyFont="1"/>
    <xf numFmtId="0" fontId="0" fillId="0" borderId="0" xfId="0" applyAlignment="1">
      <alignment horizontal="right"/>
    </xf>
    <xf numFmtId="164" fontId="11" fillId="0" borderId="0" xfId="0" applyNumberFormat="1" applyFont="1"/>
    <xf numFmtId="0" fontId="64" fillId="0" borderId="1" xfId="0" applyFont="1" applyBorder="1"/>
    <xf numFmtId="0" fontId="65" fillId="0" borderId="1" xfId="0" applyFont="1" applyBorder="1"/>
    <xf numFmtId="164" fontId="65" fillId="0" borderId="1" xfId="0" applyNumberFormat="1" applyFont="1" applyBorder="1"/>
    <xf numFmtId="0" fontId="65" fillId="0" borderId="1" xfId="0" applyFont="1" applyBorder="1" applyAlignment="1">
      <alignment wrapText="1"/>
    </xf>
    <xf numFmtId="0" fontId="65" fillId="0" borderId="1" xfId="0" applyFont="1" applyBorder="1" applyAlignment="1">
      <alignment horizontal="center" wrapText="1"/>
    </xf>
    <xf numFmtId="0" fontId="64" fillId="0" borderId="1" xfId="0" applyFont="1" applyBorder="1" applyAlignment="1">
      <alignment horizontal="center" wrapText="1"/>
    </xf>
    <xf numFmtId="0" fontId="64" fillId="42" borderId="1" xfId="0" applyFont="1" applyFill="1" applyBorder="1" applyAlignment="1">
      <alignment horizontal="center" wrapText="1"/>
    </xf>
    <xf numFmtId="164" fontId="64" fillId="42" borderId="1" xfId="0" applyNumberFormat="1" applyFont="1" applyFill="1" applyBorder="1" applyAlignment="1">
      <alignment horizontal="center" wrapText="1"/>
    </xf>
    <xf numFmtId="0" fontId="64" fillId="0" borderId="1" xfId="0" applyFont="1" applyBorder="1" applyAlignment="1">
      <alignment horizontal="right"/>
    </xf>
    <xf numFmtId="0" fontId="65" fillId="0" borderId="1" xfId="0" applyFont="1" applyBorder="1" applyAlignment="1">
      <alignment horizontal="center"/>
    </xf>
    <xf numFmtId="4" fontId="34" fillId="0" borderId="0" xfId="0" applyNumberFormat="1" applyFont="1" applyAlignment="1">
      <alignment horizontal="center"/>
    </xf>
    <xf numFmtId="171" fontId="66" fillId="42" borderId="1" xfId="0" applyNumberFormat="1" applyFont="1" applyFill="1" applyBorder="1" applyAlignment="1">
      <alignment horizontal="center"/>
    </xf>
    <xf numFmtId="171" fontId="66" fillId="0" borderId="1" xfId="0" applyNumberFormat="1" applyFont="1" applyBorder="1" applyAlignment="1">
      <alignment horizontal="center"/>
    </xf>
    <xf numFmtId="164" fontId="66" fillId="42" borderId="1" xfId="0" applyNumberFormat="1" applyFont="1" applyFill="1" applyBorder="1" applyAlignment="1">
      <alignment horizontal="center"/>
    </xf>
    <xf numFmtId="0" fontId="21" fillId="0" borderId="0" xfId="0" applyFont="1"/>
    <xf numFmtId="0" fontId="45" fillId="15" borderId="5" xfId="0" applyFont="1" applyFill="1" applyBorder="1" applyAlignment="1">
      <alignment horizontal="left" vertical="center" wrapText="1"/>
    </xf>
    <xf numFmtId="0" fontId="59" fillId="0" borderId="1" xfId="0" applyFont="1" applyBorder="1" applyAlignment="1">
      <alignment vertical="top"/>
    </xf>
    <xf numFmtId="171" fontId="59" fillId="0" borderId="12" xfId="0" applyNumberFormat="1" applyFont="1" applyBorder="1" applyAlignment="1">
      <alignment horizontal="right" vertical="top"/>
    </xf>
    <xf numFmtId="171" fontId="56" fillId="0" borderId="12" xfId="0" applyNumberFormat="1" applyFont="1" applyBorder="1" applyAlignment="1">
      <alignment horizontal="right" vertical="top"/>
    </xf>
    <xf numFmtId="0" fontId="11" fillId="0" borderId="64" xfId="0" applyFont="1" applyBorder="1" applyAlignment="1">
      <alignment vertical="top"/>
    </xf>
    <xf numFmtId="0" fontId="59" fillId="0" borderId="64" xfId="0" applyFont="1" applyBorder="1" applyAlignment="1">
      <alignment vertical="top"/>
    </xf>
    <xf numFmtId="0" fontId="23" fillId="15" borderId="5" xfId="0" applyFont="1" applyFill="1" applyBorder="1" applyAlignment="1">
      <alignment horizontal="left" vertical="center" wrapText="1"/>
    </xf>
    <xf numFmtId="0" fontId="59" fillId="0" borderId="1" xfId="0" applyFont="1" applyBorder="1" applyAlignment="1">
      <alignment horizontal="left" vertical="top"/>
    </xf>
    <xf numFmtId="44" fontId="45" fillId="15" borderId="5" xfId="1" applyFont="1" applyFill="1" applyBorder="1" applyAlignment="1">
      <alignment horizontal="left" vertical="center" wrapText="1"/>
    </xf>
    <xf numFmtId="0" fontId="30" fillId="0" borderId="2" xfId="0" applyFont="1" applyBorder="1"/>
    <xf numFmtId="2" fontId="31" fillId="0" borderId="0" xfId="0" applyNumberFormat="1" applyFont="1"/>
    <xf numFmtId="4" fontId="35" fillId="0" borderId="2" xfId="0" applyNumberFormat="1" applyFont="1" applyBorder="1"/>
    <xf numFmtId="0" fontId="22" fillId="0" borderId="2" xfId="2" applyFont="1" applyAlignment="1">
      <alignment horizontal="center" vertical="center" wrapText="1"/>
    </xf>
    <xf numFmtId="14" fontId="17" fillId="0" borderId="2" xfId="2" applyNumberFormat="1" applyFont="1" applyAlignment="1">
      <alignment horizontal="center"/>
    </xf>
    <xf numFmtId="1" fontId="17" fillId="0" borderId="2" xfId="2" applyNumberFormat="1" applyFont="1" applyAlignment="1">
      <alignment horizontal="center" vertical="center"/>
    </xf>
    <xf numFmtId="1" fontId="15" fillId="0" borderId="2" xfId="2" applyNumberFormat="1" applyFont="1" applyAlignment="1">
      <alignment horizontal="center"/>
    </xf>
    <xf numFmtId="166" fontId="15" fillId="0" borderId="2" xfId="2" applyNumberFormat="1" applyFont="1" applyAlignment="1">
      <alignment horizontal="center"/>
    </xf>
    <xf numFmtId="0" fontId="15" fillId="0" borderId="2" xfId="2" applyFont="1" applyAlignment="1">
      <alignment horizontal="center"/>
    </xf>
    <xf numFmtId="165" fontId="20" fillId="0" borderId="2" xfId="2" applyNumberFormat="1" applyFont="1" applyAlignment="1">
      <alignment horizontal="center"/>
    </xf>
    <xf numFmtId="0" fontId="26" fillId="13" borderId="7" xfId="0" applyFont="1" applyFill="1" applyBorder="1" applyAlignment="1">
      <alignment horizontal="center" vertical="center" wrapText="1"/>
    </xf>
    <xf numFmtId="0" fontId="7" fillId="0" borderId="0" xfId="0" applyFont="1"/>
    <xf numFmtId="0" fontId="7" fillId="0" borderId="0" xfId="0" applyFont="1" applyAlignment="1">
      <alignment horizontal="right"/>
    </xf>
    <xf numFmtId="0" fontId="7" fillId="0" borderId="0" xfId="0" applyFont="1" applyAlignment="1">
      <alignment horizontal="center"/>
    </xf>
    <xf numFmtId="0" fontId="7" fillId="23" borderId="0" xfId="0" applyFont="1" applyFill="1" applyAlignment="1">
      <alignment wrapText="1"/>
    </xf>
    <xf numFmtId="165" fontId="7" fillId="0" borderId="0" xfId="0" applyNumberFormat="1" applyFont="1" applyAlignment="1">
      <alignment vertical="center"/>
    </xf>
    <xf numFmtId="0" fontId="7" fillId="0" borderId="0" xfId="0" applyFont="1" applyAlignment="1">
      <alignment wrapText="1"/>
    </xf>
    <xf numFmtId="14" fontId="7" fillId="0" borderId="0" xfId="0" applyNumberFormat="1" applyFont="1"/>
    <xf numFmtId="165" fontId="7" fillId="0" borderId="0" xfId="0" applyNumberFormat="1" applyFont="1"/>
    <xf numFmtId="0" fontId="7" fillId="0" borderId="0" xfId="0" applyFont="1" applyProtection="1">
      <protection locked="0"/>
    </xf>
    <xf numFmtId="168" fontId="7" fillId="0" borderId="0" xfId="4" applyNumberFormat="1" applyFont="1"/>
    <xf numFmtId="165" fontId="7" fillId="0" borderId="3" xfId="0" applyNumberFormat="1" applyFont="1" applyBorder="1" applyAlignment="1">
      <alignment vertical="center"/>
    </xf>
    <xf numFmtId="10" fontId="7" fillId="0" borderId="0" xfId="4" applyNumberFormat="1" applyFont="1" applyAlignment="1">
      <alignment horizontal="center"/>
    </xf>
    <xf numFmtId="0" fontId="7" fillId="0" borderId="0" xfId="0" applyFont="1" applyAlignment="1" applyProtection="1">
      <alignment wrapText="1"/>
      <protection locked="0"/>
    </xf>
    <xf numFmtId="0" fontId="7" fillId="25" borderId="0" xfId="0" applyFont="1" applyFill="1"/>
    <xf numFmtId="0" fontId="7" fillId="25" borderId="0" xfId="0" applyFont="1" applyFill="1" applyAlignment="1" applyProtection="1">
      <alignment wrapText="1"/>
      <protection locked="0"/>
    </xf>
    <xf numFmtId="0" fontId="7" fillId="25" borderId="0" xfId="0" applyFont="1" applyFill="1" applyAlignment="1">
      <alignment wrapText="1"/>
    </xf>
    <xf numFmtId="165" fontId="7" fillId="25" borderId="0" xfId="0" applyNumberFormat="1" applyFont="1" applyFill="1"/>
    <xf numFmtId="4" fontId="7" fillId="25" borderId="0" xfId="0" applyNumberFormat="1" applyFont="1" applyFill="1"/>
    <xf numFmtId="2" fontId="7" fillId="0" borderId="3" xfId="0" applyNumberFormat="1" applyFont="1" applyBorder="1" applyAlignment="1">
      <alignment vertical="center"/>
    </xf>
    <xf numFmtId="4" fontId="7" fillId="0" borderId="0" xfId="0" applyNumberFormat="1" applyFont="1" applyAlignment="1">
      <alignment vertical="center"/>
    </xf>
    <xf numFmtId="4" fontId="7" fillId="0" borderId="3" xfId="0" applyNumberFormat="1" applyFont="1" applyBorder="1" applyAlignment="1">
      <alignment vertical="center"/>
    </xf>
    <xf numFmtId="2" fontId="7" fillId="9" borderId="3" xfId="0" applyNumberFormat="1" applyFont="1" applyFill="1" applyBorder="1" applyAlignment="1">
      <alignment vertical="center"/>
    </xf>
    <xf numFmtId="4" fontId="7" fillId="9" borderId="3" xfId="0" applyNumberFormat="1" applyFont="1" applyFill="1" applyBorder="1" applyAlignment="1">
      <alignment vertical="center"/>
    </xf>
    <xf numFmtId="9" fontId="7" fillId="25" borderId="0" xfId="0" applyNumberFormat="1" applyFont="1" applyFill="1"/>
    <xf numFmtId="165" fontId="7" fillId="25" borderId="0" xfId="0" applyNumberFormat="1" applyFont="1" applyFill="1" applyAlignment="1">
      <alignment vertical="center"/>
    </xf>
    <xf numFmtId="10" fontId="7" fillId="0" borderId="0" xfId="0" applyNumberFormat="1" applyFont="1"/>
    <xf numFmtId="0" fontId="7" fillId="34" borderId="0" xfId="0" applyFont="1" applyFill="1" applyAlignment="1">
      <alignment horizontal="center"/>
    </xf>
    <xf numFmtId="170" fontId="7" fillId="0" borderId="0" xfId="0" applyNumberFormat="1" applyFont="1"/>
    <xf numFmtId="9" fontId="7" fillId="0" borderId="0" xfId="0" applyNumberFormat="1" applyFont="1"/>
    <xf numFmtId="44" fontId="7" fillId="36" borderId="0" xfId="1" applyFont="1" applyFill="1"/>
    <xf numFmtId="44" fontId="7" fillId="35" borderId="0" xfId="1" applyFont="1" applyFill="1"/>
    <xf numFmtId="4" fontId="7" fillId="36" borderId="0" xfId="1" applyNumberFormat="1" applyFont="1" applyFill="1"/>
    <xf numFmtId="4" fontId="7" fillId="35" borderId="0" xfId="0" applyNumberFormat="1" applyFont="1" applyFill="1"/>
    <xf numFmtId="10" fontId="7" fillId="35" borderId="0" xfId="4" applyNumberFormat="1" applyFont="1" applyFill="1"/>
    <xf numFmtId="44" fontId="7" fillId="36" borderId="0" xfId="1" applyFont="1" applyFill="1" applyAlignment="1"/>
    <xf numFmtId="44" fontId="7" fillId="22" borderId="0" xfId="1" applyFont="1" applyFill="1"/>
    <xf numFmtId="4" fontId="7" fillId="22" borderId="0" xfId="0" applyNumberFormat="1" applyFont="1" applyFill="1"/>
    <xf numFmtId="10" fontId="7" fillId="22" borderId="0" xfId="4" applyNumberFormat="1" applyFont="1" applyFill="1"/>
    <xf numFmtId="4" fontId="7" fillId="0" borderId="0" xfId="0" applyNumberFormat="1" applyFont="1" applyAlignment="1">
      <alignment horizontal="right"/>
    </xf>
    <xf numFmtId="4" fontId="7" fillId="0" borderId="0" xfId="0" applyNumberFormat="1" applyFont="1"/>
    <xf numFmtId="165" fontId="7" fillId="36" borderId="0" xfId="1" applyNumberFormat="1" applyFont="1" applyFill="1"/>
    <xf numFmtId="44" fontId="7" fillId="35" borderId="0" xfId="0" applyNumberFormat="1" applyFont="1" applyFill="1"/>
    <xf numFmtId="165" fontId="7" fillId="36" borderId="0" xfId="1" applyNumberFormat="1" applyFont="1" applyFill="1" applyAlignment="1"/>
    <xf numFmtId="44" fontId="7" fillId="22" borderId="0" xfId="0" applyNumberFormat="1" applyFont="1" applyFill="1"/>
    <xf numFmtId="44" fontId="7" fillId="36" borderId="0" xfId="1" applyFont="1" applyFill="1" applyAlignment="1">
      <alignment horizontal="right"/>
    </xf>
    <xf numFmtId="165" fontId="7" fillId="36" borderId="0" xfId="1" applyNumberFormat="1" applyFont="1" applyFill="1" applyAlignment="1">
      <alignment horizontal="right"/>
    </xf>
    <xf numFmtId="44" fontId="7" fillId="35" borderId="0" xfId="0" applyNumberFormat="1" applyFont="1" applyFill="1" applyAlignment="1">
      <alignment horizontal="right"/>
    </xf>
    <xf numFmtId="44" fontId="7" fillId="22" borderId="0" xfId="0" applyNumberFormat="1" applyFont="1" applyFill="1" applyAlignment="1">
      <alignment horizontal="right"/>
    </xf>
    <xf numFmtId="44" fontId="0" fillId="0" borderId="0" xfId="0" applyNumberFormat="1" applyAlignment="1">
      <alignment horizontal="center"/>
    </xf>
    <xf numFmtId="0" fontId="6" fillId="0" borderId="0" xfId="0" applyFont="1"/>
    <xf numFmtId="172" fontId="47" fillId="0" borderId="0" xfId="4" applyNumberFormat="1" applyFont="1"/>
    <xf numFmtId="0" fontId="5" fillId="0" borderId="0" xfId="0" applyFont="1"/>
    <xf numFmtId="10" fontId="0" fillId="0" borderId="0" xfId="4" applyNumberFormat="1" applyFont="1"/>
    <xf numFmtId="10" fontId="31" fillId="0" borderId="0" xfId="4" applyNumberFormat="1" applyFont="1"/>
    <xf numFmtId="44" fontId="47" fillId="0" borderId="0" xfId="1" applyFont="1"/>
    <xf numFmtId="44" fontId="48" fillId="0" borderId="5" xfId="0" applyNumberFormat="1" applyFont="1" applyBorder="1" applyAlignment="1">
      <alignment horizontal="center" vertical="center"/>
    </xf>
    <xf numFmtId="44" fontId="47" fillId="0" borderId="5" xfId="0" applyNumberFormat="1" applyFont="1" applyBorder="1" applyAlignment="1">
      <alignment horizontal="center" vertical="center"/>
    </xf>
    <xf numFmtId="0" fontId="0" fillId="10" borderId="55" xfId="0" applyFill="1" applyBorder="1"/>
    <xf numFmtId="0" fontId="0" fillId="11" borderId="55" xfId="0" applyFill="1" applyBorder="1"/>
    <xf numFmtId="0" fontId="0" fillId="12" borderId="55" xfId="0" applyFill="1" applyBorder="1"/>
    <xf numFmtId="0" fontId="0" fillId="20" borderId="31" xfId="0" applyFill="1" applyBorder="1"/>
    <xf numFmtId="0" fontId="0" fillId="10" borderId="31" xfId="0" applyFill="1" applyBorder="1"/>
    <xf numFmtId="0" fontId="0" fillId="11" borderId="31" xfId="0" applyFill="1" applyBorder="1"/>
    <xf numFmtId="0" fontId="0" fillId="12" borderId="31" xfId="0" applyFill="1" applyBorder="1"/>
    <xf numFmtId="0" fontId="0" fillId="41" borderId="61" xfId="0" applyFill="1" applyBorder="1"/>
    <xf numFmtId="0" fontId="0" fillId="10" borderId="36" xfId="0" applyFill="1" applyBorder="1"/>
    <xf numFmtId="0" fontId="0" fillId="11" borderId="36" xfId="0" applyFill="1" applyBorder="1"/>
    <xf numFmtId="0" fontId="0" fillId="3" borderId="36" xfId="0" applyFill="1" applyBorder="1"/>
    <xf numFmtId="0" fontId="0" fillId="12" borderId="36" xfId="0" applyFill="1" applyBorder="1"/>
    <xf numFmtId="0" fontId="0" fillId="0" borderId="66" xfId="0" applyBorder="1"/>
    <xf numFmtId="0" fontId="0" fillId="0" borderId="67" xfId="0" applyBorder="1"/>
    <xf numFmtId="0" fontId="0" fillId="20" borderId="67" xfId="0" applyFill="1" applyBorder="1"/>
    <xf numFmtId="0" fontId="0" fillId="10" borderId="67" xfId="0" applyFill="1" applyBorder="1"/>
    <xf numFmtId="0" fontId="0" fillId="11" borderId="67" xfId="0" applyFill="1" applyBorder="1"/>
    <xf numFmtId="0" fontId="0" fillId="0" borderId="65" xfId="0" applyBorder="1"/>
    <xf numFmtId="0" fontId="0" fillId="12" borderId="67" xfId="0" applyFill="1" applyBorder="1"/>
    <xf numFmtId="0" fontId="0" fillId="0" borderId="68" xfId="0" applyBorder="1"/>
    <xf numFmtId="0" fontId="0" fillId="3" borderId="62" xfId="0" applyFill="1" applyBorder="1"/>
    <xf numFmtId="4" fontId="4" fillId="0" borderId="0" xfId="0" applyNumberFormat="1" applyFont="1" applyAlignment="1">
      <alignment vertical="center"/>
    </xf>
    <xf numFmtId="0" fontId="11" fillId="0" borderId="2" xfId="0" applyFont="1" applyBorder="1" applyAlignment="1">
      <alignment horizontal="center" vertical="center" wrapText="1"/>
    </xf>
    <xf numFmtId="44" fontId="0" fillId="0" borderId="2" xfId="0" applyNumberFormat="1" applyBorder="1"/>
    <xf numFmtId="44" fontId="21" fillId="0" borderId="2" xfId="1"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2" fontId="35" fillId="0" borderId="2" xfId="0" applyNumberFormat="1" applyFont="1" applyBorder="1"/>
    <xf numFmtId="0" fontId="31" fillId="0" borderId="4" xfId="0" applyFont="1" applyBorder="1"/>
    <xf numFmtId="2" fontId="31" fillId="0" borderId="3" xfId="1" applyNumberFormat="1" applyFont="1" applyBorder="1"/>
    <xf numFmtId="0" fontId="33" fillId="39" borderId="5" xfId="0" applyFont="1" applyFill="1" applyBorder="1" applyAlignment="1">
      <alignment horizontal="center" vertical="center" wrapText="1"/>
    </xf>
    <xf numFmtId="0" fontId="33" fillId="0" borderId="2" xfId="0" applyFont="1" applyBorder="1" applyAlignment="1">
      <alignment horizontal="center" vertical="center" wrapText="1"/>
    </xf>
    <xf numFmtId="2" fontId="30" fillId="0" borderId="2" xfId="0" applyNumberFormat="1" applyFont="1" applyBorder="1" applyAlignment="1">
      <alignment horizontal="right"/>
    </xf>
    <xf numFmtId="2" fontId="31" fillId="0" borderId="3" xfId="0" applyNumberFormat="1" applyFont="1" applyBorder="1"/>
    <xf numFmtId="10" fontId="31" fillId="0" borderId="0" xfId="4" applyNumberFormat="1" applyFont="1" applyFill="1"/>
    <xf numFmtId="44" fontId="31" fillId="0" borderId="0" xfId="1" applyFont="1" applyFill="1"/>
    <xf numFmtId="0" fontId="14" fillId="15" borderId="69" xfId="0" applyFont="1" applyFill="1" applyBorder="1" applyAlignment="1">
      <alignment horizontal="center" vertical="center"/>
    </xf>
    <xf numFmtId="0" fontId="49" fillId="15" borderId="70" xfId="0" applyFont="1" applyFill="1" applyBorder="1" applyAlignment="1">
      <alignment horizontal="center" vertical="center" wrapText="1"/>
    </xf>
    <xf numFmtId="0" fontId="23" fillId="15" borderId="23" xfId="0" applyFont="1" applyFill="1" applyBorder="1" applyAlignment="1">
      <alignment vertical="center"/>
    </xf>
    <xf numFmtId="0" fontId="13" fillId="8" borderId="2" xfId="0" applyFont="1" applyFill="1" applyBorder="1" applyAlignment="1">
      <alignment horizontal="center"/>
    </xf>
    <xf numFmtId="0" fontId="13" fillId="8" borderId="34" xfId="0" applyFont="1" applyFill="1" applyBorder="1" applyAlignment="1">
      <alignment horizontal="center"/>
    </xf>
    <xf numFmtId="0" fontId="13" fillId="8" borderId="33" xfId="0" applyFont="1" applyFill="1" applyBorder="1" applyAlignment="1">
      <alignment horizontal="center"/>
    </xf>
    <xf numFmtId="0" fontId="13" fillId="8" borderId="65" xfId="0" applyFont="1" applyFill="1" applyBorder="1" applyAlignment="1">
      <alignment horizontal="center"/>
    </xf>
    <xf numFmtId="0" fontId="13" fillId="8" borderId="0" xfId="0" applyFont="1" applyFill="1" applyAlignment="1">
      <alignment horizontal="center"/>
    </xf>
    <xf numFmtId="0" fontId="0" fillId="10" borderId="2" xfId="0" applyFill="1" applyBorder="1"/>
    <xf numFmtId="0" fontId="0" fillId="12" borderId="2" xfId="0" applyFill="1" applyBorder="1"/>
    <xf numFmtId="0" fontId="14" fillId="7" borderId="72" xfId="0" applyFont="1" applyFill="1" applyBorder="1" applyAlignment="1">
      <alignment horizontal="center"/>
    </xf>
    <xf numFmtId="0" fontId="14" fillId="7" borderId="73" xfId="0" applyFont="1" applyFill="1" applyBorder="1" applyAlignment="1">
      <alignment horizontal="center"/>
    </xf>
    <xf numFmtId="0" fontId="13" fillId="8" borderId="72" xfId="0" applyFont="1" applyFill="1" applyBorder="1" applyAlignment="1">
      <alignment horizontal="center"/>
    </xf>
    <xf numFmtId="0" fontId="13" fillId="8" borderId="73" xfId="0" applyFont="1" applyFill="1" applyBorder="1" applyAlignment="1">
      <alignment horizontal="center"/>
    </xf>
    <xf numFmtId="0" fontId="0" fillId="0" borderId="74" xfId="0" applyBorder="1"/>
    <xf numFmtId="0" fontId="0" fillId="0" borderId="75" xfId="0" applyBorder="1"/>
    <xf numFmtId="0" fontId="0" fillId="0" borderId="76" xfId="0" applyBorder="1"/>
    <xf numFmtId="0" fontId="0" fillId="0" borderId="77" xfId="0" applyBorder="1"/>
    <xf numFmtId="0" fontId="0" fillId="10" borderId="76" xfId="0" applyFill="1" applyBorder="1"/>
    <xf numFmtId="0" fontId="0" fillId="12" borderId="78" xfId="0" applyFill="1" applyBorder="1"/>
    <xf numFmtId="0" fontId="0" fillId="0" borderId="72" xfId="0" applyBorder="1"/>
    <xf numFmtId="0" fontId="0" fillId="0" borderId="79" xfId="0" applyBorder="1"/>
    <xf numFmtId="0" fontId="0" fillId="0" borderId="80" xfId="0" applyBorder="1"/>
    <xf numFmtId="0" fontId="0" fillId="0" borderId="81" xfId="0" applyBorder="1"/>
    <xf numFmtId="0" fontId="0" fillId="10" borderId="81" xfId="0" applyFill="1" applyBorder="1"/>
    <xf numFmtId="0" fontId="0" fillId="10" borderId="77" xfId="0" applyFill="1" applyBorder="1"/>
    <xf numFmtId="0" fontId="0" fillId="12" borderId="81" xfId="0" applyFill="1" applyBorder="1"/>
    <xf numFmtId="0" fontId="0" fillId="12" borderId="77" xfId="0" applyFill="1" applyBorder="1"/>
    <xf numFmtId="0" fontId="0" fillId="0" borderId="82" xfId="0" applyBorder="1"/>
    <xf numFmtId="0" fontId="0" fillId="20" borderId="55" xfId="0" applyFill="1" applyBorder="1"/>
    <xf numFmtId="0" fontId="0" fillId="3" borderId="55" xfId="0" applyFill="1" applyBorder="1"/>
    <xf numFmtId="0" fontId="0" fillId="20" borderId="76" xfId="0" applyFill="1" applyBorder="1"/>
    <xf numFmtId="0" fontId="0" fillId="11" borderId="76" xfId="0" applyFill="1" applyBorder="1"/>
    <xf numFmtId="0" fontId="0" fillId="12" borderId="76" xfId="0" applyFill="1" applyBorder="1"/>
    <xf numFmtId="0" fontId="0" fillId="0" borderId="78" xfId="0" applyBorder="1"/>
    <xf numFmtId="0" fontId="0" fillId="20" borderId="54" xfId="0" applyFill="1" applyBorder="1"/>
    <xf numFmtId="0" fontId="0" fillId="20" borderId="74" xfId="0" applyFill="1" applyBorder="1"/>
    <xf numFmtId="0" fontId="0" fillId="3" borderId="74" xfId="0" applyFill="1" applyBorder="1"/>
    <xf numFmtId="0" fontId="0" fillId="11" borderId="74" xfId="0" applyFill="1" applyBorder="1"/>
    <xf numFmtId="0" fontId="6" fillId="0" borderId="2" xfId="0" applyFont="1" applyBorder="1"/>
    <xf numFmtId="0" fontId="0" fillId="11" borderId="83" xfId="0" applyFill="1" applyBorder="1"/>
    <xf numFmtId="0" fontId="0" fillId="0" borderId="83" xfId="0" applyBorder="1"/>
    <xf numFmtId="0" fontId="0" fillId="0" borderId="84" xfId="0" applyBorder="1"/>
    <xf numFmtId="0" fontId="0" fillId="0" borderId="85" xfId="0" applyBorder="1"/>
    <xf numFmtId="9" fontId="13" fillId="0" borderId="0" xfId="4" applyFont="1"/>
    <xf numFmtId="170" fontId="0" fillId="0" borderId="0" xfId="4" applyNumberFormat="1" applyFont="1"/>
    <xf numFmtId="0" fontId="0" fillId="3" borderId="72" xfId="0" applyFill="1" applyBorder="1"/>
    <xf numFmtId="0" fontId="0" fillId="3" borderId="81" xfId="0" applyFill="1" applyBorder="1"/>
    <xf numFmtId="0" fontId="0" fillId="3" borderId="2" xfId="0" applyFill="1" applyBorder="1"/>
    <xf numFmtId="0" fontId="0" fillId="3" borderId="34" xfId="0" applyFill="1" applyBorder="1"/>
    <xf numFmtId="0" fontId="0" fillId="3" borderId="65" xfId="0" applyFill="1" applyBorder="1"/>
    <xf numFmtId="0" fontId="67" fillId="0" borderId="0" xfId="0" applyFont="1"/>
    <xf numFmtId="0" fontId="67" fillId="0" borderId="2" xfId="0" applyFont="1" applyBorder="1"/>
    <xf numFmtId="4" fontId="68" fillId="25" borderId="0" xfId="0" applyNumberFormat="1" applyFont="1" applyFill="1"/>
    <xf numFmtId="0" fontId="65" fillId="0" borderId="2" xfId="0" applyFont="1" applyBorder="1"/>
    <xf numFmtId="2" fontId="0" fillId="0" borderId="0" xfId="0" applyNumberFormat="1"/>
    <xf numFmtId="44" fontId="11" fillId="0" borderId="0" xfId="1" applyFont="1"/>
    <xf numFmtId="164" fontId="11" fillId="0" borderId="0" xfId="1" applyNumberFormat="1" applyFont="1"/>
    <xf numFmtId="164" fontId="0" fillId="0" borderId="0" xfId="0" applyNumberFormat="1"/>
    <xf numFmtId="173" fontId="11" fillId="0" borderId="0" xfId="0" applyNumberFormat="1" applyFont="1"/>
    <xf numFmtId="167" fontId="31" fillId="0" borderId="25" xfId="0" applyNumberFormat="1" applyFont="1" applyBorder="1"/>
    <xf numFmtId="0" fontId="2" fillId="0" borderId="0" xfId="0" applyFont="1"/>
    <xf numFmtId="0" fontId="68" fillId="0" borderId="0" xfId="0" applyFont="1" applyAlignment="1">
      <alignment horizontal="center"/>
    </xf>
    <xf numFmtId="44" fontId="2" fillId="0" borderId="0" xfId="0" applyNumberFormat="1" applyFont="1" applyAlignment="1">
      <alignment horizontal="center"/>
    </xf>
    <xf numFmtId="44" fontId="68" fillId="0" borderId="0" xfId="0" applyNumberFormat="1" applyFont="1" applyAlignment="1">
      <alignment horizontal="center"/>
    </xf>
    <xf numFmtId="0" fontId="4" fillId="0" borderId="0" xfId="0" applyFont="1"/>
    <xf numFmtId="44" fontId="4" fillId="0" borderId="0" xfId="1" applyFont="1" applyFill="1" applyAlignment="1">
      <alignment horizontal="left"/>
    </xf>
    <xf numFmtId="0" fontId="3" fillId="0" borderId="0" xfId="0" applyFont="1"/>
    <xf numFmtId="174" fontId="31" fillId="0" borderId="0" xfId="0" applyNumberFormat="1" applyFont="1"/>
    <xf numFmtId="44" fontId="32" fillId="15" borderId="0" xfId="1" applyFont="1" applyFill="1"/>
    <xf numFmtId="0" fontId="22" fillId="2" borderId="4" xfId="2" applyFont="1" applyFill="1" applyBorder="1" applyAlignment="1">
      <alignment horizontal="center" vertical="center" wrapText="1"/>
    </xf>
    <xf numFmtId="1" fontId="18" fillId="2" borderId="5" xfId="2" applyNumberFormat="1" applyFont="1" applyFill="1" applyBorder="1" applyAlignment="1">
      <alignment horizontal="center" vertical="center"/>
    </xf>
    <xf numFmtId="1" fontId="18" fillId="2" borderId="6" xfId="2" applyNumberFormat="1" applyFont="1" applyFill="1" applyBorder="1" applyAlignment="1">
      <alignment horizontal="center" vertical="center"/>
    </xf>
    <xf numFmtId="0" fontId="14" fillId="4" borderId="0" xfId="0" applyFont="1" applyFill="1" applyAlignment="1">
      <alignment horizontal="left"/>
    </xf>
    <xf numFmtId="165" fontId="20" fillId="2" borderId="5" xfId="2" applyNumberFormat="1" applyFont="1" applyFill="1" applyBorder="1" applyAlignment="1">
      <alignment horizontal="center"/>
    </xf>
    <xf numFmtId="165" fontId="20" fillId="2" borderId="6" xfId="2" applyNumberFormat="1" applyFont="1" applyFill="1" applyBorder="1" applyAlignment="1">
      <alignment horizontal="center"/>
    </xf>
    <xf numFmtId="166" fontId="18" fillId="2" borderId="5" xfId="2" applyNumberFormat="1" applyFont="1" applyFill="1" applyBorder="1" applyAlignment="1">
      <alignment horizontal="center" vertical="center"/>
    </xf>
    <xf numFmtId="166" fontId="18" fillId="2" borderId="6" xfId="2" applyNumberFormat="1" applyFont="1" applyFill="1" applyBorder="1" applyAlignment="1">
      <alignment horizontal="center" vertical="center"/>
    </xf>
    <xf numFmtId="1" fontId="17" fillId="2" borderId="5" xfId="2" applyNumberFormat="1" applyFont="1" applyFill="1" applyBorder="1" applyAlignment="1">
      <alignment horizontal="center" vertical="center"/>
    </xf>
    <xf numFmtId="1" fontId="17" fillId="2" borderId="6" xfId="2" applyNumberFormat="1" applyFont="1" applyFill="1" applyBorder="1" applyAlignment="1">
      <alignment horizontal="center" vertical="center"/>
    </xf>
    <xf numFmtId="14" fontId="17" fillId="2" borderId="5" xfId="2" applyNumberFormat="1" applyFont="1" applyFill="1" applyBorder="1" applyAlignment="1">
      <alignment horizontal="center"/>
    </xf>
    <xf numFmtId="14" fontId="17" fillId="2" borderId="6" xfId="2" applyNumberFormat="1" applyFont="1" applyFill="1" applyBorder="1" applyAlignment="1">
      <alignment horizontal="center"/>
    </xf>
    <xf numFmtId="0" fontId="14" fillId="7" borderId="0" xfId="0" applyFont="1" applyFill="1" applyAlignment="1">
      <alignment horizontal="center" vertical="center"/>
    </xf>
    <xf numFmtId="0" fontId="14" fillId="7" borderId="2" xfId="0" applyFont="1" applyFill="1" applyBorder="1" applyAlignment="1">
      <alignment horizontal="center" vertical="center"/>
    </xf>
    <xf numFmtId="0" fontId="14" fillId="7" borderId="72" xfId="0" applyFont="1" applyFill="1" applyBorder="1" applyAlignment="1">
      <alignment horizontal="center" vertical="center"/>
    </xf>
    <xf numFmtId="0" fontId="14" fillId="7" borderId="73" xfId="0" applyFont="1" applyFill="1" applyBorder="1" applyAlignment="1">
      <alignment horizontal="center" vertical="center"/>
    </xf>
    <xf numFmtId="0" fontId="14" fillId="7" borderId="34" xfId="0" applyFont="1" applyFill="1" applyBorder="1" applyAlignment="1">
      <alignment horizontal="center"/>
    </xf>
    <xf numFmtId="0" fontId="14" fillId="7" borderId="2" xfId="0" applyFont="1" applyFill="1" applyBorder="1" applyAlignment="1">
      <alignment horizontal="center"/>
    </xf>
    <xf numFmtId="0" fontId="14" fillId="7" borderId="33" xfId="0" applyFont="1" applyFill="1" applyBorder="1" applyAlignment="1">
      <alignment horizontal="center"/>
    </xf>
    <xf numFmtId="0" fontId="14" fillId="7" borderId="71" xfId="0" applyFont="1" applyFill="1" applyBorder="1" applyAlignment="1">
      <alignment horizontal="center"/>
    </xf>
    <xf numFmtId="0" fontId="14" fillId="7" borderId="72" xfId="0" applyFont="1" applyFill="1" applyBorder="1" applyAlignment="1">
      <alignment horizontal="center"/>
    </xf>
    <xf numFmtId="0" fontId="14" fillId="7" borderId="73" xfId="0" applyFont="1" applyFill="1" applyBorder="1" applyAlignment="1">
      <alignment horizontal="center"/>
    </xf>
    <xf numFmtId="0" fontId="24" fillId="15" borderId="41" xfId="0" applyFont="1" applyFill="1" applyBorder="1" applyAlignment="1">
      <alignment horizontal="center" vertical="center"/>
    </xf>
    <xf numFmtId="0" fontId="24" fillId="15" borderId="23" xfId="0" applyFont="1" applyFill="1" applyBorder="1" applyAlignment="1">
      <alignment horizontal="center" vertical="center"/>
    </xf>
    <xf numFmtId="0" fontId="24" fillId="15" borderId="42" xfId="0" applyFont="1" applyFill="1" applyBorder="1" applyAlignment="1">
      <alignment horizontal="center" vertical="center"/>
    </xf>
    <xf numFmtId="0" fontId="14" fillId="15" borderId="5" xfId="0" applyFont="1" applyFill="1" applyBorder="1" applyAlignment="1">
      <alignment horizontal="center" vertical="center"/>
    </xf>
    <xf numFmtId="0" fontId="14" fillId="15" borderId="23" xfId="0" applyFont="1" applyFill="1" applyBorder="1" applyAlignment="1">
      <alignment horizontal="center" vertical="center"/>
    </xf>
    <xf numFmtId="0" fontId="14" fillId="15" borderId="6" xfId="0" applyFont="1" applyFill="1" applyBorder="1" applyAlignment="1">
      <alignment horizontal="center" vertical="center"/>
    </xf>
    <xf numFmtId="44" fontId="14" fillId="15" borderId="5" xfId="1" applyFont="1" applyFill="1" applyBorder="1" applyAlignment="1">
      <alignment horizontal="center" vertical="center"/>
    </xf>
    <xf numFmtId="44" fontId="14" fillId="15" borderId="23" xfId="1" applyFont="1" applyFill="1" applyBorder="1" applyAlignment="1">
      <alignment horizontal="center" vertical="center"/>
    </xf>
    <xf numFmtId="44" fontId="14" fillId="15" borderId="42" xfId="1" applyFont="1" applyFill="1" applyBorder="1" applyAlignment="1">
      <alignment horizontal="center" vertical="center"/>
    </xf>
    <xf numFmtId="0" fontId="14" fillId="15" borderId="42" xfId="0" applyFont="1" applyFill="1" applyBorder="1" applyAlignment="1">
      <alignment horizontal="center" vertical="center"/>
    </xf>
    <xf numFmtId="0" fontId="14" fillId="15" borderId="41" xfId="0" applyFont="1" applyFill="1" applyBorder="1" applyAlignment="1">
      <alignment horizontal="center" vertical="center"/>
    </xf>
    <xf numFmtId="0" fontId="0" fillId="34" borderId="0" xfId="0" applyFill="1" applyAlignment="1">
      <alignment horizontal="center"/>
    </xf>
    <xf numFmtId="0" fontId="7" fillId="34" borderId="0" xfId="0" applyFont="1" applyFill="1" applyAlignment="1">
      <alignment horizontal="center"/>
    </xf>
    <xf numFmtId="0" fontId="13" fillId="24" borderId="0" xfId="0" applyFont="1" applyFill="1" applyAlignment="1">
      <alignment horizontal="center" wrapText="1"/>
    </xf>
    <xf numFmtId="0" fontId="0" fillId="0" borderId="0" xfId="0" applyAlignment="1">
      <alignment horizontal="center"/>
    </xf>
    <xf numFmtId="0" fontId="13" fillId="24" borderId="0" xfId="0" applyFont="1" applyFill="1" applyAlignment="1">
      <alignment horizontal="center"/>
    </xf>
    <xf numFmtId="2" fontId="0" fillId="25" borderId="25" xfId="0" applyNumberFormat="1" applyFill="1" applyBorder="1" applyAlignment="1">
      <alignment horizontal="center"/>
    </xf>
    <xf numFmtId="0" fontId="0" fillId="6" borderId="0" xfId="0" applyFill="1" applyAlignment="1">
      <alignment horizontal="center" wrapText="1"/>
    </xf>
    <xf numFmtId="0" fontId="7" fillId="6" borderId="0" xfId="0" applyFont="1" applyFill="1" applyAlignment="1">
      <alignment horizontal="center" wrapText="1"/>
    </xf>
    <xf numFmtId="14" fontId="0" fillId="24" borderId="3" xfId="0" applyNumberFormat="1" applyFill="1" applyBorder="1" applyAlignment="1">
      <alignment horizontal="center" wrapText="1"/>
    </xf>
    <xf numFmtId="14" fontId="7" fillId="25" borderId="3" xfId="0" applyNumberFormat="1" applyFont="1" applyFill="1" applyBorder="1" applyAlignment="1">
      <alignment horizontal="center" wrapText="1"/>
    </xf>
    <xf numFmtId="0" fontId="53" fillId="26" borderId="0" xfId="0" applyFont="1" applyFill="1" applyAlignment="1">
      <alignment horizontal="center"/>
    </xf>
    <xf numFmtId="0" fontId="53" fillId="27" borderId="0" xfId="0" applyFont="1" applyFill="1" applyAlignment="1">
      <alignment horizontal="center"/>
    </xf>
    <xf numFmtId="0" fontId="59" fillId="0" borderId="5" xfId="0" applyFont="1" applyBorder="1" applyAlignment="1" applyProtection="1">
      <alignment horizontal="center"/>
      <protection hidden="1"/>
    </xf>
    <xf numFmtId="0" fontId="59" fillId="0" borderId="6" xfId="0" applyFont="1" applyBorder="1" applyAlignment="1" applyProtection="1">
      <alignment horizontal="center"/>
      <protection hidden="1"/>
    </xf>
    <xf numFmtId="0" fontId="53" fillId="40" borderId="0" xfId="0" applyFont="1" applyFill="1" applyAlignment="1">
      <alignment horizontal="center"/>
    </xf>
    <xf numFmtId="0" fontId="27" fillId="0" borderId="41" xfId="0" applyFont="1" applyBorder="1" applyAlignment="1">
      <alignment horizontal="left" vertical="center"/>
    </xf>
    <xf numFmtId="0" fontId="27" fillId="0" borderId="6" xfId="0" applyFont="1" applyBorder="1" applyAlignment="1">
      <alignment horizontal="left" vertical="center"/>
    </xf>
    <xf numFmtId="0" fontId="62" fillId="37" borderId="3" xfId="0" applyFont="1" applyFill="1" applyBorder="1" applyAlignment="1">
      <alignment horizontal="center" vertical="center" wrapText="1"/>
    </xf>
    <xf numFmtId="0" fontId="62" fillId="37" borderId="3" xfId="0" applyFont="1" applyFill="1" applyBorder="1" applyAlignment="1">
      <alignment horizontal="center" vertical="center"/>
    </xf>
    <xf numFmtId="0" fontId="63" fillId="9" borderId="5" xfId="0" applyFont="1" applyFill="1" applyBorder="1" applyAlignment="1">
      <alignment horizontal="left"/>
    </xf>
    <xf numFmtId="0" fontId="63" fillId="9" borderId="23" xfId="0" applyFont="1" applyFill="1" applyBorder="1" applyAlignment="1">
      <alignment horizontal="left"/>
    </xf>
    <xf numFmtId="0" fontId="63" fillId="9" borderId="6" xfId="0" applyFont="1" applyFill="1" applyBorder="1" applyAlignment="1">
      <alignment horizontal="left"/>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28" xfId="0" applyFont="1" applyBorder="1" applyAlignment="1">
      <alignment horizontal="center" vertical="center"/>
    </xf>
    <xf numFmtId="0" fontId="26" fillId="13" borderId="2" xfId="0" applyFont="1" applyFill="1" applyBorder="1" applyAlignment="1">
      <alignment horizontal="center" vertical="center" wrapText="1"/>
    </xf>
    <xf numFmtId="0" fontId="26" fillId="13" borderId="46" xfId="0" applyFont="1" applyFill="1" applyBorder="1" applyAlignment="1">
      <alignment horizontal="center" vertical="center" wrapText="1"/>
    </xf>
    <xf numFmtId="0" fontId="26" fillId="13" borderId="19"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32" fillId="15" borderId="5" xfId="0" applyFont="1" applyFill="1" applyBorder="1" applyAlignment="1">
      <alignment horizontal="center" vertical="center"/>
    </xf>
    <xf numFmtId="0" fontId="32" fillId="15" borderId="23" xfId="0" applyFont="1" applyFill="1" applyBorder="1" applyAlignment="1">
      <alignment horizontal="center" vertical="center"/>
    </xf>
    <xf numFmtId="0" fontId="32" fillId="15" borderId="6" xfId="0" applyFont="1" applyFill="1" applyBorder="1" applyAlignment="1">
      <alignment horizontal="center" vertical="center"/>
    </xf>
    <xf numFmtId="0" fontId="31" fillId="0" borderId="25" xfId="0" applyFont="1" applyBorder="1" applyAlignment="1">
      <alignment horizontal="center" vertical="center" wrapText="1"/>
    </xf>
    <xf numFmtId="0" fontId="31" fillId="0" borderId="0" xfId="0" applyFont="1" applyAlignment="1">
      <alignment horizontal="center" vertical="center" wrapText="1"/>
    </xf>
    <xf numFmtId="0" fontId="45" fillId="15" borderId="22" xfId="0" applyFont="1" applyFill="1" applyBorder="1" applyAlignment="1">
      <alignment horizontal="center" vertical="center" wrapText="1"/>
    </xf>
    <xf numFmtId="0" fontId="45" fillId="15" borderId="4"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15" borderId="6" xfId="0" applyFont="1" applyFill="1" applyBorder="1" applyAlignment="1">
      <alignment horizontal="center" vertical="center" wrapText="1"/>
    </xf>
    <xf numFmtId="44" fontId="47" fillId="0" borderId="0" xfId="1" applyFont="1" applyFill="1"/>
    <xf numFmtId="176" fontId="31" fillId="0" borderId="0" xfId="1" applyNumberFormat="1" applyFont="1"/>
    <xf numFmtId="174" fontId="31" fillId="0" borderId="0" xfId="1" applyNumberFormat="1" applyFont="1"/>
    <xf numFmtId="44" fontId="30" fillId="0" borderId="0" xfId="1" applyNumberFormat="1" applyFont="1"/>
    <xf numFmtId="0" fontId="31" fillId="0" borderId="0" xfId="0" applyFont="1" applyAlignment="1">
      <alignment horizontal="center"/>
    </xf>
    <xf numFmtId="44" fontId="30" fillId="0" borderId="3" xfId="0" applyNumberFormat="1" applyFont="1" applyBorder="1" applyAlignment="1">
      <alignment horizontal="center" vertical="center"/>
    </xf>
    <xf numFmtId="44" fontId="30" fillId="0" borderId="0" xfId="1" applyFont="1" applyFill="1"/>
    <xf numFmtId="44" fontId="30" fillId="0" borderId="0" xfId="0" applyNumberFormat="1" applyFont="1" applyFill="1"/>
    <xf numFmtId="0" fontId="30" fillId="0" borderId="0" xfId="1" quotePrefix="1" applyNumberFormat="1" applyFont="1" applyAlignment="1">
      <alignment horizontal="center" vertical="center" wrapText="1"/>
    </xf>
    <xf numFmtId="0" fontId="30" fillId="0" borderId="0" xfId="1" applyNumberFormat="1" applyFont="1" applyAlignment="1">
      <alignment horizontal="center" vertical="center"/>
    </xf>
    <xf numFmtId="44" fontId="32" fillId="15" borderId="0" xfId="0" applyNumberFormat="1" applyFont="1" applyFill="1" applyAlignment="1">
      <alignment horizontal="right"/>
    </xf>
    <xf numFmtId="0" fontId="1" fillId="0" borderId="0" xfId="0" applyFont="1" applyAlignment="1">
      <alignment horizontal="center" wrapText="1"/>
    </xf>
  </cellXfs>
  <cellStyles count="6">
    <cellStyle name="60% - Èmfasi4" xfId="5" builtinId="44"/>
    <cellStyle name="Moneda" xfId="1" builtinId="4"/>
    <cellStyle name="Normal" xfId="0" builtinId="0"/>
    <cellStyle name="Normal 2" xfId="2" xr:uid="{45EA7A87-E374-489A-B07E-DE16C2C38560}"/>
    <cellStyle name="Percentatge" xfId="4" builtinId="5"/>
    <cellStyle name="Percentatge 2" xfId="3" xr:uid="{D5CCB324-5CE2-4F3A-8983-05FFE8A926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NGUELA MARTINEZ, XAVIER ENRIQUE" id="{F29467B6-99CA-47EE-829B-91C90E325C19}" userId="S::l333979@bcn.cat::b124633b-420a-4e4d-ad89-e704d4240eeb" providerId="AD"/>
  <person displayName="DIEZ SUAREZ, TANIA" id="{D1332BD5-2E95-4AF8-9847-28F82833087E}" userId="S::x994635@bcn.cat::753989fc-7558-4952-8202-e90d3c684bc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I2" dT="2025-07-23T14:09:06.44" personId="{F29467B6-99CA-47EE-829B-91C90E325C19}" id="{AC7B211A-6C67-4C18-B1C1-069A196F95A4}">
    <text>Es considera el cas pitjor: que sigui procediment administratiu</text>
  </threadedComment>
  <threadedComment ref="AL2" dT="2025-07-23T14:07:23.67" personId="{F29467B6-99CA-47EE-829B-91C90E325C19}" id="{B14458C5-7733-4CB9-A357-353AE7360296}">
    <text>Es considera el cas pitjor: gestió d'expedient a Salesforce en comptes de Subventio</text>
  </threadedComment>
  <threadedComment ref="AI10" dT="2025-05-12T15:52:49.85" personId="{D1332BD5-2E95-4AF8-9847-28F82833087E}" id="{0F35428D-E9C5-4C81-BC01-5894E5F35B9E}">
    <text>Còpia, esborrany, tramitació</text>
  </threadedComment>
  <threadedComment ref="AJ10" dT="2025-05-12T15:53:20.99" personId="{D1332BD5-2E95-4AF8-9847-28F82833087E}" id="{12C79C1C-3992-4D71-AD18-285DA86D93C2}">
    <text>Baixa o canvi</text>
  </threadedComment>
  <threadedComment ref="AK10" dT="2025-05-12T15:53:05.57" personId="{D1332BD5-2E95-4AF8-9847-28F82833087E}" id="{E510E0E6-9D47-41FC-9090-E6C1437D498B}">
    <text>Alta i renovació</text>
  </threadedComment>
  <threadedComment ref="AL10" dT="2025-05-12T15:53:37.08" personId="{D1332BD5-2E95-4AF8-9847-28F82833087E}" id="{5F541B8A-593E-4545-97D3-D5FFBB651C70}">
    <text>Pagament inicial i liquidació</text>
  </threadedComment>
  <threadedComment ref="AM10" dT="2025-07-23T14:06:53.42" personId="{F29467B6-99CA-47EE-829B-91C90E325C19}" id="{87EFB865-8D32-47EE-BDE7-B4A8488F41A3}">
    <text>Modificació</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C523-B89E-4518-9FC3-023A75CCAA3C}">
  <dimension ref="A2:V53"/>
  <sheetViews>
    <sheetView tabSelected="1" zoomScaleNormal="100" workbookViewId="0"/>
  </sheetViews>
  <sheetFormatPr defaultRowHeight="14.4" x14ac:dyDescent="0.3"/>
  <cols>
    <col min="1" max="1" width="42.44140625" bestFit="1" customWidth="1"/>
    <col min="2" max="2" width="14.33203125" bestFit="1" customWidth="1"/>
    <col min="3" max="3" width="15.33203125" bestFit="1" customWidth="1"/>
    <col min="4" max="4" width="16.33203125" customWidth="1"/>
    <col min="5" max="5" width="19.6640625" customWidth="1"/>
    <col min="6" max="6" width="15.33203125" bestFit="1" customWidth="1"/>
    <col min="7" max="7" width="17.6640625" style="1" customWidth="1"/>
    <col min="8" max="8" width="14.109375" customWidth="1"/>
    <col min="9" max="9" width="14.44140625" customWidth="1"/>
    <col min="10" max="11" width="14.109375" customWidth="1"/>
    <col min="12" max="12" width="15.33203125" customWidth="1"/>
    <col min="13" max="13" width="14.109375" customWidth="1"/>
    <col min="14" max="14" width="13.5546875" customWidth="1"/>
    <col min="15" max="15" width="35" bestFit="1" customWidth="1"/>
    <col min="16" max="16" width="11.6640625" customWidth="1"/>
    <col min="17" max="17" width="14.44140625" customWidth="1"/>
    <col min="18" max="18" width="29" customWidth="1"/>
    <col min="19" max="19" width="20.6640625" customWidth="1"/>
    <col min="20" max="20" width="8.88671875" customWidth="1"/>
    <col min="21" max="21" width="10.33203125" bestFit="1" customWidth="1"/>
    <col min="22" max="22" width="10.44140625" customWidth="1"/>
  </cols>
  <sheetData>
    <row r="2" spans="1:22" ht="45" customHeight="1" x14ac:dyDescent="0.3">
      <c r="A2" s="10"/>
      <c r="B2" s="525" t="s">
        <v>0</v>
      </c>
      <c r="C2" s="525"/>
      <c r="D2" s="19"/>
      <c r="E2" s="20" t="s">
        <v>1</v>
      </c>
      <c r="F2" s="19"/>
      <c r="G2" s="21" t="s">
        <v>2</v>
      </c>
      <c r="H2" s="19"/>
      <c r="I2" s="354"/>
      <c r="J2" s="354"/>
      <c r="K2" s="354"/>
      <c r="L2" s="354"/>
      <c r="O2" s="3" t="s">
        <v>3</v>
      </c>
      <c r="P2" s="3" t="s">
        <v>4</v>
      </c>
      <c r="Q2" s="3" t="s">
        <v>5</v>
      </c>
      <c r="R2" s="3" t="s">
        <v>6</v>
      </c>
    </row>
    <row r="3" spans="1:22" ht="15.6" x14ac:dyDescent="0.3">
      <c r="A3" s="8" t="s">
        <v>7</v>
      </c>
      <c r="B3" s="535">
        <f>MIN(E3,G3,I3,J3,K3)</f>
        <v>46296</v>
      </c>
      <c r="C3" s="536"/>
      <c r="D3" s="7"/>
      <c r="E3" s="14">
        <v>46296</v>
      </c>
      <c r="F3" s="7"/>
      <c r="G3" s="14">
        <v>46357</v>
      </c>
      <c r="H3" s="7"/>
      <c r="I3" s="355"/>
      <c r="J3" s="355"/>
      <c r="K3" s="355"/>
      <c r="L3" s="355"/>
      <c r="O3" t="s">
        <v>40</v>
      </c>
      <c r="P3" s="5">
        <v>87.6</v>
      </c>
      <c r="Q3" s="5">
        <f>P3*1.21</f>
        <v>105.996</v>
      </c>
      <c r="R3" t="s">
        <v>8</v>
      </c>
      <c r="S3" t="s">
        <v>9</v>
      </c>
    </row>
    <row r="4" spans="1:22" ht="15.6" x14ac:dyDescent="0.3">
      <c r="A4" s="8" t="s">
        <v>10</v>
      </c>
      <c r="B4" s="535">
        <f>MAX(E4,G4,I4,J4,K4,L4)</f>
        <v>47149</v>
      </c>
      <c r="C4" s="536"/>
      <c r="D4" s="7"/>
      <c r="E4" s="14">
        <v>47149</v>
      </c>
      <c r="F4" s="7"/>
      <c r="G4" s="14">
        <v>47149</v>
      </c>
      <c r="H4" s="7"/>
      <c r="I4" s="355"/>
      <c r="J4" s="355"/>
      <c r="K4" s="355"/>
      <c r="L4" s="355"/>
      <c r="O4" t="s">
        <v>505</v>
      </c>
      <c r="P4" s="5">
        <f t="shared" ref="P4" si="0">Q4/1.21</f>
        <v>68.285742187499991</v>
      </c>
      <c r="Q4" s="5">
        <f>V17</f>
        <v>82.625748046874989</v>
      </c>
      <c r="R4" t="s">
        <v>11</v>
      </c>
      <c r="S4" t="s">
        <v>492</v>
      </c>
    </row>
    <row r="5" spans="1:22" ht="15.6" x14ac:dyDescent="0.3">
      <c r="A5" s="8" t="s">
        <v>12</v>
      </c>
      <c r="B5" s="533"/>
      <c r="C5" s="534"/>
      <c r="D5" s="7"/>
      <c r="E5" s="15"/>
      <c r="F5" s="7"/>
      <c r="G5" s="15"/>
      <c r="H5" s="7"/>
      <c r="I5" s="356"/>
      <c r="J5" s="356"/>
      <c r="K5" s="356"/>
      <c r="L5" s="356"/>
      <c r="O5" s="520" t="s">
        <v>504</v>
      </c>
      <c r="P5" s="5">
        <v>58.23</v>
      </c>
      <c r="Q5" s="5">
        <f>P5*1.21</f>
        <v>70.458299999999994</v>
      </c>
      <c r="R5" t="s">
        <v>13</v>
      </c>
      <c r="S5" t="s">
        <v>9</v>
      </c>
    </row>
    <row r="6" spans="1:22" ht="15.6" x14ac:dyDescent="0.3">
      <c r="A6" s="8" t="s">
        <v>14</v>
      </c>
      <c r="B6" s="526"/>
      <c r="C6" s="527"/>
      <c r="D6" s="7"/>
      <c r="E6" s="16"/>
      <c r="F6" s="7"/>
      <c r="G6" s="16"/>
      <c r="H6" s="7"/>
      <c r="I6" s="357"/>
      <c r="J6" s="357"/>
      <c r="K6" s="357"/>
      <c r="L6" s="357"/>
      <c r="O6" s="520" t="s">
        <v>501</v>
      </c>
      <c r="P6" s="5">
        <f>Q6/1.21</f>
        <v>91.128839062500006</v>
      </c>
      <c r="Q6" s="5">
        <f>V16</f>
        <v>110.26589526562501</v>
      </c>
      <c r="R6" t="s">
        <v>15</v>
      </c>
      <c r="S6" t="s">
        <v>492</v>
      </c>
    </row>
    <row r="7" spans="1:22" ht="15.6" x14ac:dyDescent="0.3">
      <c r="A7" s="8" t="s">
        <v>16</v>
      </c>
      <c r="B7" s="531">
        <v>28</v>
      </c>
      <c r="C7" s="532"/>
      <c r="D7" s="7"/>
      <c r="E7" s="17">
        <v>28</v>
      </c>
      <c r="F7" s="7"/>
      <c r="G7" s="17">
        <v>26</v>
      </c>
      <c r="H7" s="7"/>
      <c r="I7" s="358"/>
      <c r="J7" s="358"/>
      <c r="K7" s="358"/>
      <c r="L7" s="358"/>
      <c r="O7" t="s">
        <v>502</v>
      </c>
      <c r="P7" s="5">
        <v>48.06</v>
      </c>
      <c r="Q7" s="5">
        <f>P7*1.21</f>
        <v>58.1526</v>
      </c>
      <c r="R7" t="s">
        <v>17</v>
      </c>
      <c r="S7" t="s">
        <v>9</v>
      </c>
    </row>
    <row r="8" spans="1:22" ht="15.6" x14ac:dyDescent="0.3">
      <c r="A8" s="8" t="s">
        <v>18</v>
      </c>
      <c r="B8" s="526"/>
      <c r="C8" s="527"/>
      <c r="D8" s="7"/>
      <c r="E8" s="16">
        <f>$B$14*(E7/12)</f>
        <v>4106.666666666667</v>
      </c>
      <c r="F8" s="7"/>
      <c r="G8" s="16">
        <f>$B$14*(G7/12)</f>
        <v>3813.333333333333</v>
      </c>
      <c r="H8" s="7"/>
      <c r="I8" s="359"/>
      <c r="J8" s="359"/>
      <c r="K8" s="359"/>
      <c r="L8" s="359"/>
      <c r="O8" t="s">
        <v>19</v>
      </c>
      <c r="P8" s="5">
        <f>Q8/1.21</f>
        <v>59.310351562499989</v>
      </c>
      <c r="Q8" s="5">
        <f>V19</f>
        <v>71.765525390624987</v>
      </c>
      <c r="R8" t="s">
        <v>20</v>
      </c>
      <c r="S8" t="s">
        <v>492</v>
      </c>
    </row>
    <row r="9" spans="1:22" ht="15.6" x14ac:dyDescent="0.3">
      <c r="A9" s="9" t="s">
        <v>21</v>
      </c>
      <c r="B9" s="529">
        <f>SUM(E9,G9)</f>
        <v>4758618.9800000004</v>
      </c>
      <c r="C9" s="530"/>
      <c r="D9" s="7"/>
      <c r="E9" s="18">
        <f>ROUND(F22,2)</f>
        <v>1184736.3600000001</v>
      </c>
      <c r="F9" s="7"/>
      <c r="G9" s="18">
        <f>ROUND(F36,2)</f>
        <v>3573882.62</v>
      </c>
      <c r="H9" s="7"/>
      <c r="I9" s="360"/>
      <c r="J9" s="360"/>
      <c r="K9" s="360"/>
      <c r="L9" s="360"/>
      <c r="O9" s="413" t="s">
        <v>497</v>
      </c>
      <c r="P9" s="5">
        <f>Q9/1.21</f>
        <v>59.310351562499989</v>
      </c>
      <c r="Q9" s="5">
        <f>V19</f>
        <v>71.765525390624987</v>
      </c>
      <c r="R9" t="s">
        <v>20</v>
      </c>
      <c r="S9" t="s">
        <v>492</v>
      </c>
    </row>
    <row r="10" spans="1:22" ht="15.6" x14ac:dyDescent="0.3">
      <c r="A10" s="9" t="s">
        <v>22</v>
      </c>
      <c r="B10" s="529">
        <f>SUM(E10,G10)</f>
        <v>5757928.9699999997</v>
      </c>
      <c r="C10" s="530"/>
      <c r="D10" s="7"/>
      <c r="E10" s="18">
        <f>ROUND(E9*1.21,2)</f>
        <v>1433531</v>
      </c>
      <c r="F10" s="7"/>
      <c r="G10" s="18">
        <f>ROUND(G9*1.21,2)</f>
        <v>4324397.97</v>
      </c>
      <c r="H10" s="7"/>
      <c r="I10" s="360"/>
      <c r="J10" s="360"/>
      <c r="K10" s="360"/>
      <c r="L10" s="360"/>
      <c r="O10" s="521" t="s">
        <v>503</v>
      </c>
      <c r="P10" s="5">
        <v>38.24</v>
      </c>
      <c r="Q10" s="5">
        <f>P10*1.21</f>
        <v>46.270400000000002</v>
      </c>
      <c r="R10" t="s">
        <v>23</v>
      </c>
      <c r="S10" t="s">
        <v>9</v>
      </c>
    </row>
    <row r="11" spans="1:22" ht="15.6" x14ac:dyDescent="0.3">
      <c r="A11" s="9" t="s">
        <v>24</v>
      </c>
      <c r="B11" s="529"/>
      <c r="C11" s="530"/>
      <c r="D11" s="7"/>
      <c r="E11" s="18">
        <f>ROUND(E9/E7,2)</f>
        <v>42312.01</v>
      </c>
      <c r="F11" s="7"/>
      <c r="G11" s="18">
        <f>ROUND(G9/G7,2)</f>
        <v>137457.01999999999</v>
      </c>
      <c r="H11" s="7"/>
      <c r="I11" s="360"/>
      <c r="J11" s="360"/>
      <c r="K11" s="360"/>
      <c r="L11" s="360"/>
      <c r="O11" s="522" t="s">
        <v>513</v>
      </c>
      <c r="P11" s="101">
        <f>V20/1.21</f>
        <v>43.967770312500001</v>
      </c>
      <c r="Q11" s="5">
        <f>P11*1.21</f>
        <v>53.201002078125001</v>
      </c>
      <c r="R11" t="s">
        <v>515</v>
      </c>
      <c r="S11" t="s">
        <v>492</v>
      </c>
    </row>
    <row r="12" spans="1:22" ht="15.6" x14ac:dyDescent="0.3">
      <c r="A12" s="9" t="s">
        <v>25</v>
      </c>
      <c r="B12" s="529"/>
      <c r="C12" s="530"/>
      <c r="D12" s="7"/>
      <c r="E12" s="18">
        <f>ROUND(E10/E7,2)</f>
        <v>51197.54</v>
      </c>
      <c r="F12" s="7"/>
      <c r="G12" s="18">
        <f>ROUND(G10/G7,2)</f>
        <v>166323</v>
      </c>
      <c r="H12" s="7"/>
      <c r="I12" s="360"/>
      <c r="J12" s="360"/>
      <c r="K12" s="360"/>
      <c r="L12" s="360"/>
      <c r="O12" s="522" t="s">
        <v>514</v>
      </c>
      <c r="P12" s="101">
        <f>V18/1.21</f>
        <v>44.634374999999991</v>
      </c>
      <c r="Q12" s="5">
        <f>P12*1.21</f>
        <v>54.007593749999991</v>
      </c>
      <c r="R12" t="s">
        <v>516</v>
      </c>
      <c r="S12" t="s">
        <v>492</v>
      </c>
    </row>
    <row r="14" spans="1:22" ht="15.6" x14ac:dyDescent="0.3">
      <c r="A14" s="10" t="s">
        <v>26</v>
      </c>
      <c r="B14" s="10">
        <v>1760</v>
      </c>
    </row>
    <row r="15" spans="1:22" ht="43.8" thickBot="1" x14ac:dyDescent="0.35">
      <c r="O15" s="169" t="s">
        <v>506</v>
      </c>
      <c r="P15" s="169" t="s">
        <v>27</v>
      </c>
      <c r="Q15" s="169" t="s">
        <v>28</v>
      </c>
      <c r="R15" s="169" t="s">
        <v>29</v>
      </c>
      <c r="S15" s="169" t="s">
        <v>30</v>
      </c>
      <c r="T15" s="169" t="s">
        <v>31</v>
      </c>
      <c r="U15" s="169" t="s">
        <v>496</v>
      </c>
      <c r="V15" s="169" t="s">
        <v>530</v>
      </c>
    </row>
    <row r="16" spans="1:22" ht="15" thickBot="1" x14ac:dyDescent="0.35">
      <c r="O16" s="444" t="str">
        <f>O6</f>
        <v>Arquitecte/a Salesforce</v>
      </c>
      <c r="P16" s="165">
        <v>93917</v>
      </c>
      <c r="Q16" s="166">
        <f>P16/$B$14</f>
        <v>53.361931818181816</v>
      </c>
      <c r="R16" s="166">
        <f>Q16*0.35</f>
        <v>18.676676136363636</v>
      </c>
      <c r="S16" s="166">
        <f t="shared" ref="S16:S21" si="1">(Q16+R16)*0.15</f>
        <v>10.805791193181818</v>
      </c>
      <c r="T16" s="166">
        <f t="shared" ref="T16:T21" si="2">(Q16+R16+S16)*0.1</f>
        <v>8.2844399147727277</v>
      </c>
      <c r="U16" s="166">
        <f>SUM(Q16:T16)</f>
        <v>91.128839062500006</v>
      </c>
      <c r="V16" s="166">
        <f>SUM(Q16:T16)*1.21</f>
        <v>110.26589526562501</v>
      </c>
    </row>
    <row r="17" spans="1:22" ht="15" thickBot="1" x14ac:dyDescent="0.35">
      <c r="A17" s="528" t="s">
        <v>32</v>
      </c>
      <c r="B17" s="528"/>
      <c r="H17">
        <v>2</v>
      </c>
      <c r="I17">
        <v>12</v>
      </c>
      <c r="J17">
        <v>12</v>
      </c>
      <c r="K17">
        <v>2</v>
      </c>
      <c r="L17">
        <v>0</v>
      </c>
      <c r="O17" s="445" t="str">
        <f>O4</f>
        <v>Consultor/a sènior Salesforce</v>
      </c>
      <c r="P17" s="167">
        <v>70375</v>
      </c>
      <c r="Q17" s="166">
        <f>P17/$B$14</f>
        <v>39.985795454545453</v>
      </c>
      <c r="R17" s="166">
        <f>Q17*0.35</f>
        <v>13.995028409090908</v>
      </c>
      <c r="S17" s="166">
        <f t="shared" si="1"/>
        <v>8.0971235795454533</v>
      </c>
      <c r="T17" s="166">
        <f t="shared" si="2"/>
        <v>6.207794744318182</v>
      </c>
      <c r="U17" s="166">
        <f t="shared" ref="U17:U20" si="3">SUM(Q17:T17)</f>
        <v>68.285742187499991</v>
      </c>
      <c r="V17" s="166">
        <f>SUM(Q17:T17)*1.21</f>
        <v>82.625748046874989</v>
      </c>
    </row>
    <row r="18" spans="1:22" ht="29.4" thickBot="1" x14ac:dyDescent="0.35">
      <c r="A18" s="2" t="s">
        <v>33</v>
      </c>
      <c r="B18" s="3" t="s">
        <v>34</v>
      </c>
      <c r="C18" s="3" t="s">
        <v>35</v>
      </c>
      <c r="D18" s="3" t="s">
        <v>36</v>
      </c>
      <c r="E18" s="3" t="s">
        <v>37</v>
      </c>
      <c r="F18" s="3" t="s">
        <v>38</v>
      </c>
      <c r="G18" s="3" t="s">
        <v>39</v>
      </c>
      <c r="H18" s="102">
        <v>2026</v>
      </c>
      <c r="I18" s="102">
        <v>2027</v>
      </c>
      <c r="J18" s="102">
        <v>2028</v>
      </c>
      <c r="K18" s="102">
        <v>2029</v>
      </c>
      <c r="L18" s="102">
        <v>2030</v>
      </c>
      <c r="O18" s="445" t="str">
        <f>O12</f>
        <v>Consultor/a Salesforce</v>
      </c>
      <c r="P18" s="168">
        <v>46000</v>
      </c>
      <c r="Q18" s="166">
        <f t="shared" ref="Q18:Q20" si="4">P18/$B$14</f>
        <v>26.136363636363637</v>
      </c>
      <c r="R18" s="166">
        <f t="shared" ref="R18:R20" si="5">Q18*0.35</f>
        <v>9.1477272727272716</v>
      </c>
      <c r="S18" s="166">
        <f t="shared" si="1"/>
        <v>5.2926136363636358</v>
      </c>
      <c r="T18" s="166">
        <f t="shared" si="2"/>
        <v>4.0576704545454545</v>
      </c>
      <c r="U18" s="166">
        <f t="shared" si="3"/>
        <v>44.634374999999991</v>
      </c>
      <c r="V18" s="166">
        <f t="shared" ref="V18:V20" si="6">SUM(Q18:T18)*1.21</f>
        <v>54.007593749999991</v>
      </c>
    </row>
    <row r="19" spans="1:22" ht="15" thickBot="1" x14ac:dyDescent="0.35">
      <c r="A19" t="str">
        <f>O3</f>
        <v>Cap de projecte i Responsable del servei</v>
      </c>
      <c r="B19" s="1">
        <v>1</v>
      </c>
      <c r="C19" s="4">
        <v>0.85</v>
      </c>
      <c r="D19" s="12">
        <f>$E$8*B19*C19</f>
        <v>3490.666666666667</v>
      </c>
      <c r="E19" s="6">
        <f>P3</f>
        <v>87.6</v>
      </c>
      <c r="F19" s="6">
        <f>ROUND(D19*E19,2)</f>
        <v>305782.40000000002</v>
      </c>
      <c r="G19" s="6">
        <f>ROUND(F19*1.21,2)</f>
        <v>369996.7</v>
      </c>
      <c r="H19" s="6">
        <f>ROUND($G$19*H17/$E$7,2)</f>
        <v>26428.34</v>
      </c>
      <c r="I19" s="6">
        <f>ROUND($G$19*I17/$E$7,2)</f>
        <v>158570.01</v>
      </c>
      <c r="J19" s="6">
        <f>ROUND($G$19*J17/$E$7,2)</f>
        <v>158570.01</v>
      </c>
      <c r="K19" s="6">
        <f>ROUND($G$19*K17/$E$7,2)</f>
        <v>26428.34</v>
      </c>
      <c r="L19" s="6">
        <f t="shared" ref="L19" si="7">$G$19*L17/$E$7</f>
        <v>0</v>
      </c>
      <c r="O19" s="445" t="str">
        <f>O8</f>
        <v>Analista programador sènior Salesforce</v>
      </c>
      <c r="P19" s="167">
        <v>61125</v>
      </c>
      <c r="Q19" s="166">
        <f t="shared" si="4"/>
        <v>34.730113636363633</v>
      </c>
      <c r="R19" s="166">
        <f t="shared" si="5"/>
        <v>12.155539772727272</v>
      </c>
      <c r="S19" s="166">
        <f t="shared" si="1"/>
        <v>7.0328480113636358</v>
      </c>
      <c r="T19" s="166">
        <f t="shared" si="2"/>
        <v>5.3918501420454543</v>
      </c>
      <c r="U19" s="166">
        <f t="shared" si="3"/>
        <v>59.310351562499996</v>
      </c>
      <c r="V19" s="166">
        <f t="shared" si="6"/>
        <v>71.765525390624987</v>
      </c>
    </row>
    <row r="20" spans="1:22" ht="15" thickBot="1" x14ac:dyDescent="0.35">
      <c r="A20" t="str">
        <f>O6</f>
        <v>Arquitecte/a Salesforce</v>
      </c>
      <c r="B20" s="1">
        <v>1</v>
      </c>
      <c r="C20" s="4">
        <v>0.85</v>
      </c>
      <c r="D20" s="12">
        <f>$E$8*B20*C20</f>
        <v>3490.666666666667</v>
      </c>
      <c r="E20" s="5">
        <f>P6</f>
        <v>91.128839062500006</v>
      </c>
      <c r="F20" s="6">
        <f>ROUND(D20*E20,2)</f>
        <v>318100.40000000002</v>
      </c>
      <c r="G20" s="6">
        <f>ROUND(F20*1.21,2)</f>
        <v>384901.48</v>
      </c>
      <c r="H20" s="6">
        <f>ROUND($G$20*H17/$E$7,2)</f>
        <v>27492.959999999999</v>
      </c>
      <c r="I20" s="6">
        <f>ROUND($G$20*I17/$E$7,2)</f>
        <v>164957.78</v>
      </c>
      <c r="J20" s="6">
        <f>ROUND($G$20*J17/$E$7,2)</f>
        <v>164957.78</v>
      </c>
      <c r="K20" s="6">
        <f>ROUND($G$20*K17/$E$7,2)</f>
        <v>27492.959999999999</v>
      </c>
      <c r="L20" s="6">
        <f t="shared" ref="L20" si="8">$G$20*L17/$E$7</f>
        <v>0</v>
      </c>
      <c r="O20" s="445" t="str">
        <f>O11</f>
        <v>Analista programador Salesforce</v>
      </c>
      <c r="P20" s="167">
        <v>45313</v>
      </c>
      <c r="Q20" s="166">
        <f t="shared" si="4"/>
        <v>25.746022727272727</v>
      </c>
      <c r="R20" s="166">
        <f t="shared" si="5"/>
        <v>9.0111079545454533</v>
      </c>
      <c r="S20" s="166">
        <f t="shared" si="1"/>
        <v>5.2135696022727274</v>
      </c>
      <c r="T20" s="166">
        <f t="shared" si="2"/>
        <v>3.997070028409091</v>
      </c>
      <c r="U20" s="166">
        <f t="shared" si="3"/>
        <v>43.967770312500001</v>
      </c>
      <c r="V20" s="166">
        <f t="shared" si="6"/>
        <v>53.201002078125001</v>
      </c>
    </row>
    <row r="21" spans="1:22" ht="15" thickBot="1" x14ac:dyDescent="0.35">
      <c r="A21" t="str">
        <f>O4</f>
        <v>Consultor/a sènior Salesforce</v>
      </c>
      <c r="B21" s="1">
        <v>2</v>
      </c>
      <c r="C21" s="4">
        <v>1</v>
      </c>
      <c r="D21" s="12">
        <f>$E$8*B21*C21</f>
        <v>8213.3333333333339</v>
      </c>
      <c r="E21" s="5">
        <f>P4</f>
        <v>68.285742187499991</v>
      </c>
      <c r="F21" s="6">
        <f>ROUND(D21*E21,2)</f>
        <v>560853.56000000006</v>
      </c>
      <c r="G21" s="6">
        <f>ROUND(F21*1.21,2)</f>
        <v>678632.81</v>
      </c>
      <c r="H21" s="6">
        <f>ROUND($G$21*H17/$E$7,2)</f>
        <v>48473.77</v>
      </c>
      <c r="I21" s="6">
        <f>ROUND($G$21*I17/$E$7,2)</f>
        <v>290842.63</v>
      </c>
      <c r="J21" s="6">
        <f>ROUND($G$21*J17/$E$7,2)</f>
        <v>290842.63</v>
      </c>
      <c r="K21" s="6">
        <f>ROUND($G$21*K17/$E$7,2)</f>
        <v>48473.77</v>
      </c>
      <c r="L21" s="6">
        <f t="shared" ref="L21" si="9">$G$21*L17/$E$7</f>
        <v>0</v>
      </c>
      <c r="O21" s="445" t="str">
        <f>O9</f>
        <v>Analista programador sènior integracions</v>
      </c>
      <c r="P21" s="167">
        <v>61125</v>
      </c>
      <c r="Q21" s="166">
        <f t="shared" ref="Q21" si="10">P21/$B$14</f>
        <v>34.730113636363633</v>
      </c>
      <c r="R21" s="166">
        <f t="shared" ref="R21" si="11">Q21*0.35</f>
        <v>12.155539772727272</v>
      </c>
      <c r="S21" s="166">
        <f t="shared" si="1"/>
        <v>7.0328480113636358</v>
      </c>
      <c r="T21" s="166">
        <f t="shared" si="2"/>
        <v>5.3918501420454543</v>
      </c>
      <c r="U21" s="166">
        <f t="shared" ref="U21" si="12">SUM(Q21:T21)</f>
        <v>59.310351562499996</v>
      </c>
      <c r="V21" s="166">
        <f t="shared" ref="V21" si="13">SUM(Q21:T21)*1.21</f>
        <v>71.765525390624987</v>
      </c>
    </row>
    <row r="22" spans="1:22" x14ac:dyDescent="0.3">
      <c r="A22" s="2"/>
      <c r="B22" s="3"/>
      <c r="C22" s="3"/>
      <c r="D22" s="13">
        <f>SUM(D19:D21)</f>
        <v>15194.666666666668</v>
      </c>
      <c r="E22" s="11"/>
      <c r="F22" s="11">
        <f>SUM(F19:F21)</f>
        <v>1184736.3600000001</v>
      </c>
      <c r="G22" s="11">
        <f>SUM(G19:G21)</f>
        <v>1433530.99</v>
      </c>
      <c r="H22" s="103">
        <f>SUM(H19:H21)</f>
        <v>102395.07</v>
      </c>
      <c r="I22" s="103">
        <f t="shared" ref="I22:L22" si="14">SUM(I19:I21)</f>
        <v>614370.42000000004</v>
      </c>
      <c r="J22" s="103">
        <f t="shared" si="14"/>
        <v>614370.42000000004</v>
      </c>
      <c r="K22" s="103">
        <f t="shared" si="14"/>
        <v>102395.07</v>
      </c>
      <c r="L22" s="103">
        <f t="shared" si="14"/>
        <v>0</v>
      </c>
      <c r="O22" s="112"/>
      <c r="P22" s="112"/>
      <c r="Q22" s="112"/>
      <c r="R22" s="112"/>
      <c r="S22" s="112"/>
      <c r="T22" s="112"/>
      <c r="U22" s="442"/>
      <c r="V22" s="112"/>
    </row>
    <row r="23" spans="1:22" hidden="1" x14ac:dyDescent="0.3">
      <c r="C23" t="s">
        <v>41</v>
      </c>
      <c r="D23" s="101">
        <f>F22/D22</f>
        <v>77.970539663039659</v>
      </c>
      <c r="E23" s="101">
        <f>G22/D22</f>
        <v>94.344352623727616</v>
      </c>
      <c r="O23" s="441"/>
      <c r="P23" s="441"/>
      <c r="Q23" s="441"/>
      <c r="R23" s="112"/>
      <c r="S23" s="112"/>
      <c r="T23" s="112"/>
      <c r="U23" s="442"/>
      <c r="V23" s="112"/>
    </row>
    <row r="24" spans="1:22" hidden="1" x14ac:dyDescent="0.3">
      <c r="D24" s="411" t="s">
        <v>494</v>
      </c>
      <c r="E24" s="411" t="s">
        <v>495</v>
      </c>
      <c r="O24" s="441"/>
      <c r="P24" s="441"/>
      <c r="Q24" s="443"/>
      <c r="R24" s="442"/>
      <c r="S24" s="442"/>
      <c r="T24" s="442"/>
      <c r="U24" s="442"/>
      <c r="V24" s="442"/>
    </row>
    <row r="25" spans="1:22" x14ac:dyDescent="0.3">
      <c r="F25" s="322">
        <f>+F22/D22</f>
        <v>77.970539663039659</v>
      </c>
      <c r="G25" s="519" t="s">
        <v>529</v>
      </c>
      <c r="H25" s="517" t="s">
        <v>528</v>
      </c>
      <c r="I25" s="517" t="s">
        <v>528</v>
      </c>
      <c r="J25" s="517" t="s">
        <v>528</v>
      </c>
      <c r="K25" s="517" t="s">
        <v>528</v>
      </c>
      <c r="O25" s="441"/>
      <c r="P25" s="263"/>
      <c r="Q25" s="443"/>
      <c r="R25" s="442"/>
      <c r="S25" s="442"/>
      <c r="T25" s="442"/>
      <c r="U25" s="442"/>
      <c r="V25" s="442"/>
    </row>
    <row r="26" spans="1:22" x14ac:dyDescent="0.3">
      <c r="A26" s="528" t="s">
        <v>42</v>
      </c>
      <c r="B26" s="528"/>
      <c r="H26">
        <v>0</v>
      </c>
      <c r="I26">
        <v>12</v>
      </c>
      <c r="J26">
        <v>12</v>
      </c>
      <c r="K26">
        <v>2</v>
      </c>
      <c r="L26">
        <v>0</v>
      </c>
      <c r="O26" s="441"/>
      <c r="P26" s="441"/>
      <c r="Q26" s="443"/>
      <c r="R26" s="442"/>
      <c r="S26" s="442"/>
      <c r="T26" s="442"/>
      <c r="U26" s="442"/>
      <c r="V26" s="442"/>
    </row>
    <row r="27" spans="1:22" ht="28.8" x14ac:dyDescent="0.3">
      <c r="A27" s="2" t="s">
        <v>33</v>
      </c>
      <c r="B27" s="3" t="s">
        <v>34</v>
      </c>
      <c r="C27" s="3" t="s">
        <v>35</v>
      </c>
      <c r="D27" s="3" t="s">
        <v>36</v>
      </c>
      <c r="E27" s="3" t="s">
        <v>37</v>
      </c>
      <c r="F27" s="3" t="s">
        <v>38</v>
      </c>
      <c r="G27" s="3" t="s">
        <v>39</v>
      </c>
      <c r="H27" s="102">
        <v>2026</v>
      </c>
      <c r="I27" s="102">
        <v>2027</v>
      </c>
      <c r="J27" s="102">
        <v>2028</v>
      </c>
      <c r="K27" s="102">
        <v>2029</v>
      </c>
      <c r="L27" s="102">
        <v>2030</v>
      </c>
      <c r="O27" s="263"/>
      <c r="P27" s="263"/>
      <c r="Q27" s="443"/>
      <c r="R27" s="442"/>
      <c r="S27" s="442"/>
      <c r="T27" s="442"/>
      <c r="U27" s="442"/>
      <c r="V27" s="442"/>
    </row>
    <row r="28" spans="1:22" x14ac:dyDescent="0.3">
      <c r="A28" t="str">
        <f>O4</f>
        <v>Consultor/a sènior Salesforce</v>
      </c>
      <c r="B28" s="1">
        <v>2</v>
      </c>
      <c r="C28" s="4">
        <v>1</v>
      </c>
      <c r="D28" s="12">
        <f t="shared" ref="D28:D35" si="15">$G$8*B28*C28</f>
        <v>7626.6666666666661</v>
      </c>
      <c r="E28" s="5">
        <f>P4</f>
        <v>68.285742187499991</v>
      </c>
      <c r="F28" s="6">
        <f t="shared" ref="F28:F35" si="16">ROUND(D28*E28,2)</f>
        <v>520792.59</v>
      </c>
      <c r="G28" s="6">
        <f t="shared" ref="G28:G35" si="17">ROUND(F28*1.21,2)</f>
        <v>630159.03</v>
      </c>
      <c r="H28" s="6">
        <f>$G$28*H$26/$G$7</f>
        <v>0</v>
      </c>
      <c r="I28" s="6">
        <f>ROUND($G$28*I$26/$G$7,2)</f>
        <v>290842.63</v>
      </c>
      <c r="J28" s="6">
        <f>ROUND($G$28*J$26/$G$7,2)</f>
        <v>290842.63</v>
      </c>
      <c r="K28" s="6">
        <f>ROUND($G$28*K$26/$G$7,2)</f>
        <v>48473.77</v>
      </c>
      <c r="L28" s="6">
        <f t="shared" ref="L28" si="18">$G$28*L$26/$G$7</f>
        <v>0</v>
      </c>
      <c r="O28" s="263"/>
      <c r="P28" s="263"/>
      <c r="Q28" s="263"/>
      <c r="R28" s="112"/>
      <c r="S28" s="112"/>
      <c r="T28" s="112"/>
      <c r="U28" s="112"/>
      <c r="V28" s="112"/>
    </row>
    <row r="29" spans="1:22" x14ac:dyDescent="0.3">
      <c r="A29" s="362" t="str">
        <f>O12</f>
        <v>Consultor/a Salesforce</v>
      </c>
      <c r="B29" s="1">
        <v>1</v>
      </c>
      <c r="C29" s="4">
        <v>1</v>
      </c>
      <c r="D29" s="12">
        <f t="shared" ref="D29" si="19">$G$8*B29*C29</f>
        <v>3813.333333333333</v>
      </c>
      <c r="E29" s="5">
        <f>P12</f>
        <v>44.634374999999991</v>
      </c>
      <c r="F29" s="6">
        <f t="shared" si="16"/>
        <v>170205.75</v>
      </c>
      <c r="G29" s="6">
        <f t="shared" si="17"/>
        <v>205948.96</v>
      </c>
      <c r="H29" s="6">
        <f>$G$29*H$26/$G$7</f>
        <v>0</v>
      </c>
      <c r="I29" s="6">
        <f>ROUND($G$29*I$26/$G$7,2)</f>
        <v>95053.37</v>
      </c>
      <c r="J29" s="6">
        <f>ROUND($G$29*J$26/$G$7,2)</f>
        <v>95053.37</v>
      </c>
      <c r="K29" s="6">
        <f>ROUND($G$29*K$26/$G$7,2)</f>
        <v>15842.23</v>
      </c>
      <c r="L29" s="6">
        <f>$G$29*L$26/$G$7</f>
        <v>0</v>
      </c>
      <c r="O29" s="263"/>
      <c r="P29" s="263"/>
      <c r="Q29" s="263"/>
    </row>
    <row r="30" spans="1:22" x14ac:dyDescent="0.3">
      <c r="A30" s="362" t="str">
        <f>O5</f>
        <v>Consultor/a BI</v>
      </c>
      <c r="B30" s="1">
        <v>1.5</v>
      </c>
      <c r="C30" s="4">
        <v>1</v>
      </c>
      <c r="D30" s="12">
        <f t="shared" si="15"/>
        <v>5720</v>
      </c>
      <c r="E30" s="5">
        <f>P5</f>
        <v>58.23</v>
      </c>
      <c r="F30" s="6">
        <f t="shared" si="16"/>
        <v>333075.59999999998</v>
      </c>
      <c r="G30" s="6">
        <f t="shared" si="17"/>
        <v>403021.48</v>
      </c>
      <c r="H30" s="6">
        <f>$G$30*H$26/$G$7</f>
        <v>0</v>
      </c>
      <c r="I30" s="6">
        <f>ROUND($G$30*I$26/$G$7,2)</f>
        <v>186009.91</v>
      </c>
      <c r="J30" s="6">
        <f>ROUND($G$30*J$26/$G$7,2)</f>
        <v>186009.91</v>
      </c>
      <c r="K30" s="6">
        <f>ROUND($G$30*K$26/$G$7,2)</f>
        <v>31001.65</v>
      </c>
      <c r="L30" s="6">
        <f t="shared" ref="L30" si="20">$G$30*L$26/$G$7</f>
        <v>0</v>
      </c>
    </row>
    <row r="31" spans="1:22" x14ac:dyDescent="0.3">
      <c r="A31" t="str">
        <f>O7</f>
        <v>Dissenyador/a UX/UI</v>
      </c>
      <c r="B31" s="1">
        <v>1</v>
      </c>
      <c r="C31" s="4">
        <v>0.5</v>
      </c>
      <c r="D31" s="12">
        <f t="shared" si="15"/>
        <v>1906.6666666666665</v>
      </c>
      <c r="E31" s="6">
        <f>P7</f>
        <v>48.06</v>
      </c>
      <c r="F31" s="6">
        <f t="shared" si="16"/>
        <v>91634.4</v>
      </c>
      <c r="G31" s="6">
        <f t="shared" si="17"/>
        <v>110877.62</v>
      </c>
      <c r="H31" s="6">
        <f>$G$31*H$26/$G$7</f>
        <v>0</v>
      </c>
      <c r="I31" s="6">
        <f>ROUND($G$31*I$26/$G$7,2)</f>
        <v>51174.29</v>
      </c>
      <c r="J31" s="6">
        <f>ROUND($G$31*J$26/$G$7,2)</f>
        <v>51174.29</v>
      </c>
      <c r="K31" s="6">
        <f>ROUND($G$31*K$26/$G$7,2)</f>
        <v>8529.0499999999993</v>
      </c>
      <c r="L31" s="6">
        <f t="shared" ref="L31" si="21">$G$31*L$26/$G$7</f>
        <v>0</v>
      </c>
    </row>
    <row r="32" spans="1:22" x14ac:dyDescent="0.3">
      <c r="A32" t="str">
        <f>O8</f>
        <v>Analista programador sènior Salesforce</v>
      </c>
      <c r="B32" s="1">
        <v>6</v>
      </c>
      <c r="C32" s="4">
        <v>1</v>
      </c>
      <c r="D32" s="12">
        <f t="shared" si="15"/>
        <v>22880</v>
      </c>
      <c r="E32" s="6">
        <f>P8</f>
        <v>59.310351562499989</v>
      </c>
      <c r="F32" s="6">
        <f t="shared" si="16"/>
        <v>1357020.84</v>
      </c>
      <c r="G32" s="6">
        <f t="shared" si="17"/>
        <v>1641995.22</v>
      </c>
      <c r="H32" s="6">
        <f>$G$32*H$26/$G$7</f>
        <v>0</v>
      </c>
      <c r="I32" s="6">
        <f>ROUND($G$32*I$26/$G$7,2)</f>
        <v>757843.95</v>
      </c>
      <c r="J32" s="6">
        <f>ROUND($G$32*J$26/$G$7,2)</f>
        <v>757843.95</v>
      </c>
      <c r="K32" s="6">
        <f>ROUND($G$32*K$26/$G$7,2)</f>
        <v>126307.32</v>
      </c>
      <c r="L32" s="6">
        <f>$G$32*L$26/$G$7</f>
        <v>0</v>
      </c>
    </row>
    <row r="33" spans="1:12" x14ac:dyDescent="0.3">
      <c r="A33" t="str">
        <f>O11</f>
        <v>Analista programador Salesforce</v>
      </c>
      <c r="B33" s="1">
        <v>3</v>
      </c>
      <c r="C33" s="4">
        <v>1</v>
      </c>
      <c r="D33" s="12">
        <f t="shared" si="15"/>
        <v>11440</v>
      </c>
      <c r="E33" s="6">
        <f>P11</f>
        <v>43.967770312500001</v>
      </c>
      <c r="F33" s="6">
        <f t="shared" si="16"/>
        <v>502991.29</v>
      </c>
      <c r="G33" s="6">
        <f t="shared" si="17"/>
        <v>608619.46</v>
      </c>
      <c r="H33" s="6">
        <f>$G$33*H$26/$G$7</f>
        <v>0</v>
      </c>
      <c r="I33" s="6">
        <f>ROUND($G$33*I$26/$G$7,2)</f>
        <v>280901.28999999998</v>
      </c>
      <c r="J33" s="6">
        <f>ROUND($G$33*J$26/$G$7,2)</f>
        <v>280901.28999999998</v>
      </c>
      <c r="K33" s="6">
        <f>ROUND($G$33*K$26/$G$7,2)</f>
        <v>46816.88</v>
      </c>
      <c r="L33" s="6">
        <f>$G$32*L$26/$G$7</f>
        <v>0</v>
      </c>
    </row>
    <row r="34" spans="1:12" x14ac:dyDescent="0.3">
      <c r="A34" s="413" t="str">
        <f>O9</f>
        <v>Analista programador sènior integracions</v>
      </c>
      <c r="B34" s="1">
        <v>2</v>
      </c>
      <c r="C34" s="4">
        <v>1</v>
      </c>
      <c r="D34" s="12">
        <f t="shared" si="15"/>
        <v>7626.6666666666661</v>
      </c>
      <c r="E34" s="6">
        <f>P9</f>
        <v>59.310351562499989</v>
      </c>
      <c r="F34" s="6">
        <f t="shared" si="16"/>
        <v>452340.28</v>
      </c>
      <c r="G34" s="6">
        <f t="shared" si="17"/>
        <v>547331.74</v>
      </c>
      <c r="H34" s="6">
        <f>$G$34*H$26/$G$7</f>
        <v>0</v>
      </c>
      <c r="I34" s="6">
        <f>ROUND($G$34*I$26/$G$7,2)</f>
        <v>252614.65</v>
      </c>
      <c r="J34" s="6">
        <f>ROUND($G$34*J$26/$G$7,2)</f>
        <v>252614.65</v>
      </c>
      <c r="K34" s="6">
        <f>ROUND($G$34*K$26/$G$7,2)</f>
        <v>42102.44</v>
      </c>
      <c r="L34" s="6">
        <f t="shared" ref="L34" si="22">$G$34*L$26/$G$7</f>
        <v>0</v>
      </c>
    </row>
    <row r="35" spans="1:12" x14ac:dyDescent="0.3">
      <c r="A35" s="101" t="str">
        <f>O10</f>
        <v>Tècnic/a de testing</v>
      </c>
      <c r="B35" s="1">
        <v>1</v>
      </c>
      <c r="C35" s="4">
        <v>1</v>
      </c>
      <c r="D35" s="12">
        <f t="shared" si="15"/>
        <v>3813.333333333333</v>
      </c>
      <c r="E35" s="6">
        <f>P10</f>
        <v>38.24</v>
      </c>
      <c r="F35" s="6">
        <f t="shared" si="16"/>
        <v>145821.87</v>
      </c>
      <c r="G35" s="6">
        <f t="shared" si="17"/>
        <v>176444.46</v>
      </c>
      <c r="H35" s="6">
        <f>$G$35*H$26/$G$7</f>
        <v>0</v>
      </c>
      <c r="I35" s="6">
        <f>ROUND($G$35*I$26/$G$7,2)</f>
        <v>81435.899999999994</v>
      </c>
      <c r="J35" s="6">
        <f>ROUND($G$35*J$26/$G$7,2)</f>
        <v>81435.899999999994</v>
      </c>
      <c r="K35" s="6">
        <f>ROUND($G$35*K$26/$G$7,2)</f>
        <v>13572.65</v>
      </c>
      <c r="L35" s="6">
        <f t="shared" ref="L35" si="23">$G$35*L$26/$G$7</f>
        <v>0</v>
      </c>
    </row>
    <row r="36" spans="1:12" x14ac:dyDescent="0.3">
      <c r="A36" s="2"/>
      <c r="B36" s="3"/>
      <c r="C36" s="3"/>
      <c r="D36" s="13">
        <f>SUM(D28:D35)</f>
        <v>64826.666666666672</v>
      </c>
      <c r="E36" s="11"/>
      <c r="F36" s="11">
        <f>ROUND(SUM(F28:F35),2)</f>
        <v>3573882.62</v>
      </c>
      <c r="G36" s="11">
        <f>ROUND(SUM(G28:G35),2)</f>
        <v>4324397.97</v>
      </c>
      <c r="H36" s="103">
        <f>SUM(H28:H35)</f>
        <v>0</v>
      </c>
      <c r="I36" s="103">
        <f t="shared" ref="I36:L36" si="24">SUM(I28:I35)</f>
        <v>1995875.9899999998</v>
      </c>
      <c r="J36" s="103">
        <f t="shared" si="24"/>
        <v>1995875.9899999998</v>
      </c>
      <c r="K36" s="103">
        <f t="shared" si="24"/>
        <v>332645.99000000005</v>
      </c>
      <c r="L36" s="103">
        <f t="shared" si="24"/>
        <v>0</v>
      </c>
    </row>
    <row r="37" spans="1:12" x14ac:dyDescent="0.3">
      <c r="D37" s="101"/>
      <c r="E37" s="101"/>
      <c r="F37" s="322">
        <f>+F36/D36</f>
        <v>55.129822398190043</v>
      </c>
      <c r="G37" s="519" t="s">
        <v>529</v>
      </c>
      <c r="H37" s="101"/>
      <c r="I37" s="101"/>
      <c r="J37" s="101"/>
    </row>
    <row r="38" spans="1:12" hidden="1" x14ac:dyDescent="0.3">
      <c r="C38" t="s">
        <v>43</v>
      </c>
      <c r="D38" s="101">
        <f>F36/D36</f>
        <v>55.129822398190043</v>
      </c>
      <c r="E38" s="101">
        <f>G36/D36</f>
        <v>66.707085098724789</v>
      </c>
      <c r="H38" s="101"/>
      <c r="I38" s="101"/>
      <c r="J38" s="101"/>
    </row>
    <row r="39" spans="1:12" hidden="1" x14ac:dyDescent="0.3">
      <c r="D39" s="411" t="s">
        <v>494</v>
      </c>
      <c r="E39" s="411" t="s">
        <v>495</v>
      </c>
      <c r="H39" s="101"/>
      <c r="I39" s="101"/>
      <c r="J39" s="101"/>
    </row>
    <row r="40" spans="1:12" hidden="1" x14ac:dyDescent="0.3">
      <c r="G40" s="1" t="s">
        <v>44</v>
      </c>
      <c r="H40" s="101"/>
      <c r="I40" s="101"/>
      <c r="J40" s="101"/>
    </row>
    <row r="41" spans="1:12" hidden="1" x14ac:dyDescent="0.3">
      <c r="G41" s="1" t="s">
        <v>45</v>
      </c>
      <c r="H41" s="101"/>
      <c r="I41" s="101"/>
      <c r="J41" s="101"/>
    </row>
    <row r="42" spans="1:12" hidden="1" x14ac:dyDescent="0.3">
      <c r="A42" t="s">
        <v>46</v>
      </c>
      <c r="G42" s="1" t="s">
        <v>47</v>
      </c>
      <c r="H42" s="101">
        <f>H34/2</f>
        <v>0</v>
      </c>
      <c r="I42" s="101">
        <f>I34/2</f>
        <v>126307.325</v>
      </c>
      <c r="J42" s="101">
        <f>J34/2</f>
        <v>126307.325</v>
      </c>
      <c r="K42" s="101">
        <f>K34/2</f>
        <v>21051.22</v>
      </c>
    </row>
    <row r="43" spans="1:12" hidden="1" x14ac:dyDescent="0.3"/>
    <row r="44" spans="1:12" hidden="1" x14ac:dyDescent="0.3">
      <c r="H44" s="101"/>
      <c r="I44" s="101"/>
      <c r="J44" s="101"/>
    </row>
    <row r="45" spans="1:12" hidden="1" x14ac:dyDescent="0.3">
      <c r="G45" s="6">
        <v>4242280.4278249992</v>
      </c>
      <c r="H45" s="101"/>
      <c r="I45" s="101"/>
      <c r="J45" s="101"/>
    </row>
    <row r="46" spans="1:12" hidden="1" x14ac:dyDescent="0.3">
      <c r="G46" s="410">
        <f>G36-G45</f>
        <v>82117.542175000533</v>
      </c>
    </row>
    <row r="48" spans="1:12" x14ac:dyDescent="0.3">
      <c r="G48" s="518"/>
    </row>
    <row r="49" spans="1:11" x14ac:dyDescent="0.3">
      <c r="A49" s="516"/>
      <c r="D49" s="510"/>
    </row>
    <row r="50" spans="1:11" ht="92.4" customHeight="1" x14ac:dyDescent="0.3">
      <c r="A50" s="607" t="s">
        <v>534</v>
      </c>
      <c r="B50" s="607"/>
      <c r="C50" s="607"/>
      <c r="D50" s="607"/>
      <c r="E50" s="607"/>
      <c r="F50" s="607"/>
      <c r="G50" s="607"/>
      <c r="H50" s="607"/>
      <c r="I50" s="607"/>
      <c r="J50" s="607"/>
      <c r="K50" s="607"/>
    </row>
    <row r="53" spans="1:11" x14ac:dyDescent="0.3">
      <c r="F53" s="510"/>
    </row>
  </sheetData>
  <mergeCells count="14">
    <mergeCell ref="A50:K50"/>
    <mergeCell ref="B2:C2"/>
    <mergeCell ref="B6:C6"/>
    <mergeCell ref="A26:B26"/>
    <mergeCell ref="A17:B17"/>
    <mergeCell ref="B10:C10"/>
    <mergeCell ref="B12:C12"/>
    <mergeCell ref="B11:C11"/>
    <mergeCell ref="B7:C7"/>
    <mergeCell ref="B8:C8"/>
    <mergeCell ref="B9:C9"/>
    <mergeCell ref="B5:C5"/>
    <mergeCell ref="B3:C3"/>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9D78-A92B-4AE3-971B-233D7372A270}">
  <dimension ref="A1:BN49"/>
  <sheetViews>
    <sheetView workbookViewId="0">
      <selection sqref="A1:A3"/>
    </sheetView>
  </sheetViews>
  <sheetFormatPr defaultRowHeight="14.4" x14ac:dyDescent="0.3"/>
  <cols>
    <col min="1" max="1" width="26.44140625" customWidth="1"/>
    <col min="2" max="2" width="48.33203125" bestFit="1" customWidth="1"/>
    <col min="3" max="3" width="3.6640625" style="112" bestFit="1" customWidth="1"/>
    <col min="4" max="4" width="3.88671875" style="112" bestFit="1" customWidth="1"/>
    <col min="5" max="5" width="4.44140625" style="112" bestFit="1" customWidth="1"/>
    <col min="6" max="6" width="4" style="112" bestFit="1" customWidth="1"/>
    <col min="7" max="7" width="4.33203125" style="112" bestFit="1" customWidth="1"/>
    <col min="8" max="8" width="4" style="112" bestFit="1" customWidth="1"/>
    <col min="9" max="9" width="4.44140625" style="112" bestFit="1" customWidth="1"/>
    <col min="10" max="10" width="4" style="112" bestFit="1" customWidth="1"/>
    <col min="11" max="13" width="3.6640625" style="112" customWidth="1"/>
    <col min="14" max="14" width="4.33203125" style="112" customWidth="1"/>
    <col min="15" max="15" width="3.33203125" customWidth="1"/>
    <col min="16" max="44" width="4" customWidth="1"/>
    <col min="45" max="45" width="4.44140625" bestFit="1" customWidth="1"/>
    <col min="46" max="46" width="4" bestFit="1" customWidth="1"/>
    <col min="47" max="47" width="4.33203125" bestFit="1" customWidth="1"/>
    <col min="48" max="48" width="3.88671875" bestFit="1" customWidth="1"/>
    <col min="49" max="49" width="3.33203125" bestFit="1" customWidth="1"/>
    <col min="50" max="50" width="4.33203125" bestFit="1" customWidth="1"/>
    <col min="51" max="51" width="3.6640625" bestFit="1" customWidth="1"/>
    <col min="52" max="52" width="3.88671875" bestFit="1" customWidth="1"/>
    <col min="53" max="53" width="4.44140625" bestFit="1" customWidth="1"/>
    <col min="54" max="55" width="4" bestFit="1" customWidth="1"/>
    <col min="56" max="56" width="4.33203125" bestFit="1" customWidth="1"/>
    <col min="57" max="57" width="4" bestFit="1" customWidth="1"/>
    <col min="58" max="58" width="4.44140625" bestFit="1" customWidth="1"/>
    <col min="59" max="59" width="4" bestFit="1" customWidth="1"/>
    <col min="60" max="60" width="4.33203125" bestFit="1" customWidth="1"/>
    <col min="61" max="61" width="3.88671875" bestFit="1" customWidth="1"/>
    <col min="62" max="62" width="4.33203125" bestFit="1" customWidth="1"/>
    <col min="63" max="63" width="3.6640625" bestFit="1" customWidth="1"/>
    <col min="64" max="64" width="3.88671875" bestFit="1" customWidth="1"/>
    <col min="65" max="65" width="4.44140625" bestFit="1" customWidth="1"/>
    <col min="66" max="66" width="4" bestFit="1" customWidth="1"/>
  </cols>
  <sheetData>
    <row r="1" spans="1:66" x14ac:dyDescent="0.3">
      <c r="A1" s="537" t="s">
        <v>48</v>
      </c>
      <c r="B1" s="538" t="s">
        <v>49</v>
      </c>
      <c r="C1" s="539">
        <v>2025</v>
      </c>
      <c r="D1" s="538"/>
      <c r="E1" s="538"/>
      <c r="F1" s="540"/>
      <c r="G1" s="545">
        <v>2026</v>
      </c>
      <c r="H1" s="542"/>
      <c r="I1" s="542"/>
      <c r="J1" s="542"/>
      <c r="K1" s="542"/>
      <c r="L1" s="542"/>
      <c r="M1" s="542"/>
      <c r="N1" s="542"/>
      <c r="O1" s="542"/>
      <c r="P1" s="542"/>
      <c r="Q1" s="542"/>
      <c r="R1" s="546"/>
      <c r="S1" s="544">
        <v>2027</v>
      </c>
      <c r="T1" s="544"/>
      <c r="U1" s="544"/>
      <c r="V1" s="544"/>
      <c r="W1" s="544"/>
      <c r="X1" s="544"/>
      <c r="Y1" s="544"/>
      <c r="Z1" s="544"/>
      <c r="AA1" s="544"/>
      <c r="AB1" s="544"/>
      <c r="AC1" s="544"/>
      <c r="AD1" s="544"/>
      <c r="AE1" s="544">
        <v>2028</v>
      </c>
      <c r="AF1" s="544"/>
      <c r="AG1" s="544"/>
      <c r="AH1" s="544"/>
      <c r="AI1" s="544"/>
      <c r="AJ1" s="544"/>
      <c r="AK1" s="544"/>
      <c r="AL1" s="544"/>
      <c r="AM1" s="544"/>
      <c r="AN1" s="544"/>
      <c r="AO1" s="544"/>
      <c r="AP1" s="544"/>
      <c r="AQ1" s="544">
        <v>2029</v>
      </c>
      <c r="AR1" s="544"/>
      <c r="AS1" s="544"/>
      <c r="AT1" s="544"/>
      <c r="AU1" s="544"/>
      <c r="AV1" s="544"/>
      <c r="AW1" s="544"/>
      <c r="AX1" s="544"/>
      <c r="AY1" s="544"/>
      <c r="AZ1" s="544"/>
      <c r="BA1" s="544"/>
      <c r="BB1" s="544"/>
      <c r="BC1" s="545">
        <v>2030</v>
      </c>
      <c r="BD1" s="542"/>
      <c r="BE1" s="542"/>
      <c r="BF1" s="542"/>
      <c r="BG1" s="542"/>
      <c r="BH1" s="542"/>
      <c r="BI1" s="542"/>
      <c r="BJ1" s="542"/>
      <c r="BK1" s="542"/>
      <c r="BL1" s="542"/>
      <c r="BM1" s="542"/>
      <c r="BN1" s="546"/>
    </row>
    <row r="2" spans="1:66" x14ac:dyDescent="0.3">
      <c r="A2" s="537"/>
      <c r="B2" s="538"/>
      <c r="C2" s="465"/>
      <c r="D2" s="105"/>
      <c r="E2" s="105"/>
      <c r="F2" s="466"/>
      <c r="G2" s="465"/>
      <c r="H2" s="105"/>
      <c r="I2" s="105"/>
      <c r="J2" s="105"/>
      <c r="K2" s="105"/>
      <c r="L2" s="105"/>
      <c r="M2" s="105"/>
      <c r="N2" s="105"/>
      <c r="O2" s="105"/>
      <c r="P2" s="541" t="s">
        <v>519</v>
      </c>
      <c r="Q2" s="543"/>
      <c r="R2" s="541" t="s">
        <v>50</v>
      </c>
      <c r="S2" s="542"/>
      <c r="T2" s="543"/>
      <c r="U2" s="541" t="s">
        <v>51</v>
      </c>
      <c r="V2" s="542"/>
      <c r="W2" s="543"/>
      <c r="X2" s="541" t="s">
        <v>52</v>
      </c>
      <c r="Y2" s="542"/>
      <c r="Z2" s="543"/>
      <c r="AA2" s="541" t="s">
        <v>53</v>
      </c>
      <c r="AB2" s="542"/>
      <c r="AC2" s="543"/>
      <c r="AD2" s="541" t="s">
        <v>54</v>
      </c>
      <c r="AE2" s="542"/>
      <c r="AF2" s="543"/>
      <c r="AG2" s="541" t="s">
        <v>55</v>
      </c>
      <c r="AH2" s="542"/>
      <c r="AI2" s="543"/>
      <c r="AJ2" s="541" t="s">
        <v>56</v>
      </c>
      <c r="AK2" s="542"/>
      <c r="AL2" s="543"/>
      <c r="AM2" s="541" t="s">
        <v>57</v>
      </c>
      <c r="AN2" s="542"/>
      <c r="AO2" s="542"/>
      <c r="AP2" s="541" t="s">
        <v>517</v>
      </c>
      <c r="AQ2" s="543"/>
      <c r="AR2" s="105"/>
      <c r="AS2" s="23"/>
      <c r="AT2" s="23"/>
      <c r="AU2" s="23"/>
      <c r="AV2" s="23"/>
      <c r="AW2" s="23"/>
      <c r="AX2" s="23"/>
      <c r="AY2" s="23"/>
      <c r="AZ2" s="23"/>
      <c r="BA2" s="23"/>
      <c r="BB2" s="105"/>
      <c r="BC2" s="465"/>
      <c r="BD2" s="105"/>
      <c r="BE2" s="105"/>
      <c r="BF2" s="105"/>
      <c r="BG2" s="105"/>
      <c r="BH2" s="105"/>
      <c r="BI2" s="105"/>
      <c r="BJ2" s="105"/>
      <c r="BK2" s="105"/>
      <c r="BL2" s="105"/>
      <c r="BM2" s="105"/>
      <c r="BN2" s="466"/>
    </row>
    <row r="3" spans="1:66" s="1" customFormat="1" x14ac:dyDescent="0.3">
      <c r="A3" s="537"/>
      <c r="B3" s="538"/>
      <c r="C3" s="467" t="s">
        <v>58</v>
      </c>
      <c r="D3" s="458" t="s">
        <v>59</v>
      </c>
      <c r="E3" s="458" t="s">
        <v>60</v>
      </c>
      <c r="F3" s="468" t="s">
        <v>61</v>
      </c>
      <c r="G3" s="467" t="s">
        <v>62</v>
      </c>
      <c r="H3" s="458" t="s">
        <v>63</v>
      </c>
      <c r="I3" s="458" t="s">
        <v>64</v>
      </c>
      <c r="J3" s="458" t="s">
        <v>65</v>
      </c>
      <c r="K3" s="458" t="s">
        <v>66</v>
      </c>
      <c r="L3" s="458" t="s">
        <v>67</v>
      </c>
      <c r="M3" s="458" t="s">
        <v>68</v>
      </c>
      <c r="N3" s="458" t="s">
        <v>69</v>
      </c>
      <c r="O3" s="459" t="s">
        <v>58</v>
      </c>
      <c r="P3" s="459" t="s">
        <v>59</v>
      </c>
      <c r="Q3" s="460" t="s">
        <v>60</v>
      </c>
      <c r="R3" s="458" t="s">
        <v>61</v>
      </c>
      <c r="S3" s="460" t="s">
        <v>62</v>
      </c>
      <c r="T3" s="458" t="s">
        <v>63</v>
      </c>
      <c r="U3" s="458" t="s">
        <v>64</v>
      </c>
      <c r="V3" s="460" t="s">
        <v>65</v>
      </c>
      <c r="W3" s="459" t="s">
        <v>66</v>
      </c>
      <c r="X3" s="458" t="s">
        <v>67</v>
      </c>
      <c r="Y3" s="460" t="s">
        <v>68</v>
      </c>
      <c r="Z3" s="458" t="s">
        <v>69</v>
      </c>
      <c r="AA3" s="458" t="s">
        <v>58</v>
      </c>
      <c r="AB3" s="460" t="s">
        <v>59</v>
      </c>
      <c r="AC3" s="458" t="s">
        <v>60</v>
      </c>
      <c r="AD3" s="458" t="s">
        <v>61</v>
      </c>
      <c r="AE3" s="460" t="s">
        <v>62</v>
      </c>
      <c r="AF3" s="458" t="s">
        <v>63</v>
      </c>
      <c r="AG3" s="461" t="s">
        <v>64</v>
      </c>
      <c r="AH3" s="458" t="s">
        <v>65</v>
      </c>
      <c r="AI3" s="459" t="s">
        <v>66</v>
      </c>
      <c r="AJ3" s="458" t="s">
        <v>67</v>
      </c>
      <c r="AK3" s="458" t="s">
        <v>68</v>
      </c>
      <c r="AL3" s="459" t="s">
        <v>69</v>
      </c>
      <c r="AM3" s="458" t="s">
        <v>58</v>
      </c>
      <c r="AN3" s="460" t="s">
        <v>59</v>
      </c>
      <c r="AO3" s="458" t="s">
        <v>60</v>
      </c>
      <c r="AP3" s="459" t="s">
        <v>61</v>
      </c>
      <c r="AQ3" s="460" t="s">
        <v>62</v>
      </c>
      <c r="AR3" s="458" t="s">
        <v>63</v>
      </c>
      <c r="AS3" s="462" t="s">
        <v>64</v>
      </c>
      <c r="AT3" s="462" t="s">
        <v>65</v>
      </c>
      <c r="AU3" s="462" t="s">
        <v>66</v>
      </c>
      <c r="AV3" s="462" t="s">
        <v>67</v>
      </c>
      <c r="AW3" s="462" t="s">
        <v>68</v>
      </c>
      <c r="AX3" s="462" t="s">
        <v>69</v>
      </c>
      <c r="AY3" s="462" t="s">
        <v>58</v>
      </c>
      <c r="AZ3" s="462" t="s">
        <v>59</v>
      </c>
      <c r="BA3" s="462" t="s">
        <v>60</v>
      </c>
      <c r="BB3" s="458" t="s">
        <v>61</v>
      </c>
      <c r="BC3" s="467" t="s">
        <v>62</v>
      </c>
      <c r="BD3" s="458" t="s">
        <v>63</v>
      </c>
      <c r="BE3" s="458" t="s">
        <v>64</v>
      </c>
      <c r="BF3" s="458" t="s">
        <v>65</v>
      </c>
      <c r="BG3" s="458" t="s">
        <v>66</v>
      </c>
      <c r="BH3" s="458" t="s">
        <v>67</v>
      </c>
      <c r="BI3" s="458" t="s">
        <v>68</v>
      </c>
      <c r="BJ3" s="458" t="s">
        <v>69</v>
      </c>
      <c r="BK3" s="458" t="s">
        <v>58</v>
      </c>
      <c r="BL3" s="458" t="s">
        <v>59</v>
      </c>
      <c r="BM3" s="458" t="s">
        <v>60</v>
      </c>
      <c r="BN3" s="468" t="s">
        <v>61</v>
      </c>
    </row>
    <row r="4" spans="1:66" x14ac:dyDescent="0.3">
      <c r="A4" s="506" t="s">
        <v>70</v>
      </c>
      <c r="B4" s="507" t="s">
        <v>71</v>
      </c>
      <c r="C4" s="493"/>
      <c r="D4" s="301"/>
      <c r="E4" s="301"/>
      <c r="F4" s="495"/>
      <c r="G4" s="492"/>
      <c r="H4" s="302"/>
      <c r="I4" s="302"/>
      <c r="J4" s="302"/>
      <c r="K4" s="298"/>
      <c r="L4" s="298"/>
      <c r="M4" s="298"/>
      <c r="N4" s="298"/>
      <c r="P4" s="316"/>
      <c r="Q4" s="307"/>
      <c r="R4" s="298"/>
      <c r="S4" s="469"/>
      <c r="T4" s="307"/>
      <c r="U4" s="24"/>
      <c r="V4" s="117"/>
      <c r="W4" s="107"/>
      <c r="X4" s="113"/>
      <c r="Y4" s="117"/>
      <c r="Z4" s="307"/>
      <c r="AA4" s="24"/>
      <c r="AB4" s="117"/>
      <c r="AC4" s="307"/>
      <c r="AD4" s="298"/>
      <c r="AE4" s="469"/>
      <c r="AF4" s="307"/>
      <c r="AG4" s="24"/>
      <c r="AH4" s="431"/>
      <c r="AI4" s="298"/>
      <c r="AJ4" s="316"/>
      <c r="AK4" s="298"/>
      <c r="AL4" s="298"/>
      <c r="AM4" s="316"/>
      <c r="AN4" s="24"/>
      <c r="AO4" s="117"/>
      <c r="AP4" s="316"/>
      <c r="AQ4" s="477"/>
      <c r="AR4" s="24"/>
      <c r="AS4" s="24"/>
      <c r="AT4" s="25"/>
      <c r="AU4" s="25"/>
      <c r="AV4" s="25"/>
      <c r="AW4" s="25"/>
      <c r="AX4" s="25"/>
      <c r="AY4" s="25"/>
      <c r="AZ4" s="25"/>
      <c r="BA4" s="25"/>
      <c r="BB4" s="470"/>
      <c r="BC4" s="469"/>
      <c r="BD4" s="112"/>
      <c r="BE4" s="24"/>
      <c r="BF4" s="25"/>
      <c r="BG4" s="25"/>
      <c r="BH4" s="25"/>
      <c r="BI4" s="25"/>
      <c r="BJ4" s="25"/>
      <c r="BK4" s="25"/>
      <c r="BL4" s="25"/>
      <c r="BM4" s="25"/>
      <c r="BN4" s="470"/>
    </row>
    <row r="5" spans="1:66" x14ac:dyDescent="0.3">
      <c r="A5" s="506" t="s">
        <v>70</v>
      </c>
      <c r="B5" s="507" t="s">
        <v>72</v>
      </c>
      <c r="C5" s="493"/>
      <c r="D5" s="301"/>
      <c r="E5" s="301"/>
      <c r="F5" s="495"/>
      <c r="G5" s="493"/>
      <c r="H5" s="301"/>
      <c r="I5" s="301"/>
      <c r="J5" s="301"/>
      <c r="K5" s="302"/>
      <c r="L5" s="302"/>
      <c r="M5" s="298"/>
      <c r="N5" s="298"/>
      <c r="P5" s="316"/>
      <c r="Q5" s="307"/>
      <c r="R5" s="298"/>
      <c r="S5" s="469"/>
      <c r="T5" s="307"/>
      <c r="U5" s="24"/>
      <c r="V5" s="117"/>
      <c r="W5" s="107"/>
      <c r="X5" s="113"/>
      <c r="Y5" s="117"/>
      <c r="Z5" s="307"/>
      <c r="AA5" s="24"/>
      <c r="AB5" s="117"/>
      <c r="AC5" s="307"/>
      <c r="AD5" s="298"/>
      <c r="AE5" s="469"/>
      <c r="AF5" s="307"/>
      <c r="AG5" s="24"/>
      <c r="AH5" s="431"/>
      <c r="AI5" s="298"/>
      <c r="AJ5" s="316"/>
      <c r="AK5" s="298"/>
      <c r="AL5" s="298"/>
      <c r="AM5" s="316"/>
      <c r="AN5" s="24"/>
      <c r="AO5" s="117"/>
      <c r="AP5" s="316"/>
      <c r="AQ5" s="477"/>
      <c r="AR5" s="24"/>
      <c r="AS5" s="24"/>
      <c r="AT5" s="25"/>
      <c r="AU5" s="25"/>
      <c r="AV5" s="25"/>
      <c r="AW5" s="25"/>
      <c r="AX5" s="25"/>
      <c r="AY5" s="25"/>
      <c r="AZ5" s="25"/>
      <c r="BA5" s="25"/>
      <c r="BB5" s="470"/>
      <c r="BC5" s="469"/>
      <c r="BD5" s="112"/>
      <c r="BE5" s="24"/>
      <c r="BF5" s="25"/>
      <c r="BG5" s="25"/>
      <c r="BH5" s="25"/>
      <c r="BI5" s="25"/>
      <c r="BJ5" s="25"/>
      <c r="BK5" s="25"/>
      <c r="BL5" s="25"/>
      <c r="BM5" s="25"/>
      <c r="BN5" s="470"/>
    </row>
    <row r="6" spans="1:66" x14ac:dyDescent="0.3">
      <c r="A6" s="506" t="s">
        <v>70</v>
      </c>
      <c r="B6" s="507" t="s">
        <v>73</v>
      </c>
      <c r="C6" s="469"/>
      <c r="D6" s="298"/>
      <c r="E6" s="298"/>
      <c r="F6" s="495"/>
      <c r="G6" s="493"/>
      <c r="H6" s="301"/>
      <c r="I6" s="301"/>
      <c r="J6" s="301"/>
      <c r="K6" s="301"/>
      <c r="L6" s="302"/>
      <c r="M6" s="302"/>
      <c r="N6" s="298"/>
      <c r="P6" s="316"/>
      <c r="Q6" s="307"/>
      <c r="R6" s="298"/>
      <c r="S6" s="469"/>
      <c r="T6" s="307"/>
      <c r="U6" s="24"/>
      <c r="V6" s="117"/>
      <c r="W6" s="107"/>
      <c r="X6" s="113"/>
      <c r="Y6" s="117"/>
      <c r="Z6" s="307"/>
      <c r="AA6" s="24"/>
      <c r="AB6" s="117"/>
      <c r="AC6" s="307"/>
      <c r="AD6" s="298"/>
      <c r="AE6" s="469"/>
      <c r="AF6" s="307"/>
      <c r="AG6" s="24"/>
      <c r="AH6" s="431"/>
      <c r="AI6" s="298"/>
      <c r="AJ6" s="316"/>
      <c r="AK6" s="298"/>
      <c r="AL6" s="298"/>
      <c r="AM6" s="316"/>
      <c r="AN6" s="24"/>
      <c r="AO6" s="117"/>
      <c r="AP6" s="316"/>
      <c r="AQ6" s="477"/>
      <c r="AR6" s="24"/>
      <c r="AS6" s="24"/>
      <c r="AT6" s="25"/>
      <c r="AU6" s="25"/>
      <c r="AV6" s="25"/>
      <c r="AW6" s="25"/>
      <c r="AX6" s="25"/>
      <c r="AY6" s="25"/>
      <c r="AZ6" s="25"/>
      <c r="BA6" s="25"/>
      <c r="BB6" s="470"/>
      <c r="BC6" s="469"/>
      <c r="BD6" s="112"/>
      <c r="BE6" s="24"/>
      <c r="BF6" s="25"/>
      <c r="BG6" s="25"/>
      <c r="BH6" s="25"/>
      <c r="BI6" s="25"/>
      <c r="BJ6" s="25"/>
      <c r="BK6" s="25"/>
      <c r="BL6" s="25"/>
      <c r="BM6" s="25"/>
      <c r="BN6" s="470"/>
    </row>
    <row r="7" spans="1:66" x14ac:dyDescent="0.3">
      <c r="A7" s="506" t="s">
        <v>70</v>
      </c>
      <c r="B7" s="507" t="s">
        <v>100</v>
      </c>
      <c r="C7" s="493"/>
      <c r="D7" s="301"/>
      <c r="E7" s="301"/>
      <c r="F7" s="495"/>
      <c r="G7" s="492"/>
      <c r="H7" s="302"/>
      <c r="I7" s="298"/>
      <c r="J7" s="298"/>
      <c r="K7" s="298"/>
      <c r="L7" s="298"/>
      <c r="M7" s="298"/>
      <c r="N7" s="298"/>
      <c r="P7" s="316"/>
      <c r="Q7" s="307"/>
      <c r="R7" s="298"/>
      <c r="S7" s="469"/>
      <c r="T7" s="307"/>
      <c r="U7" s="24"/>
      <c r="V7" s="117"/>
      <c r="W7" s="107"/>
      <c r="X7" s="113"/>
      <c r="Y7" s="117"/>
      <c r="Z7" s="307"/>
      <c r="AA7" s="24"/>
      <c r="AB7" s="117"/>
      <c r="AC7" s="307"/>
      <c r="AD7" s="298"/>
      <c r="AE7" s="469"/>
      <c r="AF7" s="307"/>
      <c r="AG7" s="24"/>
      <c r="AH7" s="431"/>
      <c r="AI7" s="298"/>
      <c r="AJ7" s="316"/>
      <c r="AK7" s="298"/>
      <c r="AL7" s="298"/>
      <c r="AM7" s="316"/>
      <c r="AN7" s="24"/>
      <c r="AO7" s="117"/>
      <c r="AP7" s="316"/>
      <c r="AQ7" s="477"/>
      <c r="AR7" s="24"/>
      <c r="AS7" s="24"/>
      <c r="AT7" s="25"/>
      <c r="AU7" s="25"/>
      <c r="AV7" s="25"/>
      <c r="AW7" s="25"/>
      <c r="AX7" s="25"/>
      <c r="AY7" s="25"/>
      <c r="AZ7" s="25"/>
      <c r="BA7" s="25"/>
      <c r="BB7" s="470"/>
      <c r="BC7" s="469"/>
      <c r="BD7" s="112"/>
      <c r="BE7" s="24"/>
      <c r="BF7" s="25"/>
      <c r="BG7" s="25"/>
      <c r="BH7" s="25"/>
      <c r="BI7" s="25"/>
      <c r="BJ7" s="25"/>
      <c r="BK7" s="25"/>
      <c r="BL7" s="25"/>
      <c r="BM7" s="25"/>
      <c r="BN7" s="470"/>
    </row>
    <row r="8" spans="1:66" x14ac:dyDescent="0.3">
      <c r="A8" t="s">
        <v>74</v>
      </c>
      <c r="B8" s="112" t="s">
        <v>74</v>
      </c>
      <c r="C8" s="469"/>
      <c r="D8" s="298"/>
      <c r="E8" s="298"/>
      <c r="F8" s="496"/>
      <c r="G8" s="469"/>
      <c r="H8" s="298"/>
      <c r="I8" s="298"/>
      <c r="J8" s="298"/>
      <c r="K8" s="298"/>
      <c r="L8" s="298"/>
      <c r="M8" s="298"/>
      <c r="N8" s="298"/>
      <c r="P8" s="426"/>
      <c r="Q8" s="307"/>
      <c r="R8" s="298"/>
      <c r="S8" s="469"/>
      <c r="T8" s="307"/>
      <c r="U8" s="24"/>
      <c r="V8" s="117"/>
      <c r="W8" s="107"/>
      <c r="X8" s="113"/>
      <c r="Y8" s="117"/>
      <c r="Z8" s="307"/>
      <c r="AA8" s="24"/>
      <c r="AB8" s="117"/>
      <c r="AC8" s="307"/>
      <c r="AD8" s="298"/>
      <c r="AE8" s="469"/>
      <c r="AF8" s="307"/>
      <c r="AG8" s="24"/>
      <c r="AH8" s="431"/>
      <c r="AI8" s="298"/>
      <c r="AJ8" s="316"/>
      <c r="AK8" s="298"/>
      <c r="AL8" s="298"/>
      <c r="AM8" s="316"/>
      <c r="AN8" s="24"/>
      <c r="AO8" s="117"/>
      <c r="AP8" s="316"/>
      <c r="AQ8" s="477"/>
      <c r="AR8" s="24"/>
      <c r="AS8" s="24"/>
      <c r="AT8" s="25"/>
      <c r="AU8" s="25"/>
      <c r="AV8" s="25"/>
      <c r="AW8" s="25"/>
      <c r="AX8" s="25"/>
      <c r="AY8" s="25"/>
      <c r="AZ8" s="25"/>
      <c r="BA8" s="25"/>
      <c r="BB8" s="470"/>
      <c r="BC8" s="469"/>
      <c r="BD8" s="112"/>
      <c r="BE8" s="24"/>
      <c r="BF8" s="25"/>
      <c r="BG8" s="25"/>
      <c r="BH8" s="25"/>
      <c r="BI8" s="25"/>
      <c r="BJ8" s="25"/>
      <c r="BK8" s="25"/>
      <c r="BL8" s="25"/>
      <c r="BM8" s="25"/>
      <c r="BN8" s="470"/>
    </row>
    <row r="9" spans="1:66" x14ac:dyDescent="0.3">
      <c r="A9" t="s">
        <v>75</v>
      </c>
      <c r="B9" s="112" t="s">
        <v>76</v>
      </c>
      <c r="C9" s="469"/>
      <c r="D9" s="298"/>
      <c r="E9" s="298"/>
      <c r="F9" s="496"/>
      <c r="G9" s="469"/>
      <c r="H9" s="298"/>
      <c r="I9" s="298"/>
      <c r="J9" s="298"/>
      <c r="K9" s="298"/>
      <c r="L9" s="298"/>
      <c r="M9" s="298"/>
      <c r="N9" s="298"/>
      <c r="P9" s="316"/>
      <c r="Q9" s="308"/>
      <c r="R9" s="490"/>
      <c r="S9" s="491"/>
      <c r="T9" s="308"/>
      <c r="U9" s="306"/>
      <c r="V9" s="117"/>
      <c r="W9" s="107"/>
      <c r="X9" s="113"/>
      <c r="Y9" s="117"/>
      <c r="Z9" s="307"/>
      <c r="AA9" s="24"/>
      <c r="AB9" s="117"/>
      <c r="AC9" s="307"/>
      <c r="AD9" s="298"/>
      <c r="AE9" s="469"/>
      <c r="AF9" s="307"/>
      <c r="AG9" s="24"/>
      <c r="AH9" s="431"/>
      <c r="AI9" s="298"/>
      <c r="AJ9" s="316"/>
      <c r="AK9" s="298"/>
      <c r="AL9" s="298"/>
      <c r="AM9" s="316"/>
      <c r="AN9" s="24"/>
      <c r="AO9" s="117"/>
      <c r="AP9" s="316"/>
      <c r="AQ9" s="477"/>
      <c r="AR9" s="24"/>
      <c r="AS9" s="24"/>
      <c r="AT9" s="25"/>
      <c r="AU9" s="25"/>
      <c r="AV9" s="25"/>
      <c r="AW9" s="25"/>
      <c r="AX9" s="25"/>
      <c r="AY9" s="25"/>
      <c r="AZ9" s="25"/>
      <c r="BA9" s="25"/>
      <c r="BB9" s="470"/>
      <c r="BC9" s="469"/>
      <c r="BD9" s="112"/>
      <c r="BE9" s="24"/>
      <c r="BF9" s="25"/>
      <c r="BG9" s="25"/>
      <c r="BH9" s="25"/>
      <c r="BI9" s="25"/>
      <c r="BJ9" s="25"/>
      <c r="BK9" s="25"/>
      <c r="BL9" s="25"/>
      <c r="BM9" s="25"/>
      <c r="BN9" s="470"/>
    </row>
    <row r="10" spans="1:66" x14ac:dyDescent="0.3">
      <c r="A10" t="s">
        <v>75</v>
      </c>
      <c r="B10" s="112" t="s">
        <v>77</v>
      </c>
      <c r="C10" s="471"/>
      <c r="D10" s="299"/>
      <c r="E10" s="299"/>
      <c r="F10" s="497"/>
      <c r="G10" s="471"/>
      <c r="H10" s="299"/>
      <c r="I10" s="299"/>
      <c r="J10" s="299"/>
      <c r="K10" s="299"/>
      <c r="L10" s="299"/>
      <c r="M10" s="299"/>
      <c r="N10" s="299"/>
      <c r="P10" s="317"/>
      <c r="Q10" s="309"/>
      <c r="R10" s="484"/>
      <c r="S10" s="486"/>
      <c r="T10" s="309"/>
      <c r="U10" s="163"/>
      <c r="V10" s="162"/>
      <c r="W10" s="108"/>
      <c r="X10" s="114"/>
      <c r="Y10" s="118"/>
      <c r="Z10" s="310"/>
      <c r="AA10" s="29"/>
      <c r="AB10" s="118"/>
      <c r="AC10" s="310"/>
      <c r="AD10" s="299"/>
      <c r="AE10" s="471"/>
      <c r="AF10" s="310"/>
      <c r="AG10" s="29"/>
      <c r="AH10" s="432"/>
      <c r="AI10" s="299"/>
      <c r="AJ10" s="317"/>
      <c r="AK10" s="299"/>
      <c r="AL10" s="299"/>
      <c r="AM10" s="317"/>
      <c r="AN10" s="29"/>
      <c r="AO10" s="118"/>
      <c r="AP10" s="317"/>
      <c r="AQ10" s="478"/>
      <c r="AR10" s="29"/>
      <c r="AS10" s="29"/>
      <c r="AT10" s="28"/>
      <c r="AU10" s="28"/>
      <c r="AV10" s="28"/>
      <c r="AW10" s="28"/>
      <c r="AX10" s="28"/>
      <c r="AY10" s="28"/>
      <c r="AZ10" s="28"/>
      <c r="BA10" s="28"/>
      <c r="BB10" s="472"/>
      <c r="BC10" s="471"/>
      <c r="BD10" s="112"/>
      <c r="BE10" s="29"/>
      <c r="BF10" s="28"/>
      <c r="BG10" s="28"/>
      <c r="BH10" s="28"/>
      <c r="BI10" s="28"/>
      <c r="BJ10" s="28"/>
      <c r="BK10" s="28"/>
      <c r="BL10" s="28"/>
      <c r="BM10" s="28"/>
      <c r="BN10" s="472"/>
    </row>
    <row r="11" spans="1:66" x14ac:dyDescent="0.3">
      <c r="A11" t="s">
        <v>75</v>
      </c>
      <c r="B11" s="494" t="s">
        <v>78</v>
      </c>
      <c r="C11" s="471"/>
      <c r="D11" s="299"/>
      <c r="E11" s="299"/>
      <c r="F11" s="497"/>
      <c r="G11" s="471"/>
      <c r="H11" s="299"/>
      <c r="I11" s="299"/>
      <c r="J11" s="299"/>
      <c r="K11" s="299"/>
      <c r="L11" s="299"/>
      <c r="M11" s="299"/>
      <c r="N11" s="299"/>
      <c r="P11" s="317"/>
      <c r="Q11" s="309"/>
      <c r="R11" s="484"/>
      <c r="S11" s="486"/>
      <c r="T11" s="309"/>
      <c r="U11" s="163"/>
      <c r="V11" s="118"/>
      <c r="W11" s="108"/>
      <c r="X11" s="114"/>
      <c r="Y11" s="118"/>
      <c r="Z11" s="310"/>
      <c r="AA11" s="29"/>
      <c r="AB11" s="118"/>
      <c r="AC11" s="310"/>
      <c r="AD11" s="299"/>
      <c r="AE11" s="471"/>
      <c r="AF11" s="310"/>
      <c r="AG11" s="29"/>
      <c r="AH11" s="432"/>
      <c r="AI11" s="299"/>
      <c r="AJ11" s="317"/>
      <c r="AK11" s="299"/>
      <c r="AL11" s="299"/>
      <c r="AM11" s="317"/>
      <c r="AN11" s="29"/>
      <c r="AO11" s="118"/>
      <c r="AP11" s="317"/>
      <c r="AQ11" s="478"/>
      <c r="AR11" s="29"/>
      <c r="AS11" s="29"/>
      <c r="AT11" s="28"/>
      <c r="AU11" s="28"/>
      <c r="AV11" s="28"/>
      <c r="AW11" s="28"/>
      <c r="AX11" s="28"/>
      <c r="AY11" s="28"/>
      <c r="AZ11" s="28"/>
      <c r="BA11" s="28"/>
      <c r="BB11" s="472"/>
      <c r="BC11" s="471"/>
      <c r="BD11" s="112"/>
      <c r="BE11" s="29"/>
      <c r="BF11" s="28"/>
      <c r="BG11" s="28"/>
      <c r="BH11" s="28"/>
      <c r="BI11" s="28"/>
      <c r="BJ11" s="28"/>
      <c r="BK11" s="28"/>
      <c r="BL11" s="28"/>
      <c r="BM11" s="28"/>
      <c r="BN11" s="472"/>
    </row>
    <row r="12" spans="1:66" x14ac:dyDescent="0.3">
      <c r="A12" t="s">
        <v>75</v>
      </c>
      <c r="B12" s="494" t="s">
        <v>493</v>
      </c>
      <c r="C12" s="471"/>
      <c r="D12" s="299"/>
      <c r="E12" s="299"/>
      <c r="F12" s="497"/>
      <c r="G12" s="471"/>
      <c r="H12" s="299"/>
      <c r="I12" s="299"/>
      <c r="J12" s="299"/>
      <c r="K12" s="299"/>
      <c r="L12" s="299"/>
      <c r="M12" s="299"/>
      <c r="N12" s="299"/>
      <c r="P12" s="317"/>
      <c r="Q12" s="310"/>
      <c r="R12" s="299"/>
      <c r="S12" s="471"/>
      <c r="T12" s="310"/>
      <c r="U12" s="162"/>
      <c r="V12" s="118"/>
      <c r="W12" s="108"/>
      <c r="X12" s="114"/>
      <c r="Y12" s="118"/>
      <c r="Z12" s="310"/>
      <c r="AA12" s="29"/>
      <c r="AB12" s="118"/>
      <c r="AC12" s="310"/>
      <c r="AD12" s="299"/>
      <c r="AE12" s="471"/>
      <c r="AF12" s="310"/>
      <c r="AG12" s="29"/>
      <c r="AH12" s="432"/>
      <c r="AI12" s="299"/>
      <c r="AJ12" s="317"/>
      <c r="AK12" s="299"/>
      <c r="AL12" s="299"/>
      <c r="AM12" s="317"/>
      <c r="AN12" s="29"/>
      <c r="AO12" s="118"/>
      <c r="AP12" s="317"/>
      <c r="AQ12" s="478"/>
      <c r="AR12" s="29"/>
      <c r="AS12" s="29"/>
      <c r="AT12" s="28"/>
      <c r="AU12" s="28"/>
      <c r="AV12" s="28"/>
      <c r="AW12" s="28"/>
      <c r="AX12" s="28"/>
      <c r="AY12" s="28"/>
      <c r="AZ12" s="28"/>
      <c r="BA12" s="28"/>
      <c r="BB12" s="472"/>
      <c r="BC12" s="471"/>
      <c r="BD12" s="112"/>
      <c r="BE12" s="29"/>
      <c r="BF12" s="28"/>
      <c r="BG12" s="28"/>
      <c r="BH12" s="28"/>
      <c r="BI12" s="28"/>
      <c r="BJ12" s="28"/>
      <c r="BK12" s="28"/>
      <c r="BL12" s="28"/>
      <c r="BM12" s="28"/>
      <c r="BN12" s="472"/>
    </row>
    <row r="13" spans="1:66" x14ac:dyDescent="0.3">
      <c r="A13" t="s">
        <v>75</v>
      </c>
      <c r="B13" s="112" t="s">
        <v>79</v>
      </c>
      <c r="C13" s="471"/>
      <c r="D13" s="299"/>
      <c r="E13" s="299"/>
      <c r="F13" s="497"/>
      <c r="G13" s="471"/>
      <c r="H13" s="299"/>
      <c r="I13" s="299"/>
      <c r="J13" s="299"/>
      <c r="K13" s="299"/>
      <c r="L13" s="299"/>
      <c r="M13" s="299"/>
      <c r="N13" s="299"/>
      <c r="P13" s="317"/>
      <c r="Q13" s="310"/>
      <c r="R13" s="299"/>
      <c r="S13" s="471"/>
      <c r="T13" s="310"/>
      <c r="U13" s="29"/>
      <c r="V13" s="162"/>
      <c r="W13" s="422"/>
      <c r="X13" s="161"/>
      <c r="Y13" s="162"/>
      <c r="Z13" s="309"/>
      <c r="AA13" s="29"/>
      <c r="AB13" s="118"/>
      <c r="AC13" s="310"/>
      <c r="AD13" s="299"/>
      <c r="AE13" s="471"/>
      <c r="AF13" s="310"/>
      <c r="AG13" s="29"/>
      <c r="AH13" s="432"/>
      <c r="AI13" s="299"/>
      <c r="AJ13" s="317"/>
      <c r="AK13" s="299"/>
      <c r="AL13" s="299"/>
      <c r="AM13" s="317"/>
      <c r="AN13" s="29"/>
      <c r="AO13" s="118"/>
      <c r="AP13" s="317"/>
      <c r="AQ13" s="478"/>
      <c r="AR13" s="29"/>
      <c r="AS13" s="29"/>
      <c r="AT13" s="28"/>
      <c r="AU13" s="28"/>
      <c r="AV13" s="28"/>
      <c r="AW13" s="28"/>
      <c r="AX13" s="28"/>
      <c r="AY13" s="28"/>
      <c r="AZ13" s="28"/>
      <c r="BA13" s="28"/>
      <c r="BB13" s="472"/>
      <c r="BC13" s="471"/>
      <c r="BD13" s="112"/>
      <c r="BE13" s="29"/>
      <c r="BF13" s="28"/>
      <c r="BG13" s="28"/>
      <c r="BH13" s="28"/>
      <c r="BI13" s="28"/>
      <c r="BJ13" s="28"/>
      <c r="BK13" s="28"/>
      <c r="BL13" s="28"/>
      <c r="BM13" s="28"/>
      <c r="BN13" s="472"/>
    </row>
    <row r="14" spans="1:66" x14ac:dyDescent="0.3">
      <c r="A14" t="s">
        <v>75</v>
      </c>
      <c r="B14" s="112" t="s">
        <v>80</v>
      </c>
      <c r="C14" s="471"/>
      <c r="D14" s="299"/>
      <c r="E14" s="299"/>
      <c r="F14" s="497"/>
      <c r="G14" s="471"/>
      <c r="H14" s="299"/>
      <c r="I14" s="299"/>
      <c r="J14" s="299"/>
      <c r="K14" s="299"/>
      <c r="L14" s="299"/>
      <c r="M14" s="299"/>
      <c r="N14" s="299"/>
      <c r="P14" s="317"/>
      <c r="Q14" s="310"/>
      <c r="R14" s="299"/>
      <c r="S14" s="471"/>
      <c r="T14" s="310"/>
      <c r="U14" s="29"/>
      <c r="V14" s="118"/>
      <c r="W14" s="108"/>
      <c r="X14" s="114"/>
      <c r="Y14" s="118"/>
      <c r="Z14" s="309"/>
      <c r="AA14" s="163"/>
      <c r="AB14" s="162"/>
      <c r="AC14" s="309"/>
      <c r="AD14" s="484"/>
      <c r="AE14" s="471"/>
      <c r="AF14" s="310"/>
      <c r="AG14" s="29"/>
      <c r="AH14" s="432"/>
      <c r="AI14" s="299"/>
      <c r="AJ14" s="317"/>
      <c r="AK14" s="299"/>
      <c r="AL14" s="299"/>
      <c r="AM14" s="317"/>
      <c r="AN14" s="29"/>
      <c r="AO14" s="118"/>
      <c r="AP14" s="317"/>
      <c r="AQ14" s="478"/>
      <c r="AR14" s="29"/>
      <c r="AS14" s="29"/>
      <c r="AT14" s="28"/>
      <c r="AU14" s="28"/>
      <c r="AV14" s="28"/>
      <c r="AW14" s="28"/>
      <c r="AX14" s="28"/>
      <c r="AY14" s="28"/>
      <c r="AZ14" s="28"/>
      <c r="BA14" s="28"/>
      <c r="BB14" s="472"/>
      <c r="BC14" s="471"/>
      <c r="BD14" s="112"/>
      <c r="BE14" s="29"/>
      <c r="BF14" s="28"/>
      <c r="BG14" s="28"/>
      <c r="BH14" s="28"/>
      <c r="BI14" s="28"/>
      <c r="BJ14" s="28"/>
      <c r="BK14" s="28"/>
      <c r="BL14" s="28"/>
      <c r="BM14" s="28"/>
      <c r="BN14" s="472"/>
    </row>
    <row r="15" spans="1:66" x14ac:dyDescent="0.3">
      <c r="A15" t="s">
        <v>75</v>
      </c>
      <c r="B15" s="112" t="s">
        <v>81</v>
      </c>
      <c r="C15" s="471"/>
      <c r="D15" s="299"/>
      <c r="E15" s="299"/>
      <c r="F15" s="497"/>
      <c r="G15" s="471"/>
      <c r="H15" s="299"/>
      <c r="I15" s="299"/>
      <c r="J15" s="299"/>
      <c r="K15" s="299"/>
      <c r="L15" s="299"/>
      <c r="M15" s="299"/>
      <c r="N15" s="299"/>
      <c r="P15" s="317"/>
      <c r="Q15" s="310"/>
      <c r="R15" s="299"/>
      <c r="S15" s="471"/>
      <c r="T15" s="310"/>
      <c r="U15" s="29"/>
      <c r="V15" s="162"/>
      <c r="W15" s="422"/>
      <c r="X15" s="161"/>
      <c r="Y15" s="162"/>
      <c r="Z15" s="309"/>
      <c r="AA15" s="29"/>
      <c r="AB15" s="118"/>
      <c r="AC15" s="310"/>
      <c r="AD15" s="299"/>
      <c r="AE15" s="471"/>
      <c r="AF15" s="310"/>
      <c r="AG15" s="29"/>
      <c r="AH15" s="432"/>
      <c r="AI15" s="299"/>
      <c r="AJ15" s="317"/>
      <c r="AK15" s="299"/>
      <c r="AL15" s="299"/>
      <c r="AM15" s="317"/>
      <c r="AN15" s="29"/>
      <c r="AO15" s="118"/>
      <c r="AP15" s="317"/>
      <c r="AQ15" s="478"/>
      <c r="AR15" s="29"/>
      <c r="AS15" s="29"/>
      <c r="AT15" s="28"/>
      <c r="AU15" s="28"/>
      <c r="AV15" s="28"/>
      <c r="AW15" s="28"/>
      <c r="AX15" s="28"/>
      <c r="AY15" s="28"/>
      <c r="AZ15" s="28"/>
      <c r="BA15" s="28"/>
      <c r="BB15" s="472"/>
      <c r="BC15" s="471"/>
      <c r="BD15" s="112"/>
      <c r="BE15" s="29"/>
      <c r="BF15" s="28"/>
      <c r="BG15" s="28"/>
      <c r="BH15" s="28"/>
      <c r="BI15" s="28"/>
      <c r="BJ15" s="28"/>
      <c r="BK15" s="28"/>
      <c r="BL15" s="28"/>
      <c r="BM15" s="28"/>
      <c r="BN15" s="472"/>
    </row>
    <row r="16" spans="1:66" x14ac:dyDescent="0.3">
      <c r="A16" t="s">
        <v>75</v>
      </c>
      <c r="B16" s="112" t="s">
        <v>82</v>
      </c>
      <c r="C16" s="471"/>
      <c r="D16" s="299"/>
      <c r="E16" s="299"/>
      <c r="F16" s="497"/>
      <c r="G16" s="471"/>
      <c r="H16" s="299"/>
      <c r="I16" s="299"/>
      <c r="J16" s="299"/>
      <c r="K16" s="299"/>
      <c r="L16" s="299"/>
      <c r="M16" s="299"/>
      <c r="N16" s="299"/>
      <c r="P16" s="317"/>
      <c r="Q16" s="310"/>
      <c r="R16" s="299"/>
      <c r="S16" s="471"/>
      <c r="T16" s="310"/>
      <c r="U16" s="29"/>
      <c r="V16" s="118"/>
      <c r="W16" s="108"/>
      <c r="X16" s="114"/>
      <c r="Y16" s="118"/>
      <c r="Z16" s="310"/>
      <c r="AA16" s="29"/>
      <c r="AB16" s="118"/>
      <c r="AC16" s="310"/>
      <c r="AD16" s="484"/>
      <c r="AE16" s="486"/>
      <c r="AF16" s="309"/>
      <c r="AG16" s="163"/>
      <c r="AH16" s="433"/>
      <c r="AI16" s="299"/>
      <c r="AJ16" s="317"/>
      <c r="AK16" s="299"/>
      <c r="AL16" s="299"/>
      <c r="AM16" s="317"/>
      <c r="AN16" s="29"/>
      <c r="AO16" s="118"/>
      <c r="AP16" s="317"/>
      <c r="AQ16" s="478"/>
      <c r="AR16" s="29"/>
      <c r="AS16" s="29"/>
      <c r="AT16" s="28"/>
      <c r="AU16" s="28"/>
      <c r="AV16" s="28"/>
      <c r="AW16" s="28"/>
      <c r="AX16" s="28"/>
      <c r="AY16" s="28"/>
      <c r="AZ16" s="28"/>
      <c r="BA16" s="28"/>
      <c r="BB16" s="472"/>
      <c r="BC16" s="471"/>
      <c r="BD16" s="112"/>
      <c r="BE16" s="29"/>
      <c r="BF16" s="28"/>
      <c r="BG16" s="28"/>
      <c r="BH16" s="28"/>
      <c r="BI16" s="28"/>
      <c r="BJ16" s="28"/>
      <c r="BK16" s="28"/>
      <c r="BL16" s="28"/>
      <c r="BM16" s="28"/>
      <c r="BN16" s="472"/>
    </row>
    <row r="17" spans="1:66" x14ac:dyDescent="0.3">
      <c r="A17" t="s">
        <v>75</v>
      </c>
      <c r="B17" s="112" t="s">
        <v>83</v>
      </c>
      <c r="C17" s="471"/>
      <c r="D17" s="299"/>
      <c r="E17" s="299"/>
      <c r="F17" s="497"/>
      <c r="G17" s="471"/>
      <c r="H17" s="299"/>
      <c r="I17" s="299"/>
      <c r="J17" s="299"/>
      <c r="K17" s="299"/>
      <c r="L17" s="299"/>
      <c r="M17" s="299"/>
      <c r="N17" s="299"/>
      <c r="P17" s="317"/>
      <c r="Q17" s="310"/>
      <c r="R17" s="299"/>
      <c r="S17" s="471"/>
      <c r="T17" s="310"/>
      <c r="U17" s="29"/>
      <c r="V17" s="118"/>
      <c r="W17" s="108"/>
      <c r="X17" s="114"/>
      <c r="Y17" s="118"/>
      <c r="Z17" s="310"/>
      <c r="AA17" s="163"/>
      <c r="AB17" s="162"/>
      <c r="AC17" s="309"/>
      <c r="AD17" s="484"/>
      <c r="AE17" s="486"/>
      <c r="AF17" s="309"/>
      <c r="AG17" s="29"/>
      <c r="AH17" s="432"/>
      <c r="AI17" s="299"/>
      <c r="AJ17" s="317"/>
      <c r="AK17" s="299"/>
      <c r="AL17" s="299"/>
      <c r="AM17" s="317"/>
      <c r="AN17" s="29"/>
      <c r="AO17" s="118"/>
      <c r="AP17" s="317"/>
      <c r="AQ17" s="478"/>
      <c r="AR17" s="29"/>
      <c r="AS17" s="29"/>
      <c r="AT17" s="28"/>
      <c r="AU17" s="28"/>
      <c r="AV17" s="28"/>
      <c r="AW17" s="28"/>
      <c r="AX17" s="28"/>
      <c r="AY17" s="28"/>
      <c r="AZ17" s="28"/>
      <c r="BA17" s="28"/>
      <c r="BB17" s="472"/>
      <c r="BC17" s="471"/>
      <c r="BD17" s="112"/>
      <c r="BE17" s="29"/>
      <c r="BF17" s="28"/>
      <c r="BG17" s="28"/>
      <c r="BH17" s="28"/>
      <c r="BI17" s="28"/>
      <c r="BJ17" s="28"/>
      <c r="BK17" s="28"/>
      <c r="BL17" s="28"/>
      <c r="BM17" s="28"/>
      <c r="BN17" s="472"/>
    </row>
    <row r="18" spans="1:66" x14ac:dyDescent="0.3">
      <c r="A18" t="s">
        <v>75</v>
      </c>
      <c r="B18" s="112" t="s">
        <v>84</v>
      </c>
      <c r="C18" s="471"/>
      <c r="D18" s="299"/>
      <c r="E18" s="299"/>
      <c r="F18" s="497"/>
      <c r="G18" s="471"/>
      <c r="H18" s="299"/>
      <c r="I18" s="299"/>
      <c r="J18" s="299"/>
      <c r="K18" s="299"/>
      <c r="L18" s="299"/>
      <c r="M18" s="299"/>
      <c r="N18" s="299"/>
      <c r="P18" s="317"/>
      <c r="Q18" s="310"/>
      <c r="R18" s="419"/>
      <c r="S18" s="473"/>
      <c r="T18" s="311"/>
      <c r="U18" s="26"/>
      <c r="V18" s="119"/>
      <c r="W18" s="423"/>
      <c r="X18" s="427"/>
      <c r="Y18" s="119"/>
      <c r="Z18" s="311"/>
      <c r="AA18" s="26"/>
      <c r="AB18" s="119"/>
      <c r="AC18" s="311"/>
      <c r="AD18" s="419"/>
      <c r="AE18" s="473"/>
      <c r="AF18" s="311"/>
      <c r="AG18" s="26"/>
      <c r="AH18" s="434"/>
      <c r="AI18" s="419"/>
      <c r="AJ18" s="318"/>
      <c r="AK18" s="419"/>
      <c r="AL18" s="419"/>
      <c r="AM18" s="318"/>
      <c r="AN18" s="26"/>
      <c r="AO18" s="119"/>
      <c r="AP18" s="318"/>
      <c r="AQ18" s="479"/>
      <c r="AR18" s="26"/>
      <c r="AS18" s="26"/>
      <c r="AT18" s="27"/>
      <c r="AU18" s="27"/>
      <c r="AV18" s="27"/>
      <c r="AW18" s="27"/>
      <c r="AX18" s="27"/>
      <c r="AY18" s="27"/>
      <c r="AZ18" s="27"/>
      <c r="BA18" s="27"/>
      <c r="BB18" s="480"/>
      <c r="BC18" s="473"/>
      <c r="BD18" s="463"/>
      <c r="BE18" s="26"/>
      <c r="BF18" s="27"/>
      <c r="BG18" s="27"/>
      <c r="BH18" s="27"/>
      <c r="BI18" s="28"/>
      <c r="BJ18" s="28"/>
      <c r="BK18" s="28"/>
      <c r="BL18" s="28"/>
      <c r="BM18" s="28"/>
      <c r="BN18" s="472"/>
    </row>
    <row r="19" spans="1:66" x14ac:dyDescent="0.3">
      <c r="B19" s="112"/>
      <c r="C19" s="471"/>
      <c r="D19" s="299"/>
      <c r="E19" s="299"/>
      <c r="F19" s="497"/>
      <c r="G19" s="471"/>
      <c r="H19" s="299"/>
      <c r="I19" s="299"/>
      <c r="J19" s="299"/>
      <c r="K19" s="299"/>
      <c r="L19" s="299"/>
      <c r="M19" s="299"/>
      <c r="N19" s="299"/>
      <c r="P19" s="317"/>
      <c r="Q19" s="310"/>
      <c r="R19" s="299"/>
      <c r="S19" s="471"/>
      <c r="T19" s="310"/>
      <c r="U19" s="29"/>
      <c r="V19" s="118"/>
      <c r="W19" s="108"/>
      <c r="X19" s="114"/>
      <c r="Y19" s="118"/>
      <c r="Z19" s="310"/>
      <c r="AA19" s="29"/>
      <c r="AB19" s="118"/>
      <c r="AC19" s="310"/>
      <c r="AD19" s="299"/>
      <c r="AE19" s="471"/>
      <c r="AF19" s="310"/>
      <c r="AG19" s="29"/>
      <c r="AH19" s="432"/>
      <c r="AI19" s="299"/>
      <c r="AJ19" s="317"/>
      <c r="AK19" s="299"/>
      <c r="AL19" s="299"/>
      <c r="AM19" s="317"/>
      <c r="AN19" s="29"/>
      <c r="AO19" s="118"/>
      <c r="AP19" s="317"/>
      <c r="AQ19" s="478"/>
      <c r="AR19" s="29"/>
      <c r="AS19" s="29"/>
      <c r="AT19" s="28"/>
      <c r="AU19" s="28"/>
      <c r="AV19" s="28"/>
      <c r="AW19" s="28"/>
      <c r="AX19" s="28"/>
      <c r="AY19" s="28"/>
      <c r="AZ19" s="28"/>
      <c r="BA19" s="28"/>
      <c r="BB19" s="472"/>
      <c r="BC19" s="471"/>
      <c r="BD19" s="112"/>
      <c r="BE19" s="29"/>
      <c r="BF19" s="28"/>
      <c r="BG19" s="28"/>
      <c r="BH19" s="28"/>
      <c r="BI19" s="28"/>
      <c r="BJ19" s="28"/>
      <c r="BK19" s="28"/>
      <c r="BL19" s="28"/>
      <c r="BM19" s="28"/>
      <c r="BN19" s="472"/>
    </row>
    <row r="20" spans="1:66" x14ac:dyDescent="0.3">
      <c r="A20" t="s">
        <v>85</v>
      </c>
      <c r="B20" s="112" t="s">
        <v>76</v>
      </c>
      <c r="C20" s="471"/>
      <c r="D20" s="299"/>
      <c r="E20" s="299"/>
      <c r="F20" s="497"/>
      <c r="G20" s="471"/>
      <c r="H20" s="299"/>
      <c r="I20" s="299"/>
      <c r="J20" s="299"/>
      <c r="K20" s="299"/>
      <c r="L20" s="298"/>
      <c r="M20" s="298"/>
      <c r="N20" s="298"/>
      <c r="P20" s="426"/>
      <c r="Q20" s="310"/>
      <c r="R20" s="420"/>
      <c r="S20" s="487"/>
      <c r="T20" s="312"/>
      <c r="U20" s="109"/>
      <c r="V20" s="120"/>
      <c r="W20" s="424"/>
      <c r="X20" s="428"/>
      <c r="Y20" s="428"/>
      <c r="Z20" s="312"/>
      <c r="AA20" s="429"/>
      <c r="AB20" s="121"/>
      <c r="AC20" s="310"/>
      <c r="AD20" s="299"/>
      <c r="AE20" s="471"/>
      <c r="AF20" s="310"/>
      <c r="AG20" s="29"/>
      <c r="AH20" s="432"/>
      <c r="AI20" s="299"/>
      <c r="AJ20" s="317"/>
      <c r="AK20" s="299"/>
      <c r="AL20" s="299"/>
      <c r="AM20" s="317"/>
      <c r="AN20" s="29"/>
      <c r="AO20" s="118"/>
      <c r="AP20" s="317"/>
      <c r="AQ20" s="478"/>
      <c r="AR20" s="29"/>
      <c r="AS20" s="29"/>
      <c r="AT20" s="28"/>
      <c r="AU20" s="28"/>
      <c r="AV20" s="28"/>
      <c r="AW20" s="28"/>
      <c r="AX20" s="28"/>
      <c r="AY20" s="28"/>
      <c r="AZ20" s="28"/>
      <c r="BA20" s="28"/>
      <c r="BB20" s="472"/>
      <c r="BC20" s="471"/>
      <c r="BD20" s="112"/>
      <c r="BE20" s="29"/>
      <c r="BF20" s="28"/>
      <c r="BG20" s="28"/>
      <c r="BH20" s="28"/>
      <c r="BI20" s="28"/>
      <c r="BJ20" s="28"/>
      <c r="BK20" s="28"/>
      <c r="BL20" s="28"/>
      <c r="BM20" s="28"/>
      <c r="BN20" s="472"/>
    </row>
    <row r="21" spans="1:66" x14ac:dyDescent="0.3">
      <c r="A21" t="s">
        <v>85</v>
      </c>
      <c r="B21" s="112" t="s">
        <v>79</v>
      </c>
      <c r="C21" s="471"/>
      <c r="D21" s="299"/>
      <c r="E21" s="299"/>
      <c r="F21" s="497"/>
      <c r="G21" s="471"/>
      <c r="H21" s="299"/>
      <c r="I21" s="299"/>
      <c r="J21" s="299"/>
      <c r="K21" s="299"/>
      <c r="L21" s="299"/>
      <c r="M21" s="299"/>
      <c r="N21" s="299"/>
      <c r="P21" s="317"/>
      <c r="Q21" s="310"/>
      <c r="R21" s="299"/>
      <c r="S21" s="471"/>
      <c r="T21" s="310"/>
      <c r="U21" s="29"/>
      <c r="V21" s="118"/>
      <c r="W21" s="108"/>
      <c r="X21" s="114"/>
      <c r="Y21" s="112"/>
      <c r="Z21" s="310"/>
      <c r="AA21" s="29"/>
      <c r="AB21" s="118"/>
      <c r="AC21" s="312"/>
      <c r="AD21" s="420"/>
      <c r="AE21" s="487"/>
      <c r="AF21" s="312"/>
      <c r="AG21" s="109"/>
      <c r="AH21" s="435"/>
      <c r="AI21" s="485"/>
      <c r="AJ21" s="439"/>
      <c r="AK21" s="299"/>
      <c r="AL21" s="299"/>
      <c r="AM21" s="317"/>
      <c r="AN21" s="29"/>
      <c r="AO21" s="118"/>
      <c r="AP21" s="317"/>
      <c r="AQ21" s="478"/>
      <c r="AR21" s="29"/>
      <c r="AS21" s="29"/>
      <c r="AT21" s="28"/>
      <c r="AU21" s="28"/>
      <c r="AV21" s="28"/>
      <c r="AW21" s="28"/>
      <c r="AX21" s="28"/>
      <c r="AY21" s="28"/>
      <c r="AZ21" s="28"/>
      <c r="BA21" s="28"/>
      <c r="BB21" s="472"/>
      <c r="BC21" s="471"/>
      <c r="BD21" s="112"/>
      <c r="BE21" s="29"/>
      <c r="BF21" s="28"/>
      <c r="BG21" s="28"/>
      <c r="BH21" s="28"/>
      <c r="BI21" s="28"/>
      <c r="BJ21" s="28"/>
      <c r="BK21" s="28"/>
      <c r="BL21" s="28"/>
      <c r="BM21" s="28"/>
      <c r="BN21" s="472"/>
    </row>
    <row r="22" spans="1:66" x14ac:dyDescent="0.3">
      <c r="A22" t="s">
        <v>85</v>
      </c>
      <c r="B22" s="112" t="s">
        <v>82</v>
      </c>
      <c r="C22" s="471"/>
      <c r="D22" s="299"/>
      <c r="E22" s="299"/>
      <c r="F22" s="497"/>
      <c r="G22" s="471"/>
      <c r="H22" s="299"/>
      <c r="I22" s="299"/>
      <c r="J22" s="299"/>
      <c r="K22" s="299"/>
      <c r="L22" s="299"/>
      <c r="M22" s="299"/>
      <c r="N22" s="299"/>
      <c r="P22" s="317"/>
      <c r="Q22" s="310"/>
      <c r="R22" s="299"/>
      <c r="S22" s="471"/>
      <c r="T22" s="310"/>
      <c r="U22" s="29"/>
      <c r="V22" s="118"/>
      <c r="W22" s="108"/>
      <c r="X22" s="114"/>
      <c r="Y22" s="118"/>
      <c r="Z22" s="310"/>
      <c r="AA22" s="29"/>
      <c r="AB22" s="118"/>
      <c r="AC22" s="310"/>
      <c r="AD22" s="299"/>
      <c r="AE22" s="471"/>
      <c r="AF22" s="310"/>
      <c r="AG22" s="29"/>
      <c r="AH22" s="432"/>
      <c r="AI22" s="299"/>
      <c r="AJ22" s="317"/>
      <c r="AK22" s="420"/>
      <c r="AL22" s="420"/>
      <c r="AM22" s="319"/>
      <c r="AN22" s="109"/>
      <c r="AO22" s="120"/>
      <c r="AP22" s="439"/>
      <c r="AQ22" s="502"/>
      <c r="AR22" s="29"/>
      <c r="AS22" s="29"/>
      <c r="AT22" s="28"/>
      <c r="AU22" s="28"/>
      <c r="AV22" s="28"/>
      <c r="AW22" s="28"/>
      <c r="AX22" s="28"/>
      <c r="AY22" s="28"/>
      <c r="AZ22" s="28"/>
      <c r="BA22" s="28"/>
      <c r="BB22" s="472"/>
      <c r="BC22" s="471"/>
      <c r="BD22" s="112"/>
      <c r="BE22" s="29"/>
      <c r="BF22" s="28"/>
      <c r="BG22" s="28"/>
      <c r="BH22" s="28"/>
      <c r="BI22" s="28"/>
      <c r="BJ22" s="28"/>
      <c r="BK22" s="28"/>
      <c r="BL22" s="28"/>
      <c r="BM22" s="28"/>
      <c r="BN22" s="472"/>
    </row>
    <row r="23" spans="1:66" x14ac:dyDescent="0.3">
      <c r="A23" t="s">
        <v>86</v>
      </c>
      <c r="B23" s="112" t="s">
        <v>77</v>
      </c>
      <c r="C23" s="471"/>
      <c r="D23" s="299"/>
      <c r="E23" s="299"/>
      <c r="F23" s="497"/>
      <c r="G23" s="471"/>
      <c r="H23" s="299"/>
      <c r="I23" s="299"/>
      <c r="J23" s="299"/>
      <c r="K23" s="299"/>
      <c r="L23" s="298"/>
      <c r="M23" s="298"/>
      <c r="N23" s="298"/>
      <c r="P23" s="426"/>
      <c r="Q23" s="310"/>
      <c r="R23" s="420"/>
      <c r="S23" s="487"/>
      <c r="T23" s="312"/>
      <c r="U23" s="109"/>
      <c r="V23" s="120"/>
      <c r="W23" s="424"/>
      <c r="X23" s="428"/>
      <c r="Y23" s="120"/>
      <c r="Z23" s="312"/>
      <c r="AA23" s="109"/>
      <c r="AB23" s="120"/>
      <c r="AC23" s="312"/>
      <c r="AD23" s="485"/>
      <c r="AE23" s="501"/>
      <c r="AF23" s="115"/>
      <c r="AG23" s="29"/>
      <c r="AH23" s="432"/>
      <c r="AI23" s="299"/>
      <c r="AJ23" s="317"/>
      <c r="AK23" s="299"/>
      <c r="AL23" s="299"/>
      <c r="AM23" s="317"/>
      <c r="AN23" s="29"/>
      <c r="AO23" s="118"/>
      <c r="AP23" s="317"/>
      <c r="AQ23" s="478"/>
      <c r="AR23" s="29"/>
      <c r="AS23" s="29"/>
      <c r="AT23" s="28"/>
      <c r="AU23" s="28"/>
      <c r="AV23" s="28"/>
      <c r="AW23" s="28"/>
      <c r="AX23" s="28"/>
      <c r="AY23" s="28"/>
      <c r="AZ23" s="28"/>
      <c r="BA23" s="28"/>
      <c r="BB23" s="472"/>
      <c r="BC23" s="471"/>
      <c r="BD23" s="112"/>
      <c r="BE23" s="29"/>
      <c r="BF23" s="28"/>
      <c r="BG23" s="28"/>
      <c r="BH23" s="28"/>
      <c r="BI23" s="28"/>
      <c r="BJ23" s="28"/>
      <c r="BK23" s="28"/>
      <c r="BL23" s="28"/>
      <c r="BM23" s="28"/>
      <c r="BN23" s="472"/>
    </row>
    <row r="24" spans="1:66" x14ac:dyDescent="0.3">
      <c r="A24" t="s">
        <v>86</v>
      </c>
      <c r="B24" s="112" t="s">
        <v>80</v>
      </c>
      <c r="C24" s="471"/>
      <c r="D24" s="299"/>
      <c r="E24" s="299"/>
      <c r="F24" s="497"/>
      <c r="G24" s="471"/>
      <c r="H24" s="299"/>
      <c r="I24" s="299"/>
      <c r="J24" s="299"/>
      <c r="K24" s="299"/>
      <c r="L24" s="299"/>
      <c r="M24" s="299"/>
      <c r="N24" s="299"/>
      <c r="P24" s="317"/>
      <c r="Q24" s="310"/>
      <c r="R24" s="299"/>
      <c r="S24" s="471"/>
      <c r="T24" s="310"/>
      <c r="U24" s="29"/>
      <c r="V24" s="118"/>
      <c r="W24" s="108"/>
      <c r="X24" s="114"/>
      <c r="Y24" s="118"/>
      <c r="Z24" s="310"/>
      <c r="AA24" s="29"/>
      <c r="AB24" s="118"/>
      <c r="AC24" s="310"/>
      <c r="AD24" s="299"/>
      <c r="AE24" s="471"/>
      <c r="AF24" s="312"/>
      <c r="AG24" s="109"/>
      <c r="AH24" s="435"/>
      <c r="AI24" s="420"/>
      <c r="AJ24" s="319"/>
      <c r="AK24" s="420"/>
      <c r="AL24" s="420"/>
      <c r="AM24" s="319"/>
      <c r="AN24" s="109"/>
      <c r="AO24" s="503"/>
      <c r="AP24" s="504"/>
      <c r="AQ24" s="478"/>
      <c r="AR24" s="29"/>
      <c r="AS24" s="29"/>
      <c r="AT24" s="28"/>
      <c r="AU24" s="28"/>
      <c r="AV24" s="28"/>
      <c r="AW24" s="28"/>
      <c r="AX24" s="28"/>
      <c r="AY24" s="28"/>
      <c r="AZ24" s="28"/>
      <c r="BA24" s="28"/>
      <c r="BB24" s="472"/>
      <c r="BC24" s="471"/>
      <c r="BD24" s="112"/>
      <c r="BE24" s="29"/>
      <c r="BF24" s="28"/>
      <c r="BG24" s="28"/>
      <c r="BH24" s="28"/>
      <c r="BI24" s="28"/>
      <c r="BJ24" s="28"/>
      <c r="BK24" s="28"/>
      <c r="BL24" s="28"/>
      <c r="BM24" s="28"/>
      <c r="BN24" s="472"/>
    </row>
    <row r="25" spans="1:66" x14ac:dyDescent="0.3">
      <c r="A25" t="s">
        <v>87</v>
      </c>
      <c r="B25" s="112" t="s">
        <v>78</v>
      </c>
      <c r="C25" s="471"/>
      <c r="D25" s="299"/>
      <c r="E25" s="299"/>
      <c r="F25" s="497"/>
      <c r="G25" s="471"/>
      <c r="H25" s="299"/>
      <c r="I25" s="299"/>
      <c r="J25" s="299"/>
      <c r="K25" s="299"/>
      <c r="L25" s="298"/>
      <c r="M25" s="298"/>
      <c r="N25" s="298"/>
      <c r="P25" s="426"/>
      <c r="Q25" s="310"/>
      <c r="R25" s="420"/>
      <c r="S25" s="487"/>
      <c r="T25" s="312"/>
      <c r="U25" s="109"/>
      <c r="V25" s="120"/>
      <c r="W25" s="424"/>
      <c r="X25" s="428"/>
      <c r="Y25" s="121"/>
      <c r="Z25" s="315"/>
      <c r="AA25" s="29"/>
      <c r="AB25" s="118"/>
      <c r="AC25" s="310"/>
      <c r="AD25" s="299"/>
      <c r="AE25" s="471"/>
      <c r="AF25" s="310"/>
      <c r="AG25" s="29"/>
      <c r="AH25" s="432"/>
      <c r="AI25" s="299"/>
      <c r="AJ25" s="317"/>
      <c r="AK25" s="299"/>
      <c r="AL25" s="299"/>
      <c r="AM25" s="317"/>
      <c r="AN25" s="29"/>
      <c r="AO25" s="118"/>
      <c r="AP25" s="317"/>
      <c r="AQ25" s="478"/>
      <c r="AR25" s="29"/>
      <c r="AS25" s="29"/>
      <c r="AT25" s="28"/>
      <c r="AU25" s="28"/>
      <c r="AV25" s="28"/>
      <c r="AW25" s="28"/>
      <c r="AX25" s="28"/>
      <c r="AY25" s="28"/>
      <c r="AZ25" s="28"/>
      <c r="BA25" s="28"/>
      <c r="BB25" s="472"/>
      <c r="BC25" s="471"/>
      <c r="BD25" s="112"/>
      <c r="BE25" s="29"/>
      <c r="BF25" s="28"/>
      <c r="BG25" s="28"/>
      <c r="BH25" s="28"/>
      <c r="BI25" s="28"/>
      <c r="BJ25" s="28"/>
      <c r="BK25" s="28"/>
      <c r="BL25" s="28"/>
      <c r="BM25" s="28"/>
      <c r="BN25" s="472"/>
    </row>
    <row r="26" spans="1:66" x14ac:dyDescent="0.3">
      <c r="A26" t="s">
        <v>87</v>
      </c>
      <c r="B26" s="494" t="s">
        <v>493</v>
      </c>
      <c r="C26" s="471"/>
      <c r="D26" s="299"/>
      <c r="E26" s="299"/>
      <c r="F26" s="497"/>
      <c r="G26" s="471"/>
      <c r="H26" s="299"/>
      <c r="I26" s="299"/>
      <c r="J26" s="299"/>
      <c r="K26" s="299"/>
      <c r="L26" s="299"/>
      <c r="M26" s="299"/>
      <c r="N26" s="299"/>
      <c r="P26" s="317"/>
      <c r="Q26" s="310"/>
      <c r="R26" s="299"/>
      <c r="S26" s="471"/>
      <c r="T26" s="310"/>
      <c r="U26" s="29"/>
      <c r="V26" s="118"/>
      <c r="W26" s="108"/>
      <c r="X26" s="114"/>
      <c r="Y26" s="120"/>
      <c r="Z26" s="315"/>
      <c r="AA26" s="29"/>
      <c r="AB26" s="118"/>
      <c r="AC26" s="310"/>
      <c r="AD26" s="299"/>
      <c r="AE26" s="471"/>
      <c r="AF26" s="310"/>
      <c r="AG26" s="112"/>
      <c r="AH26" s="436"/>
      <c r="AI26" s="299"/>
      <c r="AJ26" s="317"/>
      <c r="AK26" s="299"/>
      <c r="AL26" s="299"/>
      <c r="AM26" s="317"/>
      <c r="AN26" s="29"/>
      <c r="AO26" s="118"/>
      <c r="AP26" s="317"/>
      <c r="AQ26" s="478"/>
      <c r="AR26" s="29"/>
      <c r="AS26" s="29"/>
      <c r="AT26" s="28"/>
      <c r="AU26" s="28"/>
      <c r="AV26" s="28"/>
      <c r="AW26" s="28"/>
      <c r="AX26" s="28"/>
      <c r="AY26" s="28"/>
      <c r="AZ26" s="28"/>
      <c r="BA26" s="28"/>
      <c r="BB26" s="472"/>
      <c r="BC26" s="471"/>
      <c r="BD26" s="112"/>
      <c r="BE26" s="29"/>
      <c r="BF26" s="28"/>
      <c r="BG26" s="28"/>
      <c r="BH26" s="28"/>
      <c r="BI26" s="28"/>
      <c r="BJ26" s="28"/>
      <c r="BK26" s="28"/>
      <c r="BL26" s="28"/>
      <c r="BM26" s="28"/>
      <c r="BN26" s="472"/>
    </row>
    <row r="27" spans="1:66" x14ac:dyDescent="0.3">
      <c r="A27" t="s">
        <v>87</v>
      </c>
      <c r="B27" s="112" t="s">
        <v>81</v>
      </c>
      <c r="C27" s="471"/>
      <c r="D27" s="299"/>
      <c r="E27" s="299"/>
      <c r="F27" s="497"/>
      <c r="G27" s="471"/>
      <c r="H27" s="299"/>
      <c r="I27" s="299"/>
      <c r="J27" s="299"/>
      <c r="K27" s="299"/>
      <c r="L27" s="299"/>
      <c r="M27" s="299"/>
      <c r="N27" s="299"/>
      <c r="P27" s="317"/>
      <c r="Q27" s="310"/>
      <c r="R27" s="299"/>
      <c r="S27" s="471"/>
      <c r="T27" s="310"/>
      <c r="U27" s="29"/>
      <c r="V27" s="118"/>
      <c r="W27" s="108"/>
      <c r="X27" s="114"/>
      <c r="Y27" s="118"/>
      <c r="Z27" s="310"/>
      <c r="AA27" s="109"/>
      <c r="AB27" s="120"/>
      <c r="AC27" s="312"/>
      <c r="AD27" s="420"/>
      <c r="AE27" s="487"/>
      <c r="AF27" s="312"/>
      <c r="AG27" s="503"/>
      <c r="AH27" s="505"/>
      <c r="AI27" s="299"/>
      <c r="AJ27" s="317"/>
      <c r="AK27" s="299"/>
      <c r="AL27" s="299"/>
      <c r="AM27" s="317"/>
      <c r="AN27" s="29"/>
      <c r="AO27" s="118"/>
      <c r="AP27" s="317"/>
      <c r="AQ27" s="478"/>
      <c r="AR27" s="29"/>
      <c r="AS27" s="29"/>
      <c r="AT27" s="28"/>
      <c r="AU27" s="28"/>
      <c r="AV27" s="28"/>
      <c r="AW27" s="28"/>
      <c r="AX27" s="28"/>
      <c r="AY27" s="28"/>
      <c r="AZ27" s="28"/>
      <c r="BA27" s="28"/>
      <c r="BB27" s="472"/>
      <c r="BC27" s="471"/>
      <c r="BD27" s="112"/>
      <c r="BE27" s="29"/>
      <c r="BF27" s="28"/>
      <c r="BG27" s="28"/>
      <c r="BH27" s="28"/>
      <c r="BI27" s="28"/>
      <c r="BJ27" s="28"/>
      <c r="BK27" s="28"/>
      <c r="BL27" s="28"/>
      <c r="BM27" s="28"/>
      <c r="BN27" s="472"/>
    </row>
    <row r="28" spans="1:66" x14ac:dyDescent="0.3">
      <c r="A28" t="s">
        <v>87</v>
      </c>
      <c r="B28" s="112" t="s">
        <v>83</v>
      </c>
      <c r="C28" s="471"/>
      <c r="D28" s="299"/>
      <c r="E28" s="299"/>
      <c r="F28" s="497"/>
      <c r="G28" s="471"/>
      <c r="H28" s="299"/>
      <c r="I28" s="299"/>
      <c r="J28" s="299"/>
      <c r="K28" s="299"/>
      <c r="L28" s="299"/>
      <c r="M28" s="299"/>
      <c r="N28" s="299"/>
      <c r="P28" s="317"/>
      <c r="Q28" s="310"/>
      <c r="R28" s="299"/>
      <c r="S28" s="471"/>
      <c r="T28" s="310"/>
      <c r="U28" s="29"/>
      <c r="V28" s="118"/>
      <c r="W28" s="108"/>
      <c r="X28" s="114"/>
      <c r="Y28" s="118"/>
      <c r="Z28" s="310"/>
      <c r="AA28" s="29"/>
      <c r="AB28" s="118"/>
      <c r="AC28" s="310"/>
      <c r="AD28" s="299"/>
      <c r="AE28" s="471"/>
      <c r="AF28" s="310"/>
      <c r="AG28" s="29"/>
      <c r="AH28" s="432"/>
      <c r="AI28" s="420"/>
      <c r="AJ28" s="319"/>
      <c r="AK28" s="420"/>
      <c r="AL28" s="420"/>
      <c r="AM28" s="319"/>
      <c r="AN28" s="109"/>
      <c r="AO28" s="120"/>
      <c r="AP28" s="439"/>
      <c r="AQ28" s="502"/>
      <c r="AR28" s="29"/>
      <c r="AS28" s="29"/>
      <c r="AT28" s="28"/>
      <c r="AU28" s="28"/>
      <c r="AV28" s="28"/>
      <c r="AW28" s="28"/>
      <c r="AX28" s="28"/>
      <c r="AY28" s="28"/>
      <c r="AZ28" s="28"/>
      <c r="BA28" s="28"/>
      <c r="BB28" s="472"/>
      <c r="BC28" s="471"/>
      <c r="BD28" s="112"/>
      <c r="BE28" s="29"/>
      <c r="BF28" s="28"/>
      <c r="BG28" s="28"/>
      <c r="BH28" s="28"/>
      <c r="BI28" s="28"/>
      <c r="BJ28" s="28"/>
      <c r="BK28" s="28"/>
      <c r="BL28" s="28"/>
      <c r="BM28" s="28"/>
      <c r="BN28" s="472"/>
    </row>
    <row r="29" spans="1:66" x14ac:dyDescent="0.3">
      <c r="B29" s="112"/>
      <c r="C29" s="471"/>
      <c r="D29" s="299"/>
      <c r="E29" s="299"/>
      <c r="F29" s="497"/>
      <c r="G29" s="471"/>
      <c r="H29" s="299"/>
      <c r="I29" s="299"/>
      <c r="J29" s="299"/>
      <c r="K29" s="299"/>
      <c r="L29" s="299"/>
      <c r="M29" s="299"/>
      <c r="N29" s="299"/>
      <c r="P29" s="317"/>
      <c r="Q29" s="310"/>
      <c r="R29" s="299"/>
      <c r="S29" s="471"/>
      <c r="T29" s="310"/>
      <c r="U29" s="29"/>
      <c r="V29" s="118"/>
      <c r="W29" s="108"/>
      <c r="X29" s="114"/>
      <c r="Y29" s="118"/>
      <c r="Z29" s="310"/>
      <c r="AA29" s="29"/>
      <c r="AB29" s="118"/>
      <c r="AC29" s="310"/>
      <c r="AD29" s="299"/>
      <c r="AE29" s="471"/>
      <c r="AF29" s="310"/>
      <c r="AG29" s="29"/>
      <c r="AH29" s="432"/>
      <c r="AI29" s="299"/>
      <c r="AJ29" s="317"/>
      <c r="AK29" s="299"/>
      <c r="AL29" s="299"/>
      <c r="AM29" s="317"/>
      <c r="AN29" s="29"/>
      <c r="AO29" s="118"/>
      <c r="AP29" s="317"/>
      <c r="AQ29" s="478"/>
      <c r="AR29" s="29"/>
      <c r="AS29" s="29"/>
      <c r="AT29" s="28"/>
      <c r="AU29" s="28"/>
      <c r="AV29" s="28"/>
      <c r="AW29" s="28"/>
      <c r="AX29" s="28"/>
      <c r="AY29" s="28"/>
      <c r="AZ29" s="28"/>
      <c r="BA29" s="28"/>
      <c r="BB29" s="472"/>
      <c r="BC29" s="471"/>
      <c r="BD29" s="112"/>
      <c r="BE29" s="29"/>
      <c r="BF29" s="28"/>
      <c r="BG29" s="28"/>
      <c r="BH29" s="28"/>
      <c r="BI29" s="28"/>
      <c r="BJ29" s="28"/>
      <c r="BK29" s="28"/>
      <c r="BL29" s="28"/>
      <c r="BM29" s="28"/>
      <c r="BN29" s="472"/>
    </row>
    <row r="30" spans="1:66" x14ac:dyDescent="0.3">
      <c r="A30" t="s">
        <v>88</v>
      </c>
      <c r="B30" s="112" t="s">
        <v>88</v>
      </c>
      <c r="C30" s="471"/>
      <c r="D30" s="299"/>
      <c r="E30" s="299"/>
      <c r="F30" s="497"/>
      <c r="G30" s="471"/>
      <c r="H30" s="299"/>
      <c r="I30" s="299"/>
      <c r="J30" s="299"/>
      <c r="K30" s="299"/>
      <c r="L30" s="299"/>
      <c r="M30" s="299"/>
      <c r="N30" s="299"/>
      <c r="P30" s="320"/>
      <c r="Q30" s="313"/>
      <c r="R30" s="421"/>
      <c r="S30" s="488"/>
      <c r="T30" s="313"/>
      <c r="U30" s="111"/>
      <c r="V30" s="122"/>
      <c r="W30" s="425"/>
      <c r="X30" s="430"/>
      <c r="Y30" s="122"/>
      <c r="Z30" s="313"/>
      <c r="AA30" s="111"/>
      <c r="AB30" s="122"/>
      <c r="AC30" s="313"/>
      <c r="AD30" s="421"/>
      <c r="AE30" s="488"/>
      <c r="AF30" s="313"/>
      <c r="AG30" s="111"/>
      <c r="AH30" s="437"/>
      <c r="AI30" s="421"/>
      <c r="AJ30" s="320"/>
      <c r="AK30" s="421"/>
      <c r="AL30" s="421"/>
      <c r="AM30" s="320"/>
      <c r="AN30" s="111"/>
      <c r="AO30" s="122"/>
      <c r="AP30" s="320"/>
      <c r="AQ30" s="481"/>
      <c r="AR30" s="111"/>
      <c r="AS30" s="111"/>
      <c r="AT30" s="30"/>
      <c r="AU30" s="30"/>
      <c r="AV30" s="30"/>
      <c r="AW30" s="30"/>
      <c r="AX30" s="30"/>
      <c r="AY30" s="30"/>
      <c r="AZ30" s="30"/>
      <c r="BA30" s="30"/>
      <c r="BB30" s="482"/>
      <c r="BC30" s="474"/>
      <c r="BD30" s="464"/>
      <c r="BE30" s="111"/>
      <c r="BF30" s="30"/>
      <c r="BG30" s="30"/>
      <c r="BH30" s="30"/>
      <c r="BI30" s="28"/>
      <c r="BJ30" s="28"/>
      <c r="BK30" s="28"/>
      <c r="BL30" s="28"/>
      <c r="BM30" s="28"/>
      <c r="BN30" s="472"/>
    </row>
    <row r="31" spans="1:66" x14ac:dyDescent="0.3">
      <c r="B31" s="112"/>
      <c r="C31" s="471"/>
      <c r="D31" s="299"/>
      <c r="E31" s="299"/>
      <c r="F31" s="497"/>
      <c r="G31" s="471"/>
      <c r="H31" s="299"/>
      <c r="I31" s="299"/>
      <c r="J31" s="299"/>
      <c r="K31" s="299"/>
      <c r="L31" s="299"/>
      <c r="M31" s="299"/>
      <c r="N31" s="299"/>
      <c r="P31" s="317"/>
      <c r="Q31" s="310"/>
      <c r="R31" s="299"/>
      <c r="S31" s="471"/>
      <c r="T31" s="310"/>
      <c r="U31" s="29"/>
      <c r="V31" s="118"/>
      <c r="W31" s="108"/>
      <c r="X31" s="114"/>
      <c r="Y31" s="118"/>
      <c r="Z31" s="310"/>
      <c r="AA31" s="29"/>
      <c r="AB31" s="118"/>
      <c r="AC31" s="310"/>
      <c r="AD31" s="299"/>
      <c r="AE31" s="471"/>
      <c r="AF31" s="310"/>
      <c r="AG31" s="29"/>
      <c r="AH31" s="432"/>
      <c r="AI31" s="299"/>
      <c r="AJ31" s="317"/>
      <c r="AK31" s="299"/>
      <c r="AL31" s="299"/>
      <c r="AM31" s="317"/>
      <c r="AN31" s="29"/>
      <c r="AO31" s="118"/>
      <c r="AP31" s="317"/>
      <c r="AQ31" s="478"/>
      <c r="AR31" s="29"/>
      <c r="AS31" s="28"/>
      <c r="AT31" s="28"/>
      <c r="AU31" s="28"/>
      <c r="AV31" s="28"/>
      <c r="AW31" s="28"/>
      <c r="AX31" s="28"/>
      <c r="AY31" s="28"/>
      <c r="AZ31" s="28"/>
      <c r="BA31" s="28"/>
      <c r="BB31" s="472"/>
      <c r="BC31" s="475"/>
      <c r="BD31" s="24"/>
      <c r="BE31" s="28"/>
      <c r="BF31" s="28"/>
      <c r="BG31" s="28"/>
      <c r="BH31" s="28"/>
      <c r="BI31" s="28"/>
      <c r="BJ31" s="28"/>
      <c r="BK31" s="28"/>
      <c r="BL31" s="28"/>
      <c r="BM31" s="28"/>
      <c r="BN31" s="472"/>
    </row>
    <row r="32" spans="1:66" x14ac:dyDescent="0.3">
      <c r="B32" s="112"/>
      <c r="C32" s="471"/>
      <c r="D32" s="299"/>
      <c r="E32" s="299"/>
      <c r="F32" s="497"/>
      <c r="G32" s="471"/>
      <c r="H32" s="299"/>
      <c r="I32" s="299"/>
      <c r="J32" s="299"/>
      <c r="K32" s="299"/>
      <c r="L32" s="299"/>
      <c r="M32" s="299"/>
      <c r="N32" s="299"/>
      <c r="P32" s="317"/>
      <c r="Q32" s="310"/>
      <c r="R32" s="299"/>
      <c r="S32" s="471"/>
      <c r="T32" s="310"/>
      <c r="U32" s="29"/>
      <c r="V32" s="118"/>
      <c r="W32" s="108"/>
      <c r="X32" s="114"/>
      <c r="Y32" s="118"/>
      <c r="Z32" s="310"/>
      <c r="AA32" s="29"/>
      <c r="AB32" s="118"/>
      <c r="AC32" s="310"/>
      <c r="AD32" s="299"/>
      <c r="AE32" s="471"/>
      <c r="AF32" s="310"/>
      <c r="AG32" s="29"/>
      <c r="AH32" s="432"/>
      <c r="AI32" s="299"/>
      <c r="AJ32" s="317"/>
      <c r="AK32" s="299"/>
      <c r="AL32" s="299"/>
      <c r="AM32" s="317"/>
      <c r="AN32" s="29"/>
      <c r="AO32" s="118"/>
      <c r="AP32" s="317"/>
      <c r="AQ32" s="478"/>
      <c r="AR32" s="29"/>
      <c r="AS32" s="28"/>
      <c r="AT32" s="28"/>
      <c r="AU32" s="28"/>
      <c r="AV32" s="28"/>
      <c r="AW32" s="28"/>
      <c r="AX32" s="28"/>
      <c r="AY32" s="28"/>
      <c r="AZ32" s="28"/>
      <c r="BA32" s="28"/>
      <c r="BB32" s="472"/>
      <c r="BC32" s="475"/>
      <c r="BD32" s="29"/>
      <c r="BE32" s="28"/>
      <c r="BF32" s="28"/>
      <c r="BG32" s="28"/>
      <c r="BH32" s="28"/>
      <c r="BI32" s="28"/>
      <c r="BJ32" s="28"/>
      <c r="BK32" s="28"/>
      <c r="BL32" s="28"/>
      <c r="BM32" s="28"/>
      <c r="BN32" s="472"/>
    </row>
    <row r="33" spans="1:66" x14ac:dyDescent="0.3">
      <c r="B33" s="112"/>
      <c r="C33" s="471"/>
      <c r="D33" s="299"/>
      <c r="E33" s="299"/>
      <c r="F33" s="497"/>
      <c r="G33" s="471"/>
      <c r="H33" s="299"/>
      <c r="I33" s="299"/>
      <c r="J33" s="299"/>
      <c r="K33" s="299"/>
      <c r="L33" s="299"/>
      <c r="M33" s="299"/>
      <c r="N33" s="299"/>
      <c r="P33" s="317"/>
      <c r="Q33" s="310"/>
      <c r="R33" s="299"/>
      <c r="S33" s="471"/>
      <c r="T33" s="310"/>
      <c r="U33" s="29"/>
      <c r="V33" s="118"/>
      <c r="W33" s="108"/>
      <c r="X33" s="114"/>
      <c r="Y33" s="118"/>
      <c r="Z33" s="310"/>
      <c r="AA33" s="29"/>
      <c r="AB33" s="118"/>
      <c r="AC33" s="310"/>
      <c r="AD33" s="299"/>
      <c r="AE33" s="471"/>
      <c r="AF33" s="310"/>
      <c r="AG33" s="29"/>
      <c r="AH33" s="432"/>
      <c r="AI33" s="299"/>
      <c r="AJ33" s="317"/>
      <c r="AK33" s="299"/>
      <c r="AL33" s="299"/>
      <c r="AM33" s="317"/>
      <c r="AN33" s="29"/>
      <c r="AO33" s="118"/>
      <c r="AP33" s="317"/>
      <c r="AQ33" s="478"/>
      <c r="AR33" s="29"/>
      <c r="AS33" s="28"/>
      <c r="AT33" s="28"/>
      <c r="AU33" s="28"/>
      <c r="AV33" s="28"/>
      <c r="AW33" s="28"/>
      <c r="AX33" s="28"/>
      <c r="AY33" s="28"/>
      <c r="AZ33" s="28"/>
      <c r="BA33" s="28"/>
      <c r="BB33" s="472"/>
      <c r="BC33" s="475"/>
      <c r="BD33" s="29"/>
      <c r="BE33" s="28"/>
      <c r="BF33" s="28"/>
      <c r="BG33" s="28"/>
      <c r="BH33" s="28"/>
      <c r="BI33" s="28"/>
      <c r="BJ33" s="28"/>
      <c r="BK33" s="28"/>
      <c r="BL33" s="28"/>
      <c r="BM33" s="28"/>
      <c r="BN33" s="472"/>
    </row>
    <row r="34" spans="1:66" x14ac:dyDescent="0.3">
      <c r="B34" s="112"/>
      <c r="C34" s="471"/>
      <c r="D34" s="299"/>
      <c r="E34" s="299"/>
      <c r="F34" s="497"/>
      <c r="G34" s="471"/>
      <c r="H34" s="299"/>
      <c r="I34" s="299"/>
      <c r="J34" s="299"/>
      <c r="K34" s="299"/>
      <c r="L34" s="299"/>
      <c r="M34" s="299"/>
      <c r="N34" s="299"/>
      <c r="P34" s="317"/>
      <c r="Q34" s="310"/>
      <c r="R34" s="299"/>
      <c r="S34" s="471"/>
      <c r="T34" s="310"/>
      <c r="U34" s="29"/>
      <c r="V34" s="118"/>
      <c r="W34" s="108"/>
      <c r="X34" s="114"/>
      <c r="Y34" s="118"/>
      <c r="Z34" s="310"/>
      <c r="AA34" s="29"/>
      <c r="AB34" s="118"/>
      <c r="AC34" s="310"/>
      <c r="AD34" s="299"/>
      <c r="AE34" s="471"/>
      <c r="AF34" s="310"/>
      <c r="AG34" s="29"/>
      <c r="AH34" s="432"/>
      <c r="AI34" s="299"/>
      <c r="AJ34" s="317"/>
      <c r="AK34" s="299"/>
      <c r="AL34" s="299"/>
      <c r="AM34" s="317"/>
      <c r="AN34" s="29"/>
      <c r="AO34" s="118"/>
      <c r="AP34" s="317"/>
      <c r="AQ34" s="478"/>
      <c r="AR34" s="29"/>
      <c r="AS34" s="28"/>
      <c r="AT34" s="28"/>
      <c r="AU34" s="28"/>
      <c r="AV34" s="28"/>
      <c r="AW34" s="28"/>
      <c r="AX34" s="28"/>
      <c r="AY34" s="28"/>
      <c r="AZ34" s="28"/>
      <c r="BA34" s="28"/>
      <c r="BB34" s="472"/>
      <c r="BC34" s="475"/>
      <c r="BD34" s="29"/>
      <c r="BE34" s="28"/>
      <c r="BF34" s="28"/>
      <c r="BG34" s="28"/>
      <c r="BH34" s="28"/>
      <c r="BI34" s="28"/>
      <c r="BJ34" s="28"/>
      <c r="BK34" s="28"/>
      <c r="BL34" s="28"/>
      <c r="BM34" s="28"/>
      <c r="BN34" s="472"/>
    </row>
    <row r="35" spans="1:66" x14ac:dyDescent="0.3">
      <c r="B35" s="112"/>
      <c r="C35" s="471"/>
      <c r="D35" s="299"/>
      <c r="E35" s="299"/>
      <c r="F35" s="497"/>
      <c r="G35" s="471"/>
      <c r="H35" s="299"/>
      <c r="I35" s="299"/>
      <c r="J35" s="299"/>
      <c r="K35" s="299"/>
      <c r="L35" s="299"/>
      <c r="M35" s="299"/>
      <c r="N35" s="299"/>
      <c r="P35" s="317"/>
      <c r="Q35" s="310"/>
      <c r="R35" s="299"/>
      <c r="S35" s="471"/>
      <c r="T35" s="310"/>
      <c r="U35" s="29"/>
      <c r="V35" s="118"/>
      <c r="W35" s="108"/>
      <c r="X35" s="114"/>
      <c r="Y35" s="118"/>
      <c r="Z35" s="310"/>
      <c r="AA35" s="29"/>
      <c r="AB35" s="118"/>
      <c r="AC35" s="310"/>
      <c r="AD35" s="299"/>
      <c r="AE35" s="471"/>
      <c r="AF35" s="310"/>
      <c r="AG35" s="29"/>
      <c r="AH35" s="432"/>
      <c r="AI35" s="299"/>
      <c r="AJ35" s="317"/>
      <c r="AK35" s="299"/>
      <c r="AL35" s="299"/>
      <c r="AM35" s="317"/>
      <c r="AN35" s="29"/>
      <c r="AO35" s="118"/>
      <c r="AP35" s="317"/>
      <c r="AQ35" s="478"/>
      <c r="AR35" s="29"/>
      <c r="AS35" s="28"/>
      <c r="AT35" s="28"/>
      <c r="AU35" s="28"/>
      <c r="AV35" s="28"/>
      <c r="AW35" s="28"/>
      <c r="AX35" s="28"/>
      <c r="AY35" s="28"/>
      <c r="AZ35" s="28"/>
      <c r="BA35" s="28"/>
      <c r="BB35" s="472"/>
      <c r="BC35" s="475"/>
      <c r="BD35" s="29"/>
      <c r="BE35" s="28"/>
      <c r="BF35" s="28"/>
      <c r="BG35" s="28"/>
      <c r="BH35" s="28"/>
      <c r="BI35" s="28"/>
      <c r="BJ35" s="28"/>
      <c r="BK35" s="28"/>
      <c r="BL35" s="28"/>
      <c r="BM35" s="28"/>
      <c r="BN35" s="472"/>
    </row>
    <row r="36" spans="1:66" x14ac:dyDescent="0.3">
      <c r="B36" s="112"/>
      <c r="C36" s="471"/>
      <c r="D36" s="299"/>
      <c r="E36" s="299"/>
      <c r="F36" s="497"/>
      <c r="G36" s="471"/>
      <c r="H36" s="299"/>
      <c r="I36" s="299"/>
      <c r="J36" s="299"/>
      <c r="K36" s="299"/>
      <c r="L36" s="299"/>
      <c r="M36" s="299"/>
      <c r="N36" s="299"/>
      <c r="P36" s="317"/>
      <c r="Q36" s="310"/>
      <c r="R36" s="299"/>
      <c r="S36" s="471"/>
      <c r="T36" s="310"/>
      <c r="U36" s="29"/>
      <c r="V36" s="118"/>
      <c r="W36" s="108"/>
      <c r="X36" s="114"/>
      <c r="Y36" s="118"/>
      <c r="Z36" s="310"/>
      <c r="AA36" s="29"/>
      <c r="AB36" s="118"/>
      <c r="AC36" s="310"/>
      <c r="AD36" s="299"/>
      <c r="AE36" s="471"/>
      <c r="AF36" s="310"/>
      <c r="AG36" s="29"/>
      <c r="AH36" s="432"/>
      <c r="AI36" s="299"/>
      <c r="AJ36" s="317"/>
      <c r="AK36" s="299"/>
      <c r="AL36" s="299"/>
      <c r="AM36" s="317"/>
      <c r="AN36" s="29"/>
      <c r="AO36" s="118"/>
      <c r="AP36" s="317"/>
      <c r="AQ36" s="478"/>
      <c r="AR36" s="29"/>
      <c r="AS36" s="28"/>
      <c r="AT36" s="28"/>
      <c r="AU36" s="28"/>
      <c r="AV36" s="28"/>
      <c r="AW36" s="28"/>
      <c r="AX36" s="28"/>
      <c r="AY36" s="28"/>
      <c r="AZ36" s="28"/>
      <c r="BA36" s="28"/>
      <c r="BB36" s="472"/>
      <c r="BC36" s="475"/>
      <c r="BD36" s="29"/>
      <c r="BE36" s="28"/>
      <c r="BF36" s="28"/>
      <c r="BG36" s="28"/>
      <c r="BH36" s="28"/>
      <c r="BI36" s="28"/>
      <c r="BJ36" s="28"/>
      <c r="BK36" s="28"/>
      <c r="BL36" s="28"/>
      <c r="BM36" s="28"/>
      <c r="BN36" s="472"/>
    </row>
    <row r="37" spans="1:66" x14ac:dyDescent="0.3">
      <c r="B37" s="112"/>
      <c r="C37" s="471"/>
      <c r="D37" s="299"/>
      <c r="E37" s="299"/>
      <c r="F37" s="497"/>
      <c r="G37" s="471"/>
      <c r="H37" s="299"/>
      <c r="I37" s="299"/>
      <c r="J37" s="299"/>
      <c r="K37" s="299"/>
      <c r="L37" s="299"/>
      <c r="M37" s="299"/>
      <c r="N37" s="299"/>
      <c r="P37" s="317"/>
      <c r="Q37" s="310"/>
      <c r="R37" s="299"/>
      <c r="S37" s="471"/>
      <c r="T37" s="310"/>
      <c r="U37" s="29"/>
      <c r="V37" s="118"/>
      <c r="W37" s="108"/>
      <c r="X37" s="114"/>
      <c r="Y37" s="118"/>
      <c r="Z37" s="310"/>
      <c r="AA37" s="29"/>
      <c r="AB37" s="118"/>
      <c r="AC37" s="310"/>
      <c r="AD37" s="299"/>
      <c r="AE37" s="471"/>
      <c r="AF37" s="310"/>
      <c r="AG37" s="29"/>
      <c r="AH37" s="432"/>
      <c r="AI37" s="299"/>
      <c r="AJ37" s="317"/>
      <c r="AK37" s="299"/>
      <c r="AL37" s="299"/>
      <c r="AM37" s="317"/>
      <c r="AN37" s="29"/>
      <c r="AO37" s="118"/>
      <c r="AP37" s="317"/>
      <c r="AQ37" s="478"/>
      <c r="AR37" s="29"/>
      <c r="AS37" s="28"/>
      <c r="AT37" s="28"/>
      <c r="AU37" s="28"/>
      <c r="AV37" s="28"/>
      <c r="AW37" s="28"/>
      <c r="AX37" s="28"/>
      <c r="AY37" s="28"/>
      <c r="AZ37" s="28"/>
      <c r="BA37" s="28"/>
      <c r="BB37" s="472"/>
      <c r="BC37" s="475"/>
      <c r="BD37" s="29"/>
      <c r="BE37" s="28"/>
      <c r="BF37" s="28"/>
      <c r="BG37" s="28"/>
      <c r="BH37" s="28"/>
      <c r="BI37" s="28"/>
      <c r="BJ37" s="28"/>
      <c r="BK37" s="28"/>
      <c r="BL37" s="28"/>
      <c r="BM37" s="28"/>
      <c r="BN37" s="472"/>
    </row>
    <row r="38" spans="1:66" x14ac:dyDescent="0.3">
      <c r="B38" s="112"/>
      <c r="C38" s="471"/>
      <c r="D38" s="299"/>
      <c r="E38" s="299"/>
      <c r="F38" s="497"/>
      <c r="G38" s="471"/>
      <c r="H38" s="299"/>
      <c r="I38" s="299"/>
      <c r="J38" s="299"/>
      <c r="K38" s="299"/>
      <c r="L38" s="299"/>
      <c r="M38" s="299"/>
      <c r="N38" s="299"/>
      <c r="P38" s="317"/>
      <c r="Q38" s="310"/>
      <c r="R38" s="299"/>
      <c r="S38" s="471"/>
      <c r="T38" s="310"/>
      <c r="U38" s="29"/>
      <c r="V38" s="118"/>
      <c r="W38" s="108"/>
      <c r="X38" s="114"/>
      <c r="Y38" s="118"/>
      <c r="Z38" s="310"/>
      <c r="AA38" s="29"/>
      <c r="AB38" s="118"/>
      <c r="AC38" s="310"/>
      <c r="AD38" s="299"/>
      <c r="AE38" s="471"/>
      <c r="AF38" s="310"/>
      <c r="AG38" s="29"/>
      <c r="AH38" s="432"/>
      <c r="AI38" s="299"/>
      <c r="AJ38" s="317"/>
      <c r="AK38" s="299"/>
      <c r="AL38" s="299"/>
      <c r="AM38" s="317"/>
      <c r="AN38" s="29"/>
      <c r="AO38" s="118"/>
      <c r="AP38" s="317"/>
      <c r="AQ38" s="478"/>
      <c r="AR38" s="29"/>
      <c r="AS38" s="28"/>
      <c r="AT38" s="28"/>
      <c r="AU38" s="28"/>
      <c r="AV38" s="28"/>
      <c r="AW38" s="28"/>
      <c r="AX38" s="28"/>
      <c r="AY38" s="28"/>
      <c r="AZ38" s="28"/>
      <c r="BA38" s="28"/>
      <c r="BB38" s="472"/>
      <c r="BC38" s="475"/>
      <c r="BD38" s="29"/>
      <c r="BE38" s="28"/>
      <c r="BF38" s="28"/>
      <c r="BG38" s="28"/>
      <c r="BH38" s="28"/>
      <c r="BI38" s="28"/>
      <c r="BJ38" s="28"/>
      <c r="BK38" s="28"/>
      <c r="BL38" s="28"/>
      <c r="BM38" s="28"/>
      <c r="BN38" s="472"/>
    </row>
    <row r="39" spans="1:66" x14ac:dyDescent="0.3">
      <c r="B39" s="112"/>
      <c r="C39" s="489"/>
      <c r="D39" s="300"/>
      <c r="E39" s="300"/>
      <c r="F39" s="498"/>
      <c r="G39" s="489"/>
      <c r="H39" s="300"/>
      <c r="I39" s="300"/>
      <c r="J39" s="300"/>
      <c r="K39" s="300"/>
      <c r="L39" s="300"/>
      <c r="M39" s="300"/>
      <c r="N39" s="300"/>
      <c r="P39" s="321"/>
      <c r="Q39" s="314"/>
      <c r="R39" s="300"/>
      <c r="S39" s="489"/>
      <c r="T39" s="314"/>
      <c r="U39" s="31"/>
      <c r="V39" s="123"/>
      <c r="W39" s="110"/>
      <c r="X39" s="116"/>
      <c r="Y39" s="123"/>
      <c r="Z39" s="314"/>
      <c r="AA39" s="31"/>
      <c r="AB39" s="123"/>
      <c r="AC39" s="314"/>
      <c r="AD39" s="300"/>
      <c r="AE39" s="489"/>
      <c r="AF39" s="314"/>
      <c r="AG39" s="31"/>
      <c r="AH39" s="438"/>
      <c r="AI39" s="300"/>
      <c r="AJ39" s="321"/>
      <c r="AK39" s="300"/>
      <c r="AL39" s="300"/>
      <c r="AM39" s="321"/>
      <c r="AN39" s="31"/>
      <c r="AO39" s="123"/>
      <c r="AP39" s="321"/>
      <c r="AQ39" s="483"/>
      <c r="AR39" s="31"/>
      <c r="AS39" s="32"/>
      <c r="AT39" s="32"/>
      <c r="AU39" s="32"/>
      <c r="AV39" s="32"/>
      <c r="AW39" s="32"/>
      <c r="AX39" s="32"/>
      <c r="AY39" s="32"/>
      <c r="AZ39" s="32"/>
      <c r="BA39" s="32"/>
      <c r="BB39" s="476"/>
      <c r="BC39" s="475"/>
      <c r="BD39" s="31"/>
      <c r="BE39" s="32"/>
      <c r="BF39" s="32"/>
      <c r="BG39" s="32"/>
      <c r="BH39" s="32"/>
      <c r="BI39" s="32"/>
      <c r="BJ39" s="32"/>
      <c r="BK39" s="32"/>
      <c r="BL39" s="32"/>
      <c r="BM39" s="32"/>
      <c r="BN39" s="476"/>
    </row>
    <row r="43" spans="1:66" x14ac:dyDescent="0.3">
      <c r="A43" t="s">
        <v>89</v>
      </c>
      <c r="B43" t="s">
        <v>77</v>
      </c>
    </row>
    <row r="44" spans="1:66" x14ac:dyDescent="0.3">
      <c r="A44" t="s">
        <v>90</v>
      </c>
      <c r="B44" t="s">
        <v>91</v>
      </c>
      <c r="O44" t="s">
        <v>92</v>
      </c>
    </row>
    <row r="45" spans="1:66" x14ac:dyDescent="0.3">
      <c r="A45" t="s">
        <v>93</v>
      </c>
      <c r="B45" t="s">
        <v>94</v>
      </c>
      <c r="O45" t="s">
        <v>95</v>
      </c>
    </row>
    <row r="46" spans="1:66" x14ac:dyDescent="0.3">
      <c r="A46" t="s">
        <v>96</v>
      </c>
      <c r="B46" t="s">
        <v>97</v>
      </c>
      <c r="O46" t="s">
        <v>98</v>
      </c>
    </row>
    <row r="47" spans="1:66" x14ac:dyDescent="0.3">
      <c r="A47" s="244" t="s">
        <v>99</v>
      </c>
      <c r="B47" t="s">
        <v>100</v>
      </c>
    </row>
    <row r="48" spans="1:66" x14ac:dyDescent="0.3">
      <c r="A48" t="s">
        <v>101</v>
      </c>
      <c r="B48" t="s">
        <v>102</v>
      </c>
    </row>
    <row r="49" spans="1:15" x14ac:dyDescent="0.3">
      <c r="A49" s="244" t="s">
        <v>103</v>
      </c>
      <c r="B49" t="s">
        <v>104</v>
      </c>
      <c r="O49" t="s">
        <v>105</v>
      </c>
    </row>
  </sheetData>
  <mergeCells count="18">
    <mergeCell ref="BC1:BN1"/>
    <mergeCell ref="G1:R1"/>
    <mergeCell ref="P2:Q2"/>
    <mergeCell ref="R2:T2"/>
    <mergeCell ref="AP2:AQ2"/>
    <mergeCell ref="AQ1:BB1"/>
    <mergeCell ref="A1:A3"/>
    <mergeCell ref="B1:B3"/>
    <mergeCell ref="C1:F1"/>
    <mergeCell ref="AJ2:AL2"/>
    <mergeCell ref="AM2:AO2"/>
    <mergeCell ref="S1:AD1"/>
    <mergeCell ref="AE1:AP1"/>
    <mergeCell ref="U2:W2"/>
    <mergeCell ref="X2:Z2"/>
    <mergeCell ref="AA2:AC2"/>
    <mergeCell ref="AD2:AF2"/>
    <mergeCell ref="AG2:A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4957-70CA-4F2C-A603-09F60BD83126}">
  <dimension ref="A3:AN70"/>
  <sheetViews>
    <sheetView zoomScale="90" zoomScaleNormal="90" workbookViewId="0"/>
  </sheetViews>
  <sheetFormatPr defaultColWidth="10.6640625" defaultRowHeight="13.8" x14ac:dyDescent="0.3"/>
  <cols>
    <col min="1" max="1" width="44.6640625" style="43" customWidth="1"/>
    <col min="2" max="3" width="12.44140625" style="43" bestFit="1" customWidth="1"/>
    <col min="4" max="4" width="14.109375" style="43" customWidth="1"/>
    <col min="5" max="7" width="14.33203125" style="43" customWidth="1"/>
    <col min="8" max="8" width="12.44140625" style="43" bestFit="1" customWidth="1"/>
    <col min="9" max="9" width="14.44140625" style="43" customWidth="1"/>
    <col min="10" max="10" width="14.33203125" style="43" bestFit="1" customWidth="1"/>
    <col min="11" max="11" width="15" style="43" customWidth="1"/>
    <col min="12" max="12" width="13.33203125" style="43" customWidth="1"/>
    <col min="13" max="13" width="16.44140625" style="43" customWidth="1"/>
    <col min="14" max="15" width="14.33203125" style="43" bestFit="1" customWidth="1"/>
    <col min="16" max="17" width="14.109375" style="43" customWidth="1"/>
    <col min="18" max="18" width="10.6640625" style="43" bestFit="1" customWidth="1"/>
    <col min="19" max="19" width="16.44140625" style="43" customWidth="1"/>
    <col min="20" max="20" width="14" style="43" customWidth="1"/>
    <col min="21" max="21" width="10.6640625" style="43" bestFit="1" customWidth="1"/>
    <col min="22" max="22" width="14.5546875" style="43" customWidth="1"/>
    <col min="23" max="23" width="13.88671875" style="43" customWidth="1"/>
    <col min="24" max="24" width="15" style="43" customWidth="1"/>
    <col min="25" max="25" width="16" style="43" customWidth="1"/>
    <col min="26" max="26" width="15" style="43" customWidth="1"/>
    <col min="27" max="27" width="14.33203125" style="43" bestFit="1" customWidth="1"/>
    <col min="28" max="28" width="18.5546875" style="43" customWidth="1"/>
    <col min="29" max="29" width="15.109375" style="43" customWidth="1"/>
    <col min="30" max="30" width="16.6640625" style="43" customWidth="1"/>
    <col min="31" max="31" width="19.88671875" style="43" customWidth="1"/>
    <col min="32" max="32" width="14.33203125" style="43" customWidth="1"/>
    <col min="33" max="33" width="15.109375" style="43" customWidth="1"/>
    <col min="34" max="34" width="12.6640625" style="43" bestFit="1" customWidth="1"/>
    <col min="35" max="35" width="16.109375" style="43" customWidth="1"/>
    <col min="36" max="36" width="16.88671875" style="43" customWidth="1"/>
    <col min="37" max="38" width="14.33203125" style="43" bestFit="1" customWidth="1"/>
    <col min="39" max="40" width="14" style="43" bestFit="1" customWidth="1"/>
    <col min="41" max="16384" width="10.6640625" style="43"/>
  </cols>
  <sheetData>
    <row r="3" spans="1:39" ht="12.75" customHeight="1" x14ac:dyDescent="0.3">
      <c r="A3" s="139"/>
      <c r="B3" s="547">
        <v>2026</v>
      </c>
      <c r="C3" s="548"/>
      <c r="D3" s="548"/>
      <c r="E3" s="548">
        <v>2027</v>
      </c>
      <c r="F3" s="548"/>
      <c r="G3" s="548"/>
      <c r="H3" s="548"/>
      <c r="I3" s="548"/>
      <c r="J3" s="548"/>
      <c r="K3" s="548"/>
      <c r="L3" s="548"/>
      <c r="M3" s="548"/>
      <c r="N3" s="548"/>
      <c r="O3" s="548"/>
      <c r="P3" s="457"/>
      <c r="Q3" s="548">
        <v>2028</v>
      </c>
      <c r="R3" s="548"/>
      <c r="S3" s="548"/>
      <c r="T3" s="548"/>
      <c r="U3" s="548"/>
      <c r="V3" s="548"/>
      <c r="W3" s="548"/>
      <c r="X3" s="548"/>
      <c r="Y3" s="548"/>
      <c r="Z3" s="548"/>
      <c r="AA3" s="548"/>
      <c r="AB3" s="549"/>
      <c r="AC3" s="547">
        <v>2029</v>
      </c>
      <c r="AD3" s="548"/>
      <c r="AE3" s="549"/>
      <c r="AF3" s="547">
        <v>2030</v>
      </c>
      <c r="AG3" s="548"/>
      <c r="AH3" s="549"/>
      <c r="AI3" s="139"/>
    </row>
    <row r="4" spans="1:39" ht="12.75" customHeight="1" x14ac:dyDescent="0.3">
      <c r="A4" s="139"/>
      <c r="B4" s="557" t="s">
        <v>518</v>
      </c>
      <c r="C4" s="551"/>
      <c r="D4" s="551"/>
      <c r="E4" s="557" t="s">
        <v>50</v>
      </c>
      <c r="F4" s="551"/>
      <c r="G4" s="552"/>
      <c r="H4" s="551" t="s">
        <v>51</v>
      </c>
      <c r="I4" s="551"/>
      <c r="J4" s="552"/>
      <c r="K4" s="550" t="s">
        <v>52</v>
      </c>
      <c r="L4" s="551"/>
      <c r="M4" s="552"/>
      <c r="N4" s="553" t="s">
        <v>53</v>
      </c>
      <c r="O4" s="554"/>
      <c r="P4" s="555"/>
      <c r="Q4" s="551" t="s">
        <v>54</v>
      </c>
      <c r="R4" s="551"/>
      <c r="S4" s="552"/>
      <c r="T4" s="551" t="s">
        <v>55</v>
      </c>
      <c r="U4" s="551"/>
      <c r="V4" s="552"/>
      <c r="W4" s="550" t="s">
        <v>56</v>
      </c>
      <c r="X4" s="551"/>
      <c r="Y4" s="552"/>
      <c r="Z4" s="550" t="s">
        <v>57</v>
      </c>
      <c r="AA4" s="551"/>
      <c r="AB4" s="556"/>
      <c r="AC4" s="550" t="s">
        <v>517</v>
      </c>
      <c r="AD4" s="551"/>
      <c r="AE4" s="556"/>
      <c r="AF4" s="137"/>
      <c r="AG4" s="106"/>
      <c r="AH4" s="138"/>
      <c r="AI4" s="139"/>
    </row>
    <row r="5" spans="1:39" ht="12.75" customHeight="1" x14ac:dyDescent="0.3">
      <c r="A5" s="351" t="s">
        <v>227</v>
      </c>
      <c r="B5" s="131"/>
      <c r="C5" s="126">
        <v>2</v>
      </c>
      <c r="D5" s="126"/>
      <c r="E5" s="131"/>
      <c r="F5" s="126">
        <v>3</v>
      </c>
      <c r="G5" s="127"/>
      <c r="H5" s="126"/>
      <c r="I5" s="126">
        <v>3</v>
      </c>
      <c r="J5" s="127"/>
      <c r="K5" s="125"/>
      <c r="L5" s="126">
        <v>3</v>
      </c>
      <c r="M5" s="127"/>
      <c r="N5" s="125"/>
      <c r="O5" s="126">
        <v>3</v>
      </c>
      <c r="P5" s="132"/>
      <c r="Q5" s="126"/>
      <c r="R5" s="126">
        <v>3</v>
      </c>
      <c r="S5" s="127"/>
      <c r="T5" s="126"/>
      <c r="U5" s="126">
        <v>3</v>
      </c>
      <c r="V5" s="127"/>
      <c r="W5" s="125"/>
      <c r="X5" s="126">
        <v>3</v>
      </c>
      <c r="Y5" s="127"/>
      <c r="Z5" s="125"/>
      <c r="AA5" s="126">
        <v>3</v>
      </c>
      <c r="AB5" s="132"/>
      <c r="AC5" s="137"/>
      <c r="AD5" s="126">
        <v>2</v>
      </c>
      <c r="AE5" s="138"/>
      <c r="AF5" s="137"/>
      <c r="AG5" s="106"/>
      <c r="AH5" s="138"/>
      <c r="AI5" s="139"/>
    </row>
    <row r="6" spans="1:39" ht="12.75" customHeight="1" x14ac:dyDescent="0.3">
      <c r="A6" s="351" t="s">
        <v>228</v>
      </c>
      <c r="B6" s="305"/>
      <c r="C6" s="126">
        <v>0</v>
      </c>
      <c r="D6" s="126"/>
      <c r="E6" s="305"/>
      <c r="F6" s="126">
        <v>3</v>
      </c>
      <c r="G6" s="127"/>
      <c r="H6" s="455"/>
      <c r="I6" s="126">
        <v>3</v>
      </c>
      <c r="J6" s="127"/>
      <c r="K6" s="125"/>
      <c r="L6" s="126">
        <v>3</v>
      </c>
      <c r="M6" s="127"/>
      <c r="N6" s="125"/>
      <c r="O6" s="126">
        <v>3</v>
      </c>
      <c r="P6" s="132"/>
      <c r="Q6" s="126"/>
      <c r="R6" s="126">
        <v>3</v>
      </c>
      <c r="S6" s="127"/>
      <c r="T6" s="126"/>
      <c r="U6" s="126">
        <v>3</v>
      </c>
      <c r="V6" s="127"/>
      <c r="W6" s="125"/>
      <c r="X6" s="126">
        <v>3</v>
      </c>
      <c r="Y6" s="127"/>
      <c r="Z6" s="125"/>
      <c r="AA6" s="126">
        <v>3</v>
      </c>
      <c r="AB6" s="132"/>
      <c r="AC6" s="137"/>
      <c r="AD6" s="126">
        <v>2</v>
      </c>
      <c r="AE6" s="138"/>
      <c r="AF6" s="137"/>
      <c r="AG6" s="106"/>
      <c r="AH6" s="138"/>
      <c r="AI6" s="139"/>
    </row>
    <row r="7" spans="1:39" s="47" customFormat="1" ht="24" x14ac:dyDescent="0.3">
      <c r="A7" s="140" t="s">
        <v>229</v>
      </c>
      <c r="B7" s="142" t="s">
        <v>230</v>
      </c>
      <c r="C7" s="128" t="s">
        <v>231</v>
      </c>
      <c r="D7" s="134" t="s">
        <v>225</v>
      </c>
      <c r="E7" s="456" t="s">
        <v>230</v>
      </c>
      <c r="F7" s="128" t="s">
        <v>231</v>
      </c>
      <c r="G7" s="128" t="s">
        <v>225</v>
      </c>
      <c r="H7" s="456" t="s">
        <v>230</v>
      </c>
      <c r="I7" s="128" t="s">
        <v>231</v>
      </c>
      <c r="J7" s="128" t="s">
        <v>225</v>
      </c>
      <c r="K7" s="128" t="s">
        <v>230</v>
      </c>
      <c r="L7" s="128" t="s">
        <v>231</v>
      </c>
      <c r="M7" s="128" t="s">
        <v>225</v>
      </c>
      <c r="N7" s="128" t="s">
        <v>230</v>
      </c>
      <c r="O7" s="128" t="s">
        <v>231</v>
      </c>
      <c r="P7" s="134" t="s">
        <v>225</v>
      </c>
      <c r="Q7" s="129" t="s">
        <v>230</v>
      </c>
      <c r="R7" s="128" t="s">
        <v>231</v>
      </c>
      <c r="S7" s="128" t="s">
        <v>225</v>
      </c>
      <c r="T7" s="129" t="s">
        <v>230</v>
      </c>
      <c r="U7" s="128" t="s">
        <v>231</v>
      </c>
      <c r="V7" s="128" t="s">
        <v>225</v>
      </c>
      <c r="W7" s="128" t="s">
        <v>230</v>
      </c>
      <c r="X7" s="128" t="s">
        <v>231</v>
      </c>
      <c r="Y7" s="128" t="s">
        <v>225</v>
      </c>
      <c r="Z7" s="128" t="s">
        <v>230</v>
      </c>
      <c r="AA7" s="128" t="s">
        <v>231</v>
      </c>
      <c r="AB7" s="134" t="s">
        <v>225</v>
      </c>
      <c r="AC7" s="133" t="s">
        <v>230</v>
      </c>
      <c r="AD7" s="128" t="s">
        <v>231</v>
      </c>
      <c r="AE7" s="134" t="s">
        <v>225</v>
      </c>
      <c r="AF7" s="133" t="s">
        <v>230</v>
      </c>
      <c r="AG7" s="128" t="s">
        <v>231</v>
      </c>
      <c r="AH7" s="134" t="s">
        <v>225</v>
      </c>
      <c r="AI7" s="129" t="s">
        <v>232</v>
      </c>
      <c r="AJ7" s="128" t="s">
        <v>233</v>
      </c>
      <c r="AK7" s="128" t="s">
        <v>234</v>
      </c>
    </row>
    <row r="8" spans="1:39" x14ac:dyDescent="0.3">
      <c r="A8" s="141" t="str">
        <f>'Dimensionament contracte'!A17</f>
        <v>Servei 1. Gestió, Consultoria, refinament i disseny tècnic</v>
      </c>
      <c r="B8" s="144">
        <f>ROUND(('Dimensionament contracte'!E11)*('Fites facturació'!C5),2)</f>
        <v>84624.02</v>
      </c>
      <c r="C8" s="145">
        <f>ROUND(B8*0.21,2)</f>
        <v>17771.04</v>
      </c>
      <c r="D8" s="417">
        <f>+B8+C8</f>
        <v>102395.06</v>
      </c>
      <c r="E8" s="144">
        <f>ROUND(('Dimensionament contracte'!E11)*('Fites facturació'!F5),2)</f>
        <v>126936.03</v>
      </c>
      <c r="F8" s="145">
        <f>ROUND(E8*0.21,2)</f>
        <v>26656.57</v>
      </c>
      <c r="G8" s="145">
        <f>+E8+F8</f>
        <v>153592.6</v>
      </c>
      <c r="H8" s="147">
        <f>ROUND(('Dimensionament contracte'!E11)*'Fites facturació'!I5,2)</f>
        <v>126936.03</v>
      </c>
      <c r="I8" s="145">
        <f>ROUND(H8*0.21,2)</f>
        <v>26656.57</v>
      </c>
      <c r="J8" s="145">
        <f>+H8+I8</f>
        <v>153592.6</v>
      </c>
      <c r="K8" s="145">
        <f>ROUND(('Dimensionament contracte'!E11)*'Fites facturació'!L5,2)</f>
        <v>126936.03</v>
      </c>
      <c r="L8" s="145">
        <f>ROUND(K8*0.21,2)</f>
        <v>26656.57</v>
      </c>
      <c r="M8" s="145">
        <f>+K8+L8</f>
        <v>153592.6</v>
      </c>
      <c r="N8" s="145">
        <f>ROUND(('Dimensionament contracte'!E11)*'Fites facturació'!O5,2)</f>
        <v>126936.03</v>
      </c>
      <c r="O8" s="145">
        <f>ROUND(N8*0.21,2)</f>
        <v>26656.57</v>
      </c>
      <c r="P8" s="146">
        <f>+N8+O8</f>
        <v>153592.6</v>
      </c>
      <c r="Q8" s="147">
        <f>ROUND(('Dimensionament contracte'!E11)*'Fites facturació'!R5,2)</f>
        <v>126936.03</v>
      </c>
      <c r="R8" s="145">
        <f>ROUND(Q8*0.21,2)</f>
        <v>26656.57</v>
      </c>
      <c r="S8" s="145">
        <f>+Q8+R8</f>
        <v>153592.6</v>
      </c>
      <c r="T8" s="147">
        <f>ROUND(('Dimensionament contracte'!E11)*'Fites facturació'!U5,2)</f>
        <v>126936.03</v>
      </c>
      <c r="U8" s="145">
        <f>ROUND(T8*0.21,2)</f>
        <v>26656.57</v>
      </c>
      <c r="V8" s="145">
        <f>+T8+U8</f>
        <v>153592.6</v>
      </c>
      <c r="W8" s="145">
        <f>ROUND(('Dimensionament contracte'!E11)*'Fites facturació'!X5,2)</f>
        <v>126936.03</v>
      </c>
      <c r="X8" s="145">
        <f>ROUND(W8*0.21,2)</f>
        <v>26656.57</v>
      </c>
      <c r="Y8" s="145">
        <f>+W8+X8</f>
        <v>153592.6</v>
      </c>
      <c r="Z8" s="145">
        <f>ROUND(('Dimensionament contracte'!E11)*'Fites facturació'!AA5,2)</f>
        <v>126936.03</v>
      </c>
      <c r="AA8" s="145">
        <f>ROUND(Z8*0.21,2)</f>
        <v>26656.57</v>
      </c>
      <c r="AB8" s="146">
        <f>+Z8+AA8</f>
        <v>153592.6</v>
      </c>
      <c r="AC8" s="144">
        <f>ROUND(('Dimensionament contracte'!E11)*'Fites facturació'!AD5,2)</f>
        <v>84624.02</v>
      </c>
      <c r="AD8" s="145">
        <f>ROUND(AC8*0.21,2)</f>
        <v>17771.04</v>
      </c>
      <c r="AE8" s="146">
        <f>+AC8+AD8</f>
        <v>102395.06</v>
      </c>
      <c r="AF8" s="144">
        <f>ROUND('Dimensionament contracte'!L22/1.21,2)</f>
        <v>0</v>
      </c>
      <c r="AG8" s="145">
        <f>ROUND(AF8*0.21,2)</f>
        <v>0</v>
      </c>
      <c r="AH8" s="146">
        <f>+AF8+AG8</f>
        <v>0</v>
      </c>
      <c r="AI8" s="147">
        <f>ROUND(B8+E8+H8+K8+N8+Q8+T8+W8+Z8+AC8+AF8,2)</f>
        <v>1184736.28</v>
      </c>
      <c r="AJ8" s="147">
        <f>ROUND(C8+F8+I8+L8+O8+R8+U8+X8+AA8+AD8+AG8,2)</f>
        <v>248794.64</v>
      </c>
      <c r="AK8" s="147">
        <f>ROUND(D8+G8+J8+M8+P8+S8+V8+Y8+AB8+AE8+AH8,2)</f>
        <v>1433530.92</v>
      </c>
      <c r="AL8" s="415"/>
    </row>
    <row r="9" spans="1:39" x14ac:dyDescent="0.3">
      <c r="A9" s="141" t="str">
        <f>'Dimensionament contracte'!A26</f>
        <v>Servei 2. Parametrització, desenvolupament i implantació</v>
      </c>
      <c r="B9" s="144">
        <f>SUM(B10:B12)</f>
        <v>0</v>
      </c>
      <c r="C9" s="145">
        <f t="shared" ref="C9:AH9" si="0">SUM(C10:C12)</f>
        <v>0</v>
      </c>
      <c r="D9" s="417">
        <f t="shared" si="0"/>
        <v>0</v>
      </c>
      <c r="E9" s="144">
        <f>SUM(E10:E12)</f>
        <v>412371.05999999994</v>
      </c>
      <c r="F9" s="145">
        <f t="shared" ref="F9:G9" si="1">SUM(F10:F12)</f>
        <v>86597.91</v>
      </c>
      <c r="G9" s="145">
        <f t="shared" si="1"/>
        <v>498968.97</v>
      </c>
      <c r="H9" s="147">
        <f t="shared" si="0"/>
        <v>412371.05999999994</v>
      </c>
      <c r="I9" s="145">
        <f t="shared" si="0"/>
        <v>86597.91</v>
      </c>
      <c r="J9" s="145">
        <f t="shared" si="0"/>
        <v>498968.97</v>
      </c>
      <c r="K9" s="145">
        <f t="shared" si="0"/>
        <v>412371.05999999994</v>
      </c>
      <c r="L9" s="145">
        <f t="shared" si="0"/>
        <v>86597.91</v>
      </c>
      <c r="M9" s="145">
        <f t="shared" si="0"/>
        <v>498968.97</v>
      </c>
      <c r="N9" s="145">
        <f t="shared" si="0"/>
        <v>412371.05999999994</v>
      </c>
      <c r="O9" s="145">
        <f t="shared" si="0"/>
        <v>86597.91</v>
      </c>
      <c r="P9" s="146">
        <f t="shared" si="0"/>
        <v>498968.97</v>
      </c>
      <c r="Q9" s="147">
        <f t="shared" si="0"/>
        <v>412371.05999999994</v>
      </c>
      <c r="R9" s="145">
        <f t="shared" si="0"/>
        <v>86597.91</v>
      </c>
      <c r="S9" s="145">
        <f t="shared" si="0"/>
        <v>498968.97</v>
      </c>
      <c r="T9" s="147">
        <f t="shared" si="0"/>
        <v>412371.05999999994</v>
      </c>
      <c r="U9" s="145">
        <f t="shared" si="0"/>
        <v>86597.91</v>
      </c>
      <c r="V9" s="145">
        <f t="shared" si="0"/>
        <v>498968.97</v>
      </c>
      <c r="W9" s="145">
        <f t="shared" si="0"/>
        <v>412371.05999999994</v>
      </c>
      <c r="X9" s="145">
        <f t="shared" si="0"/>
        <v>86597.91</v>
      </c>
      <c r="Y9" s="145">
        <f t="shared" si="0"/>
        <v>498968.97</v>
      </c>
      <c r="Z9" s="145">
        <f t="shared" si="0"/>
        <v>412371.05999999994</v>
      </c>
      <c r="AA9" s="145">
        <f t="shared" si="0"/>
        <v>86597.91</v>
      </c>
      <c r="AB9" s="146">
        <f t="shared" si="0"/>
        <v>498968.97</v>
      </c>
      <c r="AC9" s="144">
        <f t="shared" si="0"/>
        <v>274914.02999999997</v>
      </c>
      <c r="AD9" s="145">
        <f t="shared" si="0"/>
        <v>57731.94</v>
      </c>
      <c r="AE9" s="146">
        <f t="shared" si="0"/>
        <v>332645.96999999997</v>
      </c>
      <c r="AF9" s="144">
        <f t="shared" si="0"/>
        <v>0</v>
      </c>
      <c r="AG9" s="145">
        <f t="shared" si="0"/>
        <v>0</v>
      </c>
      <c r="AH9" s="146">
        <f t="shared" si="0"/>
        <v>0</v>
      </c>
      <c r="AI9" s="147">
        <f t="shared" ref="AI9:AI13" si="2">ROUND(B9+E9+H9+K9+N9+Q9+T9+W9+Z9+AC9+AF9,2)</f>
        <v>3573882.51</v>
      </c>
      <c r="AJ9" s="147">
        <f t="shared" ref="AJ9:AJ13" si="3">ROUND(C9+F9+I9+L9+O9+R9+U9+X9+AA9+AD9+AG9,2)</f>
        <v>750515.22</v>
      </c>
      <c r="AK9" s="147">
        <f t="shared" ref="AK9:AK13" si="4">ROUND(D9+G9+J9+M9+P9+S9+V9+Y9+AB9+AE9+AH9,2)</f>
        <v>4324397.7300000004</v>
      </c>
    </row>
    <row r="10" spans="1:39" x14ac:dyDescent="0.3">
      <c r="A10" s="143" t="s">
        <v>85</v>
      </c>
      <c r="B10" s="135">
        <f>ROUND('Dimensionament contracte'!G11/3*'Fites facturació'!C6,2)</f>
        <v>0</v>
      </c>
      <c r="C10" s="124">
        <f t="shared" ref="C10:C13" si="5">ROUND(B10*0.21,2)</f>
        <v>0</v>
      </c>
      <c r="D10" s="418">
        <f t="shared" ref="D10:D12" si="6">+B10+C10</f>
        <v>0</v>
      </c>
      <c r="E10" s="135">
        <f>ROUND('Dimensionament contracte'!G11/3*'Fites facturació'!F6,2)</f>
        <v>137457.01999999999</v>
      </c>
      <c r="F10" s="124">
        <f t="shared" ref="F10:F13" si="7">ROUND(E10*0.21,2)</f>
        <v>28865.97</v>
      </c>
      <c r="G10" s="124">
        <f t="shared" ref="G10:G12" si="8">+E10+F10</f>
        <v>166322.99</v>
      </c>
      <c r="H10" s="130">
        <f>ROUND('Dimensionament contracte'!G11/3*'Fites facturació'!I6,2)</f>
        <v>137457.01999999999</v>
      </c>
      <c r="I10" s="124">
        <f t="shared" ref="I10:I13" si="9">ROUND(H10*0.21,2)</f>
        <v>28865.97</v>
      </c>
      <c r="J10" s="124">
        <f t="shared" ref="J10:J12" si="10">+H10+I10</f>
        <v>166322.99</v>
      </c>
      <c r="K10" s="124">
        <f>ROUND('Dimensionament contracte'!G11/3*'Fites facturació'!L6,2)</f>
        <v>137457.01999999999</v>
      </c>
      <c r="L10" s="124">
        <f t="shared" ref="L10:L13" si="11">ROUND(K10*0.21,2)</f>
        <v>28865.97</v>
      </c>
      <c r="M10" s="124">
        <f t="shared" ref="M10:M12" si="12">+K10+L10</f>
        <v>166322.99</v>
      </c>
      <c r="N10" s="124">
        <f>ROUND('Dimensionament contracte'!G11/3*'Fites facturació'!O6,2)</f>
        <v>137457.01999999999</v>
      </c>
      <c r="O10" s="124">
        <f t="shared" ref="O10:O13" si="13">ROUND(N10*0.21,2)</f>
        <v>28865.97</v>
      </c>
      <c r="P10" s="136">
        <f t="shared" ref="P10:P12" si="14">+N10+O10</f>
        <v>166322.99</v>
      </c>
      <c r="Q10" s="130">
        <f>ROUND('Dimensionament contracte'!G11/3*'Fites facturació'!R6,2)</f>
        <v>137457.01999999999</v>
      </c>
      <c r="R10" s="124">
        <f t="shared" ref="R10:R12" si="15">ROUND(Q10*0.21,2)</f>
        <v>28865.97</v>
      </c>
      <c r="S10" s="124">
        <f t="shared" ref="S10:S12" si="16">+Q10+R10</f>
        <v>166322.99</v>
      </c>
      <c r="T10" s="130">
        <f>ROUND('Dimensionament contracte'!G11/3*'Fites facturació'!U6,2)</f>
        <v>137457.01999999999</v>
      </c>
      <c r="U10" s="124">
        <f t="shared" ref="U10:U12" si="17">ROUND(T10*0.21,2)</f>
        <v>28865.97</v>
      </c>
      <c r="V10" s="124">
        <f t="shared" ref="V10:V12" si="18">+T10+U10</f>
        <v>166322.99</v>
      </c>
      <c r="W10" s="124">
        <f>ROUND('Dimensionament contracte'!G11/3*'Fites facturació'!X6,2)</f>
        <v>137457.01999999999</v>
      </c>
      <c r="X10" s="124">
        <f t="shared" ref="X10:X13" si="19">ROUND(W10*0.21,2)</f>
        <v>28865.97</v>
      </c>
      <c r="Y10" s="124">
        <f t="shared" ref="Y10:Y13" si="20">+W10+X10</f>
        <v>166322.99</v>
      </c>
      <c r="Z10" s="124">
        <f>ROUND('Dimensionament contracte'!G11/3*'Fites facturació'!AA6,2)</f>
        <v>137457.01999999999</v>
      </c>
      <c r="AA10" s="124">
        <f t="shared" ref="AA10:AA13" si="21">ROUND(Z10*0.21,2)</f>
        <v>28865.97</v>
      </c>
      <c r="AB10" s="124">
        <f t="shared" ref="AB10:AB12" si="22">+Z10+AA10</f>
        <v>166322.99</v>
      </c>
      <c r="AC10" s="135">
        <f>ROUND('Dimensionament contracte'!G11/3*'Fites facturació'!AD6,2)</f>
        <v>91638.01</v>
      </c>
      <c r="AD10" s="124">
        <f t="shared" ref="AD10:AD12" si="23">ROUND(AC10*0.21,2)</f>
        <v>19243.98</v>
      </c>
      <c r="AE10" s="124">
        <f t="shared" ref="AE10:AE12" si="24">+AC10+AD10</f>
        <v>110881.98999999999</v>
      </c>
      <c r="AF10" s="135"/>
      <c r="AG10" s="124"/>
      <c r="AH10" s="136"/>
      <c r="AI10" s="130">
        <f t="shared" si="2"/>
        <v>1191294.17</v>
      </c>
      <c r="AJ10" s="130">
        <f t="shared" si="3"/>
        <v>250171.74</v>
      </c>
      <c r="AK10" s="130">
        <f t="shared" si="4"/>
        <v>1441465.91</v>
      </c>
    </row>
    <row r="11" spans="1:39" x14ac:dyDescent="0.3">
      <c r="A11" s="143" t="s">
        <v>86</v>
      </c>
      <c r="B11" s="135">
        <f>ROUND('Dimensionament contracte'!G11/3*'Fites facturació'!C6,2)</f>
        <v>0</v>
      </c>
      <c r="C11" s="124">
        <f t="shared" si="5"/>
        <v>0</v>
      </c>
      <c r="D11" s="418">
        <f t="shared" si="6"/>
        <v>0</v>
      </c>
      <c r="E11" s="135">
        <f>ROUND('Dimensionament contracte'!G11/3*'Fites facturació'!F6,2)</f>
        <v>137457.01999999999</v>
      </c>
      <c r="F11" s="124">
        <f t="shared" si="7"/>
        <v>28865.97</v>
      </c>
      <c r="G11" s="124">
        <f t="shared" si="8"/>
        <v>166322.99</v>
      </c>
      <c r="H11" s="130">
        <f>ROUND('Dimensionament contracte'!G11/3*'Fites facturació'!I6,2)</f>
        <v>137457.01999999999</v>
      </c>
      <c r="I11" s="124">
        <f t="shared" si="9"/>
        <v>28865.97</v>
      </c>
      <c r="J11" s="124">
        <f t="shared" si="10"/>
        <v>166322.99</v>
      </c>
      <c r="K11" s="124">
        <f>ROUND('Dimensionament contracte'!G11/3*'Fites facturació'!L6,2)</f>
        <v>137457.01999999999</v>
      </c>
      <c r="L11" s="124">
        <f t="shared" si="11"/>
        <v>28865.97</v>
      </c>
      <c r="M11" s="124">
        <f t="shared" si="12"/>
        <v>166322.99</v>
      </c>
      <c r="N11" s="124">
        <f>ROUND('Dimensionament contracte'!G11/3*'Fites facturació'!O6,2)</f>
        <v>137457.01999999999</v>
      </c>
      <c r="O11" s="124">
        <f t="shared" si="13"/>
        <v>28865.97</v>
      </c>
      <c r="P11" s="136">
        <f t="shared" si="14"/>
        <v>166322.99</v>
      </c>
      <c r="Q11" s="130">
        <f>ROUND('Dimensionament contracte'!G11/3*'Fites facturació'!R6,2)</f>
        <v>137457.01999999999</v>
      </c>
      <c r="R11" s="124">
        <f t="shared" si="15"/>
        <v>28865.97</v>
      </c>
      <c r="S11" s="124">
        <f t="shared" si="16"/>
        <v>166322.99</v>
      </c>
      <c r="T11" s="130">
        <f>ROUND('Dimensionament contracte'!G11/3*'Fites facturació'!U6,2)</f>
        <v>137457.01999999999</v>
      </c>
      <c r="U11" s="124">
        <f t="shared" si="17"/>
        <v>28865.97</v>
      </c>
      <c r="V11" s="124">
        <f t="shared" si="18"/>
        <v>166322.99</v>
      </c>
      <c r="W11" s="124">
        <f>ROUND('Dimensionament contracte'!G11/3*'Fites facturació'!X6,2)</f>
        <v>137457.01999999999</v>
      </c>
      <c r="X11" s="124">
        <f t="shared" si="19"/>
        <v>28865.97</v>
      </c>
      <c r="Y11" s="124">
        <f t="shared" si="20"/>
        <v>166322.99</v>
      </c>
      <c r="Z11" s="124">
        <f>ROUND('Dimensionament contracte'!G11/3*'Fites facturació'!AA6,2)</f>
        <v>137457.01999999999</v>
      </c>
      <c r="AA11" s="124">
        <f t="shared" si="21"/>
        <v>28865.97</v>
      </c>
      <c r="AB11" s="124">
        <f t="shared" si="22"/>
        <v>166322.99</v>
      </c>
      <c r="AC11" s="135">
        <f>ROUND('Dimensionament contracte'!G11/3*'Fites facturació'!AD6,2)</f>
        <v>91638.01</v>
      </c>
      <c r="AD11" s="124">
        <f t="shared" si="23"/>
        <v>19243.98</v>
      </c>
      <c r="AE11" s="124">
        <f t="shared" si="24"/>
        <v>110881.98999999999</v>
      </c>
      <c r="AF11" s="135"/>
      <c r="AG11" s="124"/>
      <c r="AH11" s="136"/>
      <c r="AI11" s="130">
        <f t="shared" si="2"/>
        <v>1191294.17</v>
      </c>
      <c r="AJ11" s="130">
        <f t="shared" si="3"/>
        <v>250171.74</v>
      </c>
      <c r="AK11" s="130">
        <f t="shared" si="4"/>
        <v>1441465.91</v>
      </c>
    </row>
    <row r="12" spans="1:39" x14ac:dyDescent="0.3">
      <c r="A12" s="143" t="s">
        <v>87</v>
      </c>
      <c r="B12" s="135">
        <f>ROUND('Dimensionament contracte'!G11/3*'Fites facturació'!C6,2)</f>
        <v>0</v>
      </c>
      <c r="C12" s="124">
        <f t="shared" si="5"/>
        <v>0</v>
      </c>
      <c r="D12" s="418">
        <f t="shared" si="6"/>
        <v>0</v>
      </c>
      <c r="E12" s="135">
        <f>ROUND('Dimensionament contracte'!G11/3*'Fites facturació'!F6,2)</f>
        <v>137457.01999999999</v>
      </c>
      <c r="F12" s="124">
        <f t="shared" si="7"/>
        <v>28865.97</v>
      </c>
      <c r="G12" s="124">
        <f t="shared" si="8"/>
        <v>166322.99</v>
      </c>
      <c r="H12" s="130">
        <f>ROUND('Dimensionament contracte'!G11/3*'Fites facturació'!I6,2)</f>
        <v>137457.01999999999</v>
      </c>
      <c r="I12" s="124">
        <f t="shared" si="9"/>
        <v>28865.97</v>
      </c>
      <c r="J12" s="124">
        <f t="shared" si="10"/>
        <v>166322.99</v>
      </c>
      <c r="K12" s="124">
        <f>ROUND('Dimensionament contracte'!G11/3*'Fites facturació'!L6,2)</f>
        <v>137457.01999999999</v>
      </c>
      <c r="L12" s="124">
        <f t="shared" si="11"/>
        <v>28865.97</v>
      </c>
      <c r="M12" s="124">
        <f t="shared" si="12"/>
        <v>166322.99</v>
      </c>
      <c r="N12" s="124">
        <f>ROUND('Dimensionament contracte'!G11/3*'Fites facturació'!O6,2)</f>
        <v>137457.01999999999</v>
      </c>
      <c r="O12" s="124">
        <f t="shared" si="13"/>
        <v>28865.97</v>
      </c>
      <c r="P12" s="136">
        <f t="shared" si="14"/>
        <v>166322.99</v>
      </c>
      <c r="Q12" s="130">
        <f>ROUND('Dimensionament contracte'!G11/3*'Fites facturació'!R6,2)</f>
        <v>137457.01999999999</v>
      </c>
      <c r="R12" s="124">
        <f t="shared" si="15"/>
        <v>28865.97</v>
      </c>
      <c r="S12" s="124">
        <f t="shared" si="16"/>
        <v>166322.99</v>
      </c>
      <c r="T12" s="130">
        <f>ROUND('Dimensionament contracte'!G11/3*'Fites facturació'!U6,2)</f>
        <v>137457.01999999999</v>
      </c>
      <c r="U12" s="124">
        <f t="shared" si="17"/>
        <v>28865.97</v>
      </c>
      <c r="V12" s="124">
        <f t="shared" si="18"/>
        <v>166322.99</v>
      </c>
      <c r="W12" s="124">
        <f>ROUND('Dimensionament contracte'!G11/3*'Fites facturació'!X6,2)</f>
        <v>137457.01999999999</v>
      </c>
      <c r="X12" s="124">
        <f t="shared" si="19"/>
        <v>28865.97</v>
      </c>
      <c r="Y12" s="124">
        <f t="shared" si="20"/>
        <v>166322.99</v>
      </c>
      <c r="Z12" s="124">
        <f>ROUND('Dimensionament contracte'!G11/3*'Fites facturació'!AA6,2)</f>
        <v>137457.01999999999</v>
      </c>
      <c r="AA12" s="124">
        <f t="shared" si="21"/>
        <v>28865.97</v>
      </c>
      <c r="AB12" s="124">
        <f t="shared" si="22"/>
        <v>166322.99</v>
      </c>
      <c r="AC12" s="135">
        <f>ROUND('Dimensionament contracte'!G11/3*'Fites facturació'!AD6,2)</f>
        <v>91638.01</v>
      </c>
      <c r="AD12" s="124">
        <f t="shared" si="23"/>
        <v>19243.98</v>
      </c>
      <c r="AE12" s="124">
        <f t="shared" si="24"/>
        <v>110881.98999999999</v>
      </c>
      <c r="AF12" s="135"/>
      <c r="AG12" s="124"/>
      <c r="AH12" s="136"/>
      <c r="AI12" s="130">
        <f t="shared" si="2"/>
        <v>1191294.17</v>
      </c>
      <c r="AJ12" s="130">
        <f t="shared" si="3"/>
        <v>250171.74</v>
      </c>
      <c r="AK12" s="130">
        <f t="shared" si="4"/>
        <v>1441465.91</v>
      </c>
    </row>
    <row r="13" spans="1:39" x14ac:dyDescent="0.3">
      <c r="A13" s="143" t="s">
        <v>88</v>
      </c>
      <c r="B13" s="135">
        <f>B15</f>
        <v>124773.34</v>
      </c>
      <c r="C13" s="124">
        <f>C15</f>
        <v>26202.400000000001</v>
      </c>
      <c r="D13" s="136">
        <f>D15</f>
        <v>150975.74000000002</v>
      </c>
      <c r="E13" s="130">
        <f>ROUND(G13/1.21,2)</f>
        <v>0</v>
      </c>
      <c r="F13" s="124">
        <f t="shared" si="7"/>
        <v>0</v>
      </c>
      <c r="G13" s="124">
        <f>G15</f>
        <v>0</v>
      </c>
      <c r="H13" s="130">
        <f>ROUND(J13/1.21,2)</f>
        <v>0</v>
      </c>
      <c r="I13" s="124">
        <f t="shared" si="9"/>
        <v>0</v>
      </c>
      <c r="J13" s="124">
        <f>J15</f>
        <v>0</v>
      </c>
      <c r="K13" s="124">
        <v>0</v>
      </c>
      <c r="L13" s="124">
        <f t="shared" si="11"/>
        <v>0</v>
      </c>
      <c r="M13" s="124">
        <v>0</v>
      </c>
      <c r="N13" s="124">
        <f>N15</f>
        <v>570441.32999999996</v>
      </c>
      <c r="O13" s="124">
        <f>O15</f>
        <v>119792.69</v>
      </c>
      <c r="P13" s="136">
        <f>P15</f>
        <v>690234.02</v>
      </c>
      <c r="Q13" s="130">
        <v>0</v>
      </c>
      <c r="R13" s="124">
        <f t="shared" ref="R13" si="25">ROUND(Q13*0.21,2)</f>
        <v>0</v>
      </c>
      <c r="S13" s="124">
        <f t="shared" ref="S13" si="26">+Q13+R13</f>
        <v>0</v>
      </c>
      <c r="T13" s="124">
        <v>0</v>
      </c>
      <c r="U13" s="124">
        <f t="shared" ref="U13" si="27">ROUND(T13*0.21,2)</f>
        <v>0</v>
      </c>
      <c r="V13" s="124">
        <f t="shared" ref="V13" si="28">+T13+U13</f>
        <v>0</v>
      </c>
      <c r="W13" s="124">
        <v>0</v>
      </c>
      <c r="X13" s="124">
        <f t="shared" si="19"/>
        <v>0</v>
      </c>
      <c r="Y13" s="124">
        <f t="shared" si="20"/>
        <v>0</v>
      </c>
      <c r="Z13" s="124">
        <f>Z15</f>
        <v>600785.13</v>
      </c>
      <c r="AA13" s="124">
        <f>AA15</f>
        <v>126164.88999999998</v>
      </c>
      <c r="AB13" s="136">
        <f>AB15</f>
        <v>726950.02</v>
      </c>
      <c r="AC13" s="124">
        <f>AC15</f>
        <v>857489.25</v>
      </c>
      <c r="AD13" s="124">
        <f>AD15</f>
        <v>180072.75</v>
      </c>
      <c r="AE13" s="136">
        <f>AE15</f>
        <v>1037562</v>
      </c>
      <c r="AF13" s="124">
        <f>AF15</f>
        <v>425220.66000000003</v>
      </c>
      <c r="AG13" s="124">
        <f>AG15</f>
        <v>89296.33</v>
      </c>
      <c r="AH13" s="136">
        <f>AH15</f>
        <v>514516.99</v>
      </c>
      <c r="AI13" s="147">
        <f t="shared" si="2"/>
        <v>2578709.71</v>
      </c>
      <c r="AJ13" s="147">
        <f t="shared" si="3"/>
        <v>541529.06000000006</v>
      </c>
      <c r="AK13" s="147">
        <f t="shared" si="4"/>
        <v>3120238.77</v>
      </c>
    </row>
    <row r="14" spans="1:39" s="51" customFormat="1" x14ac:dyDescent="0.3">
      <c r="A14" s="151" t="s">
        <v>235</v>
      </c>
      <c r="B14" s="152">
        <f>SUM(B8,B9)</f>
        <v>84624.02</v>
      </c>
      <c r="C14" s="152">
        <f>SUM(C8,C9)</f>
        <v>17771.04</v>
      </c>
      <c r="D14" s="152">
        <f>SUM(D8,D9)</f>
        <v>102395.06</v>
      </c>
      <c r="E14" s="152"/>
      <c r="F14" s="152"/>
      <c r="G14" s="152"/>
      <c r="H14" s="151"/>
      <c r="I14" s="151"/>
      <c r="J14" s="152"/>
      <c r="K14" s="151"/>
      <c r="L14" s="151"/>
      <c r="M14" s="151"/>
      <c r="N14" s="152">
        <f>SUM(E8,E9,H8,H9,K8,K9,N8,N9)</f>
        <v>2157228.36</v>
      </c>
      <c r="O14" s="152">
        <f>SUM(F8,F9,I8,I9,L8,L9,O8,O9)</f>
        <v>453017.92000000004</v>
      </c>
      <c r="P14" s="152">
        <f>SUM(G8,G9,J8,J9,M8,M9,P8,P9)</f>
        <v>2610246.2800000003</v>
      </c>
      <c r="Q14" s="151"/>
      <c r="R14" s="151"/>
      <c r="S14" s="151"/>
      <c r="T14" s="151"/>
      <c r="U14" s="151"/>
      <c r="V14" s="151"/>
      <c r="W14" s="151"/>
      <c r="X14" s="151"/>
      <c r="Y14" s="151"/>
      <c r="Z14" s="152">
        <f>SUM(Q8,Q9,T8,T9,W8,W9,Z8,Z9)</f>
        <v>2157228.36</v>
      </c>
      <c r="AA14" s="152">
        <f>SUM(R8,R9,U8,U9,X8,X9,AA8,AA9)</f>
        <v>453017.92000000004</v>
      </c>
      <c r="AB14" s="152">
        <f>SUM(S8,S9,V8,V9,Y8,Y9,AB8,AB9)</f>
        <v>2610246.2800000003</v>
      </c>
      <c r="AC14" s="152">
        <f>SUM(AC8:AC9)</f>
        <v>359538.05</v>
      </c>
      <c r="AD14" s="152">
        <f>SUM(AD8:AD9)</f>
        <v>75502.98000000001</v>
      </c>
      <c r="AE14" s="152">
        <f>SUM(AE8:AE9)</f>
        <v>435041.02999999997</v>
      </c>
      <c r="AF14" s="151"/>
      <c r="AG14" s="151"/>
      <c r="AH14" s="152">
        <f>SUM(AH8:AH9)</f>
        <v>0</v>
      </c>
      <c r="AI14" s="151"/>
      <c r="AJ14" s="151"/>
      <c r="AK14" s="152">
        <f t="shared" ref="AK14:AK28" si="29">D14+P14+AB14+AE14+AH14</f>
        <v>5757928.6500000013</v>
      </c>
      <c r="AL14" s="150"/>
    </row>
    <row r="15" spans="1:39" s="51" customFormat="1" x14ac:dyDescent="0.3">
      <c r="A15" s="151" t="s">
        <v>236</v>
      </c>
      <c r="B15" s="152">
        <f t="shared" ref="B15:C15" si="30">B20+B23+B26</f>
        <v>124773.34</v>
      </c>
      <c r="C15" s="152">
        <f t="shared" si="30"/>
        <v>26202.400000000001</v>
      </c>
      <c r="D15" s="152">
        <f>D20+D23+D26</f>
        <v>150975.74000000002</v>
      </c>
      <c r="E15" s="152"/>
      <c r="F15" s="152"/>
      <c r="G15" s="152"/>
      <c r="H15" s="151"/>
      <c r="I15" s="151"/>
      <c r="J15" s="152"/>
      <c r="K15" s="151"/>
      <c r="L15" s="151"/>
      <c r="M15" s="606"/>
      <c r="N15" s="152">
        <f t="shared" ref="N15:O15" si="31">N20+N23+N26</f>
        <v>570441.32999999996</v>
      </c>
      <c r="O15" s="152">
        <f t="shared" si="31"/>
        <v>119792.69</v>
      </c>
      <c r="P15" s="152">
        <f>P20+P23+P26</f>
        <v>690234.02</v>
      </c>
      <c r="Q15" s="152"/>
      <c r="R15" s="151"/>
      <c r="S15" s="151"/>
      <c r="T15" s="151"/>
      <c r="U15" s="151"/>
      <c r="V15" s="151"/>
      <c r="W15" s="151"/>
      <c r="X15" s="151"/>
      <c r="Y15" s="606"/>
      <c r="Z15" s="152">
        <f t="shared" ref="Z15:AA15" si="32">Z20+Z23+Z26</f>
        <v>600785.13</v>
      </c>
      <c r="AA15" s="152">
        <f t="shared" si="32"/>
        <v>126164.88999999998</v>
      </c>
      <c r="AB15" s="152">
        <f>AB20+AB23+AB26</f>
        <v>726950.02</v>
      </c>
      <c r="AC15" s="152">
        <f t="shared" ref="AC15:AD15" si="33">AC20+AC23+AC26</f>
        <v>857489.25</v>
      </c>
      <c r="AD15" s="152">
        <f t="shared" si="33"/>
        <v>180072.75</v>
      </c>
      <c r="AE15" s="152">
        <f>AE20+AE23+AE26</f>
        <v>1037562</v>
      </c>
      <c r="AF15" s="524">
        <f t="shared" ref="AF15:AG15" si="34">AF20+AF23+AF26</f>
        <v>425220.66000000003</v>
      </c>
      <c r="AG15" s="524">
        <f t="shared" si="34"/>
        <v>89296.33</v>
      </c>
      <c r="AH15" s="152">
        <f>AH20+AH23+AH26</f>
        <v>514516.99</v>
      </c>
      <c r="AI15" s="151"/>
      <c r="AJ15" s="151"/>
      <c r="AK15" s="152">
        <f t="shared" si="29"/>
        <v>3120238.7700000005</v>
      </c>
      <c r="AL15" s="150"/>
    </row>
    <row r="16" spans="1:39" s="51" customFormat="1" x14ac:dyDescent="0.3">
      <c r="A16" s="153" t="s">
        <v>237</v>
      </c>
      <c r="B16" s="152">
        <f t="shared" ref="B16" si="35">D16-C16</f>
        <v>209397.36000000002</v>
      </c>
      <c r="C16" s="152">
        <f t="shared" ref="C16" si="36">ROUND((D16/1.21)*0.21,2)</f>
        <v>43973.440000000002</v>
      </c>
      <c r="D16" s="152">
        <f>D14+D15</f>
        <v>253370.80000000002</v>
      </c>
      <c r="E16" s="152"/>
      <c r="F16" s="152"/>
      <c r="G16" s="152"/>
      <c r="H16" s="151"/>
      <c r="I16" s="151"/>
      <c r="J16" s="152"/>
      <c r="K16" s="151"/>
      <c r="L16" s="151"/>
      <c r="M16" s="606" t="s">
        <v>528</v>
      </c>
      <c r="N16" s="152">
        <f t="shared" ref="N16" si="37">P16-O16</f>
        <v>2727669.6700000004</v>
      </c>
      <c r="O16" s="152">
        <f t="shared" ref="O16" si="38">ROUND((P16/1.21)*0.21,2)</f>
        <v>572810.63</v>
      </c>
      <c r="P16" s="152">
        <f>P14+P15</f>
        <v>3300480.3000000003</v>
      </c>
      <c r="Q16" s="151"/>
      <c r="R16" s="151"/>
      <c r="S16" s="151"/>
      <c r="T16" s="151"/>
      <c r="U16" s="151"/>
      <c r="V16" s="151"/>
      <c r="W16" s="151"/>
      <c r="X16" s="151"/>
      <c r="Y16" s="606" t="s">
        <v>528</v>
      </c>
      <c r="Z16" s="524">
        <f t="shared" ref="Z16" si="39">AB16-AA16</f>
        <v>2758013.47</v>
      </c>
      <c r="AA16" s="524">
        <f t="shared" ref="AA16" si="40">ROUND((AB16/1.21)*0.21,2)</f>
        <v>579182.82999999996</v>
      </c>
      <c r="AB16" s="152">
        <f>AB14+AB15</f>
        <v>3337196.3000000003</v>
      </c>
      <c r="AC16" s="524">
        <f t="shared" ref="AC14:AC16" si="41">AE16-AD16</f>
        <v>1217027.3</v>
      </c>
      <c r="AD16" s="524">
        <f t="shared" ref="AD14:AD16" si="42">ROUND((AE16/1.21)*0.21,2)</f>
        <v>255575.73</v>
      </c>
      <c r="AE16" s="152">
        <f>AE14+AE15</f>
        <v>1472603.03</v>
      </c>
      <c r="AF16" s="524">
        <f t="shared" ref="AF16:AG16" si="43">AF14+AF15</f>
        <v>425220.66000000003</v>
      </c>
      <c r="AG16" s="524">
        <f t="shared" si="43"/>
        <v>89296.33</v>
      </c>
      <c r="AH16" s="152">
        <f>AH14+AH15</f>
        <v>514516.99</v>
      </c>
      <c r="AI16" s="151"/>
      <c r="AJ16" s="151"/>
      <c r="AK16" s="152">
        <f t="shared" si="29"/>
        <v>8878167.4199999999</v>
      </c>
      <c r="AL16" s="150"/>
      <c r="AM16" s="148"/>
    </row>
    <row r="17" spans="1:40" x14ac:dyDescent="0.3">
      <c r="A17" s="149" t="s">
        <v>238</v>
      </c>
      <c r="B17" s="416">
        <f>B14-B18-B19</f>
        <v>55698.400000000009</v>
      </c>
      <c r="C17" s="416">
        <f>C14-C18-C19</f>
        <v>11696.66</v>
      </c>
      <c r="D17" s="148">
        <f>D14-D18-D19</f>
        <v>67395.06</v>
      </c>
      <c r="E17" s="148"/>
      <c r="F17" s="51"/>
      <c r="G17" s="148"/>
      <c r="H17" s="51"/>
      <c r="I17" s="51"/>
      <c r="J17" s="148"/>
      <c r="K17" s="51"/>
      <c r="L17" s="51"/>
      <c r="M17" s="51"/>
      <c r="N17" s="150">
        <f t="shared" ref="N17:O17" si="44">N14-N18-N19</f>
        <v>1362759.4999999998</v>
      </c>
      <c r="O17" s="148">
        <f t="shared" si="44"/>
        <v>286179.45000000007</v>
      </c>
      <c r="P17" s="148">
        <f>P14-P18-P19</f>
        <v>1648938.9500000002</v>
      </c>
      <c r="Q17" s="51"/>
      <c r="R17" s="51"/>
      <c r="T17" s="51"/>
      <c r="U17" s="51"/>
      <c r="V17" s="51"/>
      <c r="W17" s="51"/>
      <c r="X17" s="51"/>
      <c r="Y17" s="51"/>
      <c r="Z17" s="148">
        <f>Z14-Z18-Z19</f>
        <v>2052842.14</v>
      </c>
      <c r="AA17" s="148">
        <f>AA14-AA18-AA19</f>
        <v>431096.81000000006</v>
      </c>
      <c r="AB17" s="148">
        <f>AB14-AB18-AB19</f>
        <v>2483938.9500000002</v>
      </c>
      <c r="AC17" s="148">
        <f>AC14-AC18-AC19</f>
        <v>342140.35</v>
      </c>
      <c r="AD17" s="148">
        <f>AD14-AD18-AD19</f>
        <v>71849.460000000006</v>
      </c>
      <c r="AE17" s="148">
        <f>AE14-AE18-AE19</f>
        <v>413989.80999999994</v>
      </c>
      <c r="AF17" s="148">
        <f>AF14-AF18-AF19</f>
        <v>0</v>
      </c>
      <c r="AG17" s="148">
        <f>AG14-AG18-AG19</f>
        <v>0</v>
      </c>
      <c r="AH17" s="148">
        <f>AH14-AH18-AH19</f>
        <v>0</v>
      </c>
      <c r="AI17" s="51"/>
      <c r="AJ17" s="51"/>
      <c r="AK17" s="148">
        <f t="shared" si="29"/>
        <v>4614262.7700000005</v>
      </c>
      <c r="AL17" s="99"/>
    </row>
    <row r="18" spans="1:40" x14ac:dyDescent="0.3">
      <c r="A18" s="51" t="s">
        <v>239</v>
      </c>
      <c r="B18" s="416">
        <f t="shared" ref="B18" si="45">D18-C18</f>
        <v>28925.62</v>
      </c>
      <c r="C18" s="416">
        <f t="shared" ref="C18" si="46">ROUND((D18/1.21)*0.21,2)</f>
        <v>6074.38</v>
      </c>
      <c r="D18" s="150">
        <v>35000</v>
      </c>
      <c r="E18" s="599"/>
      <c r="F18" s="150"/>
      <c r="G18" s="150"/>
      <c r="H18" s="51"/>
      <c r="I18" s="51"/>
      <c r="J18" s="150"/>
      <c r="K18" s="51"/>
      <c r="L18" s="148"/>
      <c r="M18" s="51"/>
      <c r="N18" s="602">
        <f t="shared" ref="N18:N19" si="47">P18-O18</f>
        <v>690082.64</v>
      </c>
      <c r="O18" s="602">
        <f t="shared" ref="O18:O19" si="48">ROUND((P18/1.21)*0.21,2)</f>
        <v>144917.35999999999</v>
      </c>
      <c r="P18" s="150">
        <f>ROUND(790000-D18+80000,2)</f>
        <v>835000</v>
      </c>
      <c r="Q18" s="51"/>
      <c r="R18" s="51"/>
      <c r="S18" s="51"/>
      <c r="T18" s="51"/>
      <c r="U18" s="51"/>
      <c r="V18" s="51"/>
      <c r="W18" s="51"/>
      <c r="X18" s="51"/>
      <c r="Y18" s="51"/>
      <c r="Z18" s="150">
        <f t="shared" ref="Z18:Z19" si="49">AB18-AA18</f>
        <v>0</v>
      </c>
      <c r="AA18" s="150">
        <f t="shared" ref="AA18:AA19" si="50">ROUND((AB18/1.21)*0.21,2)</f>
        <v>0</v>
      </c>
      <c r="AB18" s="150">
        <v>0</v>
      </c>
      <c r="AC18" s="150">
        <f>AE18-AD18</f>
        <v>0</v>
      </c>
      <c r="AD18" s="150">
        <f>ROUND((AE18/1.21)*0.21,2)</f>
        <v>0</v>
      </c>
      <c r="AE18" s="150">
        <v>0</v>
      </c>
      <c r="AF18" s="150">
        <f>AH18-AG18</f>
        <v>0</v>
      </c>
      <c r="AG18" s="150">
        <f>ROUND((AH18/1.21)*0.21,2)</f>
        <v>0</v>
      </c>
      <c r="AH18" s="150">
        <v>0</v>
      </c>
      <c r="AI18" s="51"/>
      <c r="AJ18" s="51"/>
      <c r="AK18" s="148">
        <f t="shared" si="29"/>
        <v>870000</v>
      </c>
      <c r="AL18" s="99"/>
    </row>
    <row r="19" spans="1:40" ht="13.8" customHeight="1" x14ac:dyDescent="0.3">
      <c r="A19" s="51" t="s">
        <v>240</v>
      </c>
      <c r="B19" s="150">
        <v>0</v>
      </c>
      <c r="C19" s="150">
        <v>0</v>
      </c>
      <c r="D19" s="150">
        <v>0</v>
      </c>
      <c r="E19" s="150"/>
      <c r="F19" s="604" t="s">
        <v>533</v>
      </c>
      <c r="G19" s="605"/>
      <c r="H19" s="605"/>
      <c r="I19" s="605"/>
      <c r="J19" s="605"/>
      <c r="K19" s="605"/>
      <c r="L19" s="605"/>
      <c r="M19" s="51"/>
      <c r="N19" s="602">
        <f t="shared" si="47"/>
        <v>104386.22</v>
      </c>
      <c r="O19" s="603">
        <f t="shared" si="48"/>
        <v>21921.11</v>
      </c>
      <c r="P19" s="150">
        <f>ROUND('Dimensionament contracte'!I42,2)</f>
        <v>126307.33</v>
      </c>
      <c r="Q19" s="51"/>
      <c r="R19" s="51"/>
      <c r="S19" s="51"/>
      <c r="T19" s="51"/>
      <c r="U19" s="51"/>
      <c r="V19" s="51"/>
      <c r="W19" s="51"/>
      <c r="X19" s="148"/>
      <c r="Y19" s="51"/>
      <c r="Z19" s="150">
        <f t="shared" si="49"/>
        <v>104386.22</v>
      </c>
      <c r="AA19" s="150">
        <f t="shared" si="50"/>
        <v>21921.11</v>
      </c>
      <c r="AB19" s="150">
        <f>ROUND('Dimensionament contracte'!J42,2)</f>
        <v>126307.33</v>
      </c>
      <c r="AC19" s="150">
        <f>AE19-AD19</f>
        <v>17397.7</v>
      </c>
      <c r="AD19" s="150">
        <f>ROUND((AE19/1.21)*0.21,2)</f>
        <v>3653.52</v>
      </c>
      <c r="AE19" s="150">
        <f>ROUND('Dimensionament contracte'!K42,2)</f>
        <v>21051.22</v>
      </c>
      <c r="AF19" s="150">
        <f>AH19-AG19</f>
        <v>0</v>
      </c>
      <c r="AG19" s="150">
        <f>ROUND((AH19/1.21)*0.21,2)</f>
        <v>0</v>
      </c>
      <c r="AH19" s="150">
        <v>0</v>
      </c>
      <c r="AI19" s="51"/>
      <c r="AJ19" s="51"/>
      <c r="AK19" s="148">
        <f t="shared" si="29"/>
        <v>273665.88</v>
      </c>
      <c r="AL19" s="99"/>
    </row>
    <row r="20" spans="1:40" x14ac:dyDescent="0.3">
      <c r="A20" s="51" t="s">
        <v>241</v>
      </c>
      <c r="B20" s="148">
        <f>SUM(B21:B22)</f>
        <v>70487.66</v>
      </c>
      <c r="C20" s="148">
        <f>SUM(C21:C22)</f>
        <v>14802.41</v>
      </c>
      <c r="D20" s="148">
        <f>SUM(D21:D22)</f>
        <v>85290.07</v>
      </c>
      <c r="E20" s="148"/>
      <c r="F20" s="605"/>
      <c r="G20" s="605"/>
      <c r="H20" s="605"/>
      <c r="I20" s="605"/>
      <c r="J20" s="605"/>
      <c r="K20" s="605"/>
      <c r="L20" s="605"/>
      <c r="M20" s="51"/>
      <c r="N20" s="603">
        <f t="shared" ref="N20:O20" si="51">SUM(N21:N22)</f>
        <v>381346.29999999993</v>
      </c>
      <c r="O20" s="603">
        <f t="shared" si="51"/>
        <v>80082.720000000001</v>
      </c>
      <c r="P20" s="148">
        <f>SUM(P21:P22)</f>
        <v>461429.01999999996</v>
      </c>
      <c r="Q20" s="51"/>
      <c r="R20" s="51"/>
      <c r="S20" s="51"/>
      <c r="T20" s="51"/>
      <c r="U20" s="51"/>
      <c r="V20" s="51"/>
      <c r="W20" s="51"/>
      <c r="X20" s="51"/>
      <c r="Y20" s="51"/>
      <c r="Z20" s="148">
        <f t="shared" ref="Z20:AA20" si="52">SUM(Z21:Z22)</f>
        <v>537107.44999999995</v>
      </c>
      <c r="AA20" s="148">
        <f t="shared" si="52"/>
        <v>112792.56999999999</v>
      </c>
      <c r="AB20" s="148">
        <f>SUM(AB21:AB22)</f>
        <v>649900.02</v>
      </c>
      <c r="AC20" s="148">
        <f t="shared" ref="AC20:AD20" si="53">SUM(AC21:AC22)</f>
        <v>793811.57</v>
      </c>
      <c r="AD20" s="148">
        <f t="shared" si="53"/>
        <v>166700.43</v>
      </c>
      <c r="AE20" s="148">
        <f>SUM(AE21:AE22)</f>
        <v>960512</v>
      </c>
      <c r="AF20" s="148">
        <f>SUM(AF21:AF22)</f>
        <v>393643.52000000002</v>
      </c>
      <c r="AG20" s="148">
        <f>SUM(AG21:AG22)</f>
        <v>82665.13</v>
      </c>
      <c r="AH20" s="148">
        <f>SUM(AH21:AH22)</f>
        <v>476308.65</v>
      </c>
      <c r="AI20" s="51"/>
      <c r="AJ20" s="51"/>
      <c r="AK20" s="148">
        <f t="shared" si="29"/>
        <v>2633439.7599999998</v>
      </c>
      <c r="AL20" s="99"/>
      <c r="AM20" s="50">
        <f>AK21+AK24+AK27</f>
        <v>1294325.52</v>
      </c>
      <c r="AN20" s="99">
        <v>1376329.35</v>
      </c>
    </row>
    <row r="21" spans="1:40" x14ac:dyDescent="0.3">
      <c r="A21" s="159" t="s">
        <v>242</v>
      </c>
      <c r="B21" s="416">
        <f t="shared" ref="B21:B22" si="54">D21-C21</f>
        <v>48128.95</v>
      </c>
      <c r="C21" s="416">
        <f t="shared" ref="C21:C22" si="55">ROUND((D21/1.21)*0.21,2)</f>
        <v>10107.08</v>
      </c>
      <c r="D21" s="416">
        <f>ROUND(SUM('Càlcul pressupost manteniment'!O6:O9),2)</f>
        <v>58236.03</v>
      </c>
      <c r="E21" s="416"/>
      <c r="F21" s="605"/>
      <c r="G21" s="605"/>
      <c r="H21" s="605"/>
      <c r="I21" s="605"/>
      <c r="J21" s="605"/>
      <c r="K21" s="605"/>
      <c r="L21" s="605"/>
      <c r="M21" s="159"/>
      <c r="N21" s="596">
        <f t="shared" ref="N21:N22" si="56">P21-O21</f>
        <v>152538.51999999999</v>
      </c>
      <c r="O21" s="596">
        <f t="shared" ref="O21:O22" si="57">ROUND((P21/1.21)*0.21,2)</f>
        <v>32033.09</v>
      </c>
      <c r="P21" s="160">
        <f>ROUND(SUM('Càlcul pressupost manteniment'!P6:P9),2)</f>
        <v>184571.61</v>
      </c>
      <c r="Q21" s="284"/>
      <c r="R21" s="159"/>
      <c r="S21" s="159"/>
      <c r="T21" s="284"/>
      <c r="U21" s="159"/>
      <c r="V21" s="159"/>
      <c r="W21" s="159"/>
      <c r="X21" s="159"/>
      <c r="Y21" s="412"/>
      <c r="Z21" s="416">
        <f t="shared" ref="Z21:Z22" si="58">AB21-AA21</f>
        <v>214842.99</v>
      </c>
      <c r="AA21" s="416">
        <f t="shared" ref="AA21:AA22" si="59">ROUND((AB21/1.21)*0.21,2)</f>
        <v>45117.03</v>
      </c>
      <c r="AB21" s="160">
        <f>ROUND(SUM('Càlcul pressupost manteniment'!Q6:Q9),2)</f>
        <v>259960.02</v>
      </c>
      <c r="AC21" s="416">
        <f>AE21-AD21</f>
        <v>317524.63</v>
      </c>
      <c r="AD21" s="416">
        <f>ROUND((AE21/1.21)*0.21,2)</f>
        <v>66680.17</v>
      </c>
      <c r="AE21" s="160">
        <f>ROUND(SUM('Càlcul pressupost manteniment'!R6:R9),2)</f>
        <v>384204.79999999999</v>
      </c>
      <c r="AF21" s="416">
        <f>AH21-AG21</f>
        <v>157457.40000000002</v>
      </c>
      <c r="AG21" s="416">
        <f>ROUND((AH21/1.21)*0.21,2)</f>
        <v>33066.050000000003</v>
      </c>
      <c r="AH21" s="160">
        <f>ROUND(SUM('Càlcul pressupost manteniment'!S6:S9),2)</f>
        <v>190523.45</v>
      </c>
      <c r="AI21" s="284"/>
      <c r="AJ21" s="159"/>
      <c r="AK21" s="160">
        <f t="shared" si="29"/>
        <v>1077495.9099999999</v>
      </c>
      <c r="AM21" s="50">
        <f>AK22+AK25+AK28</f>
        <v>1825913.2499999998</v>
      </c>
      <c r="AN21" s="99">
        <v>1950644.0399999998</v>
      </c>
    </row>
    <row r="22" spans="1:40" x14ac:dyDescent="0.3">
      <c r="A22" s="159" t="s">
        <v>243</v>
      </c>
      <c r="B22" s="416">
        <f t="shared" si="54"/>
        <v>22358.71</v>
      </c>
      <c r="C22" s="416">
        <f t="shared" si="55"/>
        <v>4695.33</v>
      </c>
      <c r="D22" s="416">
        <f>ROUND(SUM('Càlcul pressupost manteniment'!O10),2)</f>
        <v>27054.04</v>
      </c>
      <c r="E22" s="416"/>
      <c r="F22" s="605"/>
      <c r="G22" s="605"/>
      <c r="H22" s="605"/>
      <c r="I22" s="605"/>
      <c r="J22" s="605"/>
      <c r="K22" s="605"/>
      <c r="L22" s="605"/>
      <c r="M22" s="159"/>
      <c r="N22" s="596">
        <f t="shared" si="56"/>
        <v>228807.77999999997</v>
      </c>
      <c r="O22" s="596">
        <f t="shared" si="57"/>
        <v>48049.63</v>
      </c>
      <c r="P22" s="160">
        <f>ROUND(SUM('Càlcul pressupost manteniment'!P10),2)</f>
        <v>276857.40999999997</v>
      </c>
      <c r="Q22" s="284"/>
      <c r="R22" s="159"/>
      <c r="S22" s="159"/>
      <c r="T22" s="284"/>
      <c r="U22" s="159"/>
      <c r="V22" s="159"/>
      <c r="W22" s="159"/>
      <c r="X22" s="159"/>
      <c r="Y22" s="159"/>
      <c r="Z22" s="416">
        <f t="shared" si="58"/>
        <v>322264.46000000002</v>
      </c>
      <c r="AA22" s="416">
        <f t="shared" si="59"/>
        <v>67675.539999999994</v>
      </c>
      <c r="AB22" s="160">
        <f>ROUND(SUM('Càlcul pressupost manteniment'!Q10),2)</f>
        <v>389940</v>
      </c>
      <c r="AC22" s="416">
        <f>AE22-AD22</f>
        <v>476286.93999999994</v>
      </c>
      <c r="AD22" s="416">
        <f>ROUND((AE22/1.21)*0.21,2)</f>
        <v>100020.26</v>
      </c>
      <c r="AE22" s="160">
        <f>ROUND(SUM('Càlcul pressupost manteniment'!R10),2)</f>
        <v>576307.19999999995</v>
      </c>
      <c r="AF22" s="596">
        <f>AH22-AG22</f>
        <v>236186.12</v>
      </c>
      <c r="AG22" s="596">
        <f>ROUND((AH22/1.21)*0.21,2)</f>
        <v>49599.08</v>
      </c>
      <c r="AH22" s="160">
        <f>ROUND(SUM('Càlcul pressupost manteniment'!S10),2)</f>
        <v>285785.2</v>
      </c>
      <c r="AI22" s="284"/>
      <c r="AJ22" s="159"/>
      <c r="AK22" s="160">
        <f t="shared" si="29"/>
        <v>1555943.8499999999</v>
      </c>
    </row>
    <row r="23" spans="1:40" x14ac:dyDescent="0.3">
      <c r="A23" s="51" t="s">
        <v>244</v>
      </c>
      <c r="B23" s="150">
        <f>SUM(B24:B25)</f>
        <v>35186.17</v>
      </c>
      <c r="C23" s="150">
        <f>SUM(C24:C25)</f>
        <v>7389.09</v>
      </c>
      <c r="D23" s="150">
        <f>SUM(D24:D25)</f>
        <v>42575.26</v>
      </c>
      <c r="E23" s="150"/>
      <c r="F23" s="605"/>
      <c r="G23" s="605"/>
      <c r="H23" s="605"/>
      <c r="I23" s="605"/>
      <c r="J23" s="605"/>
      <c r="K23" s="605"/>
      <c r="L23" s="605"/>
      <c r="M23" s="51"/>
      <c r="N23" s="603">
        <f t="shared" ref="N23:O23" si="60">SUM(N24:N25)</f>
        <v>125417.35</v>
      </c>
      <c r="O23" s="603">
        <f t="shared" si="60"/>
        <v>26337.65</v>
      </c>
      <c r="P23" s="150">
        <f>SUM(P24:P25)</f>
        <v>151755</v>
      </c>
      <c r="Q23" s="51"/>
      <c r="R23" s="51"/>
      <c r="S23" s="51"/>
      <c r="T23" s="51"/>
      <c r="U23" s="51"/>
      <c r="V23" s="51"/>
      <c r="W23" s="51"/>
      <c r="X23" s="51"/>
      <c r="Y23" s="51"/>
      <c r="Z23" s="150">
        <f t="shared" ref="Z23:AA23" si="61">SUM(Z24:Z25)</f>
        <v>0</v>
      </c>
      <c r="AA23" s="150">
        <f t="shared" si="61"/>
        <v>0</v>
      </c>
      <c r="AB23" s="150">
        <f t="shared" ref="AB23:AH23" si="62">SUM(AB24:AB25)</f>
        <v>0</v>
      </c>
      <c r="AC23" s="150">
        <f t="shared" si="62"/>
        <v>0</v>
      </c>
      <c r="AD23" s="150">
        <f t="shared" si="62"/>
        <v>0</v>
      </c>
      <c r="AE23" s="150">
        <f t="shared" si="62"/>
        <v>0</v>
      </c>
      <c r="AF23" s="150">
        <f t="shared" si="62"/>
        <v>0</v>
      </c>
      <c r="AG23" s="150">
        <f t="shared" si="62"/>
        <v>0</v>
      </c>
      <c r="AH23" s="150">
        <f t="shared" si="62"/>
        <v>0</v>
      </c>
      <c r="AI23" s="51"/>
      <c r="AJ23" s="51"/>
      <c r="AK23" s="148">
        <f t="shared" si="29"/>
        <v>194330.26</v>
      </c>
    </row>
    <row r="24" spans="1:40" x14ac:dyDescent="0.3">
      <c r="A24" s="159" t="s">
        <v>245</v>
      </c>
      <c r="B24" s="416">
        <f t="shared" ref="B24:B25" si="63">D24-C24</f>
        <v>25702.57</v>
      </c>
      <c r="C24" s="416">
        <f t="shared" ref="C24:C25" si="64">ROUND((D24/1.21)*0.21,2)</f>
        <v>5397.54</v>
      </c>
      <c r="D24" s="416">
        <f>ROUND(SUM('Càlcul pressupost manteniment'!X6:X9),2)</f>
        <v>31100.11</v>
      </c>
      <c r="E24" s="416"/>
      <c r="F24" s="605"/>
      <c r="G24" s="605"/>
      <c r="H24" s="605"/>
      <c r="I24" s="605"/>
      <c r="J24" s="605"/>
      <c r="K24" s="605"/>
      <c r="L24" s="605"/>
      <c r="M24" s="284"/>
      <c r="N24" s="596">
        <f t="shared" ref="N24:N25" si="65">P24-O24</f>
        <v>50166.94</v>
      </c>
      <c r="O24" s="596">
        <f t="shared" ref="O24:O25" si="66">ROUND((P24/1.21)*0.21,2)</f>
        <v>10535.06</v>
      </c>
      <c r="P24" s="160">
        <f>ROUND(SUM('Càlcul pressupost manteniment'!Y6:Y9),2)</f>
        <v>60702</v>
      </c>
      <c r="Q24" s="284"/>
      <c r="R24" s="159"/>
      <c r="S24" s="159"/>
      <c r="T24" s="284"/>
      <c r="U24" s="159"/>
      <c r="V24" s="159"/>
      <c r="W24" s="159"/>
      <c r="X24" s="159"/>
      <c r="Y24" s="159"/>
      <c r="Z24" s="416">
        <f t="shared" ref="Z24:Z25" si="67">AB24-AA24</f>
        <v>0</v>
      </c>
      <c r="AA24" s="416">
        <f t="shared" ref="AA24:AA25" si="68">ROUND((AB24/1.21)*0.21,2)</f>
        <v>0</v>
      </c>
      <c r="AB24" s="160">
        <f>ROUND(SUM('Càlcul pressupost manteniment'!Z6:Z9),2)</f>
        <v>0</v>
      </c>
      <c r="AC24" s="416">
        <f>AE24-AD24</f>
        <v>0</v>
      </c>
      <c r="AD24" s="416">
        <f>ROUND((AE24/1.21)*0.21,2)</f>
        <v>0</v>
      </c>
      <c r="AE24" s="160">
        <f>ROUND(SUM('Càlcul pressupost manteniment'!AA6:AA9),2)</f>
        <v>0</v>
      </c>
      <c r="AF24" s="416">
        <f>AH24-AG24</f>
        <v>0</v>
      </c>
      <c r="AG24" s="416">
        <f>ROUND((AH24/1.21)*0.21,2)</f>
        <v>0</v>
      </c>
      <c r="AH24" s="160">
        <f>ROUND(SUM('Càlcul pressupost manteniment'!AB6:AB9),2)</f>
        <v>0</v>
      </c>
      <c r="AI24" s="159"/>
      <c r="AJ24" s="159"/>
      <c r="AK24" s="160">
        <f t="shared" si="29"/>
        <v>91802.11</v>
      </c>
    </row>
    <row r="25" spans="1:40" x14ac:dyDescent="0.3">
      <c r="A25" s="159" t="s">
        <v>246</v>
      </c>
      <c r="B25" s="596">
        <f t="shared" si="63"/>
        <v>9483.6</v>
      </c>
      <c r="C25" s="596">
        <f t="shared" si="64"/>
        <v>1991.55</v>
      </c>
      <c r="D25" s="416">
        <f>ROUND(SUM('Càlcul pressupost manteniment'!X10),2)</f>
        <v>11475.15</v>
      </c>
      <c r="E25" s="416"/>
      <c r="F25" s="605"/>
      <c r="G25" s="605"/>
      <c r="H25" s="605"/>
      <c r="I25" s="605"/>
      <c r="J25" s="605"/>
      <c r="K25" s="605"/>
      <c r="L25" s="605"/>
      <c r="M25" s="159"/>
      <c r="N25" s="596">
        <f t="shared" si="65"/>
        <v>75250.41</v>
      </c>
      <c r="O25" s="596">
        <f t="shared" si="66"/>
        <v>15802.59</v>
      </c>
      <c r="P25" s="160">
        <f>ROUND(SUM('Càlcul pressupost manteniment'!Y10),2)</f>
        <v>91053</v>
      </c>
      <c r="Q25" s="284"/>
      <c r="R25" s="159"/>
      <c r="S25" s="159"/>
      <c r="T25" s="284"/>
      <c r="U25" s="159"/>
      <c r="V25" s="159"/>
      <c r="W25" s="159"/>
      <c r="X25" s="159"/>
      <c r="Y25" s="159"/>
      <c r="Z25" s="416">
        <f t="shared" si="67"/>
        <v>0</v>
      </c>
      <c r="AA25" s="416">
        <f t="shared" si="68"/>
        <v>0</v>
      </c>
      <c r="AB25" s="160">
        <f>ROUND(SUM('Càlcul pressupost manteniment'!Z10),2)</f>
        <v>0</v>
      </c>
      <c r="AC25" s="416">
        <f>AE25-AD25</f>
        <v>0</v>
      </c>
      <c r="AD25" s="416">
        <f>ROUND((AE25/1.21)*0.21,2)</f>
        <v>0</v>
      </c>
      <c r="AE25" s="160">
        <f>ROUND(SUM('Càlcul pressupost manteniment'!AA10),2)</f>
        <v>0</v>
      </c>
      <c r="AF25" s="416">
        <f>AH25-AG25</f>
        <v>0</v>
      </c>
      <c r="AG25" s="416">
        <f>ROUND((AH25/1.21)*0.21,2)</f>
        <v>0</v>
      </c>
      <c r="AH25" s="160">
        <f>ROUND(SUM('Càlcul pressupost manteniment'!AB10),2)</f>
        <v>0</v>
      </c>
      <c r="AI25" s="159"/>
      <c r="AJ25" s="159"/>
      <c r="AK25" s="160">
        <f t="shared" si="29"/>
        <v>102528.15</v>
      </c>
    </row>
    <row r="26" spans="1:40" x14ac:dyDescent="0.3">
      <c r="A26" s="51" t="s">
        <v>247</v>
      </c>
      <c r="B26" s="150">
        <f>SUM(B27:B28)</f>
        <v>19099.510000000002</v>
      </c>
      <c r="C26" s="150">
        <f>SUM(C27:C28)</f>
        <v>4010.9</v>
      </c>
      <c r="D26" s="150">
        <f>SUM(D27:D28)</f>
        <v>23110.41</v>
      </c>
      <c r="E26" s="150"/>
      <c r="F26" s="150"/>
      <c r="G26" s="150"/>
      <c r="H26" s="99"/>
      <c r="I26" s="99"/>
      <c r="J26" s="150"/>
      <c r="N26" s="603">
        <f t="shared" ref="N26:O26" si="69">SUM(N27:N28)</f>
        <v>63677.68</v>
      </c>
      <c r="O26" s="603">
        <f t="shared" si="69"/>
        <v>13372.32</v>
      </c>
      <c r="P26" s="150">
        <f>SUM(P27:P28)</f>
        <v>77050</v>
      </c>
      <c r="Z26" s="150">
        <f t="shared" ref="Z26:AA26" si="70">SUM(Z27:Z28)</f>
        <v>63677.68</v>
      </c>
      <c r="AA26" s="150">
        <f t="shared" si="70"/>
        <v>13372.32</v>
      </c>
      <c r="AB26" s="150">
        <f t="shared" ref="AB26:AH26" si="71">SUM(AB27:AB28)</f>
        <v>77050</v>
      </c>
      <c r="AC26" s="150">
        <f t="shared" si="71"/>
        <v>63677.68</v>
      </c>
      <c r="AD26" s="150">
        <f t="shared" si="71"/>
        <v>13372.32</v>
      </c>
      <c r="AE26" s="150">
        <f t="shared" si="71"/>
        <v>77050</v>
      </c>
      <c r="AF26" s="150">
        <f t="shared" si="71"/>
        <v>31577.14</v>
      </c>
      <c r="AG26" s="150">
        <f t="shared" si="71"/>
        <v>6631.2</v>
      </c>
      <c r="AH26" s="150">
        <f t="shared" si="71"/>
        <v>38208.339999999997</v>
      </c>
      <c r="AK26" s="148">
        <f t="shared" si="29"/>
        <v>292468.75</v>
      </c>
    </row>
    <row r="27" spans="1:40" x14ac:dyDescent="0.3">
      <c r="A27" s="159" t="s">
        <v>248</v>
      </c>
      <c r="B27" s="416">
        <f t="shared" ref="B27:B28" si="72">D27-C27</f>
        <v>14284.43</v>
      </c>
      <c r="C27" s="416">
        <f t="shared" ref="C27:C28" si="73">ROUND((D27/1.21)*0.21,2)</f>
        <v>2999.73</v>
      </c>
      <c r="D27" s="416">
        <f>ROUND(SUM('Càlcul pressupost manteniment'!AG6:AG9),2)</f>
        <v>17284.16</v>
      </c>
      <c r="E27" s="416"/>
      <c r="F27" s="416"/>
      <c r="G27" s="416"/>
      <c r="H27" s="100"/>
      <c r="J27" s="160"/>
      <c r="K27" s="284"/>
      <c r="N27" s="454">
        <f t="shared" ref="N27:N28" si="74">P27-O27</f>
        <v>25471.07</v>
      </c>
      <c r="O27" s="454">
        <f t="shared" ref="O27:O28" si="75">ROUND((P27/1.21)*0.21,2)</f>
        <v>5348.93</v>
      </c>
      <c r="P27" s="160">
        <f>ROUND(SUM('Càlcul pressupost manteniment'!AH6:AH9),2)</f>
        <v>30820</v>
      </c>
      <c r="Q27" s="284"/>
      <c r="T27" s="284"/>
      <c r="Z27" s="454">
        <f t="shared" ref="Z27:Z28" si="76">AB27-AA27</f>
        <v>25471.07</v>
      </c>
      <c r="AA27" s="454">
        <f t="shared" ref="AA27:AA28" si="77">ROUND((AB27/1.21)*0.21,2)</f>
        <v>5348.93</v>
      </c>
      <c r="AB27" s="160">
        <f>ROUND(SUM('Càlcul pressupost manteniment'!AI6:AI9),2)</f>
        <v>30820</v>
      </c>
      <c r="AC27" s="596">
        <f>AE27-AD27</f>
        <v>25471.07</v>
      </c>
      <c r="AD27" s="454">
        <f>ROUND((AE27/1.21)*0.21,2)</f>
        <v>5348.93</v>
      </c>
      <c r="AE27" s="160">
        <f>ROUND(SUM('Càlcul pressupost manteniment'!AJ6:AJ9),2)</f>
        <v>30820</v>
      </c>
      <c r="AF27" s="416">
        <f>AH27-AG27</f>
        <v>12630.86</v>
      </c>
      <c r="AG27" s="99">
        <f>ROUND((AH27/1.21)*0.21,2)</f>
        <v>2652.48</v>
      </c>
      <c r="AH27" s="160">
        <f>ROUND(SUM('Càlcul pressupost manteniment'!AK6:AK9),2)</f>
        <v>15283.34</v>
      </c>
      <c r="AI27" s="284"/>
      <c r="AK27" s="160">
        <f t="shared" si="29"/>
        <v>125027.5</v>
      </c>
    </row>
    <row r="28" spans="1:40" x14ac:dyDescent="0.3">
      <c r="A28" s="159" t="s">
        <v>249</v>
      </c>
      <c r="B28" s="416">
        <f t="shared" si="72"/>
        <v>4815.08</v>
      </c>
      <c r="C28" s="416">
        <f t="shared" si="73"/>
        <v>1011.17</v>
      </c>
      <c r="D28" s="416">
        <f>ROUND(SUM('Càlcul pressupost manteniment'!AG10),2)</f>
        <v>5826.25</v>
      </c>
      <c r="E28" s="416"/>
      <c r="F28" s="416"/>
      <c r="G28" s="416"/>
      <c r="J28" s="160"/>
      <c r="K28" s="284"/>
      <c r="N28" s="99">
        <f t="shared" si="74"/>
        <v>38206.61</v>
      </c>
      <c r="O28" s="50">
        <f t="shared" si="75"/>
        <v>8023.39</v>
      </c>
      <c r="P28" s="160">
        <f>ROUND(SUM('Càlcul pressupost manteniment'!AH10),2)</f>
        <v>46230</v>
      </c>
      <c r="Q28" s="284"/>
      <c r="T28" s="284"/>
      <c r="Z28" s="99">
        <f t="shared" si="76"/>
        <v>38206.61</v>
      </c>
      <c r="AA28" s="99">
        <f t="shared" si="77"/>
        <v>8023.39</v>
      </c>
      <c r="AB28" s="160">
        <f>ROUND(SUM('Càlcul pressupost manteniment'!AI10),2)</f>
        <v>46230</v>
      </c>
      <c r="AC28" s="416">
        <f>AE28-AD28</f>
        <v>38206.61</v>
      </c>
      <c r="AD28" s="99">
        <f>ROUND((AE28/1.21)*0.21,2)</f>
        <v>8023.39</v>
      </c>
      <c r="AE28" s="160">
        <f>ROUND(SUM('Càlcul pressupost manteniment'!AJ10),2)</f>
        <v>46230</v>
      </c>
      <c r="AF28" s="416">
        <f>AH28-AG28</f>
        <v>18946.28</v>
      </c>
      <c r="AG28" s="99">
        <f>ROUND((AH28/1.21)*0.21,2)</f>
        <v>3978.72</v>
      </c>
      <c r="AH28" s="160">
        <f>ROUND(SUM('Càlcul pressupost manteniment'!AK10),2)</f>
        <v>22925</v>
      </c>
      <c r="AI28" s="284"/>
      <c r="AK28" s="160">
        <f t="shared" si="29"/>
        <v>167441.25</v>
      </c>
    </row>
    <row r="30" spans="1:40" x14ac:dyDescent="0.3">
      <c r="AF30" s="523"/>
    </row>
    <row r="31" spans="1:40" x14ac:dyDescent="0.3">
      <c r="A31" s="43" t="s">
        <v>250</v>
      </c>
      <c r="B31" s="283">
        <v>0.4</v>
      </c>
    </row>
    <row r="32" spans="1:40" x14ac:dyDescent="0.3">
      <c r="A32" s="43" t="s">
        <v>251</v>
      </c>
      <c r="B32" s="283">
        <v>0.6</v>
      </c>
    </row>
    <row r="36" spans="1:12" hidden="1" x14ac:dyDescent="0.3">
      <c r="A36" s="142" t="s">
        <v>252</v>
      </c>
      <c r="B36" s="142" t="s">
        <v>50</v>
      </c>
      <c r="C36" s="142" t="s">
        <v>51</v>
      </c>
      <c r="D36" s="142" t="s">
        <v>52</v>
      </c>
      <c r="E36" s="142"/>
      <c r="F36" s="142"/>
      <c r="G36" s="142"/>
      <c r="H36" s="142" t="s">
        <v>53</v>
      </c>
      <c r="I36" s="142" t="s">
        <v>54</v>
      </c>
      <c r="J36" s="142" t="s">
        <v>55</v>
      </c>
      <c r="K36" s="142" t="s">
        <v>56</v>
      </c>
      <c r="L36" s="142" t="s">
        <v>57</v>
      </c>
    </row>
    <row r="37" spans="1:12" hidden="1" x14ac:dyDescent="0.3">
      <c r="A37" s="43" t="s">
        <v>253</v>
      </c>
      <c r="B37" s="50">
        <f>'Tallatge èpiques'!B30</f>
        <v>120244.75772287131</v>
      </c>
    </row>
    <row r="38" spans="1:12" hidden="1" x14ac:dyDescent="0.3">
      <c r="A38" s="43" t="s">
        <v>254</v>
      </c>
      <c r="B38" s="50">
        <f>'Tallatge èpiques'!C30</f>
        <v>168254.97684201726</v>
      </c>
    </row>
    <row r="39" spans="1:12" hidden="1" x14ac:dyDescent="0.3">
      <c r="A39" s="43" t="s">
        <v>255</v>
      </c>
      <c r="C39" s="50">
        <f>'Tallatge èpiques'!D30</f>
        <v>213118.53041147444</v>
      </c>
    </row>
    <row r="40" spans="1:12" hidden="1" x14ac:dyDescent="0.3">
      <c r="A40" s="43" t="s">
        <v>256</v>
      </c>
      <c r="C40" s="50">
        <f>'Tallatge èpiques'!E30</f>
        <v>168254.97684201726</v>
      </c>
    </row>
    <row r="41" spans="1:12" hidden="1" x14ac:dyDescent="0.3">
      <c r="A41" s="43" t="s">
        <v>257</v>
      </c>
      <c r="D41" s="50">
        <f>'Tallatge èpiques'!F30</f>
        <v>81182.832341809612</v>
      </c>
      <c r="E41" s="50"/>
      <c r="F41" s="50"/>
      <c r="G41" s="50"/>
    </row>
    <row r="42" spans="1:12" hidden="1" x14ac:dyDescent="0.3">
      <c r="A42" s="43" t="s">
        <v>258</v>
      </c>
      <c r="J42" s="50">
        <f>'Tallatge èpiques'!G30</f>
        <v>120244.75772287131</v>
      </c>
    </row>
    <row r="43" spans="1:12" hidden="1" x14ac:dyDescent="0.3">
      <c r="A43" s="43" t="s">
        <v>259</v>
      </c>
      <c r="K43" s="50">
        <f>'Tallatge èpiques'!H30</f>
        <v>120244.75772287131</v>
      </c>
    </row>
    <row r="44" spans="1:12" hidden="1" x14ac:dyDescent="0.3">
      <c r="A44" s="43" t="s">
        <v>260</v>
      </c>
      <c r="K44" s="50">
        <f>'Tallatge èpiques'!I30</f>
        <v>120244.75772287131</v>
      </c>
    </row>
    <row r="45" spans="1:12" hidden="1" x14ac:dyDescent="0.3">
      <c r="A45" s="43" t="s">
        <v>261</v>
      </c>
      <c r="K45" s="50">
        <f>'Tallatge èpiques'!J30</f>
        <v>81182.832341809612</v>
      </c>
    </row>
    <row r="46" spans="1:12" hidden="1" x14ac:dyDescent="0.3">
      <c r="A46" s="43" t="s">
        <v>262</v>
      </c>
      <c r="L46" s="50">
        <f>'Tallatge èpiques'!K30</f>
        <v>120244.75772287131</v>
      </c>
    </row>
    <row r="47" spans="1:12" hidden="1" x14ac:dyDescent="0.3">
      <c r="A47" s="43" t="s">
        <v>263</v>
      </c>
      <c r="B47" s="50">
        <f>'Tallatge èpiques'!L30</f>
        <v>168254.97684201726</v>
      </c>
    </row>
    <row r="48" spans="1:12" hidden="1" x14ac:dyDescent="0.3">
      <c r="A48" s="43" t="s">
        <v>264</v>
      </c>
      <c r="C48" s="50">
        <f>'Tallatge èpiques'!M30</f>
        <v>213118.53041147444</v>
      </c>
    </row>
    <row r="49" spans="1:8" hidden="1" x14ac:dyDescent="0.3">
      <c r="A49" s="43" t="s">
        <v>265</v>
      </c>
      <c r="D49" s="50">
        <f>'Tallatge èpiques'!N30</f>
        <v>213118.53041147444</v>
      </c>
      <c r="E49" s="50"/>
      <c r="F49" s="50"/>
      <c r="G49" s="50"/>
    </row>
    <row r="50" spans="1:8" hidden="1" x14ac:dyDescent="0.3">
      <c r="A50" s="43" t="s">
        <v>266</v>
      </c>
      <c r="D50" s="50">
        <f>'Tallatge èpiques'!N30</f>
        <v>213118.53041147444</v>
      </c>
      <c r="E50" s="50"/>
      <c r="F50" s="50"/>
      <c r="G50" s="50"/>
      <c r="H50" s="50"/>
    </row>
    <row r="51" spans="1:8" hidden="1" x14ac:dyDescent="0.3">
      <c r="A51" s="43" t="s">
        <v>267</v>
      </c>
      <c r="H51" s="50">
        <f>'Tallatge èpiques'!P30</f>
        <v>213118.53041147444</v>
      </c>
    </row>
    <row r="52" spans="1:8" hidden="1" x14ac:dyDescent="0.3">
      <c r="A52" s="43" t="s">
        <v>268</v>
      </c>
    </row>
    <row r="53" spans="1:8" hidden="1" x14ac:dyDescent="0.3">
      <c r="A53" s="43" t="s">
        <v>269</v>
      </c>
    </row>
    <row r="54" spans="1:8" hidden="1" x14ac:dyDescent="0.3">
      <c r="A54" s="43" t="s">
        <v>270</v>
      </c>
    </row>
    <row r="55" spans="1:8" hidden="1" x14ac:dyDescent="0.3">
      <c r="A55" s="43" t="s">
        <v>271</v>
      </c>
    </row>
    <row r="56" spans="1:8" hidden="1" x14ac:dyDescent="0.3">
      <c r="A56" s="43" t="s">
        <v>272</v>
      </c>
    </row>
    <row r="57" spans="1:8" hidden="1" x14ac:dyDescent="0.3">
      <c r="A57" s="43" t="s">
        <v>273</v>
      </c>
    </row>
    <row r="58" spans="1:8" hidden="1" x14ac:dyDescent="0.3">
      <c r="A58" s="43" t="s">
        <v>274</v>
      </c>
    </row>
    <row r="59" spans="1:8" hidden="1" x14ac:dyDescent="0.3">
      <c r="A59" s="43" t="s">
        <v>275</v>
      </c>
    </row>
    <row r="60" spans="1:8" hidden="1" x14ac:dyDescent="0.3">
      <c r="A60" s="43" t="s">
        <v>276</v>
      </c>
    </row>
    <row r="61" spans="1:8" hidden="1" x14ac:dyDescent="0.3">
      <c r="A61" s="43" t="s">
        <v>277</v>
      </c>
    </row>
    <row r="62" spans="1:8" hidden="1" x14ac:dyDescent="0.3">
      <c r="A62" s="43" t="s">
        <v>278</v>
      </c>
    </row>
    <row r="63" spans="1:8" hidden="1" x14ac:dyDescent="0.3">
      <c r="A63" s="43" t="s">
        <v>279</v>
      </c>
    </row>
    <row r="64" spans="1:8" hidden="1" x14ac:dyDescent="0.3">
      <c r="A64" s="43" t="s">
        <v>280</v>
      </c>
    </row>
    <row r="65" spans="1:1" hidden="1" x14ac:dyDescent="0.3">
      <c r="A65" s="43" t="s">
        <v>281</v>
      </c>
    </row>
    <row r="66" spans="1:1" hidden="1" x14ac:dyDescent="0.3">
      <c r="A66" s="43" t="s">
        <v>282</v>
      </c>
    </row>
    <row r="67" spans="1:1" hidden="1" x14ac:dyDescent="0.3">
      <c r="A67" s="43" t="s">
        <v>283</v>
      </c>
    </row>
    <row r="68" spans="1:1" hidden="1" x14ac:dyDescent="0.3">
      <c r="A68" s="43" t="s">
        <v>284</v>
      </c>
    </row>
    <row r="69" spans="1:1" hidden="1" x14ac:dyDescent="0.3">
      <c r="A69" s="43" t="s">
        <v>285</v>
      </c>
    </row>
    <row r="70" spans="1:1" hidden="1" x14ac:dyDescent="0.3"/>
  </sheetData>
  <mergeCells count="16">
    <mergeCell ref="F19:L25"/>
    <mergeCell ref="B4:D4"/>
    <mergeCell ref="H4:J4"/>
    <mergeCell ref="B3:D3"/>
    <mergeCell ref="E4:G4"/>
    <mergeCell ref="AC3:AE3"/>
    <mergeCell ref="AF3:AH3"/>
    <mergeCell ref="K4:M4"/>
    <mergeCell ref="N4:P4"/>
    <mergeCell ref="Q4:S4"/>
    <mergeCell ref="W4:Y4"/>
    <mergeCell ref="Z4:AB4"/>
    <mergeCell ref="AC4:AE4"/>
    <mergeCell ref="T4:V4"/>
    <mergeCell ref="E3:O3"/>
    <mergeCell ref="Q3:A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DC4A-EE00-4235-9F7C-890A6356A104}">
  <dimension ref="A1:AU123"/>
  <sheetViews>
    <sheetView zoomScale="70" zoomScaleNormal="70" workbookViewId="0"/>
  </sheetViews>
  <sheetFormatPr defaultColWidth="11.44140625" defaultRowHeight="14.4" x14ac:dyDescent="0.3"/>
  <cols>
    <col min="1" max="1" width="35.6640625" style="171" bestFit="1" customWidth="1"/>
    <col min="2" max="2" width="6.109375" style="171" customWidth="1"/>
    <col min="3" max="3" width="16.5546875" style="190" customWidth="1"/>
    <col min="4" max="4" width="43.109375" style="179" customWidth="1"/>
    <col min="5" max="5" width="24.109375" style="190" customWidth="1"/>
    <col min="6" max="6" width="30.6640625" style="179" customWidth="1"/>
    <col min="7" max="7" width="17.109375" style="179" customWidth="1"/>
    <col min="8" max="8" width="17.5546875" style="171" customWidth="1"/>
    <col min="9" max="9" width="16.44140625" style="171" customWidth="1"/>
    <col min="10" max="10" width="16.88671875" style="171" customWidth="1"/>
    <col min="11" max="11" width="16.44140625" style="171" customWidth="1"/>
    <col min="12" max="12" width="17.44140625" style="171" customWidth="1"/>
    <col min="13" max="13" width="20.33203125" style="171" customWidth="1"/>
    <col min="14" max="14" width="14.88671875" style="171" customWidth="1"/>
    <col min="15" max="15" width="19" style="171" customWidth="1"/>
    <col min="16" max="16" width="17.6640625" style="171" customWidth="1"/>
    <col min="17" max="17" width="18.6640625" style="171" customWidth="1"/>
    <col min="18" max="18" width="14.5546875" style="171" customWidth="1"/>
    <col min="19" max="19" width="16.109375" style="171" customWidth="1"/>
    <col min="20" max="20" width="20.44140625" style="171" bestFit="1" customWidth="1"/>
    <col min="21" max="21" width="18" style="171" customWidth="1"/>
    <col min="22" max="22" width="11.44140625" style="171" bestFit="1"/>
    <col min="23" max="23" width="22.88671875" style="171" customWidth="1"/>
    <col min="24" max="24" width="15.33203125" style="171" customWidth="1"/>
    <col min="25" max="25" width="18.44140625" style="171" bestFit="1" customWidth="1"/>
    <col min="26" max="26" width="14.5546875" style="171" customWidth="1"/>
    <col min="27" max="27" width="13.33203125" style="171" customWidth="1"/>
    <col min="28" max="28" width="17.44140625" style="171" bestFit="1" customWidth="1"/>
    <col min="29" max="29" width="15.88671875" style="171" bestFit="1" customWidth="1"/>
    <col min="30" max="30" width="15.5546875" style="171" customWidth="1"/>
    <col min="31" max="31" width="12.88671875" style="171" customWidth="1"/>
    <col min="32" max="32" width="13.5546875" style="171" customWidth="1"/>
    <col min="33" max="33" width="20.109375" style="171" customWidth="1"/>
    <col min="34" max="34" width="11.33203125" style="171" bestFit="1" customWidth="1"/>
    <col min="35" max="35" width="13.88671875" style="171" customWidth="1"/>
    <col min="36" max="36" width="13.109375" style="171" customWidth="1"/>
    <col min="37" max="37" width="18.109375" style="171" customWidth="1"/>
    <col min="38" max="39" width="12.44140625" style="171" bestFit="1" customWidth="1"/>
    <col min="40" max="40" width="11.88671875" style="171" bestFit="1" customWidth="1"/>
    <col min="41" max="45" width="11.88671875" style="171" customWidth="1"/>
    <col min="46" max="46" width="5.88671875" style="171" customWidth="1"/>
    <col min="47" max="47" width="72.109375" style="171" customWidth="1"/>
    <col min="48" max="48" width="9.88671875" style="171" bestFit="1" customWidth="1"/>
    <col min="49" max="49" width="13.88671875" style="171" customWidth="1"/>
    <col min="50" max="50" width="5.6640625" style="171" customWidth="1"/>
    <col min="51" max="51" width="14.5546875" style="171" customWidth="1"/>
    <col min="52" max="52" width="12.109375" style="171" bestFit="1" customWidth="1"/>
    <col min="53" max="54" width="9.109375" style="171" customWidth="1"/>
    <col min="55" max="55" width="13.88671875" style="171" customWidth="1"/>
    <col min="56" max="56" width="6" style="171" customWidth="1"/>
    <col min="57" max="57" width="44.88671875" style="171" bestFit="1" customWidth="1"/>
    <col min="58" max="58" width="13.5546875" style="171" customWidth="1"/>
    <col min="59" max="16384" width="11.44140625" style="171"/>
  </cols>
  <sheetData>
    <row r="1" spans="1:39" ht="31.5" customHeight="1" x14ac:dyDescent="0.3">
      <c r="A1" s="172" t="s">
        <v>286</v>
      </c>
      <c r="B1" s="172"/>
      <c r="C1" s="365"/>
      <c r="D1" s="173"/>
      <c r="E1" s="172"/>
      <c r="F1" s="362"/>
      <c r="G1" s="362" t="s">
        <v>287</v>
      </c>
      <c r="H1" s="366" t="s">
        <v>288</v>
      </c>
      <c r="I1" s="367" t="s">
        <v>289</v>
      </c>
      <c r="J1" s="362"/>
      <c r="K1" s="362"/>
      <c r="L1" s="362"/>
      <c r="M1" s="564" t="s">
        <v>290</v>
      </c>
      <c r="N1" s="565"/>
      <c r="O1" s="565"/>
      <c r="P1" s="565"/>
      <c r="Q1" s="362"/>
      <c r="R1" s="362"/>
      <c r="S1" s="362"/>
      <c r="T1" s="362"/>
      <c r="U1" s="362"/>
      <c r="V1" s="362"/>
      <c r="W1" s="362"/>
      <c r="X1" s="362"/>
      <c r="Y1" s="362"/>
      <c r="Z1" s="362"/>
      <c r="AA1" s="362"/>
      <c r="AB1" s="362"/>
      <c r="AC1" s="362"/>
      <c r="AD1" s="362"/>
      <c r="AE1" s="362"/>
      <c r="AF1" s="362"/>
      <c r="AG1" s="362"/>
      <c r="AH1" s="362"/>
      <c r="AI1" s="362"/>
      <c r="AJ1" s="362"/>
      <c r="AK1" s="362"/>
      <c r="AL1" s="362"/>
      <c r="AM1" s="362"/>
    </row>
    <row r="2" spans="1:39" x14ac:dyDescent="0.3">
      <c r="A2" s="174" t="s">
        <v>291</v>
      </c>
      <c r="B2" s="566">
        <v>46296</v>
      </c>
      <c r="C2" s="566"/>
      <c r="D2" s="368"/>
      <c r="E2" s="368"/>
      <c r="F2" s="366"/>
      <c r="G2" s="366"/>
      <c r="H2" s="366"/>
      <c r="I2" s="366"/>
      <c r="J2" s="366"/>
      <c r="K2" s="175"/>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row>
    <row r="3" spans="1:39" x14ac:dyDescent="0.3">
      <c r="A3" s="176" t="s">
        <v>292</v>
      </c>
      <c r="B3" s="567">
        <v>46342</v>
      </c>
      <c r="C3" s="567"/>
      <c r="D3" s="177"/>
      <c r="E3" s="368"/>
      <c r="F3" s="178"/>
      <c r="G3" s="369"/>
      <c r="H3" s="369"/>
      <c r="I3" s="369"/>
      <c r="J3" s="369"/>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row>
    <row r="4" spans="1:39" ht="28.8" x14ac:dyDescent="0.3">
      <c r="A4" s="174" t="s">
        <v>293</v>
      </c>
      <c r="B4" s="567">
        <v>47603</v>
      </c>
      <c r="C4" s="567"/>
      <c r="D4" s="368"/>
      <c r="E4" s="368"/>
      <c r="F4" s="368"/>
      <c r="G4" s="370"/>
      <c r="H4" s="362"/>
      <c r="I4" s="362"/>
      <c r="J4" s="362"/>
      <c r="K4" s="371"/>
      <c r="L4" s="362"/>
      <c r="M4" s="362"/>
      <c r="N4" s="568" t="s">
        <v>294</v>
      </c>
      <c r="O4" s="568"/>
      <c r="P4" s="568"/>
      <c r="Q4" s="568"/>
      <c r="R4" s="568"/>
      <c r="S4" s="180"/>
      <c r="T4" s="362"/>
      <c r="U4" s="362"/>
      <c r="V4" s="362"/>
      <c r="W4" s="569" t="s">
        <v>45</v>
      </c>
      <c r="X4" s="569"/>
      <c r="Y4" s="569"/>
      <c r="Z4" s="569"/>
      <c r="AA4" s="569"/>
      <c r="AB4" s="181"/>
      <c r="AC4" s="362"/>
      <c r="AD4" s="362"/>
      <c r="AE4" s="362"/>
      <c r="AF4" s="572" t="s">
        <v>499</v>
      </c>
      <c r="AG4" s="572"/>
      <c r="AH4" s="572"/>
      <c r="AI4" s="572"/>
      <c r="AJ4" s="572"/>
      <c r="AK4" s="303"/>
      <c r="AL4" s="362"/>
      <c r="AM4" s="362"/>
    </row>
    <row r="5" spans="1:39" ht="33.9" customHeight="1" x14ac:dyDescent="0.3">
      <c r="A5" s="174" t="s">
        <v>295</v>
      </c>
      <c r="B5" s="567">
        <v>47664</v>
      </c>
      <c r="C5" s="567"/>
      <c r="D5" s="182" t="s">
        <v>296</v>
      </c>
      <c r="E5" s="182" t="s">
        <v>297</v>
      </c>
      <c r="F5" s="182" t="s">
        <v>298</v>
      </c>
      <c r="G5" s="182" t="s">
        <v>299</v>
      </c>
      <c r="H5" s="182" t="s">
        <v>300</v>
      </c>
      <c r="I5" s="182" t="s">
        <v>301</v>
      </c>
      <c r="J5" s="182" t="s">
        <v>302</v>
      </c>
      <c r="K5" s="183" t="s">
        <v>303</v>
      </c>
      <c r="L5" s="184" t="s">
        <v>304</v>
      </c>
      <c r="M5" s="362"/>
      <c r="N5" s="185" t="s">
        <v>305</v>
      </c>
      <c r="O5" s="185" t="s">
        <v>298</v>
      </c>
      <c r="P5" s="185" t="s">
        <v>299</v>
      </c>
      <c r="Q5" s="185" t="s">
        <v>300</v>
      </c>
      <c r="R5" s="185" t="s">
        <v>301</v>
      </c>
      <c r="S5" s="185" t="s">
        <v>302</v>
      </c>
      <c r="T5" s="183" t="s">
        <v>303</v>
      </c>
      <c r="U5" s="184" t="s">
        <v>304</v>
      </c>
      <c r="V5" s="362"/>
      <c r="W5" s="186" t="s">
        <v>306</v>
      </c>
      <c r="X5" s="186" t="s">
        <v>298</v>
      </c>
      <c r="Y5" s="186" t="s">
        <v>299</v>
      </c>
      <c r="Z5" s="186" t="s">
        <v>300</v>
      </c>
      <c r="AA5" s="186" t="s">
        <v>301</v>
      </c>
      <c r="AB5" s="186" t="s">
        <v>302</v>
      </c>
      <c r="AC5" s="183" t="s">
        <v>303</v>
      </c>
      <c r="AD5" s="184" t="s">
        <v>304</v>
      </c>
      <c r="AE5" s="362"/>
      <c r="AF5" s="304" t="s">
        <v>498</v>
      </c>
      <c r="AG5" s="304" t="s">
        <v>298</v>
      </c>
      <c r="AH5" s="304" t="s">
        <v>299</v>
      </c>
      <c r="AI5" s="304" t="s">
        <v>300</v>
      </c>
      <c r="AJ5" s="304" t="s">
        <v>301</v>
      </c>
      <c r="AK5" s="304" t="s">
        <v>302</v>
      </c>
      <c r="AL5" s="183" t="s">
        <v>303</v>
      </c>
      <c r="AM5" s="184" t="s">
        <v>304</v>
      </c>
    </row>
    <row r="6" spans="1:39" ht="28.5" customHeight="1" x14ac:dyDescent="0.3">
      <c r="A6" s="174" t="s">
        <v>307</v>
      </c>
      <c r="B6" s="570" t="s">
        <v>113</v>
      </c>
      <c r="C6" s="571"/>
      <c r="D6" s="187" t="s">
        <v>308</v>
      </c>
      <c r="E6" s="292" t="s">
        <v>309</v>
      </c>
      <c r="F6" s="372">
        <f>AB38</f>
        <v>8871.09</v>
      </c>
      <c r="G6" s="372">
        <f>AB55</f>
        <v>82828.08</v>
      </c>
      <c r="H6" s="372">
        <f>AB72</f>
        <v>87234</v>
      </c>
      <c r="I6" s="372">
        <f>AB89</f>
        <v>124507.43000000001</v>
      </c>
      <c r="J6" s="372">
        <f>AB106</f>
        <v>61742.03</v>
      </c>
      <c r="K6" s="372">
        <f>SUM(F6:J6)</f>
        <v>365182.63</v>
      </c>
      <c r="L6" s="372">
        <f>+ROUND(K6/1.21,2)</f>
        <v>301803.83</v>
      </c>
      <c r="M6" s="373"/>
      <c r="N6" s="189" t="s">
        <v>310</v>
      </c>
      <c r="O6" s="366">
        <f>AB33</f>
        <v>5410.8099999999995</v>
      </c>
      <c r="P6" s="366">
        <f>AB50</f>
        <v>55371.48</v>
      </c>
      <c r="Q6" s="366">
        <f>AB67</f>
        <v>77988</v>
      </c>
      <c r="R6" s="366">
        <f>AB84</f>
        <v>115261.43000000001</v>
      </c>
      <c r="S6" s="366">
        <f>AB101</f>
        <v>57157.03</v>
      </c>
      <c r="T6" s="372">
        <f>SUM(O6:S6)</f>
        <v>311188.75</v>
      </c>
      <c r="U6" s="366">
        <f>+ROUND(T6/1.21,2)</f>
        <v>257180.79</v>
      </c>
      <c r="V6" s="362"/>
      <c r="W6" s="189" t="s">
        <v>310</v>
      </c>
      <c r="X6" s="366">
        <f>AB35</f>
        <v>2295.0300000000002</v>
      </c>
      <c r="Y6" s="366">
        <f>AB52</f>
        <v>18210.599999999999</v>
      </c>
      <c r="Z6" s="366">
        <f>AB69</f>
        <v>0</v>
      </c>
      <c r="AA6" s="366">
        <f>AB86</f>
        <v>0</v>
      </c>
      <c r="AB6" s="366">
        <f>AB103</f>
        <v>0</v>
      </c>
      <c r="AC6" s="372">
        <f>SUM(X6:AB6)</f>
        <v>20505.629999999997</v>
      </c>
      <c r="AD6" s="366">
        <f>+ROUND(AC6/1.21,2)</f>
        <v>16946.8</v>
      </c>
      <c r="AE6" s="362"/>
      <c r="AF6" s="189" t="s">
        <v>310</v>
      </c>
      <c r="AG6" s="366">
        <f>'Càlcul pressupost manteniment'!AB37</f>
        <v>1165.25</v>
      </c>
      <c r="AH6" s="366">
        <f>AB54</f>
        <v>9246</v>
      </c>
      <c r="AI6" s="366">
        <f>AB70</f>
        <v>9246</v>
      </c>
      <c r="AJ6" s="366">
        <f>AB88</f>
        <v>9246</v>
      </c>
      <c r="AK6" s="366">
        <f>AB105</f>
        <v>4585</v>
      </c>
      <c r="AL6" s="372">
        <f>SUM(AG6:AK6)</f>
        <v>33488.25</v>
      </c>
      <c r="AM6" s="366">
        <f>+ROUND(AL6/1.21,2)</f>
        <v>27676.240000000002</v>
      </c>
    </row>
    <row r="7" spans="1:39" ht="30.6" customHeight="1" x14ac:dyDescent="0.3">
      <c r="A7" s="174" t="s">
        <v>311</v>
      </c>
      <c r="B7" s="570" t="s">
        <v>113</v>
      </c>
      <c r="C7" s="571"/>
      <c r="D7" s="187" t="s">
        <v>312</v>
      </c>
      <c r="E7" s="292" t="s">
        <v>313</v>
      </c>
      <c r="F7" s="372">
        <f>AC38</f>
        <v>88138.86</v>
      </c>
      <c r="G7" s="372">
        <f>AC55</f>
        <v>103535.11</v>
      </c>
      <c r="H7" s="372">
        <f>AC72</f>
        <v>109042.51000000001</v>
      </c>
      <c r="I7" s="372">
        <f>AC89</f>
        <v>155634.30000000002</v>
      </c>
      <c r="J7" s="372">
        <f>AC106</f>
        <v>77177.55</v>
      </c>
      <c r="K7" s="372">
        <f>SUM(F7:J7)</f>
        <v>533528.33000000007</v>
      </c>
      <c r="L7" s="372">
        <f t="shared" ref="L7:L11" si="0">+ROUND(K7/1.21,2)</f>
        <v>440932.5</v>
      </c>
      <c r="M7" s="373"/>
      <c r="N7" s="189" t="s">
        <v>314</v>
      </c>
      <c r="O7" s="366">
        <f>AC33</f>
        <v>46963.51</v>
      </c>
      <c r="P7" s="366">
        <f>AC50</f>
        <v>69214.36</v>
      </c>
      <c r="Q7" s="366">
        <f>AC67</f>
        <v>97485.010000000009</v>
      </c>
      <c r="R7" s="366">
        <f>AC84</f>
        <v>144076.80000000002</v>
      </c>
      <c r="S7" s="366">
        <f>AC101</f>
        <v>71446.3</v>
      </c>
      <c r="T7" s="372">
        <f>SUM(O7:S7)</f>
        <v>429185.98000000004</v>
      </c>
      <c r="U7" s="366">
        <f>+ROUND(T7/1.21,2)</f>
        <v>354699.16</v>
      </c>
      <c r="V7" s="362"/>
      <c r="W7" s="189" t="s">
        <v>314</v>
      </c>
      <c r="X7" s="366">
        <f>AC35</f>
        <v>26318.79</v>
      </c>
      <c r="Y7" s="366">
        <f>AC52</f>
        <v>22763.25</v>
      </c>
      <c r="Z7" s="366">
        <f>AC69</f>
        <v>0</v>
      </c>
      <c r="AA7" s="366">
        <f>AC86</f>
        <v>0</v>
      </c>
      <c r="AB7" s="366">
        <f>AC103</f>
        <v>0</v>
      </c>
      <c r="AC7" s="372">
        <f>SUM(X7:AB7)</f>
        <v>49082.04</v>
      </c>
      <c r="AD7" s="366">
        <f>+ROUND(AC7/1.21,2)</f>
        <v>40563.67</v>
      </c>
      <c r="AE7" s="362"/>
      <c r="AF7" s="189" t="s">
        <v>314</v>
      </c>
      <c r="AG7" s="366">
        <f>AC37</f>
        <v>14856.56</v>
      </c>
      <c r="AH7" s="366">
        <f>AC54</f>
        <v>11557.5</v>
      </c>
      <c r="AI7" s="366">
        <f>AC70</f>
        <v>11557.5</v>
      </c>
      <c r="AJ7" s="366">
        <f>AC88</f>
        <v>11557.5</v>
      </c>
      <c r="AK7" s="366">
        <f>AC105</f>
        <v>5731.25</v>
      </c>
      <c r="AL7" s="372">
        <f>SUM(AG7:AK7)</f>
        <v>55260.31</v>
      </c>
      <c r="AM7" s="366">
        <f>+ROUND(AL7/1.21,2)</f>
        <v>45669.68</v>
      </c>
    </row>
    <row r="8" spans="1:39" ht="28.8" x14ac:dyDescent="0.3">
      <c r="A8" s="174" t="s">
        <v>315</v>
      </c>
      <c r="B8" s="570" t="s">
        <v>113</v>
      </c>
      <c r="C8" s="571"/>
      <c r="D8" s="187" t="s">
        <v>316</v>
      </c>
      <c r="E8" s="292" t="s">
        <v>317</v>
      </c>
      <c r="F8" s="372">
        <f>AD38</f>
        <v>9610.35</v>
      </c>
      <c r="G8" s="372">
        <f>AD55</f>
        <v>89730.420000000013</v>
      </c>
      <c r="H8" s="372">
        <f>AD72</f>
        <v>94503.51</v>
      </c>
      <c r="I8" s="372">
        <f>AD89</f>
        <v>134883.07</v>
      </c>
      <c r="J8" s="372">
        <f>AD106</f>
        <v>66887.210000000006</v>
      </c>
      <c r="K8" s="372">
        <f>SUM(F8:J8)</f>
        <v>395614.56000000006</v>
      </c>
      <c r="L8" s="372">
        <f t="shared" si="0"/>
        <v>326954.18</v>
      </c>
      <c r="M8" s="373"/>
      <c r="N8" s="189" t="s">
        <v>318</v>
      </c>
      <c r="O8" s="366">
        <f>AD33</f>
        <v>5861.71</v>
      </c>
      <c r="P8" s="366">
        <f>AD50</f>
        <v>59985.770000000004</v>
      </c>
      <c r="Q8" s="366">
        <f>AD67</f>
        <v>84487.01</v>
      </c>
      <c r="R8" s="366">
        <f>AD84</f>
        <v>124866.56999999999</v>
      </c>
      <c r="S8" s="366">
        <f>AD101</f>
        <v>61920.12</v>
      </c>
      <c r="T8" s="372">
        <f>SUM(O8:S8)</f>
        <v>337121.18</v>
      </c>
      <c r="U8" s="366">
        <f>+ROUND(T8/1.21,2)</f>
        <v>278612.55</v>
      </c>
      <c r="V8" s="362"/>
      <c r="W8" s="189" t="s">
        <v>318</v>
      </c>
      <c r="X8" s="366">
        <f>AD35</f>
        <v>2486.29</v>
      </c>
      <c r="Y8" s="366">
        <f>AD52</f>
        <v>19728.150000000001</v>
      </c>
      <c r="Z8" s="366">
        <f>AD69</f>
        <v>0</v>
      </c>
      <c r="AA8" s="366">
        <f>AD86</f>
        <v>0</v>
      </c>
      <c r="AB8" s="366">
        <f>AD103</f>
        <v>0</v>
      </c>
      <c r="AC8" s="372">
        <f>SUM(X8:AB8)</f>
        <v>22214.440000000002</v>
      </c>
      <c r="AD8" s="366">
        <f>+ROUND(AC8/1.21,2)</f>
        <v>18359.04</v>
      </c>
      <c r="AE8" s="362"/>
      <c r="AF8" s="189" t="s">
        <v>318</v>
      </c>
      <c r="AG8" s="366">
        <f>AD37</f>
        <v>1262.3499999999999</v>
      </c>
      <c r="AH8" s="366">
        <f>AD54</f>
        <v>10016.5</v>
      </c>
      <c r="AI8" s="366">
        <f>AD70</f>
        <v>10016.5</v>
      </c>
      <c r="AJ8" s="366">
        <f>AD88</f>
        <v>10016.5</v>
      </c>
      <c r="AK8" s="366">
        <f>AD105</f>
        <v>4967.09</v>
      </c>
      <c r="AL8" s="372">
        <f>SUM(AG8:AK8)</f>
        <v>36278.94</v>
      </c>
      <c r="AM8" s="366">
        <f>+ROUND(AL8/1.21,2)</f>
        <v>29982.6</v>
      </c>
    </row>
    <row r="9" spans="1:39" ht="29.4" customHeight="1" x14ac:dyDescent="0.3">
      <c r="A9" s="362"/>
      <c r="B9" s="362"/>
      <c r="C9" s="374"/>
      <c r="D9" s="187" t="s">
        <v>316</v>
      </c>
      <c r="E9" s="292" t="s">
        <v>319</v>
      </c>
      <c r="F9" s="372">
        <f>AE38</f>
        <v>0</v>
      </c>
      <c r="G9" s="372">
        <f>AE55</f>
        <v>0</v>
      </c>
      <c r="H9" s="372">
        <f>AE72</f>
        <v>0</v>
      </c>
      <c r="I9" s="372">
        <f>AE89</f>
        <v>0</v>
      </c>
      <c r="J9" s="372">
        <f>AE106</f>
        <v>0</v>
      </c>
      <c r="K9" s="372">
        <f>SUM(F9:J9)</f>
        <v>0</v>
      </c>
      <c r="L9" s="372">
        <f t="shared" si="0"/>
        <v>0</v>
      </c>
      <c r="M9" s="362"/>
      <c r="N9" s="188" t="s">
        <v>319</v>
      </c>
      <c r="O9" s="366">
        <f>AE33</f>
        <v>0</v>
      </c>
      <c r="P9" s="366">
        <f>AE50</f>
        <v>0</v>
      </c>
      <c r="Q9" s="366">
        <f>AE67</f>
        <v>0</v>
      </c>
      <c r="R9" s="366">
        <f>AE84</f>
        <v>0</v>
      </c>
      <c r="S9" s="366">
        <f>AE101</f>
        <v>0</v>
      </c>
      <c r="T9" s="372">
        <f>SUM(O9:S9)</f>
        <v>0</v>
      </c>
      <c r="U9" s="366">
        <f>+ROUND(T9/1.21,2)</f>
        <v>0</v>
      </c>
      <c r="V9" s="362"/>
      <c r="W9" s="188" t="s">
        <v>319</v>
      </c>
      <c r="X9" s="366">
        <f>AE35</f>
        <v>0</v>
      </c>
      <c r="Y9" s="366">
        <f>AE52</f>
        <v>0</v>
      </c>
      <c r="Z9" s="366">
        <f>AE69</f>
        <v>0</v>
      </c>
      <c r="AA9" s="366">
        <f>AE86</f>
        <v>0</v>
      </c>
      <c r="AB9" s="366">
        <f>AE103</f>
        <v>0</v>
      </c>
      <c r="AC9" s="372">
        <f>SUM(X9:AB9)</f>
        <v>0</v>
      </c>
      <c r="AD9" s="366">
        <f>+ROUND(AC9/1.21,2)</f>
        <v>0</v>
      </c>
      <c r="AE9" s="362"/>
      <c r="AF9" s="188" t="s">
        <v>319</v>
      </c>
      <c r="AG9" s="366">
        <f>AE37</f>
        <v>0</v>
      </c>
      <c r="AH9" s="366">
        <f>AE54</f>
        <v>0</v>
      </c>
      <c r="AI9" s="366">
        <f>AE70</f>
        <v>0</v>
      </c>
      <c r="AJ9" s="366">
        <f>AE88</f>
        <v>0</v>
      </c>
      <c r="AK9" s="366">
        <f>AE105</f>
        <v>0</v>
      </c>
      <c r="AL9" s="372">
        <f>SUM(AG9:AK9)</f>
        <v>0</v>
      </c>
      <c r="AM9" s="366">
        <f>+ROUND(AL9/1.21,2)</f>
        <v>0</v>
      </c>
    </row>
    <row r="10" spans="1:39" ht="32.1" customHeight="1" x14ac:dyDescent="0.3">
      <c r="A10" s="362"/>
      <c r="B10" s="362"/>
      <c r="C10" s="374"/>
      <c r="D10" s="187" t="s">
        <v>312</v>
      </c>
      <c r="E10" s="292" t="s">
        <v>320</v>
      </c>
      <c r="F10" s="372">
        <f>AF38</f>
        <v>44355.44</v>
      </c>
      <c r="G10" s="372">
        <f>AF55</f>
        <v>414140.41</v>
      </c>
      <c r="H10" s="372">
        <f>AF72</f>
        <v>436170</v>
      </c>
      <c r="I10" s="372">
        <f>AF89</f>
        <v>622537.20000000007</v>
      </c>
      <c r="J10" s="372">
        <f>AF106</f>
        <v>308710.2</v>
      </c>
      <c r="K10" s="372">
        <f>SUM(F10:J10)</f>
        <v>1825913.25</v>
      </c>
      <c r="L10" s="372">
        <f t="shared" si="0"/>
        <v>1509019.21</v>
      </c>
      <c r="M10" s="362"/>
      <c r="N10" s="189" t="s">
        <v>321</v>
      </c>
      <c r="O10" s="372">
        <f>AF33</f>
        <v>27054.04</v>
      </c>
      <c r="P10" s="372">
        <f>AF50</f>
        <v>276857.40999999997</v>
      </c>
      <c r="Q10" s="372">
        <f>AF67</f>
        <v>389940</v>
      </c>
      <c r="R10" s="366">
        <f>AF84</f>
        <v>576307.20000000007</v>
      </c>
      <c r="S10" s="366">
        <f>AF101</f>
        <v>285785.2</v>
      </c>
      <c r="T10" s="372">
        <f>SUM(O10:S10)</f>
        <v>1555943.8499999999</v>
      </c>
      <c r="U10" s="366">
        <f>+ROUND(T10/1.21,2)</f>
        <v>1285904.01</v>
      </c>
      <c r="V10" s="362"/>
      <c r="W10" s="189" t="s">
        <v>321</v>
      </c>
      <c r="X10" s="366">
        <f>AF35</f>
        <v>11475.15</v>
      </c>
      <c r="Y10" s="366">
        <f>AF52</f>
        <v>91053</v>
      </c>
      <c r="Z10" s="366">
        <f>AF69</f>
        <v>0</v>
      </c>
      <c r="AA10" s="366">
        <f>AF86</f>
        <v>0</v>
      </c>
      <c r="AB10" s="366">
        <f>AF103</f>
        <v>0</v>
      </c>
      <c r="AC10" s="372">
        <f>SUM(X10:AB10)</f>
        <v>102528.15</v>
      </c>
      <c r="AD10" s="366">
        <f>+ROUND(AC10/1.21,2)</f>
        <v>84734.01</v>
      </c>
      <c r="AE10" s="362"/>
      <c r="AF10" s="189" t="s">
        <v>321</v>
      </c>
      <c r="AG10" s="366">
        <f>AF37</f>
        <v>5826.25</v>
      </c>
      <c r="AH10" s="366">
        <f>AF54</f>
        <v>46230</v>
      </c>
      <c r="AI10" s="366">
        <f>AF70</f>
        <v>46230</v>
      </c>
      <c r="AJ10" s="366">
        <f>AF88</f>
        <v>46230</v>
      </c>
      <c r="AK10" s="366">
        <f>AF105</f>
        <v>22925</v>
      </c>
      <c r="AL10" s="372">
        <f>SUM(AG10:AK10)</f>
        <v>167441.25</v>
      </c>
      <c r="AM10" s="366">
        <f>+ROUND(AL10/1.21,2)</f>
        <v>138381.20000000001</v>
      </c>
    </row>
    <row r="11" spans="1:39" x14ac:dyDescent="0.3">
      <c r="A11" s="362"/>
      <c r="B11" s="362"/>
      <c r="C11" s="374"/>
      <c r="D11" s="370"/>
      <c r="E11" s="191" t="s">
        <v>322</v>
      </c>
      <c r="F11" s="192">
        <f>SUM(F6:F10)</f>
        <v>150975.74</v>
      </c>
      <c r="G11" s="192">
        <f>SUM(G6:G10)</f>
        <v>690234.02</v>
      </c>
      <c r="H11" s="192">
        <f>SUM(H6:H10)</f>
        <v>726950.02</v>
      </c>
      <c r="I11" s="192">
        <f>SUM(I6:I10)</f>
        <v>1037562.0000000001</v>
      </c>
      <c r="J11" s="193">
        <f>SUM(J6:J10)</f>
        <v>514516.99000000005</v>
      </c>
      <c r="K11" s="192">
        <f>K6+K7+K8+K9+K10</f>
        <v>3120238.77</v>
      </c>
      <c r="L11" s="192">
        <f t="shared" si="0"/>
        <v>2578709.73</v>
      </c>
      <c r="M11" s="362"/>
      <c r="N11" s="191" t="s">
        <v>323</v>
      </c>
      <c r="O11" s="192">
        <f t="shared" ref="O11:U11" si="1">SUM(O6:O10)</f>
        <v>85290.07</v>
      </c>
      <c r="P11" s="192">
        <f t="shared" si="1"/>
        <v>461429.01999999996</v>
      </c>
      <c r="Q11" s="192">
        <f t="shared" si="1"/>
        <v>649900.02</v>
      </c>
      <c r="R11" s="192">
        <f t="shared" si="1"/>
        <v>960512.00000000012</v>
      </c>
      <c r="S11" s="192">
        <f t="shared" si="1"/>
        <v>476308.65</v>
      </c>
      <c r="T11" s="192">
        <f t="shared" si="1"/>
        <v>2633439.7599999998</v>
      </c>
      <c r="U11" s="192">
        <f t="shared" si="1"/>
        <v>2176396.5099999998</v>
      </c>
      <c r="V11" s="362"/>
      <c r="W11" s="191" t="s">
        <v>323</v>
      </c>
      <c r="X11" s="192">
        <f t="shared" ref="X11:AD11" si="2">SUM(X6:X10)</f>
        <v>42575.26</v>
      </c>
      <c r="Y11" s="192">
        <f t="shared" si="2"/>
        <v>151755</v>
      </c>
      <c r="Z11" s="192">
        <f t="shared" si="2"/>
        <v>0</v>
      </c>
      <c r="AA11" s="192">
        <f t="shared" si="2"/>
        <v>0</v>
      </c>
      <c r="AB11" s="192">
        <f t="shared" si="2"/>
        <v>0</v>
      </c>
      <c r="AC11" s="192">
        <f t="shared" si="2"/>
        <v>194330.26</v>
      </c>
      <c r="AD11" s="192">
        <f t="shared" si="2"/>
        <v>160603.52000000002</v>
      </c>
      <c r="AE11" s="362"/>
      <c r="AF11" s="191" t="s">
        <v>323</v>
      </c>
      <c r="AG11" s="192">
        <f t="shared" ref="AG11:AM11" si="3">SUM(AG6:AG10)</f>
        <v>23110.41</v>
      </c>
      <c r="AH11" s="192">
        <f t="shared" si="3"/>
        <v>77050</v>
      </c>
      <c r="AI11" s="192">
        <f t="shared" si="3"/>
        <v>77050</v>
      </c>
      <c r="AJ11" s="192">
        <f t="shared" si="3"/>
        <v>77050</v>
      </c>
      <c r="AK11" s="192">
        <f t="shared" si="3"/>
        <v>38208.339999999997</v>
      </c>
      <c r="AL11" s="192">
        <f t="shared" si="3"/>
        <v>292468.75</v>
      </c>
      <c r="AM11" s="192">
        <f t="shared" si="3"/>
        <v>241709.72</v>
      </c>
    </row>
    <row r="12" spans="1:39" x14ac:dyDescent="0.3">
      <c r="A12" s="375"/>
      <c r="B12" s="375"/>
      <c r="C12" s="376"/>
      <c r="D12" s="375"/>
      <c r="E12" s="377"/>
      <c r="F12" s="194"/>
      <c r="G12" s="378"/>
      <c r="H12" s="378"/>
      <c r="I12" s="378"/>
      <c r="J12" s="378"/>
      <c r="K12" s="378"/>
      <c r="L12" s="375"/>
      <c r="M12" s="375"/>
      <c r="N12" s="375"/>
      <c r="O12" s="508">
        <f>O11-Y33</f>
        <v>45090.070000000007</v>
      </c>
      <c r="P12" s="508">
        <f>O12*(12/1.5)</f>
        <v>360720.56000000006</v>
      </c>
      <c r="Q12" s="379"/>
      <c r="R12" s="379"/>
      <c r="S12" s="379"/>
      <c r="T12" s="379"/>
      <c r="U12" s="375"/>
      <c r="V12" s="362"/>
      <c r="W12" s="375"/>
      <c r="X12" s="379"/>
      <c r="Y12" s="379"/>
      <c r="Z12" s="379"/>
      <c r="AA12" s="362"/>
      <c r="AB12" s="379"/>
      <c r="AC12" s="195"/>
      <c r="AD12" s="195"/>
      <c r="AE12" s="362"/>
      <c r="AF12" s="375"/>
      <c r="AG12" s="379"/>
      <c r="AH12" s="379"/>
      <c r="AI12" s="379"/>
      <c r="AJ12" s="362"/>
      <c r="AK12" s="379"/>
      <c r="AL12" s="195"/>
      <c r="AM12" s="195"/>
    </row>
    <row r="13" spans="1:39" x14ac:dyDescent="0.3">
      <c r="A13" s="375"/>
      <c r="B13" s="375"/>
      <c r="C13" s="376"/>
      <c r="D13" s="375"/>
      <c r="E13" s="377"/>
      <c r="F13" s="194"/>
      <c r="G13" s="378"/>
      <c r="H13" s="378"/>
      <c r="I13" s="378"/>
      <c r="J13" s="378"/>
      <c r="K13" s="378"/>
      <c r="L13" s="375"/>
      <c r="M13" s="375"/>
      <c r="N13" s="375"/>
      <c r="O13" s="378"/>
      <c r="P13" s="378"/>
      <c r="Q13" s="378"/>
      <c r="R13" s="378"/>
      <c r="S13" s="378"/>
      <c r="T13" s="378"/>
      <c r="U13" s="375"/>
      <c r="V13" s="375"/>
      <c r="W13" s="375"/>
      <c r="X13" s="375"/>
      <c r="Y13" s="375"/>
      <c r="Z13" s="375"/>
      <c r="AA13" s="196"/>
      <c r="AB13" s="196"/>
      <c r="AC13" s="375"/>
      <c r="AD13" s="375"/>
      <c r="AE13" s="362"/>
      <c r="AF13" s="362"/>
      <c r="AG13" s="362"/>
      <c r="AH13" s="362"/>
      <c r="AI13" s="362"/>
      <c r="AJ13" s="362"/>
      <c r="AK13" s="362"/>
      <c r="AL13" s="362"/>
      <c r="AM13" s="362"/>
    </row>
    <row r="14" spans="1:39" x14ac:dyDescent="0.3">
      <c r="A14" s="375"/>
      <c r="B14" s="375"/>
      <c r="C14" s="376"/>
      <c r="D14" s="375"/>
      <c r="E14" s="377">
        <v>0.85</v>
      </c>
      <c r="F14" s="194">
        <f>F12*$E$14</f>
        <v>0</v>
      </c>
      <c r="G14" s="194">
        <f>G12*$E$14</f>
        <v>0</v>
      </c>
      <c r="H14" s="194">
        <f>H12*$E$14</f>
        <v>0</v>
      </c>
      <c r="I14" s="194"/>
      <c r="J14" s="194">
        <f>J12*$E$14</f>
        <v>0</v>
      </c>
      <c r="K14" s="194">
        <f>K12*$E$14</f>
        <v>0</v>
      </c>
      <c r="L14" s="194">
        <f>L12*$E$14</f>
        <v>0</v>
      </c>
      <c r="M14" s="375"/>
      <c r="N14" s="375"/>
      <c r="O14" s="194">
        <f>O12*$E$14</f>
        <v>38326.559500000003</v>
      </c>
      <c r="P14" s="194">
        <f>P12*$E$14</f>
        <v>306612.47600000002</v>
      </c>
      <c r="Q14" s="194">
        <f>Q12*$E$14</f>
        <v>0</v>
      </c>
      <c r="R14" s="194"/>
      <c r="S14" s="194">
        <f>S12*$E$14</f>
        <v>0</v>
      </c>
      <c r="T14" s="194">
        <f>T12*$E$14</f>
        <v>0</v>
      </c>
      <c r="U14" s="194"/>
      <c r="V14" s="375"/>
      <c r="W14" s="375"/>
      <c r="X14" s="194">
        <f>X12*$E$14</f>
        <v>0</v>
      </c>
      <c r="Y14" s="194">
        <f>Y12*$E$14</f>
        <v>0</v>
      </c>
      <c r="Z14" s="194">
        <f>Z12*$E$14</f>
        <v>0</v>
      </c>
      <c r="AA14" s="194"/>
      <c r="AB14" s="194">
        <f>AB12*$E$14</f>
        <v>0</v>
      </c>
      <c r="AC14" s="194">
        <f>AC12*$E$14</f>
        <v>0</v>
      </c>
      <c r="AD14" s="194">
        <f>AD12*$E$14</f>
        <v>0</v>
      </c>
      <c r="AE14" s="362"/>
      <c r="AF14" s="362"/>
      <c r="AG14" s="362"/>
      <c r="AH14" s="362"/>
      <c r="AI14" s="362"/>
      <c r="AJ14" s="362"/>
      <c r="AK14" s="362"/>
      <c r="AL14" s="362"/>
      <c r="AM14" s="362"/>
    </row>
    <row r="15" spans="1:39" x14ac:dyDescent="0.3">
      <c r="A15" s="375"/>
      <c r="B15" s="375"/>
      <c r="C15" s="376"/>
      <c r="D15" s="375"/>
      <c r="E15" s="377"/>
      <c r="F15" s="194"/>
      <c r="G15" s="378"/>
      <c r="H15" s="378"/>
      <c r="I15" s="378"/>
      <c r="J15" s="378"/>
      <c r="K15" s="378"/>
      <c r="L15" s="375"/>
      <c r="M15" s="375"/>
      <c r="N15" s="375"/>
      <c r="O15" s="378"/>
      <c r="P15" s="375"/>
      <c r="Q15" s="375"/>
      <c r="R15" s="375"/>
      <c r="S15" s="375"/>
      <c r="T15" s="375"/>
      <c r="U15" s="375"/>
      <c r="V15" s="375"/>
      <c r="W15" s="375"/>
      <c r="X15" s="375"/>
      <c r="Y15" s="375"/>
      <c r="Z15" s="375"/>
      <c r="AA15" s="196"/>
      <c r="AB15" s="196"/>
      <c r="AC15" s="375"/>
      <c r="AD15" s="375"/>
      <c r="AE15" s="362"/>
      <c r="AF15" s="362"/>
      <c r="AG15" s="362"/>
      <c r="AH15" s="362"/>
      <c r="AI15" s="362"/>
      <c r="AJ15" s="362"/>
      <c r="AK15" s="362"/>
      <c r="AL15" s="362"/>
      <c r="AM15" s="362"/>
    </row>
    <row r="16" spans="1:39" ht="26.25" customHeight="1" x14ac:dyDescent="0.3">
      <c r="A16" s="362"/>
      <c r="B16" s="362"/>
      <c r="C16" s="374"/>
      <c r="D16" s="182" t="s">
        <v>324</v>
      </c>
      <c r="E16" s="182" t="s">
        <v>297</v>
      </c>
      <c r="F16" s="182" t="s">
        <v>325</v>
      </c>
      <c r="G16" s="182" t="s">
        <v>326</v>
      </c>
      <c r="H16" s="182" t="s">
        <v>327</v>
      </c>
      <c r="I16" s="182" t="s">
        <v>328</v>
      </c>
      <c r="J16" s="182" t="s">
        <v>329</v>
      </c>
      <c r="K16" s="183" t="s">
        <v>330</v>
      </c>
      <c r="L16" s="362"/>
      <c r="M16" s="362"/>
      <c r="N16" s="185" t="s">
        <v>331</v>
      </c>
      <c r="O16" s="185" t="s">
        <v>325</v>
      </c>
      <c r="P16" s="185" t="s">
        <v>326</v>
      </c>
      <c r="Q16" s="185" t="s">
        <v>327</v>
      </c>
      <c r="R16" s="185" t="s">
        <v>328</v>
      </c>
      <c r="S16" s="185" t="s">
        <v>332</v>
      </c>
      <c r="T16" s="183" t="s">
        <v>330</v>
      </c>
      <c r="U16" s="362"/>
      <c r="V16" s="362"/>
      <c r="W16" s="186" t="s">
        <v>333</v>
      </c>
      <c r="X16" s="186" t="s">
        <v>325</v>
      </c>
      <c r="Y16" s="186" t="s">
        <v>326</v>
      </c>
      <c r="Z16" s="186" t="s">
        <v>327</v>
      </c>
      <c r="AA16" s="186" t="s">
        <v>328</v>
      </c>
      <c r="AB16" s="186" t="s">
        <v>332</v>
      </c>
      <c r="AC16" s="183" t="s">
        <v>330</v>
      </c>
      <c r="AD16" s="362"/>
      <c r="AE16" s="362"/>
      <c r="AF16" s="304" t="s">
        <v>500</v>
      </c>
      <c r="AG16" s="304" t="s">
        <v>325</v>
      </c>
      <c r="AH16" s="304" t="s">
        <v>326</v>
      </c>
      <c r="AI16" s="304" t="s">
        <v>327</v>
      </c>
      <c r="AJ16" s="304" t="s">
        <v>328</v>
      </c>
      <c r="AK16" s="304" t="s">
        <v>332</v>
      </c>
      <c r="AL16" s="183" t="s">
        <v>330</v>
      </c>
      <c r="AM16" s="362"/>
    </row>
    <row r="17" spans="1:47" x14ac:dyDescent="0.3">
      <c r="A17" s="362"/>
      <c r="B17" s="362"/>
      <c r="C17" s="374"/>
      <c r="D17" s="187"/>
      <c r="E17" s="188" t="s">
        <v>309</v>
      </c>
      <c r="F17" s="380">
        <f>AI38</f>
        <v>132.40432835820894</v>
      </c>
      <c r="G17" s="380">
        <f>AI55</f>
        <v>1236.24</v>
      </c>
      <c r="H17" s="380">
        <f>AI72</f>
        <v>1302</v>
      </c>
      <c r="I17" s="380">
        <f>AI89</f>
        <v>1858.3198507462685</v>
      </c>
      <c r="J17" s="380">
        <f>AI106</f>
        <v>921.52283582089547</v>
      </c>
      <c r="K17" s="380">
        <f>SUM(F17:J17)</f>
        <v>5450.4870149253729</v>
      </c>
      <c r="L17" s="369"/>
      <c r="M17" s="362"/>
      <c r="N17" s="189" t="s">
        <v>310</v>
      </c>
      <c r="O17" s="381">
        <f>AI33</f>
        <v>80.758358208955215</v>
      </c>
      <c r="P17" s="381">
        <f>AI50</f>
        <v>826.44</v>
      </c>
      <c r="Q17" s="381">
        <f>AI67</f>
        <v>1164</v>
      </c>
      <c r="R17" s="381">
        <f>AI84</f>
        <v>1720.3198507462685</v>
      </c>
      <c r="S17" s="381">
        <f>AI101</f>
        <v>853.08999999999992</v>
      </c>
      <c r="T17" s="382">
        <f>SUM(O17:S17)</f>
        <v>4644.6082089552237</v>
      </c>
      <c r="U17" s="362"/>
      <c r="V17" s="362"/>
      <c r="W17" s="189" t="s">
        <v>310</v>
      </c>
      <c r="X17" s="381">
        <f>AI35</f>
        <v>34.254179104477615</v>
      </c>
      <c r="Y17" s="381">
        <f>AI52</f>
        <v>271.79999999999995</v>
      </c>
      <c r="Z17" s="440">
        <f>AI69</f>
        <v>0</v>
      </c>
      <c r="AA17" s="381">
        <f>AI86</f>
        <v>0</v>
      </c>
      <c r="AB17" s="381">
        <f>AI103</f>
        <v>0</v>
      </c>
      <c r="AC17" s="382">
        <f>SUM(X17:AB17)</f>
        <v>306.05417910447756</v>
      </c>
      <c r="AD17" s="362"/>
      <c r="AE17" s="362"/>
      <c r="AF17" s="189" t="s">
        <v>310</v>
      </c>
      <c r="AG17" s="381">
        <f>AI37</f>
        <v>17.39179104477612</v>
      </c>
      <c r="AH17" s="381">
        <f>AI54</f>
        <v>138</v>
      </c>
      <c r="AI17" s="440">
        <f>AI71</f>
        <v>138</v>
      </c>
      <c r="AJ17" s="381">
        <f>AI88</f>
        <v>138</v>
      </c>
      <c r="AK17" s="381">
        <f>AI105</f>
        <v>68.432835820895519</v>
      </c>
      <c r="AL17" s="382">
        <f>SUM(AG17:AK17)</f>
        <v>499.82462686567169</v>
      </c>
      <c r="AM17" s="362"/>
      <c r="AN17" s="362"/>
      <c r="AO17" s="362"/>
      <c r="AP17" s="362"/>
      <c r="AQ17" s="362"/>
      <c r="AR17" s="362"/>
      <c r="AS17" s="362"/>
      <c r="AT17" s="362"/>
      <c r="AU17" s="362"/>
    </row>
    <row r="18" spans="1:47" ht="29.1" customHeight="1" x14ac:dyDescent="0.3">
      <c r="A18" s="362"/>
      <c r="B18" s="362"/>
      <c r="C18" s="374"/>
      <c r="D18" s="187"/>
      <c r="E18" s="188" t="s">
        <v>313</v>
      </c>
      <c r="F18" s="380">
        <f>AJ38+AL38</f>
        <v>1315.5053731343285</v>
      </c>
      <c r="G18" s="380">
        <f>AJ55+AL55</f>
        <v>1545.3001492537312</v>
      </c>
      <c r="H18" s="380">
        <f>AJ72+AL72</f>
        <v>1627.5001492537313</v>
      </c>
      <c r="I18" s="380">
        <f>AJ89+AL89</f>
        <v>2322.9</v>
      </c>
      <c r="J18" s="380">
        <f>AJ106+AL106</f>
        <v>1151.9037313432834</v>
      </c>
      <c r="K18" s="380">
        <f>SUM(F18:J18)</f>
        <v>7963.1094029850738</v>
      </c>
      <c r="L18" s="362"/>
      <c r="M18" s="362"/>
      <c r="N18" s="189" t="s">
        <v>314</v>
      </c>
      <c r="O18" s="381">
        <f>AJ33+AL33</f>
        <v>700.94791044776116</v>
      </c>
      <c r="P18" s="381">
        <f>AJ50+AL50</f>
        <v>1033.0501492537312</v>
      </c>
      <c r="Q18" s="381">
        <f>AJ67+AL67</f>
        <v>1455.0001492537313</v>
      </c>
      <c r="R18" s="381">
        <f>AJ84+AL84</f>
        <v>2150.4</v>
      </c>
      <c r="S18" s="381">
        <f>AJ101+AL101</f>
        <v>1066.362686567164</v>
      </c>
      <c r="T18" s="382">
        <f>SUM(O18:S18)</f>
        <v>6405.7608955223877</v>
      </c>
      <c r="U18" s="362"/>
      <c r="V18" s="362"/>
      <c r="W18" s="189" t="s">
        <v>314</v>
      </c>
      <c r="X18" s="381">
        <f>AJ35+AL35</f>
        <v>392.81776119402986</v>
      </c>
      <c r="Y18" s="381">
        <f>AJ52+AL52</f>
        <v>339.75</v>
      </c>
      <c r="Z18" s="381">
        <f>AJ69+AL69</f>
        <v>0</v>
      </c>
      <c r="AA18" s="381">
        <f>AJ86+AL86</f>
        <v>0</v>
      </c>
      <c r="AB18" s="381">
        <f>AJ103+AL103</f>
        <v>0</v>
      </c>
      <c r="AC18" s="382">
        <f>SUM(X18:AB18)</f>
        <v>732.5677611940298</v>
      </c>
      <c r="AD18" s="362"/>
      <c r="AE18" s="362"/>
      <c r="AF18" s="189" t="s">
        <v>314</v>
      </c>
      <c r="AG18" s="381">
        <f>AJ37+AL37</f>
        <v>221.73970149253731</v>
      </c>
      <c r="AH18" s="381">
        <f>AJ54+AL54</f>
        <v>172.5</v>
      </c>
      <c r="AI18" s="381">
        <f>AJ71+AL71</f>
        <v>172.5</v>
      </c>
      <c r="AJ18" s="381">
        <f>AJ88+AL88</f>
        <v>172.5</v>
      </c>
      <c r="AK18" s="381">
        <f>AJ105+AL105</f>
        <v>85.541044776119406</v>
      </c>
      <c r="AL18" s="382">
        <f>SUM(AG18:AK18)</f>
        <v>824.78074626865669</v>
      </c>
      <c r="AM18" s="362"/>
      <c r="AN18" s="362"/>
      <c r="AO18" s="362"/>
      <c r="AP18" s="362"/>
      <c r="AQ18" s="362"/>
      <c r="AR18" s="362"/>
      <c r="AS18" s="362"/>
      <c r="AT18" s="362"/>
      <c r="AU18" s="362"/>
    </row>
    <row r="19" spans="1:47" x14ac:dyDescent="0.3">
      <c r="A19" s="362"/>
      <c r="B19" s="362"/>
      <c r="C19" s="374"/>
      <c r="D19" s="187"/>
      <c r="E19" s="188" t="s">
        <v>318</v>
      </c>
      <c r="F19" s="380">
        <f>AK38</f>
        <v>143.43805970149253</v>
      </c>
      <c r="G19" s="380">
        <f>AK55</f>
        <v>1339.26</v>
      </c>
      <c r="H19" s="380">
        <f>AK72</f>
        <v>1410.5001492537313</v>
      </c>
      <c r="I19" s="380">
        <f>AK89</f>
        <v>2013.1801492537313</v>
      </c>
      <c r="J19" s="380">
        <f>AK106</f>
        <v>998.31656716417922</v>
      </c>
      <c r="K19" s="380">
        <f>SUM(F19:J19)</f>
        <v>5904.6949253731345</v>
      </c>
      <c r="L19" s="362"/>
      <c r="M19" s="362"/>
      <c r="N19" s="189" t="s">
        <v>318</v>
      </c>
      <c r="O19" s="381">
        <f>AK33</f>
        <v>87.488208955223882</v>
      </c>
      <c r="P19" s="381">
        <f>AK50</f>
        <v>895.31</v>
      </c>
      <c r="Q19" s="381">
        <f>AK67</f>
        <v>1261.0001492537313</v>
      </c>
      <c r="R19" s="381">
        <f>AK84</f>
        <v>1863.6801492537313</v>
      </c>
      <c r="S19" s="440">
        <f>AK101</f>
        <v>924.18089552238814</v>
      </c>
      <c r="T19" s="382">
        <f>SUM(O19:S19)</f>
        <v>5031.6594029850739</v>
      </c>
      <c r="U19" s="362"/>
      <c r="V19" s="362"/>
      <c r="W19" s="189" t="s">
        <v>318</v>
      </c>
      <c r="X19" s="381">
        <f>AK35</f>
        <v>37.108805970149255</v>
      </c>
      <c r="Y19" s="381">
        <f>AK52</f>
        <v>294.45000000000005</v>
      </c>
      <c r="Z19" s="381">
        <f>AK69</f>
        <v>0</v>
      </c>
      <c r="AA19" s="381">
        <f>AK86</f>
        <v>0</v>
      </c>
      <c r="AB19" s="381">
        <f>AK103</f>
        <v>0</v>
      </c>
      <c r="AC19" s="382">
        <f>SUM(X19:AB19)</f>
        <v>331.55880597014931</v>
      </c>
      <c r="AD19" s="362"/>
      <c r="AE19" s="362"/>
      <c r="AF19" s="189" t="s">
        <v>318</v>
      </c>
      <c r="AG19" s="381">
        <f>AK37</f>
        <v>18.8410447761194</v>
      </c>
      <c r="AH19" s="381">
        <f>AK54</f>
        <v>149.5</v>
      </c>
      <c r="AI19" s="381">
        <f>AK71</f>
        <v>149.5</v>
      </c>
      <c r="AJ19" s="381">
        <f>AK88</f>
        <v>149.5</v>
      </c>
      <c r="AK19" s="381">
        <f>AK105</f>
        <v>74.135671641791049</v>
      </c>
      <c r="AL19" s="382">
        <f>SUM(AG19:AK19)</f>
        <v>541.47671641791044</v>
      </c>
      <c r="AM19" s="362"/>
      <c r="AN19" s="362"/>
      <c r="AO19" s="362"/>
      <c r="AP19" s="362"/>
      <c r="AQ19" s="362"/>
      <c r="AR19" s="362"/>
      <c r="AS19" s="362"/>
      <c r="AT19" s="362"/>
      <c r="AU19" s="362"/>
    </row>
    <row r="20" spans="1:47" ht="19.5" customHeight="1" x14ac:dyDescent="0.3">
      <c r="A20" s="362"/>
      <c r="B20" s="362"/>
      <c r="C20" s="374"/>
      <c r="D20" s="187"/>
      <c r="E20" s="188" t="s">
        <v>319</v>
      </c>
      <c r="F20" s="383"/>
      <c r="G20" s="383"/>
      <c r="H20" s="383"/>
      <c r="I20" s="383"/>
      <c r="J20" s="383"/>
      <c r="K20" s="383">
        <f>SUM(F20:J20)</f>
        <v>0</v>
      </c>
      <c r="L20" s="362"/>
      <c r="M20" s="362"/>
      <c r="N20" s="188" t="s">
        <v>319</v>
      </c>
      <c r="O20" s="384"/>
      <c r="P20" s="384"/>
      <c r="Q20" s="384"/>
      <c r="R20" s="384"/>
      <c r="S20" s="384"/>
      <c r="T20" s="384">
        <f>SUM(O20:S20)</f>
        <v>0</v>
      </c>
      <c r="U20" s="362"/>
      <c r="V20" s="362"/>
      <c r="W20" s="188" t="s">
        <v>319</v>
      </c>
      <c r="X20" s="384"/>
      <c r="Y20" s="384"/>
      <c r="Z20" s="384"/>
      <c r="AA20" s="384"/>
      <c r="AB20" s="384"/>
      <c r="AC20" s="384">
        <f>SUM(X20:AB20)</f>
        <v>0</v>
      </c>
      <c r="AD20" s="362"/>
      <c r="AE20" s="362"/>
      <c r="AF20" s="188" t="s">
        <v>319</v>
      </c>
      <c r="AG20" s="384"/>
      <c r="AH20" s="384"/>
      <c r="AI20" s="384"/>
      <c r="AJ20" s="384"/>
      <c r="AK20" s="384"/>
      <c r="AL20" s="384">
        <f>SUM(AG20:AK20)</f>
        <v>0</v>
      </c>
      <c r="AM20" s="362"/>
      <c r="AN20" s="362"/>
      <c r="AO20" s="362"/>
      <c r="AP20" s="362"/>
      <c r="AQ20" s="362"/>
      <c r="AR20" s="362"/>
      <c r="AS20" s="362"/>
      <c r="AT20" s="362"/>
      <c r="AU20" s="362"/>
    </row>
    <row r="21" spans="1:47" ht="35.4" customHeight="1" x14ac:dyDescent="0.3">
      <c r="A21" s="362"/>
      <c r="B21" s="362"/>
      <c r="C21" s="374"/>
      <c r="D21" s="187"/>
      <c r="E21" s="188" t="s">
        <v>320</v>
      </c>
      <c r="F21" s="380">
        <f>AM38</f>
        <v>662.02149253731341</v>
      </c>
      <c r="G21" s="380">
        <f>AM55</f>
        <v>6181.2001492537311</v>
      </c>
      <c r="H21" s="380">
        <f>AM72</f>
        <v>6510</v>
      </c>
      <c r="I21" s="380">
        <f>AM89</f>
        <v>9291.6</v>
      </c>
      <c r="J21" s="380">
        <f>AM106</f>
        <v>4607.6149253731346</v>
      </c>
      <c r="K21" s="380">
        <f>SUM(F21:J21)</f>
        <v>27252.436567164179</v>
      </c>
      <c r="L21" s="362"/>
      <c r="M21" s="362"/>
      <c r="N21" s="189" t="s">
        <v>321</v>
      </c>
      <c r="O21" s="381">
        <f>AM33</f>
        <v>403.79164179104475</v>
      </c>
      <c r="P21" s="381">
        <f>AM50</f>
        <v>4132.2001492537311</v>
      </c>
      <c r="Q21" s="381">
        <f>AM67</f>
        <v>5820</v>
      </c>
      <c r="R21" s="381">
        <f>AM84</f>
        <v>8601.6</v>
      </c>
      <c r="S21" s="381">
        <f>AM101</f>
        <v>4265.450746268657</v>
      </c>
      <c r="T21" s="382">
        <f>SUM(O21:S21)</f>
        <v>23223.042537313431</v>
      </c>
      <c r="U21" s="362"/>
      <c r="V21" s="362"/>
      <c r="W21" s="189" t="s">
        <v>321</v>
      </c>
      <c r="X21" s="381">
        <f>AM35</f>
        <v>171.27089552238806</v>
      </c>
      <c r="Y21" s="381">
        <f>AM52</f>
        <v>1359</v>
      </c>
      <c r="Z21" s="381">
        <f>AM69</f>
        <v>0</v>
      </c>
      <c r="AA21" s="381">
        <f>AM86</f>
        <v>0</v>
      </c>
      <c r="AB21" s="381">
        <f>AM103</f>
        <v>0</v>
      </c>
      <c r="AC21" s="382">
        <f>SUM(X21:AB21)</f>
        <v>1530.2708955223879</v>
      </c>
      <c r="AD21" s="362"/>
      <c r="AE21" s="362"/>
      <c r="AF21" s="189" t="s">
        <v>321</v>
      </c>
      <c r="AG21" s="381">
        <f>AM37</f>
        <v>86.958955223880594</v>
      </c>
      <c r="AH21" s="381">
        <f>AM54</f>
        <v>690</v>
      </c>
      <c r="AI21" s="381">
        <f>AM71</f>
        <v>690</v>
      </c>
      <c r="AJ21" s="381">
        <f>AM88</f>
        <v>690</v>
      </c>
      <c r="AK21" s="381">
        <f>AM105</f>
        <v>342.16417910447763</v>
      </c>
      <c r="AL21" s="382">
        <f>SUM(AG21:AK21)</f>
        <v>2499.123134328358</v>
      </c>
      <c r="AM21" s="362"/>
      <c r="AN21" s="362"/>
      <c r="AO21" s="362"/>
      <c r="AP21" s="362"/>
      <c r="AQ21" s="362"/>
      <c r="AR21" s="362"/>
      <c r="AS21" s="362"/>
      <c r="AT21" s="362"/>
      <c r="AU21" s="362"/>
    </row>
    <row r="22" spans="1:47" x14ac:dyDescent="0.3">
      <c r="A22" s="362"/>
      <c r="B22" s="362"/>
      <c r="C22" s="374"/>
      <c r="D22" s="187"/>
      <c r="E22" s="191" t="s">
        <v>322</v>
      </c>
      <c r="F22" s="193">
        <f t="shared" ref="F22:K22" si="4">SUM(F17:F21)</f>
        <v>2253.3692537313432</v>
      </c>
      <c r="G22" s="193">
        <f t="shared" si="4"/>
        <v>10302.000298507463</v>
      </c>
      <c r="H22" s="193">
        <f t="shared" si="4"/>
        <v>10850.000298507463</v>
      </c>
      <c r="I22" s="193">
        <f t="shared" si="4"/>
        <v>15486</v>
      </c>
      <c r="J22" s="193">
        <f t="shared" si="4"/>
        <v>7679.3580597014925</v>
      </c>
      <c r="K22" s="193">
        <f t="shared" si="4"/>
        <v>46570.727910447764</v>
      </c>
      <c r="L22" s="362"/>
      <c r="M22" s="362"/>
      <c r="N22" s="191" t="s">
        <v>323</v>
      </c>
      <c r="O22" s="193">
        <f t="shared" ref="O22:T22" si="5">SUM(O17:O21)</f>
        <v>1272.986119402985</v>
      </c>
      <c r="P22" s="193">
        <f t="shared" si="5"/>
        <v>6887.0002985074625</v>
      </c>
      <c r="Q22" s="193">
        <f t="shared" si="5"/>
        <v>9700.0002985074625</v>
      </c>
      <c r="R22" s="193">
        <f t="shared" si="5"/>
        <v>14336</v>
      </c>
      <c r="S22" s="193">
        <f t="shared" si="5"/>
        <v>7109.0843283582089</v>
      </c>
      <c r="T22" s="193">
        <f t="shared" si="5"/>
        <v>39305.071044776116</v>
      </c>
      <c r="U22" s="362"/>
      <c r="V22" s="362"/>
      <c r="W22" s="191" t="s">
        <v>323</v>
      </c>
      <c r="X22" s="197">
        <f t="shared" ref="X22:AC22" si="6">SUM(X17:X21)</f>
        <v>635.45164179104472</v>
      </c>
      <c r="Y22" s="197">
        <f t="shared" si="6"/>
        <v>2265</v>
      </c>
      <c r="Z22" s="197">
        <f t="shared" si="6"/>
        <v>0</v>
      </c>
      <c r="AA22" s="197">
        <f t="shared" si="6"/>
        <v>0</v>
      </c>
      <c r="AB22" s="197">
        <f t="shared" si="6"/>
        <v>0</v>
      </c>
      <c r="AC22" s="197">
        <f t="shared" si="6"/>
        <v>2900.4516417910445</v>
      </c>
      <c r="AD22" s="362"/>
      <c r="AE22" s="362"/>
      <c r="AF22" s="191" t="s">
        <v>323</v>
      </c>
      <c r="AG22" s="197">
        <f t="shared" ref="AG22:AL22" si="7">SUM(AG17:AG21)</f>
        <v>344.93149253731343</v>
      </c>
      <c r="AH22" s="197">
        <f t="shared" si="7"/>
        <v>1150</v>
      </c>
      <c r="AI22" s="197">
        <f t="shared" si="7"/>
        <v>1150</v>
      </c>
      <c r="AJ22" s="197">
        <f t="shared" si="7"/>
        <v>1150</v>
      </c>
      <c r="AK22" s="197">
        <f t="shared" si="7"/>
        <v>570.27373134328354</v>
      </c>
      <c r="AL22" s="197">
        <f t="shared" si="7"/>
        <v>4365.2052238805973</v>
      </c>
      <c r="AM22" s="362"/>
      <c r="AN22" s="362"/>
      <c r="AO22" s="362"/>
      <c r="AP22" s="362"/>
      <c r="AQ22" s="362"/>
      <c r="AR22" s="362"/>
      <c r="AS22" s="362"/>
      <c r="AT22" s="362"/>
      <c r="AU22" s="362"/>
    </row>
    <row r="23" spans="1:47" ht="13.5" customHeight="1" x14ac:dyDescent="0.3">
      <c r="A23" s="362"/>
      <c r="B23" s="362"/>
      <c r="C23" s="374"/>
      <c r="D23" s="362"/>
      <c r="E23" s="367"/>
      <c r="F23" s="198"/>
      <c r="G23" s="369"/>
      <c r="H23" s="369"/>
      <c r="I23" s="369"/>
      <c r="J23" s="369"/>
      <c r="K23" s="362"/>
      <c r="L23" s="375"/>
      <c r="M23" s="375"/>
      <c r="N23" s="385"/>
      <c r="O23" s="508">
        <f>O22-600</f>
        <v>672.98611940298497</v>
      </c>
      <c r="P23" s="508">
        <f>O23*(12/1.5)</f>
        <v>5383.8889552238797</v>
      </c>
      <c r="Q23" s="385"/>
      <c r="R23" s="375"/>
      <c r="S23" s="386"/>
      <c r="T23" s="387"/>
      <c r="U23" s="362"/>
      <c r="V23" s="362"/>
      <c r="W23" s="362"/>
      <c r="X23" s="362"/>
      <c r="Y23" s="362"/>
      <c r="Z23" s="362"/>
      <c r="AA23"/>
      <c r="AB23" s="362"/>
      <c r="AC23" s="362"/>
      <c r="AD23" s="362"/>
      <c r="AE23" s="362"/>
      <c r="AF23" s="362"/>
      <c r="AG23" s="362"/>
      <c r="AH23" s="362"/>
      <c r="AI23" s="362"/>
      <c r="AJ23" s="362"/>
      <c r="AK23" s="362"/>
      <c r="AL23" s="362"/>
      <c r="AM23" s="362"/>
      <c r="AN23" s="362"/>
      <c r="AO23" s="362"/>
      <c r="AP23" s="362"/>
      <c r="AQ23" s="362"/>
      <c r="AR23" s="362"/>
      <c r="AS23" s="362"/>
      <c r="AT23" s="362"/>
      <c r="AU23" s="362"/>
    </row>
    <row r="24" spans="1:47" ht="18.75" customHeight="1" x14ac:dyDescent="0.3">
      <c r="A24" s="362"/>
      <c r="B24" s="362"/>
      <c r="C24" s="374"/>
      <c r="D24" s="362"/>
      <c r="E24" s="367"/>
      <c r="F24" s="362"/>
      <c r="G24" s="362"/>
      <c r="H24" s="362"/>
      <c r="I24" s="362"/>
      <c r="J24" s="362"/>
      <c r="K24" s="362"/>
      <c r="L24" s="375"/>
      <c r="M24" s="375"/>
      <c r="N24" s="375"/>
      <c r="O24" s="385"/>
      <c r="P24" s="385"/>
      <c r="Q24" s="385"/>
      <c r="R24" s="385"/>
      <c r="S24" s="375"/>
      <c r="T24" s="362"/>
      <c r="U24"/>
      <c r="V24"/>
      <c r="W24" s="362"/>
      <c r="X24" s="362"/>
      <c r="Y24" s="362"/>
      <c r="Z24" s="362"/>
      <c r="AA24" s="199">
        <v>46387</v>
      </c>
      <c r="AB24"/>
      <c r="AC24"/>
      <c r="AD24"/>
      <c r="AE24"/>
      <c r="AF24" s="362"/>
      <c r="AG24" s="40"/>
      <c r="AH24" s="362"/>
      <c r="AI24" s="558" t="s">
        <v>334</v>
      </c>
      <c r="AJ24" s="559"/>
      <c r="AK24" s="559"/>
      <c r="AL24" s="559"/>
      <c r="AM24" s="559"/>
      <c r="AN24" s="559"/>
      <c r="AO24" s="388"/>
      <c r="AP24" s="388"/>
      <c r="AQ24" s="388"/>
      <c r="AR24" s="388"/>
      <c r="AS24" s="388"/>
      <c r="AT24" s="362"/>
      <c r="AU24" s="362"/>
    </row>
    <row r="25" spans="1:47" x14ac:dyDescent="0.3">
      <c r="A25" s="362"/>
      <c r="B25" s="362"/>
      <c r="C25" s="560" t="s">
        <v>335</v>
      </c>
      <c r="D25" s="560"/>
      <c r="E25" s="370"/>
      <c r="F25" s="370"/>
      <c r="G25" s="389">
        <v>0.12</v>
      </c>
      <c r="H25" s="389"/>
      <c r="I25" s="389"/>
      <c r="J25" s="389">
        <v>0.15</v>
      </c>
      <c r="K25" s="389"/>
      <c r="L25" s="389"/>
      <c r="M25" s="389">
        <v>0.13</v>
      </c>
      <c r="N25" s="389"/>
      <c r="O25" s="389"/>
      <c r="P25" s="389"/>
      <c r="Q25" s="389">
        <v>0.6</v>
      </c>
      <c r="R25" s="362"/>
      <c r="S25"/>
      <c r="T25"/>
      <c r="U25"/>
      <c r="V25" s="561" t="s">
        <v>336</v>
      </c>
      <c r="W25" s="561"/>
      <c r="X25" s="40"/>
      <c r="Y25" s="362"/>
      <c r="Z25" s="362"/>
      <c r="AA25" s="362"/>
      <c r="AB25" s="562" t="s">
        <v>337</v>
      </c>
      <c r="AC25" s="562"/>
      <c r="AD25" s="562"/>
      <c r="AE25" s="562"/>
      <c r="AF25" s="562"/>
      <c r="AG25" s="362"/>
      <c r="AH25" s="362"/>
      <c r="AI25" s="562" t="s">
        <v>338</v>
      </c>
      <c r="AJ25" s="562"/>
      <c r="AK25" s="562"/>
      <c r="AL25" s="362"/>
      <c r="AM25" s="362"/>
      <c r="AN25" s="362"/>
      <c r="AO25" s="362"/>
      <c r="AP25" s="362"/>
      <c r="AQ25" s="362"/>
      <c r="AR25" s="362"/>
      <c r="AS25" s="362"/>
      <c r="AT25" s="362"/>
      <c r="AU25" s="362"/>
    </row>
    <row r="26" spans="1:47" s="40" customFormat="1" ht="41.4" customHeight="1" x14ac:dyDescent="0.3">
      <c r="A26" s="200" t="s">
        <v>339</v>
      </c>
      <c r="B26" s="183" t="s">
        <v>48</v>
      </c>
      <c r="C26" s="183" t="s">
        <v>297</v>
      </c>
      <c r="D26" s="183" t="s">
        <v>340</v>
      </c>
      <c r="E26" s="183" t="s">
        <v>341</v>
      </c>
      <c r="F26" s="201" t="s">
        <v>342</v>
      </c>
      <c r="G26" s="202" t="s">
        <v>343</v>
      </c>
      <c r="H26" s="182" t="s">
        <v>344</v>
      </c>
      <c r="I26" s="182" t="s">
        <v>345</v>
      </c>
      <c r="J26" s="202" t="s">
        <v>346</v>
      </c>
      <c r="K26" s="182" t="s">
        <v>344</v>
      </c>
      <c r="L26" s="182" t="s">
        <v>347</v>
      </c>
      <c r="M26" s="202" t="s">
        <v>348</v>
      </c>
      <c r="N26" s="182" t="s">
        <v>344</v>
      </c>
      <c r="O26" s="182" t="s">
        <v>349</v>
      </c>
      <c r="P26" s="202" t="s">
        <v>350</v>
      </c>
      <c r="Q26" s="202" t="s">
        <v>351</v>
      </c>
      <c r="R26" s="182" t="s">
        <v>344</v>
      </c>
      <c r="S26" s="182" t="s">
        <v>352</v>
      </c>
      <c r="T26" s="182" t="s">
        <v>353</v>
      </c>
      <c r="U26" s="182" t="s">
        <v>354</v>
      </c>
      <c r="V26" s="203" t="s">
        <v>355</v>
      </c>
      <c r="W26" s="203" t="s">
        <v>356</v>
      </c>
      <c r="X26" s="202" t="s">
        <v>357</v>
      </c>
      <c r="Y26" s="202" t="s">
        <v>358</v>
      </c>
      <c r="Z26" s="203" t="s">
        <v>359</v>
      </c>
      <c r="AB26" s="182" t="s">
        <v>345</v>
      </c>
      <c r="AC26" s="182" t="s">
        <v>347</v>
      </c>
      <c r="AD26" s="182" t="s">
        <v>349</v>
      </c>
      <c r="AE26" s="182" t="s">
        <v>350</v>
      </c>
      <c r="AF26" s="182" t="s">
        <v>360</v>
      </c>
      <c r="AG26" s="182" t="s">
        <v>361</v>
      </c>
      <c r="AH26"/>
      <c r="AI26" s="182" t="s">
        <v>362</v>
      </c>
      <c r="AJ26" s="182" t="s">
        <v>363</v>
      </c>
      <c r="AK26" s="182" t="s">
        <v>364</v>
      </c>
      <c r="AL26" s="204" t="s">
        <v>365</v>
      </c>
      <c r="AM26" s="204" t="s">
        <v>366</v>
      </c>
      <c r="AN26" s="182" t="s">
        <v>367</v>
      </c>
      <c r="AO26" s="182" t="s">
        <v>368</v>
      </c>
      <c r="AP26" s="182" t="s">
        <v>369</v>
      </c>
      <c r="AQ26" s="182" t="s">
        <v>370</v>
      </c>
      <c r="AR26" s="182" t="s">
        <v>371</v>
      </c>
      <c r="AS26" s="182" t="s">
        <v>372</v>
      </c>
      <c r="AU26" s="201" t="s">
        <v>342</v>
      </c>
    </row>
    <row r="27" spans="1:47" s="40" customFormat="1" x14ac:dyDescent="0.3">
      <c r="A27" s="205" t="s">
        <v>373</v>
      </c>
      <c r="B27" s="196">
        <v>5</v>
      </c>
      <c r="C27" s="206" t="s">
        <v>374</v>
      </c>
      <c r="D27" s="206" t="s">
        <v>375</v>
      </c>
      <c r="E27" s="206" t="s">
        <v>376</v>
      </c>
      <c r="F27" s="206" t="s">
        <v>377</v>
      </c>
      <c r="G27" s="207">
        <f>$AA$33*AA27*$G$25</f>
        <v>0</v>
      </c>
      <c r="H27" s="207">
        <f>'Perfils manteniment'!$G$10</f>
        <v>67</v>
      </c>
      <c r="I27" s="208">
        <f>ROUND(G27*H27,2)</f>
        <v>0</v>
      </c>
      <c r="J27" s="207">
        <f>$AA$33*AA27*$J$25</f>
        <v>0</v>
      </c>
      <c r="K27" s="207">
        <f>'Perfils manteniment'!$G$18</f>
        <v>67</v>
      </c>
      <c r="L27" s="208">
        <f>ROUND(J27*K27,2)</f>
        <v>0</v>
      </c>
      <c r="M27" s="209">
        <f>$AA$33*AA27*$M$25</f>
        <v>0</v>
      </c>
      <c r="N27" s="207">
        <f>'Perfils manteniment'!$G$26</f>
        <v>67</v>
      </c>
      <c r="O27" s="208">
        <f>ROUND(M27*N27,2)</f>
        <v>0</v>
      </c>
      <c r="P27" s="208"/>
      <c r="Q27" s="210">
        <f>$AA$33*AA27*$Q$25</f>
        <v>0</v>
      </c>
      <c r="R27" s="211">
        <f>'Perfils manteniment'!$G$34</f>
        <v>67</v>
      </c>
      <c r="S27" s="208">
        <f>ROUND(Q27*R27,2)</f>
        <v>0</v>
      </c>
      <c r="T27" s="211">
        <f t="shared" ref="T27:T36" si="8">G27+J27+M27+Q27</f>
        <v>0</v>
      </c>
      <c r="U27" s="208">
        <f>I27+L27+O27+P27+S27</f>
        <v>0</v>
      </c>
      <c r="V27" s="212">
        <v>46296</v>
      </c>
      <c r="W27" s="212">
        <v>46342</v>
      </c>
      <c r="X27" s="211"/>
      <c r="Y27" s="213">
        <f>X27*K27*1</f>
        <v>0</v>
      </c>
      <c r="Z27" s="212"/>
      <c r="AA27" s="390">
        <v>0</v>
      </c>
      <c r="AB27" s="391">
        <f>ROUND(I27*(MIN($AA$24,Z27)-$W27+1)/365,2)</f>
        <v>0</v>
      </c>
      <c r="AC27" s="391">
        <f>ROUND(L27*(MIN($AA$24,Z27)-$W27+1)/365,2)+Y27</f>
        <v>0</v>
      </c>
      <c r="AD27" s="391">
        <f>ROUND(O27*(MIN($AA$24,Z27)-$W27+1)/365,2)</f>
        <v>0</v>
      </c>
      <c r="AE27" s="391">
        <f t="shared" ref="AE27:AE32" si="9">P27</f>
        <v>0</v>
      </c>
      <c r="AF27" s="391">
        <f t="shared" ref="AF27:AF28" si="10">ROUND(S27*(MIN($AA$24,Z27)-$W27+1)/365,2)</f>
        <v>0</v>
      </c>
      <c r="AG27" s="392">
        <f t="shared" ref="AG27:AG32" si="11">SUM(AB27:AF27)</f>
        <v>0</v>
      </c>
      <c r="AH27" s="362"/>
      <c r="AI27" s="393">
        <f t="shared" ref="AI27:AI32" si="12">AB27/H27</f>
        <v>0</v>
      </c>
      <c r="AJ27" s="393">
        <f t="shared" ref="AJ27:AJ32" si="13">(AC27-Y27)/K27</f>
        <v>0</v>
      </c>
      <c r="AK27" s="393">
        <f t="shared" ref="AK27:AK32" si="14">AD27/N27</f>
        <v>0</v>
      </c>
      <c r="AL27" s="393">
        <f>X27</f>
        <v>0</v>
      </c>
      <c r="AM27" s="393">
        <f>AF27/R27</f>
        <v>0</v>
      </c>
      <c r="AN27" s="394">
        <f>SUM(AI27:AM27)</f>
        <v>0</v>
      </c>
      <c r="AO27" s="395">
        <f>IF($AN$27=0,0,AI27/$AN$27)</f>
        <v>0</v>
      </c>
      <c r="AP27" s="395">
        <f>IF($AN$27=0,0,AJ27/$AN$27)</f>
        <v>0</v>
      </c>
      <c r="AQ27" s="395">
        <f>IF($AN$27=0,0,AK27/$AN$27)</f>
        <v>0</v>
      </c>
      <c r="AR27" s="395">
        <f>IF($AN$27=0,0,AL27/$AN$27)</f>
        <v>0</v>
      </c>
      <c r="AS27" s="395">
        <f>IF($AN$27=0,0,AM27/$AN$27)</f>
        <v>0</v>
      </c>
      <c r="AU27" s="206" t="s">
        <v>377</v>
      </c>
    </row>
    <row r="28" spans="1:47" s="40" customFormat="1" x14ac:dyDescent="0.3">
      <c r="A28" s="214" t="s">
        <v>378</v>
      </c>
      <c r="B28" s="40">
        <v>1</v>
      </c>
      <c r="C28" s="206" t="s">
        <v>379</v>
      </c>
      <c r="D28" s="206" t="s">
        <v>380</v>
      </c>
      <c r="E28" s="206" t="s">
        <v>376</v>
      </c>
      <c r="F28" s="206" t="s">
        <v>381</v>
      </c>
      <c r="G28" s="207">
        <f t="shared" ref="G28:G32" si="15">$AA$33*AA28*$G$25</f>
        <v>0</v>
      </c>
      <c r="H28" s="207">
        <f>'Perfils manteniment'!$G$10</f>
        <v>67</v>
      </c>
      <c r="I28" s="208">
        <f>ROUND(G28*H28,2)</f>
        <v>0</v>
      </c>
      <c r="J28" s="207">
        <f t="shared" ref="J28:J32" si="16">$AA$33*AA28*$J$25</f>
        <v>0</v>
      </c>
      <c r="K28" s="207">
        <f>'Perfils manteniment'!$G$18</f>
        <v>67</v>
      </c>
      <c r="L28" s="208">
        <f>ROUND(J28*K28,2)</f>
        <v>0</v>
      </c>
      <c r="M28" s="209">
        <f t="shared" ref="M28:M32" si="17">$AA$33*AA28*$M$25</f>
        <v>0</v>
      </c>
      <c r="N28" s="207">
        <f>'Perfils manteniment'!$G$26</f>
        <v>67</v>
      </c>
      <c r="O28" s="208">
        <f t="shared" ref="O28:O32" si="18">ROUND(M28*N28,2)</f>
        <v>0</v>
      </c>
      <c r="P28" s="208"/>
      <c r="Q28" s="210">
        <f t="shared" ref="Q28:Q32" si="19">$AA$33*AA28*$Q$25</f>
        <v>0</v>
      </c>
      <c r="R28" s="211">
        <f>'Perfils manteniment'!$G$34</f>
        <v>67</v>
      </c>
      <c r="S28" s="208">
        <f t="shared" ref="S28:S32" si="20">ROUND(Q28*R28,2)</f>
        <v>0</v>
      </c>
      <c r="T28" s="211">
        <f t="shared" si="8"/>
        <v>0</v>
      </c>
      <c r="U28" s="208">
        <f t="shared" ref="U28:U32" si="21">I28+L28+O28+P28+S28</f>
        <v>0</v>
      </c>
      <c r="V28" s="212">
        <v>46296</v>
      </c>
      <c r="W28" s="212">
        <v>46342</v>
      </c>
      <c r="X28" s="211"/>
      <c r="Y28" s="213">
        <f t="shared" ref="Y28:Y32" si="22">X28*K28</f>
        <v>0</v>
      </c>
      <c r="Z28" s="212"/>
      <c r="AA28" s="390">
        <v>0</v>
      </c>
      <c r="AB28" s="391">
        <f t="shared" ref="AB28" si="23">ROUND(I28*(MIN($AA$24,Z28)-$W28+1)/365,2)</f>
        <v>0</v>
      </c>
      <c r="AC28" s="391">
        <f t="shared" ref="AC28:AC32" si="24">ROUND(L28*(MIN($AA$24,Z28)-$W28+1)/365,2)+Y28</f>
        <v>0</v>
      </c>
      <c r="AD28" s="391">
        <f t="shared" ref="AD28:AD32" si="25">ROUND(O28*(MIN($AA$24,Z28)-$W28+1)/365,2)</f>
        <v>0</v>
      </c>
      <c r="AE28" s="391">
        <f t="shared" si="9"/>
        <v>0</v>
      </c>
      <c r="AF28" s="391">
        <f t="shared" si="10"/>
        <v>0</v>
      </c>
      <c r="AG28" s="392">
        <f t="shared" si="11"/>
        <v>0</v>
      </c>
      <c r="AH28" s="362"/>
      <c r="AI28" s="393">
        <f t="shared" si="12"/>
        <v>0</v>
      </c>
      <c r="AJ28" s="393">
        <f t="shared" si="13"/>
        <v>0</v>
      </c>
      <c r="AK28" s="393">
        <f t="shared" si="14"/>
        <v>0</v>
      </c>
      <c r="AL28" s="393">
        <f t="shared" ref="AL28:AL32" si="26">X28</f>
        <v>0</v>
      </c>
      <c r="AM28" s="393">
        <f t="shared" ref="AM28:AM34" si="27">AF28/R28</f>
        <v>0</v>
      </c>
      <c r="AN28" s="394">
        <f t="shared" ref="AN28:AN32" si="28">SUM(AI28:AM28)</f>
        <v>0</v>
      </c>
      <c r="AO28" s="395">
        <f>IF($AN$28=0,0,AI28/$AN$28)</f>
        <v>0</v>
      </c>
      <c r="AP28" s="395">
        <f>IF($AN$28=0,0,AJ28/$AN$28)</f>
        <v>0</v>
      </c>
      <c r="AQ28" s="395">
        <f>IF($AN$28=0,0,AK28/$AN$28)</f>
        <v>0</v>
      </c>
      <c r="AR28" s="395">
        <f>IF($AN$28=0,0,AL28/$AN$28)</f>
        <v>0</v>
      </c>
      <c r="AS28" s="395">
        <f>IF($AN$28=0,0,AM28/$AN$28)</f>
        <v>0</v>
      </c>
      <c r="AU28" s="206" t="s">
        <v>381</v>
      </c>
    </row>
    <row r="29" spans="1:47" s="40" customFormat="1" x14ac:dyDescent="0.3">
      <c r="A29" s="264" t="s">
        <v>382</v>
      </c>
      <c r="B29">
        <v>4</v>
      </c>
      <c r="C29" s="206" t="s">
        <v>383</v>
      </c>
      <c r="D29" s="206" t="s">
        <v>384</v>
      </c>
      <c r="E29" s="206" t="s">
        <v>376</v>
      </c>
      <c r="F29" s="206" t="s">
        <v>385</v>
      </c>
      <c r="G29" s="207">
        <f t="shared" si="15"/>
        <v>192.23999999999998</v>
      </c>
      <c r="H29" s="207">
        <f>'Perfils manteniment'!$G$10</f>
        <v>67</v>
      </c>
      <c r="I29" s="208">
        <f t="shared" ref="I29:I32" si="29">ROUND(G29*H29,2)</f>
        <v>12880.08</v>
      </c>
      <c r="J29" s="207">
        <f t="shared" si="16"/>
        <v>240.29999999999998</v>
      </c>
      <c r="K29" s="207">
        <f>'Perfils manteniment'!$G$18</f>
        <v>67</v>
      </c>
      <c r="L29" s="208">
        <f t="shared" ref="L29:L32" si="30">ROUND(J29*K29,2)</f>
        <v>16100.1</v>
      </c>
      <c r="M29" s="209">
        <f t="shared" si="17"/>
        <v>208.26000000000002</v>
      </c>
      <c r="N29" s="207">
        <f>'Perfils manteniment'!$G$26</f>
        <v>67</v>
      </c>
      <c r="O29" s="208">
        <f t="shared" si="18"/>
        <v>13953.42</v>
      </c>
      <c r="P29" s="208"/>
      <c r="Q29" s="210">
        <f t="shared" si="19"/>
        <v>961.19999999999993</v>
      </c>
      <c r="R29" s="211">
        <f>'Perfils manteniment'!$G$34</f>
        <v>67</v>
      </c>
      <c r="S29" s="208">
        <f t="shared" si="20"/>
        <v>64400.4</v>
      </c>
      <c r="T29" s="211">
        <f t="shared" si="8"/>
        <v>1602</v>
      </c>
      <c r="U29" s="208">
        <f t="shared" si="21"/>
        <v>107334</v>
      </c>
      <c r="V29" s="212">
        <v>46296</v>
      </c>
      <c r="W29" s="212">
        <v>46342</v>
      </c>
      <c r="X29" s="211">
        <v>200</v>
      </c>
      <c r="Y29" s="213">
        <f t="shared" si="22"/>
        <v>13400</v>
      </c>
      <c r="Z29" s="212"/>
      <c r="AA29" s="390">
        <v>0.3</v>
      </c>
      <c r="AB29" s="391">
        <f t="shared" ref="AB29:AB32" si="31">ROUND(I29*(MIN($AA$24,Z29)-$W29+1)/365,2)</f>
        <v>1623.24</v>
      </c>
      <c r="AC29" s="391">
        <f t="shared" si="24"/>
        <v>15429.05</v>
      </c>
      <c r="AD29" s="391">
        <f t="shared" si="25"/>
        <v>1758.51</v>
      </c>
      <c r="AE29" s="391">
        <f t="shared" si="9"/>
        <v>0</v>
      </c>
      <c r="AF29" s="391">
        <f>ROUND(S29*(MIN($AA$24,Z29)-$W29+1)/365,2)</f>
        <v>8116.21</v>
      </c>
      <c r="AG29" s="392">
        <f t="shared" si="11"/>
        <v>26927.01</v>
      </c>
      <c r="AH29" s="362"/>
      <c r="AI29" s="393">
        <f t="shared" si="12"/>
        <v>24.227462686567165</v>
      </c>
      <c r="AJ29" s="393">
        <f t="shared" si="13"/>
        <v>30.284328358208946</v>
      </c>
      <c r="AK29" s="393">
        <f t="shared" si="14"/>
        <v>26.246417910447761</v>
      </c>
      <c r="AL29" s="393">
        <f t="shared" si="26"/>
        <v>200</v>
      </c>
      <c r="AM29" s="393">
        <f t="shared" si="27"/>
        <v>121.13746268656716</v>
      </c>
      <c r="AN29" s="394">
        <f t="shared" si="28"/>
        <v>401.89567164179101</v>
      </c>
      <c r="AO29" s="395">
        <f>IF($AN$29=0,0,AI29/$AN$29)</f>
        <v>6.0282964948577662E-2</v>
      </c>
      <c r="AP29" s="395">
        <f>IF($AN$29=0,0,AJ29/$AN$29)</f>
        <v>7.5353706185722055E-2</v>
      </c>
      <c r="AQ29" s="395">
        <f>IF($AN$29=0,0,AK29/$AN$29)</f>
        <v>6.5306545360959131E-2</v>
      </c>
      <c r="AR29" s="395">
        <f>IF($AN$29=0,0,AL29/$AN$29)</f>
        <v>0.49764158738753395</v>
      </c>
      <c r="AS29" s="395">
        <f>IF($AN$29=0,0,AM29/$AN$29)</f>
        <v>0.30141519611720724</v>
      </c>
      <c r="AU29" s="206" t="s">
        <v>385</v>
      </c>
    </row>
    <row r="30" spans="1:47" s="40" customFormat="1" x14ac:dyDescent="0.3">
      <c r="B30">
        <v>5</v>
      </c>
      <c r="C30" s="206" t="s">
        <v>386</v>
      </c>
      <c r="D30" s="206" t="s">
        <v>387</v>
      </c>
      <c r="E30" s="206" t="s">
        <v>376</v>
      </c>
      <c r="F30" s="206" t="s">
        <v>388</v>
      </c>
      <c r="G30" s="207">
        <f t="shared" si="15"/>
        <v>384.47999999999996</v>
      </c>
      <c r="H30" s="207">
        <f>'Perfils manteniment'!$G$10</f>
        <v>67</v>
      </c>
      <c r="I30" s="208">
        <f t="shared" si="29"/>
        <v>25760.16</v>
      </c>
      <c r="J30" s="207">
        <f t="shared" si="16"/>
        <v>480.59999999999997</v>
      </c>
      <c r="K30" s="207">
        <f>'Perfils manteniment'!$G$18</f>
        <v>67</v>
      </c>
      <c r="L30" s="208">
        <f t="shared" si="30"/>
        <v>32200.2</v>
      </c>
      <c r="M30" s="209">
        <f t="shared" si="17"/>
        <v>416.52000000000004</v>
      </c>
      <c r="N30" s="207">
        <f>'Perfils manteniment'!$G$26</f>
        <v>67</v>
      </c>
      <c r="O30" s="208">
        <f t="shared" si="18"/>
        <v>27906.84</v>
      </c>
      <c r="P30" s="208"/>
      <c r="Q30" s="210">
        <f t="shared" si="19"/>
        <v>1922.3999999999999</v>
      </c>
      <c r="R30" s="211">
        <f>'Perfils manteniment'!$G$34</f>
        <v>67</v>
      </c>
      <c r="S30" s="208">
        <f t="shared" si="20"/>
        <v>128800.8</v>
      </c>
      <c r="T30" s="211">
        <f t="shared" si="8"/>
        <v>3204</v>
      </c>
      <c r="U30" s="208">
        <f t="shared" si="21"/>
        <v>214668</v>
      </c>
      <c r="V30" s="212">
        <v>46296</v>
      </c>
      <c r="W30" s="212">
        <v>46342</v>
      </c>
      <c r="X30" s="211">
        <v>300</v>
      </c>
      <c r="Y30" s="213">
        <f t="shared" si="22"/>
        <v>20100</v>
      </c>
      <c r="Z30" s="212"/>
      <c r="AA30" s="390">
        <v>0.6</v>
      </c>
      <c r="AB30" s="391">
        <f t="shared" si="31"/>
        <v>3246.49</v>
      </c>
      <c r="AC30" s="391">
        <f t="shared" si="24"/>
        <v>24158.11</v>
      </c>
      <c r="AD30" s="391">
        <f t="shared" si="25"/>
        <v>3517.03</v>
      </c>
      <c r="AE30" s="391">
        <f t="shared" si="9"/>
        <v>0</v>
      </c>
      <c r="AF30" s="391">
        <f t="shared" ref="AF30:AF32" si="32">ROUND(S30*(MIN($AA$24,Z30)-$W30+1)/365,2)</f>
        <v>16232.43</v>
      </c>
      <c r="AG30" s="392">
        <f t="shared" si="11"/>
        <v>47154.06</v>
      </c>
      <c r="AH30" s="362"/>
      <c r="AI30" s="393">
        <f t="shared" si="12"/>
        <v>48.455074626865667</v>
      </c>
      <c r="AJ30" s="393">
        <f t="shared" si="13"/>
        <v>60.568805970149263</v>
      </c>
      <c r="AK30" s="393">
        <f t="shared" si="14"/>
        <v>52.492985074626866</v>
      </c>
      <c r="AL30" s="393">
        <f t="shared" si="26"/>
        <v>300</v>
      </c>
      <c r="AM30" s="393">
        <f t="shared" si="27"/>
        <v>242.27507462686569</v>
      </c>
      <c r="AN30" s="394">
        <f t="shared" si="28"/>
        <v>703.79194029850748</v>
      </c>
      <c r="AO30" s="395">
        <f>IF($AN$30=0,0,AI30/$AN$30)</f>
        <v>6.8848578468110697E-2</v>
      </c>
      <c r="AP30" s="395">
        <f>IF($AN$30=0,0,AJ30/$AN$30)</f>
        <v>8.6060670067434286E-2</v>
      </c>
      <c r="AQ30" s="395">
        <f>IF($AN$30=0,0,AK30/$AN$30)</f>
        <v>7.4585942334551888E-2</v>
      </c>
      <c r="AR30" s="395">
        <f>IF($AN$30=0,0,AL30/$AN$30)</f>
        <v>0.42626234093098236</v>
      </c>
      <c r="AS30" s="395">
        <f>IF($AN$30=0,0,AM30/$AN$30)</f>
        <v>0.34424246819892074</v>
      </c>
      <c r="AU30" s="206" t="s">
        <v>388</v>
      </c>
    </row>
    <row r="31" spans="1:47" s="40" customFormat="1" x14ac:dyDescent="0.3">
      <c r="B31">
        <v>4</v>
      </c>
      <c r="C31" s="206" t="s">
        <v>389</v>
      </c>
      <c r="D31" s="206" t="s">
        <v>390</v>
      </c>
      <c r="E31" s="206" t="s">
        <v>376</v>
      </c>
      <c r="F31" s="206" t="s">
        <v>391</v>
      </c>
      <c r="G31" s="207">
        <f t="shared" si="15"/>
        <v>0</v>
      </c>
      <c r="H31" s="207">
        <f>'Perfils manteniment'!$G$10</f>
        <v>67</v>
      </c>
      <c r="I31" s="208">
        <f t="shared" si="29"/>
        <v>0</v>
      </c>
      <c r="J31" s="207">
        <f t="shared" si="16"/>
        <v>0</v>
      </c>
      <c r="K31" s="207">
        <f>'Perfils manteniment'!$G$18</f>
        <v>67</v>
      </c>
      <c r="L31" s="208">
        <f t="shared" si="30"/>
        <v>0</v>
      </c>
      <c r="M31" s="209">
        <f t="shared" si="17"/>
        <v>0</v>
      </c>
      <c r="N31" s="207">
        <f>'Perfils manteniment'!$G$26</f>
        <v>67</v>
      </c>
      <c r="O31" s="208">
        <f t="shared" si="18"/>
        <v>0</v>
      </c>
      <c r="P31" s="208"/>
      <c r="Q31" s="210">
        <f t="shared" si="19"/>
        <v>0</v>
      </c>
      <c r="R31" s="211">
        <f>'Perfils manteniment'!$G$34</f>
        <v>67</v>
      </c>
      <c r="S31" s="208">
        <f t="shared" si="20"/>
        <v>0</v>
      </c>
      <c r="T31" s="211">
        <f t="shared" si="8"/>
        <v>0</v>
      </c>
      <c r="U31" s="208">
        <f t="shared" si="21"/>
        <v>0</v>
      </c>
      <c r="V31" s="212">
        <v>46296</v>
      </c>
      <c r="W31" s="212">
        <v>46342</v>
      </c>
      <c r="X31" s="211"/>
      <c r="Y31" s="213">
        <f t="shared" si="22"/>
        <v>0</v>
      </c>
      <c r="Z31" s="212"/>
      <c r="AA31" s="390">
        <v>0</v>
      </c>
      <c r="AB31" s="391">
        <f t="shared" si="31"/>
        <v>0</v>
      </c>
      <c r="AC31" s="391">
        <f t="shared" si="24"/>
        <v>0</v>
      </c>
      <c r="AD31" s="391">
        <f t="shared" si="25"/>
        <v>0</v>
      </c>
      <c r="AE31" s="391">
        <f t="shared" si="9"/>
        <v>0</v>
      </c>
      <c r="AF31" s="391">
        <f t="shared" si="32"/>
        <v>0</v>
      </c>
      <c r="AG31" s="392">
        <f t="shared" si="11"/>
        <v>0</v>
      </c>
      <c r="AH31" s="362"/>
      <c r="AI31" s="393">
        <f t="shared" si="12"/>
        <v>0</v>
      </c>
      <c r="AJ31" s="393">
        <f t="shared" si="13"/>
        <v>0</v>
      </c>
      <c r="AK31" s="393">
        <f t="shared" si="14"/>
        <v>0</v>
      </c>
      <c r="AL31" s="393">
        <f t="shared" si="26"/>
        <v>0</v>
      </c>
      <c r="AM31" s="393">
        <f t="shared" si="27"/>
        <v>0</v>
      </c>
      <c r="AN31" s="394">
        <f t="shared" si="28"/>
        <v>0</v>
      </c>
      <c r="AO31" s="395">
        <f>IF($AN$31=0,0,AI31/$AN$31)</f>
        <v>0</v>
      </c>
      <c r="AP31" s="395">
        <f>IF($AN$31=0,0,AJ31/$AN$31)</f>
        <v>0</v>
      </c>
      <c r="AQ31" s="395">
        <f>IF($AN$31=0,0,AK31/$AN$31)</f>
        <v>0</v>
      </c>
      <c r="AR31" s="395">
        <f>IF($AN$31=0,0,AL31/$AN$31)</f>
        <v>0</v>
      </c>
      <c r="AS31" s="395">
        <f>IF($AN$31=0,0,AM31/$AN$31)</f>
        <v>0</v>
      </c>
      <c r="AU31" s="206" t="s">
        <v>391</v>
      </c>
    </row>
    <row r="32" spans="1:47" s="40" customFormat="1" x14ac:dyDescent="0.3">
      <c r="B32">
        <v>6</v>
      </c>
      <c r="C32" s="206" t="s">
        <v>392</v>
      </c>
      <c r="D32" s="206" t="s">
        <v>393</v>
      </c>
      <c r="E32" s="206" t="s">
        <v>376</v>
      </c>
      <c r="F32" s="206" t="s">
        <v>394</v>
      </c>
      <c r="G32" s="207">
        <f t="shared" si="15"/>
        <v>64.08</v>
      </c>
      <c r="H32" s="207">
        <f>'Perfils manteniment'!$G$10</f>
        <v>67</v>
      </c>
      <c r="I32" s="208">
        <f t="shared" si="29"/>
        <v>4293.3599999999997</v>
      </c>
      <c r="J32" s="207">
        <f t="shared" si="16"/>
        <v>80.099999999999994</v>
      </c>
      <c r="K32" s="207">
        <f>'Perfils manteniment'!$G$18</f>
        <v>67</v>
      </c>
      <c r="L32" s="208">
        <f t="shared" si="30"/>
        <v>5366.7</v>
      </c>
      <c r="M32" s="209">
        <f t="shared" si="17"/>
        <v>69.42</v>
      </c>
      <c r="N32" s="207">
        <f>'Perfils manteniment'!$G$26</f>
        <v>67</v>
      </c>
      <c r="O32" s="208">
        <f t="shared" si="18"/>
        <v>4651.1400000000003</v>
      </c>
      <c r="P32" s="208"/>
      <c r="Q32" s="210">
        <f t="shared" si="19"/>
        <v>320.39999999999998</v>
      </c>
      <c r="R32" s="211">
        <f>'Perfils manteniment'!$G$34</f>
        <v>67</v>
      </c>
      <c r="S32" s="208">
        <f t="shared" si="20"/>
        <v>21466.799999999999</v>
      </c>
      <c r="T32" s="211">
        <f t="shared" si="8"/>
        <v>534</v>
      </c>
      <c r="U32" s="208">
        <f t="shared" si="21"/>
        <v>35778</v>
      </c>
      <c r="V32" s="212">
        <v>46296</v>
      </c>
      <c r="W32" s="212">
        <v>46342</v>
      </c>
      <c r="X32" s="211">
        <v>100</v>
      </c>
      <c r="Y32" s="213">
        <f t="shared" si="22"/>
        <v>6700</v>
      </c>
      <c r="Z32" s="212"/>
      <c r="AA32" s="390">
        <v>0.1</v>
      </c>
      <c r="AB32" s="391">
        <f t="shared" si="31"/>
        <v>541.08000000000004</v>
      </c>
      <c r="AC32" s="391">
        <f t="shared" si="24"/>
        <v>7376.35</v>
      </c>
      <c r="AD32" s="391">
        <f t="shared" si="25"/>
        <v>586.16999999999996</v>
      </c>
      <c r="AE32" s="391">
        <f t="shared" si="9"/>
        <v>0</v>
      </c>
      <c r="AF32" s="391">
        <f t="shared" si="32"/>
        <v>2705.4</v>
      </c>
      <c r="AG32" s="392">
        <f t="shared" si="11"/>
        <v>11209</v>
      </c>
      <c r="AH32" s="362"/>
      <c r="AI32" s="393">
        <f t="shared" si="12"/>
        <v>8.0758208955223889</v>
      </c>
      <c r="AJ32" s="393">
        <f t="shared" si="13"/>
        <v>10.09477611940299</v>
      </c>
      <c r="AK32" s="393">
        <f t="shared" si="14"/>
        <v>8.7488059701492524</v>
      </c>
      <c r="AL32" s="393">
        <f t="shared" si="26"/>
        <v>100</v>
      </c>
      <c r="AM32" s="393">
        <f t="shared" si="27"/>
        <v>40.379104477611939</v>
      </c>
      <c r="AN32" s="394">
        <f t="shared" si="28"/>
        <v>167.29850746268656</v>
      </c>
      <c r="AO32" s="395">
        <f>IF($AN$32=0,0,AI32/$AN$32)</f>
        <v>4.8271924346507282E-2</v>
      </c>
      <c r="AP32" s="395">
        <f>IF($AN$32=0,0,AJ32/$AN$32)</f>
        <v>6.0339905433134125E-2</v>
      </c>
      <c r="AQ32" s="395">
        <f>IF($AN$32=0,0,AK32/$AN$32)</f>
        <v>5.2294584708716202E-2</v>
      </c>
      <c r="AR32" s="395">
        <f>IF($AN$32=0,0,AL32/$AN$32)</f>
        <v>0.59773396377910615</v>
      </c>
      <c r="AS32" s="395">
        <f>IF($AN$32=0,0,AM32/$AN$32)</f>
        <v>0.24135962173253636</v>
      </c>
      <c r="AU32" s="206" t="s">
        <v>394</v>
      </c>
    </row>
    <row r="33" spans="1:47" s="40" customFormat="1" ht="14.1" customHeight="1" x14ac:dyDescent="0.3">
      <c r="A33" s="215"/>
      <c r="B33"/>
      <c r="C33" s="563"/>
      <c r="D33" s="563"/>
      <c r="E33" s="563"/>
      <c r="F33" s="216" t="s">
        <v>395</v>
      </c>
      <c r="G33" s="217">
        <f>SUM(G27:G32)</f>
        <v>640.79999999999995</v>
      </c>
      <c r="H33" s="217"/>
      <c r="I33" s="217">
        <f>SUM(I27:I32)</f>
        <v>42933.599999999999</v>
      </c>
      <c r="J33" s="217">
        <f>SUM(J27:J32)</f>
        <v>801</v>
      </c>
      <c r="K33" s="217"/>
      <c r="L33" s="217">
        <f>SUM(L27:L32)</f>
        <v>53667</v>
      </c>
      <c r="M33" s="217">
        <f>SUM(M27:M32)</f>
        <v>694.2</v>
      </c>
      <c r="N33" s="217"/>
      <c r="O33" s="217">
        <f>SUM(O27:O32)</f>
        <v>46511.4</v>
      </c>
      <c r="P33" s="217">
        <f>SUM(P27:P32)</f>
        <v>0</v>
      </c>
      <c r="Q33" s="217"/>
      <c r="R33" s="217"/>
      <c r="S33" s="217">
        <f>SUM(S27:S32)</f>
        <v>214668</v>
      </c>
      <c r="T33" s="217">
        <f>SUM(T27:T32)</f>
        <v>5340</v>
      </c>
      <c r="U33" s="217">
        <f>SUM(U27:U32)</f>
        <v>357780</v>
      </c>
      <c r="V33" s="218"/>
      <c r="W33" s="218"/>
      <c r="X33" s="217">
        <f>SUM(X27:X32)</f>
        <v>600</v>
      </c>
      <c r="Y33" s="217">
        <f>SUM(Y27:Y32)</f>
        <v>40200</v>
      </c>
      <c r="Z33" s="217"/>
      <c r="AA33" s="375">
        <v>5340</v>
      </c>
      <c r="AB33" s="293">
        <f t="shared" ref="AB33:AG33" si="33">SUM(AB27:AB32)</f>
        <v>5410.8099999999995</v>
      </c>
      <c r="AC33" s="293">
        <f t="shared" si="33"/>
        <v>46963.51</v>
      </c>
      <c r="AD33" s="293">
        <f t="shared" si="33"/>
        <v>5861.71</v>
      </c>
      <c r="AE33" s="293">
        <f t="shared" si="33"/>
        <v>0</v>
      </c>
      <c r="AF33" s="293">
        <f t="shared" si="33"/>
        <v>27054.04</v>
      </c>
      <c r="AG33" s="293">
        <f t="shared" si="33"/>
        <v>85290.069999999992</v>
      </c>
      <c r="AH33" s="362"/>
      <c r="AI33" s="217">
        <f t="shared" ref="AI33:AN33" si="34">SUM(AI27:AI32)</f>
        <v>80.758358208955215</v>
      </c>
      <c r="AJ33" s="217">
        <f t="shared" si="34"/>
        <v>100.9479104477612</v>
      </c>
      <c r="AK33" s="217">
        <f t="shared" si="34"/>
        <v>87.488208955223882</v>
      </c>
      <c r="AL33" s="217">
        <f t="shared" si="34"/>
        <v>600</v>
      </c>
      <c r="AM33" s="217">
        <f t="shared" si="34"/>
        <v>403.79164179104475</v>
      </c>
      <c r="AN33" s="217">
        <f t="shared" si="34"/>
        <v>1272.986119402985</v>
      </c>
      <c r="AO33" s="217"/>
      <c r="AP33" s="217"/>
      <c r="AQ33" s="217"/>
      <c r="AR33" s="217"/>
      <c r="AS33" s="217"/>
      <c r="AU33" s="280" t="s">
        <v>395</v>
      </c>
    </row>
    <row r="34" spans="1:47" s="40" customFormat="1" x14ac:dyDescent="0.3">
      <c r="B34">
        <v>1</v>
      </c>
      <c r="C34" s="219" t="s">
        <v>396</v>
      </c>
      <c r="D34" s="220" t="s">
        <v>100</v>
      </c>
      <c r="E34" s="219" t="s">
        <v>376</v>
      </c>
      <c r="F34" s="220" t="s">
        <v>100</v>
      </c>
      <c r="G34" s="207">
        <f>$AA$35*AA34*$G$25</f>
        <v>271.8</v>
      </c>
      <c r="H34" s="275">
        <f>'Perfils manteniment'!$G$10</f>
        <v>67</v>
      </c>
      <c r="I34" s="276">
        <f>ROUND(G34*H34,2)</f>
        <v>18210.599999999999</v>
      </c>
      <c r="J34" s="207">
        <f>$AA$35*AA34*$J$25</f>
        <v>339.75</v>
      </c>
      <c r="K34" s="275">
        <f>'Perfils manteniment'!$G$18</f>
        <v>67</v>
      </c>
      <c r="L34" s="276">
        <f>ROUND(J34*K34,2)</f>
        <v>22763.25</v>
      </c>
      <c r="M34" s="209">
        <f>$AA$35*AA34*$M$25</f>
        <v>294.45</v>
      </c>
      <c r="N34" s="275">
        <f>'Perfils manteniment'!$G$26</f>
        <v>67</v>
      </c>
      <c r="O34" s="276">
        <f>ROUND(M34*N34,2)</f>
        <v>19728.150000000001</v>
      </c>
      <c r="P34" s="276"/>
      <c r="Q34" s="210">
        <f>$AA$35*AA34*$Q$25</f>
        <v>1359</v>
      </c>
      <c r="R34" s="211">
        <f>'Perfils manteniment'!$G$34</f>
        <v>67</v>
      </c>
      <c r="S34" s="276">
        <f>ROUND(Q34*R34,2)</f>
        <v>91053</v>
      </c>
      <c r="T34" s="211">
        <f t="shared" si="8"/>
        <v>2265</v>
      </c>
      <c r="U34" s="276">
        <f>I34+L34+O34+P34+S34</f>
        <v>151755</v>
      </c>
      <c r="V34" s="212">
        <v>46296</v>
      </c>
      <c r="W34" s="212">
        <v>46342</v>
      </c>
      <c r="X34" s="277">
        <v>350</v>
      </c>
      <c r="Y34" s="279">
        <f>X34*K34</f>
        <v>23450</v>
      </c>
      <c r="Z34" s="278"/>
      <c r="AA34" s="390">
        <v>1</v>
      </c>
      <c r="AB34" s="396">
        <f>ROUND(I34*(MIN($AA$24,Z34)-$W34+1)/365,2)</f>
        <v>2295.0300000000002</v>
      </c>
      <c r="AC34" s="396">
        <f>ROUND(L34*(MIN($AA$24,Z34)-$W34+1)/365,2)+Y34</f>
        <v>26318.79</v>
      </c>
      <c r="AD34" s="396">
        <f>ROUND(O34*(MIN($AA$24,Z34)-$W34+1)/365,2)</f>
        <v>2486.29</v>
      </c>
      <c r="AE34" s="396">
        <f>P34</f>
        <v>0</v>
      </c>
      <c r="AF34" s="396">
        <f>ROUND(S34*(MIN($AA$24,Z34)-$W34+1)/365,2)-0.02</f>
        <v>11475.15</v>
      </c>
      <c r="AG34" s="397">
        <f>SUM(AB34:AF34)</f>
        <v>42575.26</v>
      </c>
      <c r="AH34" s="362"/>
      <c r="AI34" s="398">
        <f>AB34/H34</f>
        <v>34.254179104477615</v>
      </c>
      <c r="AJ34" s="398">
        <f>(AC34-Y34)/K34</f>
        <v>42.817761194029863</v>
      </c>
      <c r="AK34" s="398">
        <f>AD34/N34</f>
        <v>37.108805970149255</v>
      </c>
      <c r="AL34" s="398">
        <f>X34</f>
        <v>350</v>
      </c>
      <c r="AM34" s="398">
        <f t="shared" si="27"/>
        <v>171.27089552238806</v>
      </c>
      <c r="AN34" s="398">
        <f>SUM(AI34:AM34)</f>
        <v>635.45164179104484</v>
      </c>
      <c r="AO34" s="399">
        <f>IF($AN$34=0,0,AI34/$AN$34)</f>
        <v>5.3905249198713055E-2</v>
      </c>
      <c r="AP34" s="399">
        <f>IF($AN$34=0,0,AJ34/$AN$34)</f>
        <v>6.7381620217938781E-2</v>
      </c>
      <c r="AQ34" s="399">
        <f>IF($AN$34=0,0,AK34/$AN$34)</f>
        <v>5.8397529457248173E-2</v>
      </c>
      <c r="AR34" s="399">
        <f>IF($AN$34=0,0,AL34/$AN$34)</f>
        <v>0.55078935513253469</v>
      </c>
      <c r="AS34" s="399">
        <f>IF($AN$34=0,0,AM34/$AN$34)</f>
        <v>0.26952624599356523</v>
      </c>
      <c r="AU34" s="220" t="s">
        <v>100</v>
      </c>
    </row>
    <row r="35" spans="1:47" s="270" customFormat="1" ht="13.5" customHeight="1" x14ac:dyDescent="0.3">
      <c r="C35" s="271"/>
      <c r="D35" s="271"/>
      <c r="E35" s="271"/>
      <c r="F35" s="272" t="s">
        <v>397</v>
      </c>
      <c r="G35" s="222">
        <f>SUM(G34:G34)</f>
        <v>271.8</v>
      </c>
      <c r="H35" s="222"/>
      <c r="I35" s="222">
        <f>SUM(I34:I34)</f>
        <v>18210.599999999999</v>
      </c>
      <c r="J35" s="222">
        <f>SUM(J34:J34)</f>
        <v>339.75</v>
      </c>
      <c r="K35" s="222"/>
      <c r="L35" s="222">
        <f>SUM(L34:L34)</f>
        <v>22763.25</v>
      </c>
      <c r="M35" s="222">
        <f>SUM(M34:M34)</f>
        <v>294.45</v>
      </c>
      <c r="N35" s="222"/>
      <c r="O35" s="222">
        <f>SUM(O34:O34)</f>
        <v>19728.150000000001</v>
      </c>
      <c r="P35" s="222">
        <f>SUM(P34:P34)</f>
        <v>0</v>
      </c>
      <c r="Q35" s="222">
        <f>SUM(Q34:Q34)</f>
        <v>1359</v>
      </c>
      <c r="R35" s="222"/>
      <c r="S35" s="222">
        <f>SUM(S34:S34)</f>
        <v>91053</v>
      </c>
      <c r="T35" s="222">
        <f>SUM(T34:T34)</f>
        <v>2265</v>
      </c>
      <c r="U35" s="222">
        <f>SUM(U34:U34)</f>
        <v>151755</v>
      </c>
      <c r="V35" s="273"/>
      <c r="W35" s="273"/>
      <c r="X35" s="222">
        <f>SUM(X34:X34)</f>
        <v>350</v>
      </c>
      <c r="Y35" s="222">
        <f>SUM(Y34:Y34)</f>
        <v>23450</v>
      </c>
      <c r="Z35" s="222"/>
      <c r="AA35" s="400">
        <v>2265</v>
      </c>
      <c r="AB35" s="294">
        <f t="shared" ref="AB35:AG35" si="35">SUM(AB34:AB34)</f>
        <v>2295.0300000000002</v>
      </c>
      <c r="AC35" s="294">
        <f t="shared" si="35"/>
        <v>26318.79</v>
      </c>
      <c r="AD35" s="294">
        <f t="shared" si="35"/>
        <v>2486.29</v>
      </c>
      <c r="AE35" s="294">
        <f t="shared" si="35"/>
        <v>0</v>
      </c>
      <c r="AF35" s="294">
        <f t="shared" si="35"/>
        <v>11475.15</v>
      </c>
      <c r="AG35" s="294">
        <f t="shared" si="35"/>
        <v>42575.26</v>
      </c>
      <c r="AH35" s="400"/>
      <c r="AI35" s="274">
        <f t="shared" ref="AI35:AN35" si="36">SUM(AI34:AI34)</f>
        <v>34.254179104477615</v>
      </c>
      <c r="AJ35" s="274">
        <f t="shared" si="36"/>
        <v>42.817761194029863</v>
      </c>
      <c r="AK35" s="274">
        <f t="shared" si="36"/>
        <v>37.108805970149255</v>
      </c>
      <c r="AL35" s="274">
        <f t="shared" si="36"/>
        <v>350</v>
      </c>
      <c r="AM35" s="274">
        <f t="shared" si="36"/>
        <v>171.27089552238806</v>
      </c>
      <c r="AN35" s="274">
        <f t="shared" si="36"/>
        <v>635.45164179104484</v>
      </c>
      <c r="AO35" s="274"/>
      <c r="AP35" s="274"/>
      <c r="AQ35" s="274"/>
      <c r="AR35" s="274"/>
      <c r="AS35" s="274"/>
      <c r="AU35" s="281" t="s">
        <v>397</v>
      </c>
    </row>
    <row r="36" spans="1:47" s="40" customFormat="1" ht="13.5" customHeight="1" x14ac:dyDescent="0.3">
      <c r="B36" s="362">
        <v>0</v>
      </c>
      <c r="C36" s="22" t="s">
        <v>398</v>
      </c>
      <c r="D36" s="22" t="s">
        <v>399</v>
      </c>
      <c r="E36" s="22" t="s">
        <v>376</v>
      </c>
      <c r="F36" s="269" t="s">
        <v>400</v>
      </c>
      <c r="G36" s="207">
        <f>$AA$37*AA36*$G$25</f>
        <v>138</v>
      </c>
      <c r="H36" s="207">
        <f>'Perfils manteniment'!$G$10</f>
        <v>67</v>
      </c>
      <c r="I36" s="208">
        <f>ROUND(G36*H36,2)</f>
        <v>9246</v>
      </c>
      <c r="J36" s="207">
        <f>$AA$37*AA36*$J$25</f>
        <v>172.5</v>
      </c>
      <c r="K36" s="207">
        <f>'Perfils manteniment'!$G$18</f>
        <v>67</v>
      </c>
      <c r="L36" s="208">
        <f>ROUND(J36*K36,2)</f>
        <v>11557.5</v>
      </c>
      <c r="M36" s="209">
        <f>$AA$37*AA36*$M$25</f>
        <v>149.5</v>
      </c>
      <c r="N36" s="207">
        <f>'Perfils manteniment'!$G$26</f>
        <v>67</v>
      </c>
      <c r="O36" s="208">
        <f>ROUND(M36*N36,2)</f>
        <v>10016.5</v>
      </c>
      <c r="P36" s="208"/>
      <c r="Q36" s="210">
        <f>$AA$37*AA36*$Q$25</f>
        <v>690</v>
      </c>
      <c r="R36" s="211">
        <f>'Perfils manteniment'!$G$34</f>
        <v>67</v>
      </c>
      <c r="S36" s="208">
        <f>ROUND(Q36*R36,2)</f>
        <v>46230</v>
      </c>
      <c r="T36" s="211">
        <f t="shared" si="8"/>
        <v>1150</v>
      </c>
      <c r="U36" s="208">
        <f>I36+L36+O36+P36+S36</f>
        <v>77050</v>
      </c>
      <c r="V36" s="212">
        <v>46296</v>
      </c>
      <c r="W36" s="212">
        <v>46342</v>
      </c>
      <c r="X36" s="211">
        <v>200</v>
      </c>
      <c r="Y36" s="279">
        <f>X36*K36</f>
        <v>13400</v>
      </c>
      <c r="Z36" s="212"/>
      <c r="AA36" s="390">
        <v>1</v>
      </c>
      <c r="AB36" s="295">
        <f>ROUND(I36*(MIN($AA$24,Z36)-$W36+1)/365,2)</f>
        <v>1165.25</v>
      </c>
      <c r="AC36" s="295">
        <f>ROUND(L36*(MIN($AA$24,Z36)-$W36+1)/365,2)+Y36</f>
        <v>14856.56</v>
      </c>
      <c r="AD36" s="295">
        <f>ROUND(O36*(MIN($AA$24,Z36)-$W36+1)/365,2)</f>
        <v>1262.3499999999999</v>
      </c>
      <c r="AE36" s="295">
        <f t="shared" ref="AE36" si="37">P36</f>
        <v>0</v>
      </c>
      <c r="AF36" s="295">
        <f t="shared" ref="AF36" si="38">ROUND(S36*(MIN($AA$24,Z36)-$W36+1)/365,2)</f>
        <v>5826.25</v>
      </c>
      <c r="AG36" s="295">
        <f>SUM(AB36:AF36)</f>
        <v>23110.41</v>
      </c>
      <c r="AH36" s="401"/>
      <c r="AI36" s="285">
        <f>AB36/H36</f>
        <v>17.39179104477612</v>
      </c>
      <c r="AJ36" s="285">
        <f>(AC36-Y36)/K36</f>
        <v>21.739701492537307</v>
      </c>
      <c r="AK36" s="285">
        <f>AD36/N36</f>
        <v>18.8410447761194</v>
      </c>
      <c r="AL36" s="285">
        <f>X36</f>
        <v>200</v>
      </c>
      <c r="AM36" s="285">
        <f t="shared" ref="AM36" si="39">AF36/R36</f>
        <v>86.958955223880594</v>
      </c>
      <c r="AN36" s="285">
        <f>SUM(AI36:AM36)</f>
        <v>344.93149253731343</v>
      </c>
      <c r="AO36" s="286">
        <f>IF($AN$36=0,0,AI36/$AN$36)</f>
        <v>5.042100075247475E-2</v>
      </c>
      <c r="AP36" s="286">
        <f t="shared" ref="AP36:AS36" si="40">IF($AN$36=0,0,AJ36/$AN$36)</f>
        <v>6.3026142764234808E-2</v>
      </c>
      <c r="AQ36" s="286">
        <f t="shared" si="40"/>
        <v>5.4622570521249941E-2</v>
      </c>
      <c r="AR36" s="286">
        <f t="shared" si="40"/>
        <v>0.57982528219966678</v>
      </c>
      <c r="AS36" s="286">
        <f t="shared" si="40"/>
        <v>0.25210500376237377</v>
      </c>
      <c r="AU36" s="269" t="s">
        <v>400</v>
      </c>
    </row>
    <row r="37" spans="1:47" s="40" customFormat="1" ht="13.5" customHeight="1" x14ac:dyDescent="0.3">
      <c r="C37" s="196"/>
      <c r="D37" s="196"/>
      <c r="E37" s="196"/>
      <c r="F37" s="265" t="s">
        <v>401</v>
      </c>
      <c r="G37" s="266">
        <f>SUM(G36)</f>
        <v>138</v>
      </c>
      <c r="H37" s="266"/>
      <c r="I37" s="266">
        <f>SUM(I36)</f>
        <v>9246</v>
      </c>
      <c r="J37" s="266">
        <f>SUM(J36)</f>
        <v>172.5</v>
      </c>
      <c r="K37" s="266"/>
      <c r="L37" s="266">
        <f>SUM(L36)</f>
        <v>11557.5</v>
      </c>
      <c r="M37" s="266">
        <f>SUM(M36)</f>
        <v>149.5</v>
      </c>
      <c r="N37" s="266"/>
      <c r="O37" s="266">
        <f>SUM(O36)</f>
        <v>10016.5</v>
      </c>
      <c r="P37" s="266">
        <f>SUM(P36)</f>
        <v>0</v>
      </c>
      <c r="Q37" s="266">
        <f>SUM(Q36)</f>
        <v>690</v>
      </c>
      <c r="R37" s="266"/>
      <c r="S37" s="266">
        <f>SUM(S36)</f>
        <v>46230</v>
      </c>
      <c r="T37" s="266">
        <f>SUM(T36)</f>
        <v>1150</v>
      </c>
      <c r="U37" s="266">
        <f>SUM(U36)</f>
        <v>77050</v>
      </c>
      <c r="V37" s="267"/>
      <c r="W37" s="267"/>
      <c r="X37" s="266">
        <f>SUM(X36)</f>
        <v>200</v>
      </c>
      <c r="Y37" s="266">
        <f>SUM(Y36)</f>
        <v>13400</v>
      </c>
      <c r="Z37" s="268"/>
      <c r="AA37" s="401">
        <v>1150</v>
      </c>
      <c r="AB37" s="296">
        <f t="shared" ref="AB37:AG37" si="41">SUM(AB36)</f>
        <v>1165.25</v>
      </c>
      <c r="AC37" s="296">
        <f t="shared" si="41"/>
        <v>14856.56</v>
      </c>
      <c r="AD37" s="296">
        <f t="shared" si="41"/>
        <v>1262.3499999999999</v>
      </c>
      <c r="AE37" s="296">
        <f t="shared" si="41"/>
        <v>0</v>
      </c>
      <c r="AF37" s="296">
        <f t="shared" si="41"/>
        <v>5826.25</v>
      </c>
      <c r="AG37" s="296">
        <f t="shared" si="41"/>
        <v>23110.41</v>
      </c>
      <c r="AH37" s="401"/>
      <c r="AI37" s="266">
        <f t="shared" ref="AI37:AN37" si="42">SUM(AI36)</f>
        <v>17.39179104477612</v>
      </c>
      <c r="AJ37" s="266">
        <f t="shared" si="42"/>
        <v>21.739701492537307</v>
      </c>
      <c r="AK37" s="266">
        <f t="shared" si="42"/>
        <v>18.8410447761194</v>
      </c>
      <c r="AL37" s="266">
        <f t="shared" si="42"/>
        <v>200</v>
      </c>
      <c r="AM37" s="266">
        <f t="shared" si="42"/>
        <v>86.958955223880594</v>
      </c>
      <c r="AN37" s="266">
        <f t="shared" si="42"/>
        <v>344.93149253731343</v>
      </c>
      <c r="AO37" s="266"/>
      <c r="AP37" s="266"/>
      <c r="AQ37" s="266"/>
      <c r="AR37" s="266"/>
      <c r="AS37" s="266"/>
      <c r="AU37" s="282" t="s">
        <v>402</v>
      </c>
    </row>
    <row r="38" spans="1:47" s="40" customFormat="1" ht="15.6" x14ac:dyDescent="0.3">
      <c r="C38" s="224" t="s">
        <v>367</v>
      </c>
      <c r="D38" s="225"/>
      <c r="E38" s="226"/>
      <c r="F38" s="227"/>
      <c r="G38" s="228">
        <f>G33+G35+G37</f>
        <v>1050.5999999999999</v>
      </c>
      <c r="H38" s="228"/>
      <c r="I38" s="228">
        <f>I33+I35+I37</f>
        <v>70390.2</v>
      </c>
      <c r="J38" s="228">
        <f>J33+J35+J37</f>
        <v>1313.25</v>
      </c>
      <c r="K38" s="228"/>
      <c r="L38" s="228">
        <f>L33+L35+L37</f>
        <v>87987.75</v>
      </c>
      <c r="M38" s="228">
        <f>M33+M35+M37</f>
        <v>1138.1500000000001</v>
      </c>
      <c r="N38" s="228"/>
      <c r="O38" s="228">
        <f>O33+O35+O37</f>
        <v>76256.05</v>
      </c>
      <c r="P38" s="228">
        <f>P33+P35</f>
        <v>0</v>
      </c>
      <c r="Q38" s="228">
        <f>Q33+Q35+Q37</f>
        <v>2049</v>
      </c>
      <c r="R38" s="228"/>
      <c r="S38" s="228">
        <f>S33+S35+S37</f>
        <v>351951</v>
      </c>
      <c r="T38" s="228">
        <f>T33+T35+T37</f>
        <v>8755</v>
      </c>
      <c r="U38" s="228">
        <f>U33+U35+U37</f>
        <v>586585</v>
      </c>
      <c r="V38" s="228"/>
      <c r="W38" s="228"/>
      <c r="X38" s="228">
        <f>X33+X35+X37</f>
        <v>1150</v>
      </c>
      <c r="Y38" s="228">
        <f>Y33+Y35+Y37</f>
        <v>77050</v>
      </c>
      <c r="Z38" s="228"/>
      <c r="AB38" s="228">
        <f>AB33+AB35+AB37</f>
        <v>8871.09</v>
      </c>
      <c r="AC38" s="297">
        <f t="shared" ref="AC38:AG38" si="43">AC33+AC35+AC37</f>
        <v>88138.86</v>
      </c>
      <c r="AD38" s="297">
        <f t="shared" si="43"/>
        <v>9610.35</v>
      </c>
      <c r="AE38" s="297">
        <f t="shared" si="43"/>
        <v>0</v>
      </c>
      <c r="AF38" s="297">
        <f>AF33+AF35+AF37</f>
        <v>44355.44</v>
      </c>
      <c r="AG38" s="297">
        <f t="shared" si="43"/>
        <v>150975.74</v>
      </c>
      <c r="AH38" s="363"/>
      <c r="AI38" s="228">
        <f t="shared" ref="AI38:AN38" si="44">AI33+AI35+AI37</f>
        <v>132.40432835820894</v>
      </c>
      <c r="AJ38" s="228">
        <f t="shared" si="44"/>
        <v>165.50537313432838</v>
      </c>
      <c r="AK38" s="228">
        <f t="shared" si="44"/>
        <v>143.43805970149253</v>
      </c>
      <c r="AL38" s="228">
        <f t="shared" si="44"/>
        <v>1150</v>
      </c>
      <c r="AM38" s="228">
        <f t="shared" si="44"/>
        <v>662.02149253731341</v>
      </c>
      <c r="AN38" s="228">
        <f t="shared" si="44"/>
        <v>2253.3692537313432</v>
      </c>
      <c r="AO38" s="228"/>
      <c r="AP38" s="228"/>
      <c r="AQ38" s="228"/>
      <c r="AR38" s="228"/>
      <c r="AS38" s="228"/>
      <c r="AU38" s="230" t="s">
        <v>367</v>
      </c>
    </row>
    <row r="39" spans="1:47" s="40" customFormat="1" x14ac:dyDescent="0.3">
      <c r="A39" s="231"/>
      <c r="B39" s="231"/>
      <c r="C39" s="232"/>
      <c r="D39" s="233"/>
      <c r="E39" s="234"/>
      <c r="F39" s="234" t="s">
        <v>403</v>
      </c>
      <c r="G39" s="235">
        <f>G38/$T$38</f>
        <v>0.12</v>
      </c>
      <c r="H39" s="236"/>
      <c r="I39" s="237"/>
      <c r="J39" s="235">
        <f>J38/$T$38</f>
        <v>0.15</v>
      </c>
      <c r="K39" s="236"/>
      <c r="L39" s="237"/>
      <c r="M39" s="235">
        <f>M38/$T$38</f>
        <v>0.13</v>
      </c>
      <c r="N39" s="236"/>
      <c r="O39" s="237"/>
      <c r="P39" s="237"/>
      <c r="Q39" s="236"/>
      <c r="R39" s="236"/>
      <c r="S39" s="237"/>
      <c r="T39" s="237"/>
      <c r="U39" s="221"/>
      <c r="V39" s="212"/>
      <c r="W39" s="212"/>
      <c r="X39" s="221"/>
      <c r="Y39" s="238"/>
      <c r="Z39" s="239"/>
      <c r="AC39" s="240"/>
      <c r="AG39" s="362"/>
      <c r="AH39" s="362"/>
      <c r="AI39" s="223"/>
      <c r="AJ39" s="223"/>
      <c r="AK39" s="223"/>
      <c r="AN39" s="241">
        <f>AN33/1500</f>
        <v>0.84865741293532326</v>
      </c>
      <c r="AO39" s="241"/>
      <c r="AP39" s="241"/>
      <c r="AQ39" s="241"/>
      <c r="AR39" s="241"/>
      <c r="AS39" s="241"/>
    </row>
    <row r="40" spans="1:47" s="40" customFormat="1" x14ac:dyDescent="0.3">
      <c r="A40" s="231"/>
      <c r="B40" s="231"/>
      <c r="C40" s="232"/>
      <c r="D40" s="233"/>
      <c r="E40" s="234"/>
      <c r="F40" s="234" t="s">
        <v>404</v>
      </c>
      <c r="G40" s="235">
        <f>I38/($U$38-$P$38)</f>
        <v>0.12</v>
      </c>
      <c r="H40" s="236"/>
      <c r="I40" s="236"/>
      <c r="J40" s="235">
        <f>L38/($U$38-$P$38)</f>
        <v>0.15</v>
      </c>
      <c r="K40" s="236"/>
      <c r="L40" s="237"/>
      <c r="M40" s="235">
        <f>O38/($U$38-$P$38)</f>
        <v>0.13</v>
      </c>
      <c r="N40" s="236"/>
      <c r="O40" s="236"/>
      <c r="P40" s="236"/>
      <c r="Q40" s="236"/>
      <c r="R40" s="236"/>
      <c r="S40" s="236"/>
      <c r="T40" s="236"/>
      <c r="U40" s="221"/>
      <c r="V40" s="212"/>
      <c r="W40" s="212"/>
      <c r="X40" s="221"/>
      <c r="Y40" s="236"/>
      <c r="Z40" s="236"/>
      <c r="AB40" s="199"/>
      <c r="AD40" s="240"/>
      <c r="AI40" s="223"/>
      <c r="AJ40" s="223"/>
      <c r="AK40" s="223"/>
      <c r="AN40" s="241">
        <f>AN35/1500</f>
        <v>0.42363442786069655</v>
      </c>
      <c r="AO40" s="241"/>
      <c r="AP40" s="241"/>
      <c r="AQ40" s="241"/>
      <c r="AR40" s="241"/>
      <c r="AS40" s="241"/>
    </row>
    <row r="41" spans="1:47" ht="18.75" customHeight="1" x14ac:dyDescent="0.3">
      <c r="A41" s="362"/>
      <c r="B41" s="362"/>
      <c r="C41" s="374"/>
      <c r="D41" s="362"/>
      <c r="E41" s="367"/>
      <c r="F41" s="362"/>
      <c r="G41" s="362"/>
      <c r="H41" s="362"/>
      <c r="I41" s="362"/>
      <c r="J41" s="362"/>
      <c r="K41" s="362"/>
      <c r="L41" s="375"/>
      <c r="M41" s="375"/>
      <c r="N41" s="375"/>
      <c r="O41" s="385"/>
      <c r="P41" s="385"/>
      <c r="Q41" s="385"/>
      <c r="R41" s="385"/>
      <c r="S41" s="375"/>
      <c r="T41" s="362"/>
      <c r="U41"/>
      <c r="V41"/>
      <c r="W41" s="362"/>
      <c r="X41" s="362"/>
      <c r="Y41" s="362"/>
      <c r="Z41" s="362"/>
      <c r="AA41" s="199">
        <v>46752</v>
      </c>
      <c r="AB41"/>
      <c r="AC41"/>
      <c r="AD41"/>
      <c r="AE41"/>
      <c r="AF41" s="362"/>
      <c r="AG41" s="40"/>
      <c r="AH41" s="362"/>
      <c r="AI41" s="558" t="s">
        <v>334</v>
      </c>
      <c r="AJ41" s="559"/>
      <c r="AK41" s="559"/>
      <c r="AL41" s="559"/>
      <c r="AM41" s="559"/>
      <c r="AN41" s="559"/>
      <c r="AO41" s="388"/>
      <c r="AP41" s="388"/>
      <c r="AQ41" s="388"/>
      <c r="AR41" s="388"/>
      <c r="AS41" s="388"/>
      <c r="AT41" s="362"/>
      <c r="AU41" s="362"/>
    </row>
    <row r="42" spans="1:47" x14ac:dyDescent="0.3">
      <c r="A42" s="362"/>
      <c r="B42" s="362"/>
      <c r="C42" s="560" t="s">
        <v>405</v>
      </c>
      <c r="D42" s="560"/>
      <c r="E42" s="370"/>
      <c r="F42" s="370"/>
      <c r="G42" s="389">
        <v>0.12</v>
      </c>
      <c r="H42" s="389"/>
      <c r="I42" s="389"/>
      <c r="J42" s="389">
        <v>0.15</v>
      </c>
      <c r="K42" s="389"/>
      <c r="L42" s="389"/>
      <c r="M42" s="389">
        <v>0.13</v>
      </c>
      <c r="N42" s="389"/>
      <c r="O42" s="389"/>
      <c r="P42" s="389"/>
      <c r="Q42" s="389">
        <v>0.6</v>
      </c>
      <c r="R42" s="362"/>
      <c r="S42"/>
      <c r="T42"/>
      <c r="U42"/>
      <c r="V42" s="561" t="s">
        <v>336</v>
      </c>
      <c r="W42" s="561"/>
      <c r="X42" s="40"/>
      <c r="Y42" s="362"/>
      <c r="Z42" s="362"/>
      <c r="AA42" s="362"/>
      <c r="AB42" s="562" t="s">
        <v>406</v>
      </c>
      <c r="AC42" s="562"/>
      <c r="AD42" s="562"/>
      <c r="AE42" s="562"/>
      <c r="AF42" s="562"/>
      <c r="AG42" s="362"/>
      <c r="AH42" s="362"/>
      <c r="AI42" s="562" t="s">
        <v>407</v>
      </c>
      <c r="AJ42" s="562"/>
      <c r="AK42" s="562"/>
      <c r="AL42" s="362"/>
      <c r="AM42" s="362"/>
      <c r="AN42" s="362"/>
      <c r="AO42" s="362"/>
      <c r="AP42" s="362"/>
      <c r="AQ42" s="362"/>
      <c r="AR42" s="362"/>
      <c r="AS42" s="362"/>
      <c r="AT42" s="362"/>
      <c r="AU42" s="362"/>
    </row>
    <row r="43" spans="1:47" s="40" customFormat="1" ht="41.4" customHeight="1" x14ac:dyDescent="0.3">
      <c r="A43" s="200" t="s">
        <v>339</v>
      </c>
      <c r="B43" s="183" t="s">
        <v>48</v>
      </c>
      <c r="C43" s="183" t="s">
        <v>297</v>
      </c>
      <c r="D43" s="183" t="s">
        <v>340</v>
      </c>
      <c r="E43" s="183" t="s">
        <v>341</v>
      </c>
      <c r="F43" s="201" t="s">
        <v>342</v>
      </c>
      <c r="G43" s="202" t="s">
        <v>343</v>
      </c>
      <c r="H43" s="182" t="s">
        <v>344</v>
      </c>
      <c r="I43" s="182" t="s">
        <v>345</v>
      </c>
      <c r="J43" s="202" t="s">
        <v>346</v>
      </c>
      <c r="K43" s="182" t="s">
        <v>344</v>
      </c>
      <c r="L43" s="182" t="s">
        <v>347</v>
      </c>
      <c r="M43" s="202" t="s">
        <v>348</v>
      </c>
      <c r="N43" s="182" t="s">
        <v>344</v>
      </c>
      <c r="O43" s="182" t="s">
        <v>349</v>
      </c>
      <c r="P43" s="202" t="s">
        <v>350</v>
      </c>
      <c r="Q43" s="202" t="s">
        <v>351</v>
      </c>
      <c r="R43" s="182" t="s">
        <v>344</v>
      </c>
      <c r="S43" s="182" t="s">
        <v>352</v>
      </c>
      <c r="T43" s="182" t="s">
        <v>353</v>
      </c>
      <c r="U43" s="182" t="s">
        <v>354</v>
      </c>
      <c r="V43" s="203" t="s">
        <v>355</v>
      </c>
      <c r="W43" s="203" t="s">
        <v>356</v>
      </c>
      <c r="X43" s="202" t="s">
        <v>357</v>
      </c>
      <c r="Y43" s="202" t="s">
        <v>358</v>
      </c>
      <c r="Z43" s="203" t="s">
        <v>359</v>
      </c>
      <c r="AB43" s="182" t="s">
        <v>345</v>
      </c>
      <c r="AC43" s="182" t="s">
        <v>347</v>
      </c>
      <c r="AD43" s="182" t="s">
        <v>349</v>
      </c>
      <c r="AE43" s="182" t="s">
        <v>350</v>
      </c>
      <c r="AF43" s="182" t="s">
        <v>360</v>
      </c>
      <c r="AG43" s="182" t="s">
        <v>361</v>
      </c>
      <c r="AH43"/>
      <c r="AI43" s="182" t="s">
        <v>362</v>
      </c>
      <c r="AJ43" s="182" t="s">
        <v>363</v>
      </c>
      <c r="AK43" s="182" t="s">
        <v>364</v>
      </c>
      <c r="AL43" s="204" t="s">
        <v>365</v>
      </c>
      <c r="AM43" s="204" t="s">
        <v>366</v>
      </c>
      <c r="AN43" s="182" t="s">
        <v>367</v>
      </c>
      <c r="AO43" s="182" t="s">
        <v>368</v>
      </c>
      <c r="AP43" s="182" t="s">
        <v>369</v>
      </c>
      <c r="AQ43" s="182" t="s">
        <v>370</v>
      </c>
      <c r="AR43" s="182" t="s">
        <v>371</v>
      </c>
      <c r="AS43" s="182" t="s">
        <v>372</v>
      </c>
      <c r="AU43" s="201" t="s">
        <v>342</v>
      </c>
    </row>
    <row r="44" spans="1:47" s="40" customFormat="1" x14ac:dyDescent="0.3">
      <c r="A44" s="205" t="s">
        <v>373</v>
      </c>
      <c r="B44" s="196">
        <v>5</v>
      </c>
      <c r="C44" s="206" t="s">
        <v>374</v>
      </c>
      <c r="D44" s="206" t="s">
        <v>375</v>
      </c>
      <c r="E44" s="206" t="s">
        <v>376</v>
      </c>
      <c r="F44" s="206" t="s">
        <v>377</v>
      </c>
      <c r="G44" s="207">
        <f>$AA$50*AA44*$G$42</f>
        <v>185.94900000000001</v>
      </c>
      <c r="H44" s="207">
        <f>'Perfils manteniment'!$G$10</f>
        <v>67</v>
      </c>
      <c r="I44" s="208">
        <f>ROUND(G44*H44,2)</f>
        <v>12458.58</v>
      </c>
      <c r="J44" s="207">
        <f>$AA$50*AA44*$J$42</f>
        <v>232.43625</v>
      </c>
      <c r="K44" s="207">
        <f>'Perfils manteniment'!$G$18</f>
        <v>67</v>
      </c>
      <c r="L44" s="208">
        <f>ROUND(J44*K44,2)</f>
        <v>15573.23</v>
      </c>
      <c r="M44" s="209">
        <f>$AA$50*AA44*$M$42</f>
        <v>201.44475</v>
      </c>
      <c r="N44" s="207">
        <f>'Perfils manteniment'!$G$26</f>
        <v>67</v>
      </c>
      <c r="O44" s="208">
        <f>ROUND(M44*N44,2)</f>
        <v>13496.8</v>
      </c>
      <c r="P44" s="208"/>
      <c r="Q44" s="210">
        <f>$AA$50*AA44*$Q$42</f>
        <v>929.745</v>
      </c>
      <c r="R44" s="211">
        <f>'Perfils manteniment'!$G$34</f>
        <v>67</v>
      </c>
      <c r="S44" s="208">
        <f>ROUND(Q44*R44,2)</f>
        <v>62292.92</v>
      </c>
      <c r="T44" s="211">
        <f t="shared" ref="T44:T49" si="45">G44+J44+M44+Q44</f>
        <v>1549.575</v>
      </c>
      <c r="U44" s="208">
        <f>I44+L44+O44+P44+S44</f>
        <v>103821.53</v>
      </c>
      <c r="V44" s="212">
        <v>46204</v>
      </c>
      <c r="W44" s="212">
        <v>46388</v>
      </c>
      <c r="X44" s="211"/>
      <c r="Y44" s="213">
        <f>X44*K44*1</f>
        <v>0</v>
      </c>
      <c r="Z44" s="212"/>
      <c r="AA44" s="389">
        <v>0.22500000000000001</v>
      </c>
      <c r="AB44" s="391">
        <f>I44</f>
        <v>12458.58</v>
      </c>
      <c r="AC44" s="391">
        <f>L44</f>
        <v>15573.23</v>
      </c>
      <c r="AD44" s="391">
        <f>O44</f>
        <v>13496.8</v>
      </c>
      <c r="AE44" s="402">
        <f t="shared" ref="AE44:AE49" si="46">P44</f>
        <v>0</v>
      </c>
      <c r="AF44" s="402">
        <f>S44</f>
        <v>62292.92</v>
      </c>
      <c r="AG44" s="403">
        <f t="shared" ref="AG44:AG49" si="47">SUM(AB44:AF44)</f>
        <v>103821.53</v>
      </c>
      <c r="AH44" s="362"/>
      <c r="AI44" s="393">
        <f t="shared" ref="AI44:AI49" si="48">AB44/H44</f>
        <v>185.9489552238806</v>
      </c>
      <c r="AJ44" s="393">
        <f t="shared" ref="AJ44:AJ49" si="49">(AC44-Y44)/K44</f>
        <v>232.43626865671641</v>
      </c>
      <c r="AK44" s="393">
        <f t="shared" ref="AK44:AK49" si="50">AD44/N44</f>
        <v>201.44477611940297</v>
      </c>
      <c r="AL44" s="393">
        <f>X44</f>
        <v>0</v>
      </c>
      <c r="AM44" s="393">
        <f>AF44/R44</f>
        <v>929.74507462686563</v>
      </c>
      <c r="AN44" s="394">
        <f>SUM(AI44:AM44)</f>
        <v>1549.5750746268654</v>
      </c>
      <c r="AO44" s="395">
        <f>IF($AN$44=0,0,AI44/$AN$44)</f>
        <v>0.1199999653251113</v>
      </c>
      <c r="AP44" s="395">
        <f>IF($AN$44=0,0,AJ44/$AN$44)</f>
        <v>0.15000000481595679</v>
      </c>
      <c r="AQ44" s="395">
        <f>IF($AN$44=0,0,AK44/$AN$44)</f>
        <v>0.13000001059510491</v>
      </c>
      <c r="AR44" s="395">
        <f>IF($AN$44=0,0,AL44/$AN$44)</f>
        <v>0</v>
      </c>
      <c r="AS44" s="395">
        <f>IF($AN$44=0,0,AM44/$AN$44)</f>
        <v>0.60000001926382718</v>
      </c>
      <c r="AU44" s="206" t="s">
        <v>377</v>
      </c>
    </row>
    <row r="45" spans="1:47" s="40" customFormat="1" x14ac:dyDescent="0.3">
      <c r="A45" s="214" t="s">
        <v>378</v>
      </c>
      <c r="B45" s="40">
        <v>1</v>
      </c>
      <c r="C45" s="206" t="s">
        <v>379</v>
      </c>
      <c r="D45" s="206" t="s">
        <v>380</v>
      </c>
      <c r="E45" s="206" t="s">
        <v>376</v>
      </c>
      <c r="F45" s="206" t="s">
        <v>381</v>
      </c>
      <c r="G45" s="207">
        <f t="shared" ref="G45:G49" si="51">$AA$50*AA45*$G$42</f>
        <v>0</v>
      </c>
      <c r="H45" s="207">
        <f>'Perfils manteniment'!$G$10</f>
        <v>67</v>
      </c>
      <c r="I45" s="208">
        <f>ROUND(G45*H45,2)</f>
        <v>0</v>
      </c>
      <c r="J45" s="207">
        <f t="shared" ref="J45:J49" si="52">$AA$50*AA45*$J$42</f>
        <v>0</v>
      </c>
      <c r="K45" s="207">
        <f>'Perfils manteniment'!$G$18</f>
        <v>67</v>
      </c>
      <c r="L45" s="208">
        <f>ROUND(J45*K45,2)</f>
        <v>0</v>
      </c>
      <c r="M45" s="209">
        <f t="shared" ref="M45:M49" si="53">$AA$50*AA45*$M$42</f>
        <v>0</v>
      </c>
      <c r="N45" s="207">
        <f>'Perfils manteniment'!$G$26</f>
        <v>67</v>
      </c>
      <c r="O45" s="208">
        <f t="shared" ref="O45:O49" si="54">ROUND(M45*N45,2)</f>
        <v>0</v>
      </c>
      <c r="P45" s="208"/>
      <c r="Q45" s="210">
        <f t="shared" ref="Q45:Q49" si="55">$AA$50*AA45*$Q$42</f>
        <v>0</v>
      </c>
      <c r="R45" s="211">
        <f>'Perfils manteniment'!$G$34</f>
        <v>67</v>
      </c>
      <c r="S45" s="208">
        <f t="shared" ref="S45:S49" si="56">ROUND(Q45*R45,2)</f>
        <v>0</v>
      </c>
      <c r="T45" s="211">
        <f t="shared" si="45"/>
        <v>0</v>
      </c>
      <c r="U45" s="208">
        <f t="shared" ref="U45:U49" si="57">I45+L45+O45+P45+S45</f>
        <v>0</v>
      </c>
      <c r="V45" s="212">
        <v>46204</v>
      </c>
      <c r="W45" s="212">
        <v>46388</v>
      </c>
      <c r="X45" s="211"/>
      <c r="Y45" s="213">
        <f t="shared" ref="Y45:Y49" si="58">X45*K45</f>
        <v>0</v>
      </c>
      <c r="Z45" s="212"/>
      <c r="AA45" s="389">
        <v>0</v>
      </c>
      <c r="AB45" s="391">
        <f t="shared" ref="AB45:AB49" si="59">I45</f>
        <v>0</v>
      </c>
      <c r="AC45" s="391">
        <f t="shared" ref="AC45:AC49" si="60">L45</f>
        <v>0</v>
      </c>
      <c r="AD45" s="391">
        <f t="shared" ref="AD45:AD49" si="61">O45</f>
        <v>0</v>
      </c>
      <c r="AE45" s="402">
        <f t="shared" si="46"/>
        <v>0</v>
      </c>
      <c r="AF45" s="402">
        <f t="shared" ref="AF45:AF49" si="62">S45</f>
        <v>0</v>
      </c>
      <c r="AG45" s="403">
        <f t="shared" si="47"/>
        <v>0</v>
      </c>
      <c r="AH45" s="362"/>
      <c r="AI45" s="393">
        <f t="shared" si="48"/>
        <v>0</v>
      </c>
      <c r="AJ45" s="393">
        <f t="shared" si="49"/>
        <v>0</v>
      </c>
      <c r="AK45" s="393">
        <f t="shared" si="50"/>
        <v>0</v>
      </c>
      <c r="AL45" s="393">
        <f t="shared" ref="AL45:AL49" si="63">X45</f>
        <v>0</v>
      </c>
      <c r="AM45" s="393">
        <f t="shared" ref="AM45:AM51" si="64">AF45/R45</f>
        <v>0</v>
      </c>
      <c r="AN45" s="394">
        <f t="shared" ref="AN45:AN49" si="65">SUM(AI45:AM45)</f>
        <v>0</v>
      </c>
      <c r="AO45" s="395">
        <f>IF($AN$45=0,0,AI45/$AN$45)</f>
        <v>0</v>
      </c>
      <c r="AP45" s="395">
        <f>IF($AN$45=0,0,AJ45/$AN$45)</f>
        <v>0</v>
      </c>
      <c r="AQ45" s="395">
        <f>IF($AN$45=0,0,AK45/$AN$45)</f>
        <v>0</v>
      </c>
      <c r="AR45" s="395">
        <f>IF($AN$45=0,0,AL45/$AN$45)</f>
        <v>0</v>
      </c>
      <c r="AS45" s="395">
        <f>IF($AN$45=0,0,AM45/$AN$45)</f>
        <v>0</v>
      </c>
      <c r="AU45" s="206" t="s">
        <v>381</v>
      </c>
    </row>
    <row r="46" spans="1:47" s="40" customFormat="1" x14ac:dyDescent="0.3">
      <c r="A46" s="264" t="s">
        <v>382</v>
      </c>
      <c r="B46">
        <v>4</v>
      </c>
      <c r="C46" s="206" t="s">
        <v>383</v>
      </c>
      <c r="D46" s="206" t="s">
        <v>384</v>
      </c>
      <c r="E46" s="206" t="s">
        <v>376</v>
      </c>
      <c r="F46" s="206" t="s">
        <v>385</v>
      </c>
      <c r="G46" s="207">
        <f t="shared" si="51"/>
        <v>165.28800000000001</v>
      </c>
      <c r="H46" s="207">
        <f>'Perfils manteniment'!$G$10</f>
        <v>67</v>
      </c>
      <c r="I46" s="208">
        <f t="shared" ref="I46:I49" si="66">ROUND(G46*H46,2)</f>
        <v>11074.3</v>
      </c>
      <c r="J46" s="207">
        <f t="shared" si="52"/>
        <v>206.61</v>
      </c>
      <c r="K46" s="207">
        <f>'Perfils manteniment'!$G$18</f>
        <v>67</v>
      </c>
      <c r="L46" s="208">
        <f t="shared" ref="L46:L49" si="67">ROUND(J46*K46,2)</f>
        <v>13842.87</v>
      </c>
      <c r="M46" s="209">
        <f t="shared" si="53"/>
        <v>179.06200000000001</v>
      </c>
      <c r="N46" s="207">
        <f>'Perfils manteniment'!$G$26</f>
        <v>67</v>
      </c>
      <c r="O46" s="208">
        <f t="shared" si="54"/>
        <v>11997.15</v>
      </c>
      <c r="P46" s="208"/>
      <c r="Q46" s="210">
        <f t="shared" si="55"/>
        <v>826.44</v>
      </c>
      <c r="R46" s="211">
        <f>'Perfils manteniment'!$G$34</f>
        <v>67</v>
      </c>
      <c r="S46" s="208">
        <f t="shared" si="56"/>
        <v>55371.48</v>
      </c>
      <c r="T46" s="211">
        <f t="shared" si="45"/>
        <v>1377.4</v>
      </c>
      <c r="U46" s="208">
        <f t="shared" si="57"/>
        <v>92285.8</v>
      </c>
      <c r="V46" s="212">
        <v>46204</v>
      </c>
      <c r="W46" s="212">
        <v>46388</v>
      </c>
      <c r="X46" s="211"/>
      <c r="Y46" s="213">
        <f t="shared" si="58"/>
        <v>0</v>
      </c>
      <c r="Z46" s="212"/>
      <c r="AA46" s="389">
        <v>0.2</v>
      </c>
      <c r="AB46" s="391">
        <f t="shared" si="59"/>
        <v>11074.3</v>
      </c>
      <c r="AC46" s="391">
        <f t="shared" si="60"/>
        <v>13842.87</v>
      </c>
      <c r="AD46" s="391">
        <f t="shared" si="61"/>
        <v>11997.15</v>
      </c>
      <c r="AE46" s="402">
        <f t="shared" si="46"/>
        <v>0</v>
      </c>
      <c r="AF46" s="402">
        <f t="shared" si="62"/>
        <v>55371.48</v>
      </c>
      <c r="AG46" s="403">
        <f t="shared" si="47"/>
        <v>92285.8</v>
      </c>
      <c r="AH46" s="362"/>
      <c r="AI46" s="393">
        <f t="shared" si="48"/>
        <v>165.28805970149253</v>
      </c>
      <c r="AJ46" s="393">
        <f t="shared" si="49"/>
        <v>206.61</v>
      </c>
      <c r="AK46" s="393">
        <f t="shared" si="50"/>
        <v>179.06194029850747</v>
      </c>
      <c r="AL46" s="393">
        <f t="shared" si="63"/>
        <v>0</v>
      </c>
      <c r="AM46" s="393">
        <f t="shared" si="64"/>
        <v>826.44</v>
      </c>
      <c r="AN46" s="394">
        <f t="shared" si="65"/>
        <v>1377.4</v>
      </c>
      <c r="AO46" s="395">
        <f>IF($AN$46=0,0,AI46/$AN$46)</f>
        <v>0.12000004334361299</v>
      </c>
      <c r="AP46" s="395">
        <f>IF($AN$46=0,0,AJ46/$AN$46)</f>
        <v>0.15</v>
      </c>
      <c r="AQ46" s="395">
        <f>IF($AN$46=0,0,AK46/$AN$46)</f>
        <v>0.129999956656387</v>
      </c>
      <c r="AR46" s="395">
        <f>IF($AN$46=0,0,AL46/$AN$46)</f>
        <v>0</v>
      </c>
      <c r="AS46" s="395">
        <f>IF($AN$46=0,0,AM46/$AN$46)</f>
        <v>0.6</v>
      </c>
      <c r="AU46" s="206" t="s">
        <v>385</v>
      </c>
    </row>
    <row r="47" spans="1:47" s="40" customFormat="1" x14ac:dyDescent="0.3">
      <c r="B47">
        <v>5</v>
      </c>
      <c r="C47" s="206" t="s">
        <v>386</v>
      </c>
      <c r="D47" s="206" t="s">
        <v>387</v>
      </c>
      <c r="E47" s="206" t="s">
        <v>376</v>
      </c>
      <c r="F47" s="206" t="s">
        <v>388</v>
      </c>
      <c r="G47" s="207">
        <f t="shared" si="51"/>
        <v>392.55899999999997</v>
      </c>
      <c r="H47" s="207">
        <f>'Perfils manteniment'!$G$10</f>
        <v>67</v>
      </c>
      <c r="I47" s="208">
        <f t="shared" si="66"/>
        <v>26301.45</v>
      </c>
      <c r="J47" s="207">
        <f t="shared" si="52"/>
        <v>490.69874999999996</v>
      </c>
      <c r="K47" s="207">
        <f>'Perfils manteniment'!$G$18</f>
        <v>67</v>
      </c>
      <c r="L47" s="208">
        <f t="shared" si="67"/>
        <v>32876.82</v>
      </c>
      <c r="M47" s="209">
        <f t="shared" si="53"/>
        <v>425.27224999999999</v>
      </c>
      <c r="N47" s="207">
        <f>'Perfils manteniment'!$G$26</f>
        <v>67</v>
      </c>
      <c r="O47" s="208">
        <f t="shared" si="54"/>
        <v>28493.24</v>
      </c>
      <c r="P47" s="208"/>
      <c r="Q47" s="210">
        <f t="shared" si="55"/>
        <v>1962.7949999999998</v>
      </c>
      <c r="R47" s="211">
        <f>'Perfils manteniment'!$G$34</f>
        <v>67</v>
      </c>
      <c r="S47" s="208">
        <f t="shared" si="56"/>
        <v>131507.26999999999</v>
      </c>
      <c r="T47" s="211">
        <f t="shared" si="45"/>
        <v>3271.3249999999998</v>
      </c>
      <c r="U47" s="208">
        <f t="shared" si="57"/>
        <v>219178.78</v>
      </c>
      <c r="V47" s="212">
        <v>46204</v>
      </c>
      <c r="W47" s="212">
        <v>46388</v>
      </c>
      <c r="X47" s="211"/>
      <c r="Y47" s="213">
        <f t="shared" si="58"/>
        <v>0</v>
      </c>
      <c r="Z47" s="212"/>
      <c r="AA47" s="389">
        <v>0.47499999999999998</v>
      </c>
      <c r="AB47" s="391">
        <f t="shared" si="59"/>
        <v>26301.45</v>
      </c>
      <c r="AC47" s="391">
        <f t="shared" si="60"/>
        <v>32876.82</v>
      </c>
      <c r="AD47" s="391">
        <f t="shared" si="61"/>
        <v>28493.24</v>
      </c>
      <c r="AE47" s="402">
        <f t="shared" si="46"/>
        <v>0</v>
      </c>
      <c r="AF47" s="402">
        <f t="shared" si="62"/>
        <v>131507.26999999999</v>
      </c>
      <c r="AG47" s="403">
        <f t="shared" si="47"/>
        <v>219178.78</v>
      </c>
      <c r="AH47" s="362"/>
      <c r="AI47" s="393">
        <f t="shared" si="48"/>
        <v>392.55895522388062</v>
      </c>
      <c r="AJ47" s="393">
        <f t="shared" si="49"/>
        <v>490.69880597014924</v>
      </c>
      <c r="AK47" s="393">
        <f t="shared" si="50"/>
        <v>425.27223880597018</v>
      </c>
      <c r="AL47" s="393">
        <f t="shared" si="63"/>
        <v>0</v>
      </c>
      <c r="AM47" s="393">
        <f t="shared" si="64"/>
        <v>1962.7950746268655</v>
      </c>
      <c r="AN47" s="394">
        <f t="shared" si="65"/>
        <v>3271.3250746268654</v>
      </c>
      <c r="AO47" s="395">
        <f>IF($AN$47=0,0,AI47/$AN$47)</f>
        <v>0.1199999835750523</v>
      </c>
      <c r="AP47" s="395">
        <f>IF($AN$47=0,0,AJ47/$AN$47)</f>
        <v>0.15000001368745644</v>
      </c>
      <c r="AQ47" s="395">
        <f>IF($AN$47=0,0,AK47/$AN$47)</f>
        <v>0.12999999361252035</v>
      </c>
      <c r="AR47" s="395">
        <f>IF($AN$47=0,0,AL47/$AN$47)</f>
        <v>0</v>
      </c>
      <c r="AS47" s="395">
        <f>IF($AN$47=0,0,AM47/$AN$47)</f>
        <v>0.60000000912497098</v>
      </c>
      <c r="AU47" s="206" t="s">
        <v>388</v>
      </c>
    </row>
    <row r="48" spans="1:47" s="40" customFormat="1" x14ac:dyDescent="0.3">
      <c r="B48">
        <v>4</v>
      </c>
      <c r="C48" s="206" t="s">
        <v>389</v>
      </c>
      <c r="D48" s="206" t="s">
        <v>390</v>
      </c>
      <c r="E48" s="206" t="s">
        <v>376</v>
      </c>
      <c r="F48" s="206" t="s">
        <v>391</v>
      </c>
      <c r="G48" s="207">
        <f t="shared" si="51"/>
        <v>0</v>
      </c>
      <c r="H48" s="207">
        <f>'Perfils manteniment'!$G$10</f>
        <v>67</v>
      </c>
      <c r="I48" s="208">
        <f t="shared" si="66"/>
        <v>0</v>
      </c>
      <c r="J48" s="207">
        <f t="shared" si="52"/>
        <v>0</v>
      </c>
      <c r="K48" s="207">
        <f>'Perfils manteniment'!$G$18</f>
        <v>67</v>
      </c>
      <c r="L48" s="208">
        <f t="shared" si="67"/>
        <v>0</v>
      </c>
      <c r="M48" s="209">
        <f t="shared" si="53"/>
        <v>0</v>
      </c>
      <c r="N48" s="207">
        <f>'Perfils manteniment'!$G$26</f>
        <v>67</v>
      </c>
      <c r="O48" s="208">
        <f t="shared" si="54"/>
        <v>0</v>
      </c>
      <c r="P48" s="208"/>
      <c r="Q48" s="210">
        <f t="shared" si="55"/>
        <v>0</v>
      </c>
      <c r="R48" s="211">
        <f>'Perfils manteniment'!$G$34</f>
        <v>67</v>
      </c>
      <c r="S48" s="208">
        <f t="shared" si="56"/>
        <v>0</v>
      </c>
      <c r="T48" s="211">
        <f t="shared" si="45"/>
        <v>0</v>
      </c>
      <c r="U48" s="208">
        <f t="shared" si="57"/>
        <v>0</v>
      </c>
      <c r="V48" s="212">
        <v>46204</v>
      </c>
      <c r="W48" s="212">
        <v>46388</v>
      </c>
      <c r="X48" s="211"/>
      <c r="Y48" s="213">
        <f t="shared" si="58"/>
        <v>0</v>
      </c>
      <c r="Z48" s="212"/>
      <c r="AA48" s="389">
        <v>0</v>
      </c>
      <c r="AB48" s="391">
        <f t="shared" si="59"/>
        <v>0</v>
      </c>
      <c r="AC48" s="391">
        <f t="shared" si="60"/>
        <v>0</v>
      </c>
      <c r="AD48" s="391">
        <f t="shared" si="61"/>
        <v>0</v>
      </c>
      <c r="AE48" s="402">
        <f t="shared" si="46"/>
        <v>0</v>
      </c>
      <c r="AF48" s="402">
        <f t="shared" si="62"/>
        <v>0</v>
      </c>
      <c r="AG48" s="403">
        <f t="shared" si="47"/>
        <v>0</v>
      </c>
      <c r="AH48" s="362"/>
      <c r="AI48" s="393">
        <f t="shared" si="48"/>
        <v>0</v>
      </c>
      <c r="AJ48" s="393">
        <f t="shared" si="49"/>
        <v>0</v>
      </c>
      <c r="AK48" s="393">
        <f t="shared" si="50"/>
        <v>0</v>
      </c>
      <c r="AL48" s="393">
        <f t="shared" si="63"/>
        <v>0</v>
      </c>
      <c r="AM48" s="393">
        <f t="shared" si="64"/>
        <v>0</v>
      </c>
      <c r="AN48" s="394">
        <f t="shared" si="65"/>
        <v>0</v>
      </c>
      <c r="AO48" s="395">
        <f>IF($AN$48=0,0,AI48/$AN$48)</f>
        <v>0</v>
      </c>
      <c r="AP48" s="395">
        <f>IF($AN$48=0,0,AJ48/$AN$48)</f>
        <v>0</v>
      </c>
      <c r="AQ48" s="395">
        <f>IF($AN$48=0,0,AK48/$AN$48)</f>
        <v>0</v>
      </c>
      <c r="AR48" s="395">
        <f>IF($AN$48=0,0,AL48/$AN$48)</f>
        <v>0</v>
      </c>
      <c r="AS48" s="395">
        <f>IF($AN$48=0,0,AM48/$AN$48)</f>
        <v>0</v>
      </c>
      <c r="AU48" s="206" t="s">
        <v>391</v>
      </c>
    </row>
    <row r="49" spans="1:47" s="40" customFormat="1" x14ac:dyDescent="0.3">
      <c r="B49">
        <v>6</v>
      </c>
      <c r="C49" s="206" t="s">
        <v>392</v>
      </c>
      <c r="D49" s="206" t="s">
        <v>393</v>
      </c>
      <c r="E49" s="206" t="s">
        <v>376</v>
      </c>
      <c r="F49" s="206" t="s">
        <v>394</v>
      </c>
      <c r="G49" s="207">
        <f t="shared" si="51"/>
        <v>82.644000000000005</v>
      </c>
      <c r="H49" s="207">
        <f>'Perfils manteniment'!$G$10</f>
        <v>67</v>
      </c>
      <c r="I49" s="208">
        <f t="shared" si="66"/>
        <v>5537.15</v>
      </c>
      <c r="J49" s="207">
        <f t="shared" si="52"/>
        <v>103.30500000000001</v>
      </c>
      <c r="K49" s="207">
        <f>'Perfils manteniment'!$G$18</f>
        <v>67</v>
      </c>
      <c r="L49" s="208">
        <f t="shared" si="67"/>
        <v>6921.44</v>
      </c>
      <c r="M49" s="209">
        <f t="shared" si="53"/>
        <v>89.531000000000006</v>
      </c>
      <c r="N49" s="207">
        <f>'Perfils manteniment'!$G$26</f>
        <v>67</v>
      </c>
      <c r="O49" s="208">
        <f t="shared" si="54"/>
        <v>5998.58</v>
      </c>
      <c r="P49" s="208"/>
      <c r="Q49" s="210">
        <f t="shared" si="55"/>
        <v>413.22</v>
      </c>
      <c r="R49" s="211">
        <f>'Perfils manteniment'!$G$34</f>
        <v>67</v>
      </c>
      <c r="S49" s="208">
        <f t="shared" si="56"/>
        <v>27685.74</v>
      </c>
      <c r="T49" s="211">
        <f t="shared" si="45"/>
        <v>688.7</v>
      </c>
      <c r="U49" s="208">
        <f t="shared" si="57"/>
        <v>46142.91</v>
      </c>
      <c r="V49" s="212">
        <v>46204</v>
      </c>
      <c r="W49" s="212">
        <v>46388</v>
      </c>
      <c r="X49" s="211"/>
      <c r="Y49" s="213">
        <f t="shared" si="58"/>
        <v>0</v>
      </c>
      <c r="Z49" s="212"/>
      <c r="AA49" s="389">
        <v>0.1</v>
      </c>
      <c r="AB49" s="391">
        <f t="shared" si="59"/>
        <v>5537.15</v>
      </c>
      <c r="AC49" s="391">
        <f t="shared" si="60"/>
        <v>6921.44</v>
      </c>
      <c r="AD49" s="391">
        <f t="shared" si="61"/>
        <v>5998.58</v>
      </c>
      <c r="AE49" s="402">
        <f t="shared" si="46"/>
        <v>0</v>
      </c>
      <c r="AF49" s="402">
        <f t="shared" si="62"/>
        <v>27685.74</v>
      </c>
      <c r="AG49" s="403">
        <f t="shared" si="47"/>
        <v>46142.91</v>
      </c>
      <c r="AH49" s="362"/>
      <c r="AI49" s="393">
        <f t="shared" si="48"/>
        <v>82.644029850746264</v>
      </c>
      <c r="AJ49" s="393">
        <f t="shared" si="49"/>
        <v>103.30507462686566</v>
      </c>
      <c r="AK49" s="393">
        <f t="shared" si="50"/>
        <v>89.531044776119401</v>
      </c>
      <c r="AL49" s="393">
        <f t="shared" si="63"/>
        <v>0</v>
      </c>
      <c r="AM49" s="393">
        <f t="shared" si="64"/>
        <v>413.22</v>
      </c>
      <c r="AN49" s="394">
        <f t="shared" si="65"/>
        <v>688.7001492537313</v>
      </c>
      <c r="AO49" s="395">
        <f>IF($AN$49=0,0,AI49/$AN$49)</f>
        <v>0.12000001733744144</v>
      </c>
      <c r="AP49" s="395">
        <f>IF($AN$49=0,0,AJ49/$AN$49)</f>
        <v>0.15000007585130629</v>
      </c>
      <c r="AQ49" s="395">
        <f>IF($AN$49=0,0,AK49/$AN$49)</f>
        <v>0.13000003684206307</v>
      </c>
      <c r="AR49" s="395">
        <f>IF($AN$49=0,0,AL49/$AN$49)</f>
        <v>0</v>
      </c>
      <c r="AS49" s="395">
        <f>IF($AN$49=0,0,AM49/$AN$49)</f>
        <v>0.5999998699691893</v>
      </c>
      <c r="AU49" s="206" t="s">
        <v>394</v>
      </c>
    </row>
    <row r="50" spans="1:47" s="40" customFormat="1" ht="14.1" customHeight="1" x14ac:dyDescent="0.3">
      <c r="A50" s="215"/>
      <c r="B50"/>
      <c r="C50" s="563"/>
      <c r="D50" s="563"/>
      <c r="E50" s="563"/>
      <c r="F50" s="216" t="s">
        <v>395</v>
      </c>
      <c r="G50" s="217">
        <f>SUM(G44:G49)</f>
        <v>826.44</v>
      </c>
      <c r="H50" s="217"/>
      <c r="I50" s="217">
        <f>SUM(I44:I49)</f>
        <v>55371.48</v>
      </c>
      <c r="J50" s="217">
        <f>SUM(J44:J49)</f>
        <v>1033.05</v>
      </c>
      <c r="K50" s="217"/>
      <c r="L50" s="217">
        <f>SUM(L44:L49)</f>
        <v>69214.36</v>
      </c>
      <c r="M50" s="217">
        <f>SUM(M44:M49)</f>
        <v>895.31</v>
      </c>
      <c r="N50" s="217"/>
      <c r="O50" s="217">
        <f>SUM(O44:O49)</f>
        <v>59985.770000000004</v>
      </c>
      <c r="P50" s="217">
        <f>SUM(P44:P49)</f>
        <v>0</v>
      </c>
      <c r="Q50" s="217">
        <f t="shared" ref="Q50" si="68">$AA$43*AA50*$Q$42</f>
        <v>0</v>
      </c>
      <c r="R50" s="217"/>
      <c r="S50" s="217">
        <f>SUM(S44:S49)</f>
        <v>276857.40999999997</v>
      </c>
      <c r="T50" s="217">
        <f>SUM(T44:T49)</f>
        <v>6887</v>
      </c>
      <c r="U50" s="217">
        <f>SUM(U44:U49)</f>
        <v>461429.02</v>
      </c>
      <c r="V50" s="218"/>
      <c r="W50" s="218"/>
      <c r="X50" s="217">
        <f>SUM(X44:X49)</f>
        <v>0</v>
      </c>
      <c r="Y50" s="217">
        <f>SUM(Y44:Y49)</f>
        <v>0</v>
      </c>
      <c r="Z50" s="217"/>
      <c r="AA50" s="375">
        <v>6887</v>
      </c>
      <c r="AB50" s="217">
        <f t="shared" ref="AB50:AG50" si="69">SUM(AB44:AB49)</f>
        <v>55371.48</v>
      </c>
      <c r="AC50" s="217">
        <f t="shared" si="69"/>
        <v>69214.36</v>
      </c>
      <c r="AD50" s="217">
        <f t="shared" si="69"/>
        <v>59985.770000000004</v>
      </c>
      <c r="AE50" s="217">
        <f t="shared" si="69"/>
        <v>0</v>
      </c>
      <c r="AF50" s="217">
        <f t="shared" si="69"/>
        <v>276857.40999999997</v>
      </c>
      <c r="AG50" s="217">
        <f t="shared" si="69"/>
        <v>461429.02</v>
      </c>
      <c r="AH50" s="362"/>
      <c r="AI50" s="217">
        <f t="shared" ref="AI50:AN50" si="70">SUM(AI44:AI49)</f>
        <v>826.44</v>
      </c>
      <c r="AJ50" s="217">
        <f t="shared" si="70"/>
        <v>1033.0501492537312</v>
      </c>
      <c r="AK50" s="217">
        <f t="shared" si="70"/>
        <v>895.31</v>
      </c>
      <c r="AL50" s="217">
        <f t="shared" si="70"/>
        <v>0</v>
      </c>
      <c r="AM50" s="217">
        <f t="shared" si="70"/>
        <v>4132.2001492537311</v>
      </c>
      <c r="AN50" s="217">
        <f t="shared" si="70"/>
        <v>6887.0002985074625</v>
      </c>
      <c r="AO50" s="288">
        <f>IF($AN$50=0,0,AI50/$AN$50)</f>
        <v>0.11999999479876668</v>
      </c>
      <c r="AP50" s="288">
        <f t="shared" ref="AP50:AS50" si="71">IF($AN$50=0,0,AJ50/$AN$50)</f>
        <v>0.15000001517026387</v>
      </c>
      <c r="AQ50" s="288">
        <f t="shared" si="71"/>
        <v>0.12999999436533055</v>
      </c>
      <c r="AR50" s="288">
        <f t="shared" si="71"/>
        <v>0</v>
      </c>
      <c r="AS50" s="288">
        <f t="shared" si="71"/>
        <v>0.59999999566563889</v>
      </c>
      <c r="AU50" s="280" t="s">
        <v>395</v>
      </c>
    </row>
    <row r="51" spans="1:47" s="40" customFormat="1" x14ac:dyDescent="0.3">
      <c r="B51">
        <v>1</v>
      </c>
      <c r="C51" s="219" t="s">
        <v>396</v>
      </c>
      <c r="D51" s="220" t="s">
        <v>100</v>
      </c>
      <c r="E51" s="219"/>
      <c r="F51" s="220" t="s">
        <v>100</v>
      </c>
      <c r="G51" s="207">
        <f>$AA$52*AA51*$G$42</f>
        <v>271.8</v>
      </c>
      <c r="H51" s="275">
        <f>'Perfils manteniment'!$G$10</f>
        <v>67</v>
      </c>
      <c r="I51" s="276">
        <f>ROUND(G51*H51,2)</f>
        <v>18210.599999999999</v>
      </c>
      <c r="J51" s="207">
        <f>$AA$52*AA51*$J$42</f>
        <v>339.75</v>
      </c>
      <c r="K51" s="275">
        <f>'Perfils manteniment'!$G$18</f>
        <v>67</v>
      </c>
      <c r="L51" s="276">
        <f>ROUND(J51*K51,2)</f>
        <v>22763.25</v>
      </c>
      <c r="M51" s="209">
        <f>$AA$52*AA51*$M$42</f>
        <v>294.45</v>
      </c>
      <c r="N51" s="275">
        <f>'Perfils manteniment'!$G$26</f>
        <v>67</v>
      </c>
      <c r="O51" s="276">
        <f>ROUND(M51*N51,2)</f>
        <v>19728.150000000001</v>
      </c>
      <c r="P51" s="276"/>
      <c r="Q51" s="210">
        <f>$AA$52*AA51*$Q$42</f>
        <v>1359</v>
      </c>
      <c r="R51" s="211">
        <f>'Perfils manteniment'!$G$34</f>
        <v>67</v>
      </c>
      <c r="S51" s="276">
        <f>ROUND(Q51*R51,2)</f>
        <v>91053</v>
      </c>
      <c r="T51" s="211">
        <f t="shared" ref="T51" si="72">G51+J51+M51+Q51</f>
        <v>2265</v>
      </c>
      <c r="U51" s="276">
        <f>I51+L51+O51+P51+S51</f>
        <v>151755</v>
      </c>
      <c r="V51" s="212">
        <v>46204</v>
      </c>
      <c r="W51" s="212">
        <v>46388</v>
      </c>
      <c r="X51" s="277"/>
      <c r="Y51" s="279">
        <f>X51*K51</f>
        <v>0</v>
      </c>
      <c r="Z51" s="278"/>
      <c r="AA51" s="390">
        <v>1</v>
      </c>
      <c r="AB51" s="396">
        <f t="shared" ref="AB51" si="73">I51</f>
        <v>18210.599999999999</v>
      </c>
      <c r="AC51" s="396">
        <f t="shared" ref="AC51" si="74">L51</f>
        <v>22763.25</v>
      </c>
      <c r="AD51" s="396">
        <f t="shared" ref="AD51" si="75">O51</f>
        <v>19728.150000000001</v>
      </c>
      <c r="AE51" s="404">
        <f t="shared" ref="AE51" si="76">P51</f>
        <v>0</v>
      </c>
      <c r="AF51" s="404">
        <f t="shared" ref="AF51" si="77">S51</f>
        <v>91053</v>
      </c>
      <c r="AG51" s="405">
        <f>SUM(AB51:AF51)</f>
        <v>151755</v>
      </c>
      <c r="AH51" s="362"/>
      <c r="AI51" s="398">
        <f>AB51/H51</f>
        <v>271.79999999999995</v>
      </c>
      <c r="AJ51" s="398">
        <f>(AC51-Y51)/K51</f>
        <v>339.75</v>
      </c>
      <c r="AK51" s="398">
        <f>AD51/N51</f>
        <v>294.45000000000005</v>
      </c>
      <c r="AL51" s="398">
        <f>X51</f>
        <v>0</v>
      </c>
      <c r="AM51" s="398">
        <f t="shared" si="64"/>
        <v>1359</v>
      </c>
      <c r="AN51" s="398">
        <f>SUM(AI51:AM51)</f>
        <v>2265</v>
      </c>
      <c r="AO51" s="399">
        <f>IF($AN$51=0,0,AI51/$AN$51)</f>
        <v>0.11999999999999998</v>
      </c>
      <c r="AP51" s="399">
        <f t="shared" ref="AP51:AS51" si="78">IF($AN$51=0,0,AJ51/$AN$51)</f>
        <v>0.15</v>
      </c>
      <c r="AQ51" s="399">
        <f t="shared" si="78"/>
        <v>0.13000000000000003</v>
      </c>
      <c r="AR51" s="399">
        <f t="shared" si="78"/>
        <v>0</v>
      </c>
      <c r="AS51" s="399">
        <f t="shared" si="78"/>
        <v>0.6</v>
      </c>
      <c r="AU51" s="220" t="s">
        <v>100</v>
      </c>
    </row>
    <row r="52" spans="1:47" s="270" customFormat="1" ht="13.5" customHeight="1" x14ac:dyDescent="0.3">
      <c r="C52" s="271"/>
      <c r="D52" s="271"/>
      <c r="E52" s="271"/>
      <c r="F52" s="272" t="s">
        <v>397</v>
      </c>
      <c r="G52" s="222">
        <f>SUM(G51:G51)</f>
        <v>271.8</v>
      </c>
      <c r="H52" s="222"/>
      <c r="I52" s="222">
        <f>SUM(I51:I51)</f>
        <v>18210.599999999999</v>
      </c>
      <c r="J52" s="222">
        <f>SUM(J51:J51)</f>
        <v>339.75</v>
      </c>
      <c r="K52" s="222"/>
      <c r="L52" s="222">
        <f>SUM(L51:L51)</f>
        <v>22763.25</v>
      </c>
      <c r="M52" s="222">
        <f>SUM(M51:M51)</f>
        <v>294.45</v>
      </c>
      <c r="N52" s="222"/>
      <c r="O52" s="222">
        <f>SUM(O51:O51)</f>
        <v>19728.150000000001</v>
      </c>
      <c r="P52" s="222">
        <f>SUM(P51:P51)</f>
        <v>0</v>
      </c>
      <c r="Q52" s="222">
        <f>SUM(Q51:Q51)</f>
        <v>1359</v>
      </c>
      <c r="R52" s="222"/>
      <c r="S52" s="222">
        <f>SUM(S51:S51)</f>
        <v>91053</v>
      </c>
      <c r="T52" s="222">
        <f>SUM(T51:T51)</f>
        <v>2265</v>
      </c>
      <c r="U52" s="222">
        <f>SUM(U51:U51)</f>
        <v>151755</v>
      </c>
      <c r="V52" s="273"/>
      <c r="W52" s="273"/>
      <c r="X52" s="222">
        <f>SUM(X51:X51)</f>
        <v>0</v>
      </c>
      <c r="Y52" s="222">
        <f>SUM(Y51:Y51)</f>
        <v>0</v>
      </c>
      <c r="Z52" s="222"/>
      <c r="AA52" s="400">
        <v>2265</v>
      </c>
      <c r="AB52" s="274">
        <f t="shared" ref="AB52:AG52" si="79">SUM(AB51:AB51)</f>
        <v>18210.599999999999</v>
      </c>
      <c r="AC52" s="274">
        <f t="shared" si="79"/>
        <v>22763.25</v>
      </c>
      <c r="AD52" s="274">
        <f t="shared" si="79"/>
        <v>19728.150000000001</v>
      </c>
      <c r="AE52" s="274">
        <f t="shared" si="79"/>
        <v>0</v>
      </c>
      <c r="AF52" s="274">
        <f t="shared" si="79"/>
        <v>91053</v>
      </c>
      <c r="AG52" s="274">
        <f t="shared" si="79"/>
        <v>151755</v>
      </c>
      <c r="AH52" s="400"/>
      <c r="AI52" s="274">
        <f t="shared" ref="AI52:AN52" si="80">SUM(AI51:AI51)</f>
        <v>271.79999999999995</v>
      </c>
      <c r="AJ52" s="274">
        <f t="shared" si="80"/>
        <v>339.75</v>
      </c>
      <c r="AK52" s="274">
        <f t="shared" si="80"/>
        <v>294.45000000000005</v>
      </c>
      <c r="AL52" s="274">
        <f t="shared" si="80"/>
        <v>0</v>
      </c>
      <c r="AM52" s="274">
        <f t="shared" si="80"/>
        <v>1359</v>
      </c>
      <c r="AN52" s="274">
        <f t="shared" si="80"/>
        <v>2265</v>
      </c>
      <c r="AO52" s="289">
        <f>IF($AN$52=0,0,AI52/$AN$52)</f>
        <v>0.11999999999999998</v>
      </c>
      <c r="AP52" s="289">
        <f t="shared" ref="AP52:AS52" si="81">IF($AN$52=0,0,AJ52/$AN$52)</f>
        <v>0.15</v>
      </c>
      <c r="AQ52" s="289">
        <f t="shared" si="81"/>
        <v>0.13000000000000003</v>
      </c>
      <c r="AR52" s="289">
        <f t="shared" si="81"/>
        <v>0</v>
      </c>
      <c r="AS52" s="289">
        <f t="shared" si="81"/>
        <v>0.6</v>
      </c>
      <c r="AU52" s="281" t="s">
        <v>397</v>
      </c>
    </row>
    <row r="53" spans="1:47" s="40" customFormat="1" ht="13.5" customHeight="1" x14ac:dyDescent="0.3">
      <c r="B53" s="362">
        <v>0</v>
      </c>
      <c r="C53" s="22" t="s">
        <v>398</v>
      </c>
      <c r="D53" s="22" t="s">
        <v>399</v>
      </c>
      <c r="E53" s="22" t="s">
        <v>376</v>
      </c>
      <c r="F53" s="269" t="s">
        <v>400</v>
      </c>
      <c r="G53" s="207">
        <f>$AA$54*AA53*$G$42</f>
        <v>138</v>
      </c>
      <c r="H53" s="207">
        <f>'Perfils manteniment'!$G$10</f>
        <v>67</v>
      </c>
      <c r="I53" s="208">
        <f>ROUND(G53*H53,2)</f>
        <v>9246</v>
      </c>
      <c r="J53" s="207">
        <f>$AA$54*AA53*$J$42</f>
        <v>172.5</v>
      </c>
      <c r="K53" s="207">
        <f>'Perfils manteniment'!$G$18</f>
        <v>67</v>
      </c>
      <c r="L53" s="208">
        <f>ROUND(J53*K53,2)</f>
        <v>11557.5</v>
      </c>
      <c r="M53" s="209">
        <f>$AA$54*AA53*$M$42</f>
        <v>149.5</v>
      </c>
      <c r="N53" s="207">
        <f>'Perfils manteniment'!$G$26</f>
        <v>67</v>
      </c>
      <c r="O53" s="208">
        <f>ROUND(M53*N53,2)</f>
        <v>10016.5</v>
      </c>
      <c r="P53" s="208"/>
      <c r="Q53" s="210">
        <f>$AA$54*AA53*$Q$42</f>
        <v>690</v>
      </c>
      <c r="R53" s="211">
        <f>'Perfils manteniment'!$G$34</f>
        <v>67</v>
      </c>
      <c r="S53" s="208">
        <f>ROUND(Q53*R53,2)</f>
        <v>46230</v>
      </c>
      <c r="T53" s="211">
        <f t="shared" ref="T53" si="82">G53+J53+M53+Q53</f>
        <v>1150</v>
      </c>
      <c r="U53" s="208">
        <f>I53+L53+O53+P53+S53</f>
        <v>77050</v>
      </c>
      <c r="V53" s="212">
        <v>46204</v>
      </c>
      <c r="W53" s="212">
        <v>46388</v>
      </c>
      <c r="X53" s="211"/>
      <c r="Y53" s="213"/>
      <c r="Z53" s="212"/>
      <c r="AA53" s="390">
        <v>1</v>
      </c>
      <c r="AB53" s="285">
        <f t="shared" ref="AB53" si="83">I53</f>
        <v>9246</v>
      </c>
      <c r="AC53" s="285">
        <f t="shared" ref="AC53" si="84">L53</f>
        <v>11557.5</v>
      </c>
      <c r="AD53" s="285">
        <f t="shared" ref="AD53" si="85">O53</f>
        <v>10016.5</v>
      </c>
      <c r="AE53" s="285">
        <f t="shared" ref="AE53" si="86">P53</f>
        <v>0</v>
      </c>
      <c r="AF53" s="285">
        <f t="shared" ref="AF53" si="87">S53</f>
        <v>46230</v>
      </c>
      <c r="AG53" s="285">
        <f>SUM(AB53:AF53)</f>
        <v>77050</v>
      </c>
      <c r="AH53" s="401"/>
      <c r="AI53" s="285">
        <f>AB53/H53</f>
        <v>138</v>
      </c>
      <c r="AJ53" s="285">
        <f>(AC53-Y53)/K53</f>
        <v>172.5</v>
      </c>
      <c r="AK53" s="285">
        <f>AD53/N53</f>
        <v>149.5</v>
      </c>
      <c r="AL53" s="285">
        <f>X53</f>
        <v>0</v>
      </c>
      <c r="AM53" s="285">
        <f t="shared" ref="AM53" si="88">AF53/R53</f>
        <v>690</v>
      </c>
      <c r="AN53" s="285">
        <f>SUM(AI53:AM53)</f>
        <v>1150</v>
      </c>
      <c r="AO53" s="286">
        <f>IF($AN$53=0,0,AI53/$AN$53)</f>
        <v>0.12</v>
      </c>
      <c r="AP53" s="286">
        <f t="shared" ref="AP53:AS53" si="89">IF($AN$53=0,0,AJ53/$AN$53)</f>
        <v>0.15</v>
      </c>
      <c r="AQ53" s="286">
        <f t="shared" si="89"/>
        <v>0.13</v>
      </c>
      <c r="AR53" s="286">
        <f t="shared" si="89"/>
        <v>0</v>
      </c>
      <c r="AS53" s="286">
        <f t="shared" si="89"/>
        <v>0.6</v>
      </c>
      <c r="AU53" s="269" t="s">
        <v>400</v>
      </c>
    </row>
    <row r="54" spans="1:47" s="40" customFormat="1" ht="13.5" customHeight="1" x14ac:dyDescent="0.3">
      <c r="C54" s="196"/>
      <c r="D54" s="196"/>
      <c r="E54" s="196"/>
      <c r="F54" s="265" t="s">
        <v>401</v>
      </c>
      <c r="G54" s="266">
        <f>SUM(G53)</f>
        <v>138</v>
      </c>
      <c r="H54" s="266"/>
      <c r="I54" s="266">
        <f>SUM(I53)</f>
        <v>9246</v>
      </c>
      <c r="J54" s="266">
        <f>SUM(J53)</f>
        <v>172.5</v>
      </c>
      <c r="K54" s="266"/>
      <c r="L54" s="266">
        <f>SUM(L53)</f>
        <v>11557.5</v>
      </c>
      <c r="M54" s="266">
        <f>SUM(M53)</f>
        <v>149.5</v>
      </c>
      <c r="N54" s="266"/>
      <c r="O54" s="266">
        <f>SUM(O53)</f>
        <v>10016.5</v>
      </c>
      <c r="P54" s="266">
        <f>SUM(P53)</f>
        <v>0</v>
      </c>
      <c r="Q54" s="266">
        <f>SUM(Q53)</f>
        <v>690</v>
      </c>
      <c r="R54" s="266"/>
      <c r="S54" s="266">
        <f>SUM(S53)</f>
        <v>46230</v>
      </c>
      <c r="T54" s="266">
        <f>SUM(T53)</f>
        <v>1150</v>
      </c>
      <c r="U54" s="266">
        <f>SUM(U53)</f>
        <v>77050</v>
      </c>
      <c r="V54" s="267"/>
      <c r="W54" s="267"/>
      <c r="X54" s="266">
        <f>SUM(X53)</f>
        <v>0</v>
      </c>
      <c r="Y54" s="266">
        <f>SUM(Y53)</f>
        <v>0</v>
      </c>
      <c r="Z54" s="268"/>
      <c r="AA54" s="401">
        <v>1150</v>
      </c>
      <c r="AB54" s="266">
        <f t="shared" ref="AB54:AG54" si="90">SUM(AB53)</f>
        <v>9246</v>
      </c>
      <c r="AC54" s="266">
        <f t="shared" si="90"/>
        <v>11557.5</v>
      </c>
      <c r="AD54" s="266">
        <f t="shared" si="90"/>
        <v>10016.5</v>
      </c>
      <c r="AE54" s="266">
        <f t="shared" si="90"/>
        <v>0</v>
      </c>
      <c r="AF54" s="266">
        <f t="shared" si="90"/>
        <v>46230</v>
      </c>
      <c r="AG54" s="266">
        <f t="shared" si="90"/>
        <v>77050</v>
      </c>
      <c r="AH54" s="401"/>
      <c r="AI54" s="266">
        <f t="shared" ref="AI54:AN54" si="91">SUM(AI53)</f>
        <v>138</v>
      </c>
      <c r="AJ54" s="266">
        <f t="shared" si="91"/>
        <v>172.5</v>
      </c>
      <c r="AK54" s="266">
        <f t="shared" si="91"/>
        <v>149.5</v>
      </c>
      <c r="AL54" s="266">
        <f t="shared" si="91"/>
        <v>0</v>
      </c>
      <c r="AM54" s="266">
        <f t="shared" si="91"/>
        <v>690</v>
      </c>
      <c r="AN54" s="266">
        <f t="shared" si="91"/>
        <v>1150</v>
      </c>
      <c r="AO54" s="290">
        <f>IF($AN$54=0,0,AI54/$AN$54)</f>
        <v>0.12</v>
      </c>
      <c r="AP54" s="290">
        <f t="shared" ref="AP54:AS54" si="92">IF($AN$54=0,0,AJ54/$AN$54)</f>
        <v>0.15</v>
      </c>
      <c r="AQ54" s="290">
        <f t="shared" si="92"/>
        <v>0.13</v>
      </c>
      <c r="AR54" s="290">
        <f t="shared" si="92"/>
        <v>0</v>
      </c>
      <c r="AS54" s="290">
        <f t="shared" si="92"/>
        <v>0.6</v>
      </c>
      <c r="AU54" s="282" t="s">
        <v>402</v>
      </c>
    </row>
    <row r="55" spans="1:47" s="40" customFormat="1" ht="15.6" x14ac:dyDescent="0.3">
      <c r="C55" s="224" t="s">
        <v>367</v>
      </c>
      <c r="D55" s="225"/>
      <c r="E55" s="226"/>
      <c r="F55" s="287"/>
      <c r="G55" s="228">
        <f>G50+G52</f>
        <v>1098.24</v>
      </c>
      <c r="H55" s="228"/>
      <c r="I55" s="228">
        <f>I50+I52</f>
        <v>73582.080000000002</v>
      </c>
      <c r="J55" s="228">
        <f>J50+J52</f>
        <v>1372.8</v>
      </c>
      <c r="K55" s="228"/>
      <c r="L55" s="228">
        <f>L50+L52</f>
        <v>91977.61</v>
      </c>
      <c r="M55" s="228">
        <f>M50+M52</f>
        <v>1189.76</v>
      </c>
      <c r="N55" s="228"/>
      <c r="O55" s="228">
        <f>O50+O52</f>
        <v>79713.920000000013</v>
      </c>
      <c r="P55" s="228">
        <f>P50+P52</f>
        <v>0</v>
      </c>
      <c r="Q55" s="228">
        <f>Q50+Q52</f>
        <v>1359</v>
      </c>
      <c r="R55" s="228"/>
      <c r="S55" s="228">
        <f>S50+S52</f>
        <v>367910.41</v>
      </c>
      <c r="T55" s="228">
        <f>T50+T52</f>
        <v>9152</v>
      </c>
      <c r="U55" s="228">
        <f>U50+U52</f>
        <v>613184.02</v>
      </c>
      <c r="V55" s="228"/>
      <c r="W55" s="228"/>
      <c r="X55" s="228">
        <f>X50+X52</f>
        <v>0</v>
      </c>
      <c r="Y55" s="228">
        <f>Y50+Y52</f>
        <v>0</v>
      </c>
      <c r="Z55" s="229"/>
      <c r="AB55" s="228">
        <f>AB50+AB52+AB54</f>
        <v>82828.08</v>
      </c>
      <c r="AC55" s="228">
        <f t="shared" ref="AC55" si="93">AC50+AC52+AC54</f>
        <v>103535.11</v>
      </c>
      <c r="AD55" s="228">
        <f t="shared" ref="AD55" si="94">AD50+AD52+AD54</f>
        <v>89730.420000000013</v>
      </c>
      <c r="AE55" s="228">
        <f t="shared" ref="AE55" si="95">AE50+AE52+AE54</f>
        <v>0</v>
      </c>
      <c r="AF55" s="228">
        <f t="shared" ref="AF55" si="96">AF50+AF52+AF54</f>
        <v>414140.41</v>
      </c>
      <c r="AG55" s="228">
        <f t="shared" ref="AG55" si="97">AG50+AG52+AG54</f>
        <v>690234.02</v>
      </c>
      <c r="AH55" s="362"/>
      <c r="AI55" s="228">
        <f t="shared" ref="AI55:AN55" si="98">AI50+AI52+AI54</f>
        <v>1236.24</v>
      </c>
      <c r="AJ55" s="228">
        <f t="shared" si="98"/>
        <v>1545.3001492537312</v>
      </c>
      <c r="AK55" s="228">
        <f t="shared" si="98"/>
        <v>1339.26</v>
      </c>
      <c r="AL55" s="228">
        <f t="shared" si="98"/>
        <v>0</v>
      </c>
      <c r="AM55" s="228">
        <f t="shared" si="98"/>
        <v>6181.2001492537311</v>
      </c>
      <c r="AN55" s="228">
        <f t="shared" si="98"/>
        <v>10302.000298507463</v>
      </c>
      <c r="AO55" s="291">
        <f>IF($AN$55=0,0,AI55/$AN$55)</f>
        <v>0.11999999652291841</v>
      </c>
      <c r="AP55" s="291">
        <f t="shared" ref="AP55:AS55" si="99">IF($AN$55=0,0,AJ55/$AN$55)</f>
        <v>0.15000001014148795</v>
      </c>
      <c r="AQ55" s="291">
        <f t="shared" si="99"/>
        <v>0.12999999623316161</v>
      </c>
      <c r="AR55" s="291">
        <f t="shared" si="99"/>
        <v>0</v>
      </c>
      <c r="AS55" s="291">
        <f t="shared" si="99"/>
        <v>0.59999999710243201</v>
      </c>
      <c r="AU55" s="230" t="s">
        <v>367</v>
      </c>
    </row>
    <row r="56" spans="1:47" s="40" customFormat="1" x14ac:dyDescent="0.3">
      <c r="A56" s="231"/>
      <c r="B56" s="231"/>
      <c r="C56" s="232"/>
      <c r="D56" s="233"/>
      <c r="E56" s="234"/>
      <c r="F56" s="234" t="s">
        <v>403</v>
      </c>
      <c r="G56" s="235">
        <f>G55/$T$38</f>
        <v>0.12544146202170189</v>
      </c>
      <c r="H56" s="236"/>
      <c r="I56" s="237"/>
      <c r="J56" s="235">
        <f>J55/$T$38</f>
        <v>0.15680182752712735</v>
      </c>
      <c r="K56" s="236"/>
      <c r="L56" s="237"/>
      <c r="M56" s="235">
        <f>M55/$T$38</f>
        <v>0.13589491719017704</v>
      </c>
      <c r="N56" s="236"/>
      <c r="O56" s="237"/>
      <c r="P56" s="237"/>
      <c r="Q56" s="236"/>
      <c r="R56" s="236"/>
      <c r="S56" s="237"/>
      <c r="T56" s="237"/>
      <c r="U56" s="221"/>
      <c r="V56" s="212"/>
      <c r="W56" s="212"/>
      <c r="X56" s="221"/>
      <c r="Y56" s="238"/>
      <c r="Z56" s="239"/>
      <c r="AA56" s="499">
        <f>(AA50-AA33)/AA33</f>
        <v>0.28970037453183523</v>
      </c>
      <c r="AC56" s="240"/>
      <c r="AG56" s="362"/>
      <c r="AH56" s="362"/>
      <c r="AI56" s="223"/>
      <c r="AJ56" s="223"/>
      <c r="AK56" s="223"/>
      <c r="AN56" s="241">
        <f>AN50/1500</f>
        <v>4.5913335323383082</v>
      </c>
      <c r="AO56" s="241"/>
      <c r="AP56" s="241"/>
      <c r="AQ56" s="241"/>
      <c r="AR56" s="241"/>
      <c r="AS56" s="241"/>
    </row>
    <row r="57" spans="1:47" s="40" customFormat="1" x14ac:dyDescent="0.3">
      <c r="A57" s="231"/>
      <c r="B57" s="231"/>
      <c r="C57" s="232"/>
      <c r="D57" s="233"/>
      <c r="E57" s="234"/>
      <c r="F57" s="234" t="s">
        <v>404</v>
      </c>
      <c r="G57" s="235">
        <f>I55/($U$38-$P$38)</f>
        <v>0.12544146202170189</v>
      </c>
      <c r="H57" s="236"/>
      <c r="I57" s="236"/>
      <c r="J57" s="235">
        <f>L55/($U$38-$P$38)</f>
        <v>0.15680184457495502</v>
      </c>
      <c r="K57" s="236"/>
      <c r="L57" s="237"/>
      <c r="M57" s="235">
        <f>O55/($U$38-$P$38)</f>
        <v>0.13589491719017707</v>
      </c>
      <c r="N57" s="236"/>
      <c r="O57" s="236"/>
      <c r="P57" s="236"/>
      <c r="Q57" s="236"/>
      <c r="R57" s="236"/>
      <c r="S57" s="236"/>
      <c r="T57" s="236"/>
      <c r="U57" s="221"/>
      <c r="V57" s="212"/>
      <c r="W57" s="212"/>
      <c r="X57" s="221"/>
      <c r="Y57" s="236"/>
      <c r="Z57" s="236"/>
      <c r="AB57" s="199"/>
      <c r="AD57" s="240"/>
      <c r="AI57" s="223"/>
      <c r="AJ57" s="223"/>
      <c r="AK57" s="223"/>
      <c r="AN57" s="241">
        <f>AN52/1500</f>
        <v>1.51</v>
      </c>
      <c r="AO57" s="241"/>
      <c r="AP57" s="241"/>
      <c r="AQ57" s="241"/>
      <c r="AR57" s="241"/>
      <c r="AS57" s="241"/>
    </row>
    <row r="58" spans="1:47" ht="18.75" customHeight="1" x14ac:dyDescent="0.3">
      <c r="A58" s="362"/>
      <c r="B58" s="362"/>
      <c r="C58" s="374"/>
      <c r="D58" s="362"/>
      <c r="E58" s="367"/>
      <c r="F58" s="362"/>
      <c r="G58" s="362"/>
      <c r="H58" s="362"/>
      <c r="I58" s="362"/>
      <c r="J58" s="362"/>
      <c r="K58" s="362"/>
      <c r="L58" s="375"/>
      <c r="M58" s="375"/>
      <c r="N58" s="375"/>
      <c r="O58" s="385"/>
      <c r="P58" s="385"/>
      <c r="Q58" s="385"/>
      <c r="R58" s="385"/>
      <c r="S58" s="375"/>
      <c r="T58" s="362"/>
      <c r="U58"/>
      <c r="V58"/>
      <c r="W58" s="362"/>
      <c r="X58" s="362"/>
      <c r="Y58" s="362"/>
      <c r="Z58" s="362"/>
      <c r="AA58" s="199">
        <v>47118</v>
      </c>
      <c r="AB58"/>
      <c r="AC58"/>
      <c r="AD58"/>
      <c r="AE58"/>
      <c r="AF58" s="362"/>
      <c r="AG58" s="40"/>
      <c r="AH58" s="362"/>
      <c r="AI58" s="558" t="s">
        <v>334</v>
      </c>
      <c r="AJ58" s="559"/>
      <c r="AK58" s="559"/>
      <c r="AL58" s="559"/>
      <c r="AM58" s="559"/>
      <c r="AN58" s="559"/>
      <c r="AO58" s="388"/>
      <c r="AP58" s="388"/>
      <c r="AQ58" s="388"/>
      <c r="AR58" s="388"/>
      <c r="AS58" s="388"/>
      <c r="AT58" s="362"/>
      <c r="AU58" s="362"/>
    </row>
    <row r="59" spans="1:47" x14ac:dyDescent="0.3">
      <c r="A59" s="362"/>
      <c r="B59" s="362"/>
      <c r="C59" s="560" t="s">
        <v>408</v>
      </c>
      <c r="D59" s="560"/>
      <c r="E59" s="370"/>
      <c r="F59" s="370"/>
      <c r="G59" s="389">
        <v>0.12</v>
      </c>
      <c r="H59" s="389"/>
      <c r="I59" s="389"/>
      <c r="J59" s="389">
        <v>0.15</v>
      </c>
      <c r="K59" s="389"/>
      <c r="L59" s="389"/>
      <c r="M59" s="389">
        <v>0.13</v>
      </c>
      <c r="N59" s="389"/>
      <c r="O59" s="389"/>
      <c r="P59" s="389"/>
      <c r="Q59" s="389">
        <v>0.6</v>
      </c>
      <c r="R59" s="362"/>
      <c r="S59"/>
      <c r="T59"/>
      <c r="U59"/>
      <c r="V59" s="561" t="s">
        <v>336</v>
      </c>
      <c r="W59" s="561"/>
      <c r="X59" s="40"/>
      <c r="Y59" s="362"/>
      <c r="Z59" s="362"/>
      <c r="AA59" s="362"/>
      <c r="AB59" s="562" t="s">
        <v>409</v>
      </c>
      <c r="AC59" s="562"/>
      <c r="AD59" s="562"/>
      <c r="AE59" s="562"/>
      <c r="AF59" s="562"/>
      <c r="AG59" s="362"/>
      <c r="AH59" s="362"/>
      <c r="AI59" s="562" t="s">
        <v>410</v>
      </c>
      <c r="AJ59" s="562"/>
      <c r="AK59" s="562"/>
      <c r="AL59" s="362"/>
      <c r="AM59" s="362"/>
      <c r="AN59" s="362"/>
      <c r="AO59" s="362"/>
      <c r="AP59" s="362"/>
      <c r="AQ59" s="362"/>
      <c r="AR59" s="362"/>
      <c r="AS59" s="362"/>
      <c r="AT59" s="362"/>
      <c r="AU59" s="362"/>
    </row>
    <row r="60" spans="1:47" s="40" customFormat="1" ht="41.4" customHeight="1" x14ac:dyDescent="0.3">
      <c r="A60" s="200" t="s">
        <v>339</v>
      </c>
      <c r="B60" s="183" t="s">
        <v>48</v>
      </c>
      <c r="C60" s="183" t="s">
        <v>297</v>
      </c>
      <c r="D60" s="183" t="s">
        <v>340</v>
      </c>
      <c r="E60" s="183" t="s">
        <v>341</v>
      </c>
      <c r="F60" s="201" t="s">
        <v>342</v>
      </c>
      <c r="G60" s="202" t="s">
        <v>343</v>
      </c>
      <c r="H60" s="182" t="s">
        <v>344</v>
      </c>
      <c r="I60" s="182" t="s">
        <v>345</v>
      </c>
      <c r="J60" s="202" t="s">
        <v>346</v>
      </c>
      <c r="K60" s="182" t="s">
        <v>344</v>
      </c>
      <c r="L60" s="182" t="s">
        <v>347</v>
      </c>
      <c r="M60" s="202" t="s">
        <v>348</v>
      </c>
      <c r="N60" s="182" t="s">
        <v>344</v>
      </c>
      <c r="O60" s="182" t="s">
        <v>349</v>
      </c>
      <c r="P60" s="202" t="s">
        <v>350</v>
      </c>
      <c r="Q60" s="202" t="s">
        <v>351</v>
      </c>
      <c r="R60" s="182" t="s">
        <v>344</v>
      </c>
      <c r="S60" s="182" t="s">
        <v>352</v>
      </c>
      <c r="T60" s="182" t="s">
        <v>353</v>
      </c>
      <c r="U60" s="182" t="s">
        <v>354</v>
      </c>
      <c r="V60" s="203" t="s">
        <v>355</v>
      </c>
      <c r="W60" s="203" t="s">
        <v>356</v>
      </c>
      <c r="X60" s="202" t="s">
        <v>357</v>
      </c>
      <c r="Y60" s="202" t="s">
        <v>358</v>
      </c>
      <c r="Z60" s="203" t="s">
        <v>359</v>
      </c>
      <c r="AB60" s="182" t="s">
        <v>345</v>
      </c>
      <c r="AC60" s="182" t="s">
        <v>347</v>
      </c>
      <c r="AD60" s="182" t="s">
        <v>349</v>
      </c>
      <c r="AE60" s="182" t="s">
        <v>350</v>
      </c>
      <c r="AF60" s="182" t="s">
        <v>360</v>
      </c>
      <c r="AG60" s="182" t="s">
        <v>361</v>
      </c>
      <c r="AH60"/>
      <c r="AI60" s="182" t="s">
        <v>362</v>
      </c>
      <c r="AJ60" s="182" t="s">
        <v>363</v>
      </c>
      <c r="AK60" s="182" t="s">
        <v>364</v>
      </c>
      <c r="AL60" s="204" t="s">
        <v>365</v>
      </c>
      <c r="AM60" s="204" t="s">
        <v>366</v>
      </c>
      <c r="AN60" s="182" t="s">
        <v>367</v>
      </c>
      <c r="AO60" s="182" t="s">
        <v>368</v>
      </c>
      <c r="AP60" s="182" t="s">
        <v>369</v>
      </c>
      <c r="AQ60" s="182" t="s">
        <v>370</v>
      </c>
      <c r="AR60" s="182" t="s">
        <v>371</v>
      </c>
      <c r="AS60" s="182" t="s">
        <v>372</v>
      </c>
      <c r="AU60" s="201" t="s">
        <v>342</v>
      </c>
    </row>
    <row r="61" spans="1:47" s="40" customFormat="1" x14ac:dyDescent="0.3">
      <c r="A61" s="205" t="s">
        <v>373</v>
      </c>
      <c r="B61" s="196">
        <v>5</v>
      </c>
      <c r="C61" s="206" t="s">
        <v>374</v>
      </c>
      <c r="D61" s="206" t="s">
        <v>375</v>
      </c>
      <c r="E61" s="206" t="s">
        <v>376</v>
      </c>
      <c r="F61" s="206" t="s">
        <v>377</v>
      </c>
      <c r="G61" s="207">
        <f>$AA$67*AA61*$G$59</f>
        <v>203.7</v>
      </c>
      <c r="H61" s="207">
        <f>'Perfils manteniment'!$G$10</f>
        <v>67</v>
      </c>
      <c r="I61" s="208">
        <f>ROUND(G61*H61,2)</f>
        <v>13647.9</v>
      </c>
      <c r="J61" s="207">
        <f>$AA$67*AA61*$J$59</f>
        <v>254.625</v>
      </c>
      <c r="K61" s="207">
        <f>'Perfils manteniment'!$G$18</f>
        <v>67</v>
      </c>
      <c r="L61" s="208">
        <f>ROUND(J61*K61,2)</f>
        <v>17059.88</v>
      </c>
      <c r="M61" s="209">
        <f>$AA$67*AA61*$M$59</f>
        <v>220.67500000000001</v>
      </c>
      <c r="N61" s="207">
        <f>'Perfils manteniment'!$G$26</f>
        <v>67</v>
      </c>
      <c r="O61" s="208">
        <f>ROUND(M61*N61,2)</f>
        <v>14785.23</v>
      </c>
      <c r="P61" s="208"/>
      <c r="Q61" s="210">
        <f>$AA$67*AA61*$Q$59</f>
        <v>1018.5</v>
      </c>
      <c r="R61" s="211">
        <f>'Perfils manteniment'!$G$34</f>
        <v>67</v>
      </c>
      <c r="S61" s="208">
        <f>ROUND(Q61*R61,2)</f>
        <v>68239.5</v>
      </c>
      <c r="T61" s="211">
        <f t="shared" ref="T61:T66" si="100">G61+J61+M61+Q61</f>
        <v>1697.5</v>
      </c>
      <c r="U61" s="208">
        <f>I61+L61+O61+P61+S61</f>
        <v>113732.51</v>
      </c>
      <c r="V61" s="212">
        <v>46204</v>
      </c>
      <c r="W61" s="212">
        <v>46753</v>
      </c>
      <c r="X61" s="211"/>
      <c r="Y61" s="213">
        <f>X61*K61*1</f>
        <v>0</v>
      </c>
      <c r="Z61" s="212"/>
      <c r="AA61" s="389">
        <v>0.17499999999999999</v>
      </c>
      <c r="AB61" s="402">
        <f>I61</f>
        <v>13647.9</v>
      </c>
      <c r="AC61" s="402">
        <f>L61</f>
        <v>17059.88</v>
      </c>
      <c r="AD61" s="402">
        <f>O61</f>
        <v>14785.23</v>
      </c>
      <c r="AE61" s="402">
        <f t="shared" ref="AE61:AE66" si="101">P61</f>
        <v>0</v>
      </c>
      <c r="AF61" s="402">
        <f>S61</f>
        <v>68239.5</v>
      </c>
      <c r="AG61" s="403">
        <f t="shared" ref="AG61:AG66" si="102">SUM(AB61:AF61)</f>
        <v>113732.51</v>
      </c>
      <c r="AH61" s="362"/>
      <c r="AI61" s="393">
        <f t="shared" ref="AI61:AI66" si="103">AB61/H61</f>
        <v>203.7</v>
      </c>
      <c r="AJ61" s="393">
        <f t="shared" ref="AJ61:AJ66" si="104">(AC61-Y61)/K61</f>
        <v>254.62507462686568</v>
      </c>
      <c r="AK61" s="393">
        <f t="shared" ref="AK61:AK66" si="105">AD61/N61</f>
        <v>220.67507462686567</v>
      </c>
      <c r="AL61" s="393">
        <f>X61</f>
        <v>0</v>
      </c>
      <c r="AM61" s="393">
        <f>AF61/R61</f>
        <v>1018.5</v>
      </c>
      <c r="AN61" s="394">
        <f>SUM(AI61:AM61)</f>
        <v>1697.5001492537313</v>
      </c>
      <c r="AO61" s="395">
        <f>IF($AN$61=0,0,AI61/$AN$61)</f>
        <v>0.11999998944892713</v>
      </c>
      <c r="AP61" s="395">
        <f>IF($AN$61=0,0,AJ61/$AN$61)</f>
        <v>0.15000003077396254</v>
      </c>
      <c r="AQ61" s="395">
        <f>IF($AN$61=0,0,AK61/$AN$61)</f>
        <v>0.13000003253247466</v>
      </c>
      <c r="AR61" s="395">
        <f>IF($AN$61=0,0,AL61/$AN$61)</f>
        <v>0</v>
      </c>
      <c r="AS61" s="395">
        <f>IF($AN$61=0,0,AM61/$AN$61)</f>
        <v>0.59999994724463568</v>
      </c>
      <c r="AU61" s="206" t="s">
        <v>377</v>
      </c>
    </row>
    <row r="62" spans="1:47" s="40" customFormat="1" x14ac:dyDescent="0.3">
      <c r="A62" s="214" t="s">
        <v>378</v>
      </c>
      <c r="B62" s="40">
        <v>1</v>
      </c>
      <c r="C62" s="206" t="s">
        <v>379</v>
      </c>
      <c r="D62" s="206" t="s">
        <v>380</v>
      </c>
      <c r="E62" s="206" t="s">
        <v>376</v>
      </c>
      <c r="F62" s="206" t="s">
        <v>381</v>
      </c>
      <c r="G62" s="207">
        <f t="shared" ref="G62:G66" si="106">$AA$67*AA62*$G$59</f>
        <v>116.39999999999999</v>
      </c>
      <c r="H62" s="207">
        <f>'Perfils manteniment'!$G$10</f>
        <v>67</v>
      </c>
      <c r="I62" s="208">
        <f>ROUND(G62*H62,2)</f>
        <v>7798.8</v>
      </c>
      <c r="J62" s="207">
        <f t="shared" ref="J62:J66" si="107">$AA$67*AA62*$J$59</f>
        <v>145.5</v>
      </c>
      <c r="K62" s="207">
        <f>'Perfils manteniment'!$G$18</f>
        <v>67</v>
      </c>
      <c r="L62" s="208">
        <f>ROUND(J62*K62,2)</f>
        <v>9748.5</v>
      </c>
      <c r="M62" s="209">
        <f t="shared" ref="M62:M66" si="108">$AA$67*AA62*$M$59</f>
        <v>126.10000000000001</v>
      </c>
      <c r="N62" s="207">
        <f>'Perfils manteniment'!$G$26</f>
        <v>67</v>
      </c>
      <c r="O62" s="208">
        <f t="shared" ref="O62:O66" si="109">ROUND(M62*N62,2)</f>
        <v>8448.7000000000007</v>
      </c>
      <c r="P62" s="208"/>
      <c r="Q62" s="210">
        <f t="shared" ref="Q62:Q66" si="110">$AA$67*AA62*$Q$59</f>
        <v>582</v>
      </c>
      <c r="R62" s="211">
        <f>'Perfils manteniment'!$G$34</f>
        <v>67</v>
      </c>
      <c r="S62" s="208">
        <f t="shared" ref="S62:S66" si="111">ROUND(Q62*R62,2)</f>
        <v>38994</v>
      </c>
      <c r="T62" s="211">
        <f t="shared" si="100"/>
        <v>970</v>
      </c>
      <c r="U62" s="208">
        <f t="shared" ref="U62:U66" si="112">I62+L62+O62+P62+S62</f>
        <v>64990</v>
      </c>
      <c r="V62" s="212">
        <v>46204</v>
      </c>
      <c r="W62" s="212">
        <v>46753</v>
      </c>
      <c r="X62" s="211"/>
      <c r="Y62" s="213">
        <f t="shared" ref="Y62:Y66" si="113">X62*K62</f>
        <v>0</v>
      </c>
      <c r="Z62" s="212"/>
      <c r="AA62" s="389">
        <v>0.1</v>
      </c>
      <c r="AB62" s="402">
        <f t="shared" ref="AB62:AB66" si="114">I62</f>
        <v>7798.8</v>
      </c>
      <c r="AC62" s="402">
        <f t="shared" ref="AC62:AC66" si="115">L62</f>
        <v>9748.5</v>
      </c>
      <c r="AD62" s="402">
        <f t="shared" ref="AD62:AD66" si="116">O62</f>
        <v>8448.7000000000007</v>
      </c>
      <c r="AE62" s="402">
        <f t="shared" si="101"/>
        <v>0</v>
      </c>
      <c r="AF62" s="402">
        <f t="shared" ref="AF62:AF66" si="117">S62</f>
        <v>38994</v>
      </c>
      <c r="AG62" s="403">
        <f t="shared" si="102"/>
        <v>64990</v>
      </c>
      <c r="AH62" s="362"/>
      <c r="AI62" s="393">
        <f t="shared" si="103"/>
        <v>116.4</v>
      </c>
      <c r="AJ62" s="393">
        <f t="shared" si="104"/>
        <v>145.5</v>
      </c>
      <c r="AK62" s="393">
        <f t="shared" si="105"/>
        <v>126.10000000000001</v>
      </c>
      <c r="AL62" s="393">
        <f t="shared" ref="AL62:AL66" si="118">X62</f>
        <v>0</v>
      </c>
      <c r="AM62" s="393">
        <f t="shared" ref="AM62:AM66" si="119">AF62/R62</f>
        <v>582</v>
      </c>
      <c r="AN62" s="394">
        <f t="shared" ref="AN62:AN66" si="120">SUM(AI62:AM62)</f>
        <v>970</v>
      </c>
      <c r="AO62" s="395">
        <f>IF($AN$62=0,0,AI62/$AN$62)</f>
        <v>0.12000000000000001</v>
      </c>
      <c r="AP62" s="395">
        <f t="shared" ref="AP62:AS62" si="121">IF($AN$62=0,0,AJ62/$AN$62)</f>
        <v>0.15</v>
      </c>
      <c r="AQ62" s="395">
        <f t="shared" si="121"/>
        <v>0.13</v>
      </c>
      <c r="AR62" s="395">
        <f t="shared" si="121"/>
        <v>0</v>
      </c>
      <c r="AS62" s="395">
        <f t="shared" si="121"/>
        <v>0.6</v>
      </c>
      <c r="AU62" s="206" t="s">
        <v>381</v>
      </c>
    </row>
    <row r="63" spans="1:47" s="40" customFormat="1" x14ac:dyDescent="0.3">
      <c r="A63" s="264" t="s">
        <v>382</v>
      </c>
      <c r="B63">
        <v>4</v>
      </c>
      <c r="C63" s="206" t="s">
        <v>383</v>
      </c>
      <c r="D63" s="206" t="s">
        <v>384</v>
      </c>
      <c r="E63" s="206" t="s">
        <v>376</v>
      </c>
      <c r="F63" s="206" t="s">
        <v>385</v>
      </c>
      <c r="G63" s="207">
        <f t="shared" si="106"/>
        <v>203.7</v>
      </c>
      <c r="H63" s="207">
        <f>'Perfils manteniment'!$G$10</f>
        <v>67</v>
      </c>
      <c r="I63" s="208">
        <f t="shared" ref="I63:I66" si="122">ROUND(G63*H63,2)</f>
        <v>13647.9</v>
      </c>
      <c r="J63" s="207">
        <f t="shared" si="107"/>
        <v>254.625</v>
      </c>
      <c r="K63" s="207">
        <f>'Perfils manteniment'!$G$18</f>
        <v>67</v>
      </c>
      <c r="L63" s="208">
        <f t="shared" ref="L63:L66" si="123">ROUND(J63*K63,2)</f>
        <v>17059.88</v>
      </c>
      <c r="M63" s="209">
        <f t="shared" si="108"/>
        <v>220.67500000000001</v>
      </c>
      <c r="N63" s="207">
        <f>'Perfils manteniment'!$G$26</f>
        <v>67</v>
      </c>
      <c r="O63" s="208">
        <f t="shared" si="109"/>
        <v>14785.23</v>
      </c>
      <c r="P63" s="208"/>
      <c r="Q63" s="210">
        <f t="shared" si="110"/>
        <v>1018.5</v>
      </c>
      <c r="R63" s="211">
        <f>'Perfils manteniment'!$G$34</f>
        <v>67</v>
      </c>
      <c r="S63" s="208">
        <f t="shared" si="111"/>
        <v>68239.5</v>
      </c>
      <c r="T63" s="211">
        <f t="shared" si="100"/>
        <v>1697.5</v>
      </c>
      <c r="U63" s="208">
        <f t="shared" si="112"/>
        <v>113732.51</v>
      </c>
      <c r="V63" s="212">
        <v>46204</v>
      </c>
      <c r="W63" s="212">
        <v>46753</v>
      </c>
      <c r="X63" s="211"/>
      <c r="Y63" s="213">
        <f t="shared" si="113"/>
        <v>0</v>
      </c>
      <c r="Z63" s="212"/>
      <c r="AA63" s="389">
        <v>0.17499999999999999</v>
      </c>
      <c r="AB63" s="402">
        <f t="shared" si="114"/>
        <v>13647.9</v>
      </c>
      <c r="AC63" s="402">
        <f t="shared" si="115"/>
        <v>17059.88</v>
      </c>
      <c r="AD63" s="402">
        <f t="shared" si="116"/>
        <v>14785.23</v>
      </c>
      <c r="AE63" s="402">
        <f t="shared" si="101"/>
        <v>0</v>
      </c>
      <c r="AF63" s="402">
        <f t="shared" si="117"/>
        <v>68239.5</v>
      </c>
      <c r="AG63" s="403">
        <f t="shared" si="102"/>
        <v>113732.51</v>
      </c>
      <c r="AH63" s="362"/>
      <c r="AI63" s="393">
        <f t="shared" si="103"/>
        <v>203.7</v>
      </c>
      <c r="AJ63" s="393">
        <f t="shared" si="104"/>
        <v>254.62507462686568</v>
      </c>
      <c r="AK63" s="393">
        <f t="shared" si="105"/>
        <v>220.67507462686567</v>
      </c>
      <c r="AL63" s="393">
        <f t="shared" si="118"/>
        <v>0</v>
      </c>
      <c r="AM63" s="393">
        <f t="shared" si="119"/>
        <v>1018.5</v>
      </c>
      <c r="AN63" s="394">
        <f t="shared" si="120"/>
        <v>1697.5001492537313</v>
      </c>
      <c r="AO63" s="395">
        <f>IF($AN$63=0,0,AI63/$AN$63)</f>
        <v>0.11999998944892713</v>
      </c>
      <c r="AP63" s="395">
        <f t="shared" ref="AP63:AS63" si="124">IF($AN$63=0,0,AJ63/$AN$63)</f>
        <v>0.15000003077396254</v>
      </c>
      <c r="AQ63" s="395">
        <f t="shared" si="124"/>
        <v>0.13000003253247466</v>
      </c>
      <c r="AR63" s="395">
        <f t="shared" si="124"/>
        <v>0</v>
      </c>
      <c r="AS63" s="395">
        <f t="shared" si="124"/>
        <v>0.59999994724463568</v>
      </c>
      <c r="AU63" s="206" t="s">
        <v>385</v>
      </c>
    </row>
    <row r="64" spans="1:47" s="40" customFormat="1" x14ac:dyDescent="0.3">
      <c r="B64">
        <v>5</v>
      </c>
      <c r="C64" s="206" t="s">
        <v>386</v>
      </c>
      <c r="D64" s="206" t="s">
        <v>387</v>
      </c>
      <c r="E64" s="206" t="s">
        <v>376</v>
      </c>
      <c r="F64" s="206" t="s">
        <v>388</v>
      </c>
      <c r="G64" s="207">
        <f t="shared" si="106"/>
        <v>349.2</v>
      </c>
      <c r="H64" s="207">
        <f>'Perfils manteniment'!$G$10</f>
        <v>67</v>
      </c>
      <c r="I64" s="208">
        <f t="shared" si="122"/>
        <v>23396.400000000001</v>
      </c>
      <c r="J64" s="207">
        <f t="shared" si="107"/>
        <v>436.5</v>
      </c>
      <c r="K64" s="207">
        <f>'Perfils manteniment'!$G$18</f>
        <v>67</v>
      </c>
      <c r="L64" s="208">
        <f t="shared" si="123"/>
        <v>29245.5</v>
      </c>
      <c r="M64" s="209">
        <f t="shared" si="108"/>
        <v>378.3</v>
      </c>
      <c r="N64" s="207">
        <f>'Perfils manteniment'!$G$26</f>
        <v>67</v>
      </c>
      <c r="O64" s="208">
        <f t="shared" si="109"/>
        <v>25346.1</v>
      </c>
      <c r="P64" s="208"/>
      <c r="Q64" s="210">
        <f t="shared" si="110"/>
        <v>1746</v>
      </c>
      <c r="R64" s="211">
        <f>'Perfils manteniment'!$G$34</f>
        <v>67</v>
      </c>
      <c r="S64" s="208">
        <f t="shared" si="111"/>
        <v>116982</v>
      </c>
      <c r="T64" s="211">
        <f t="shared" si="100"/>
        <v>2910</v>
      </c>
      <c r="U64" s="208">
        <f t="shared" si="112"/>
        <v>194970</v>
      </c>
      <c r="V64" s="212">
        <v>46204</v>
      </c>
      <c r="W64" s="212">
        <v>46753</v>
      </c>
      <c r="X64" s="211"/>
      <c r="Y64" s="213">
        <f t="shared" si="113"/>
        <v>0</v>
      </c>
      <c r="Z64" s="212"/>
      <c r="AA64" s="389">
        <v>0.3</v>
      </c>
      <c r="AB64" s="402">
        <f t="shared" si="114"/>
        <v>23396.400000000001</v>
      </c>
      <c r="AC64" s="402">
        <f t="shared" si="115"/>
        <v>29245.5</v>
      </c>
      <c r="AD64" s="402">
        <f t="shared" si="116"/>
        <v>25346.1</v>
      </c>
      <c r="AE64" s="402">
        <f t="shared" si="101"/>
        <v>0</v>
      </c>
      <c r="AF64" s="402">
        <f t="shared" si="117"/>
        <v>116982</v>
      </c>
      <c r="AG64" s="403">
        <f t="shared" si="102"/>
        <v>194970</v>
      </c>
      <c r="AH64" s="362"/>
      <c r="AI64" s="393">
        <f t="shared" si="103"/>
        <v>349.20000000000005</v>
      </c>
      <c r="AJ64" s="393">
        <f t="shared" si="104"/>
        <v>436.5</v>
      </c>
      <c r="AK64" s="393">
        <f t="shared" si="105"/>
        <v>378.29999999999995</v>
      </c>
      <c r="AL64" s="393">
        <f t="shared" si="118"/>
        <v>0</v>
      </c>
      <c r="AM64" s="393">
        <f t="shared" si="119"/>
        <v>1746</v>
      </c>
      <c r="AN64" s="394">
        <f t="shared" si="120"/>
        <v>2910</v>
      </c>
      <c r="AO64" s="395">
        <f>IF($AN$64=0,0,AI64/$AN$64)</f>
        <v>0.12000000000000001</v>
      </c>
      <c r="AP64" s="395">
        <f t="shared" ref="AP64:AS64" si="125">IF($AN$64=0,0,AJ64/$AN$64)</f>
        <v>0.15</v>
      </c>
      <c r="AQ64" s="395">
        <f t="shared" si="125"/>
        <v>0.12999999999999998</v>
      </c>
      <c r="AR64" s="395">
        <f t="shared" si="125"/>
        <v>0</v>
      </c>
      <c r="AS64" s="395">
        <f t="shared" si="125"/>
        <v>0.6</v>
      </c>
      <c r="AU64" s="206" t="s">
        <v>388</v>
      </c>
    </row>
    <row r="65" spans="1:47" s="40" customFormat="1" x14ac:dyDescent="0.3">
      <c r="B65">
        <v>4</v>
      </c>
      <c r="C65" s="206" t="s">
        <v>389</v>
      </c>
      <c r="D65" s="206" t="s">
        <v>390</v>
      </c>
      <c r="E65" s="206" t="s">
        <v>376</v>
      </c>
      <c r="F65" s="206" t="s">
        <v>391</v>
      </c>
      <c r="G65" s="207">
        <f t="shared" si="106"/>
        <v>174.6</v>
      </c>
      <c r="H65" s="207">
        <f>'Perfils manteniment'!$G$10</f>
        <v>67</v>
      </c>
      <c r="I65" s="208">
        <f t="shared" si="122"/>
        <v>11698.2</v>
      </c>
      <c r="J65" s="207">
        <f t="shared" si="107"/>
        <v>218.25</v>
      </c>
      <c r="K65" s="207">
        <f>'Perfils manteniment'!$G$18</f>
        <v>67</v>
      </c>
      <c r="L65" s="208">
        <f t="shared" si="123"/>
        <v>14622.75</v>
      </c>
      <c r="M65" s="209">
        <f t="shared" si="108"/>
        <v>189.15</v>
      </c>
      <c r="N65" s="207">
        <f>'Perfils manteniment'!$G$26</f>
        <v>67</v>
      </c>
      <c r="O65" s="208">
        <f t="shared" si="109"/>
        <v>12673.05</v>
      </c>
      <c r="P65" s="208"/>
      <c r="Q65" s="210">
        <f t="shared" si="110"/>
        <v>873</v>
      </c>
      <c r="R65" s="211">
        <f>'Perfils manteniment'!$G$34</f>
        <v>67</v>
      </c>
      <c r="S65" s="208">
        <f t="shared" si="111"/>
        <v>58491</v>
      </c>
      <c r="T65" s="211">
        <f t="shared" si="100"/>
        <v>1455</v>
      </c>
      <c r="U65" s="208">
        <f t="shared" si="112"/>
        <v>97485</v>
      </c>
      <c r="V65" s="212">
        <v>46204</v>
      </c>
      <c r="W65" s="212">
        <v>46753</v>
      </c>
      <c r="X65" s="211"/>
      <c r="Y65" s="213">
        <f t="shared" si="113"/>
        <v>0</v>
      </c>
      <c r="Z65" s="212"/>
      <c r="AA65" s="389">
        <v>0.15</v>
      </c>
      <c r="AB65" s="402">
        <f t="shared" si="114"/>
        <v>11698.2</v>
      </c>
      <c r="AC65" s="402">
        <f t="shared" si="115"/>
        <v>14622.75</v>
      </c>
      <c r="AD65" s="402">
        <f t="shared" si="116"/>
        <v>12673.05</v>
      </c>
      <c r="AE65" s="402">
        <f t="shared" si="101"/>
        <v>0</v>
      </c>
      <c r="AF65" s="402">
        <f t="shared" si="117"/>
        <v>58491</v>
      </c>
      <c r="AG65" s="403">
        <f t="shared" si="102"/>
        <v>97485</v>
      </c>
      <c r="AH65" s="362"/>
      <c r="AI65" s="393">
        <f t="shared" si="103"/>
        <v>174.60000000000002</v>
      </c>
      <c r="AJ65" s="393">
        <f t="shared" si="104"/>
        <v>218.25</v>
      </c>
      <c r="AK65" s="393">
        <f t="shared" si="105"/>
        <v>189.14999999999998</v>
      </c>
      <c r="AL65" s="393">
        <f t="shared" si="118"/>
        <v>0</v>
      </c>
      <c r="AM65" s="393">
        <f t="shared" si="119"/>
        <v>873</v>
      </c>
      <c r="AN65" s="394">
        <f t="shared" si="120"/>
        <v>1455</v>
      </c>
      <c r="AO65" s="395">
        <f>IF($AN$65=0,0,AI65/$AN$65)</f>
        <v>0.12000000000000001</v>
      </c>
      <c r="AP65" s="395">
        <f t="shared" ref="AP65:AS65" si="126">IF($AN$65=0,0,AJ65/$AN$65)</f>
        <v>0.15</v>
      </c>
      <c r="AQ65" s="395">
        <f t="shared" si="126"/>
        <v>0.12999999999999998</v>
      </c>
      <c r="AR65" s="395">
        <f t="shared" si="126"/>
        <v>0</v>
      </c>
      <c r="AS65" s="395">
        <f t="shared" si="126"/>
        <v>0.6</v>
      </c>
      <c r="AU65" s="206" t="s">
        <v>391</v>
      </c>
    </row>
    <row r="66" spans="1:47" s="40" customFormat="1" x14ac:dyDescent="0.3">
      <c r="B66">
        <v>6</v>
      </c>
      <c r="C66" s="206" t="s">
        <v>392</v>
      </c>
      <c r="D66" s="206" t="s">
        <v>393</v>
      </c>
      <c r="E66" s="206" t="s">
        <v>376</v>
      </c>
      <c r="F66" s="206" t="s">
        <v>394</v>
      </c>
      <c r="G66" s="207">
        <f t="shared" si="106"/>
        <v>116.39999999999999</v>
      </c>
      <c r="H66" s="207">
        <f>'Perfils manteniment'!$G$10</f>
        <v>67</v>
      </c>
      <c r="I66" s="208">
        <f t="shared" si="122"/>
        <v>7798.8</v>
      </c>
      <c r="J66" s="207">
        <f t="shared" si="107"/>
        <v>145.5</v>
      </c>
      <c r="K66" s="207">
        <f>'Perfils manteniment'!$G$18</f>
        <v>67</v>
      </c>
      <c r="L66" s="208">
        <f t="shared" si="123"/>
        <v>9748.5</v>
      </c>
      <c r="M66" s="209">
        <f t="shared" si="108"/>
        <v>126.10000000000001</v>
      </c>
      <c r="N66" s="207">
        <f>'Perfils manteniment'!$G$26</f>
        <v>67</v>
      </c>
      <c r="O66" s="208">
        <f t="shared" si="109"/>
        <v>8448.7000000000007</v>
      </c>
      <c r="P66" s="208"/>
      <c r="Q66" s="210">
        <f t="shared" si="110"/>
        <v>582</v>
      </c>
      <c r="R66" s="211">
        <f>'Perfils manteniment'!$G$34</f>
        <v>67</v>
      </c>
      <c r="S66" s="208">
        <f t="shared" si="111"/>
        <v>38994</v>
      </c>
      <c r="T66" s="211">
        <f t="shared" si="100"/>
        <v>970</v>
      </c>
      <c r="U66" s="208">
        <f t="shared" si="112"/>
        <v>64990</v>
      </c>
      <c r="V66" s="212">
        <v>46204</v>
      </c>
      <c r="W66" s="212">
        <v>46753</v>
      </c>
      <c r="X66" s="211"/>
      <c r="Y66" s="213">
        <f t="shared" si="113"/>
        <v>0</v>
      </c>
      <c r="Z66" s="212"/>
      <c r="AA66" s="389">
        <v>0.1</v>
      </c>
      <c r="AB66" s="402">
        <f t="shared" si="114"/>
        <v>7798.8</v>
      </c>
      <c r="AC66" s="402">
        <f t="shared" si="115"/>
        <v>9748.5</v>
      </c>
      <c r="AD66" s="402">
        <f t="shared" si="116"/>
        <v>8448.7000000000007</v>
      </c>
      <c r="AE66" s="402">
        <f t="shared" si="101"/>
        <v>0</v>
      </c>
      <c r="AF66" s="402">
        <f t="shared" si="117"/>
        <v>38994</v>
      </c>
      <c r="AG66" s="403">
        <f t="shared" si="102"/>
        <v>64990</v>
      </c>
      <c r="AH66" s="362"/>
      <c r="AI66" s="393">
        <f t="shared" si="103"/>
        <v>116.4</v>
      </c>
      <c r="AJ66" s="393">
        <f t="shared" si="104"/>
        <v>145.5</v>
      </c>
      <c r="AK66" s="393">
        <f t="shared" si="105"/>
        <v>126.10000000000001</v>
      </c>
      <c r="AL66" s="393">
        <f t="shared" si="118"/>
        <v>0</v>
      </c>
      <c r="AM66" s="393">
        <f t="shared" si="119"/>
        <v>582</v>
      </c>
      <c r="AN66" s="394">
        <f t="shared" si="120"/>
        <v>970</v>
      </c>
      <c r="AO66" s="395">
        <f>IF($AN$66=0,0,AI66/$AN$66)</f>
        <v>0.12000000000000001</v>
      </c>
      <c r="AP66" s="395">
        <f t="shared" ref="AP66:AS66" si="127">IF($AN$66=0,0,AJ66/$AN$66)</f>
        <v>0.15</v>
      </c>
      <c r="AQ66" s="395">
        <f t="shared" si="127"/>
        <v>0.13</v>
      </c>
      <c r="AR66" s="395">
        <f t="shared" si="127"/>
        <v>0</v>
      </c>
      <c r="AS66" s="395">
        <f t="shared" si="127"/>
        <v>0.6</v>
      </c>
      <c r="AU66" s="206" t="s">
        <v>394</v>
      </c>
    </row>
    <row r="67" spans="1:47" s="40" customFormat="1" ht="14.1" customHeight="1" x14ac:dyDescent="0.3">
      <c r="A67" s="215"/>
      <c r="B67"/>
      <c r="C67" s="563"/>
      <c r="D67" s="563"/>
      <c r="E67" s="563"/>
      <c r="F67" s="216" t="s">
        <v>395</v>
      </c>
      <c r="G67" s="217">
        <f>SUM(G61:G66)</f>
        <v>1164</v>
      </c>
      <c r="H67" s="217"/>
      <c r="I67" s="217">
        <f>SUM(I61:I66)</f>
        <v>77988</v>
      </c>
      <c r="J67" s="217">
        <f>SUM(J61:J66)</f>
        <v>1455</v>
      </c>
      <c r="K67" s="217"/>
      <c r="L67" s="217">
        <f>SUM(L61:L66)</f>
        <v>97485.010000000009</v>
      </c>
      <c r="M67" s="217">
        <f>SUM(M61:M66)</f>
        <v>1261</v>
      </c>
      <c r="N67" s="217"/>
      <c r="O67" s="217">
        <f>SUM(O61:O66)</f>
        <v>84487.01</v>
      </c>
      <c r="P67" s="217">
        <f>SUM(P61:P66)</f>
        <v>0</v>
      </c>
      <c r="Q67" s="217">
        <f t="shared" ref="Q67" si="128">$AA$43*AA67*$Q$42</f>
        <v>0</v>
      </c>
      <c r="R67" s="217"/>
      <c r="S67" s="217">
        <f>SUM(S61:S66)</f>
        <v>389940</v>
      </c>
      <c r="T67" s="217">
        <f>SUM(T61:T66)</f>
        <v>9700</v>
      </c>
      <c r="U67" s="217">
        <f>SUM(U61:U66)</f>
        <v>649900.02</v>
      </c>
      <c r="V67" s="218"/>
      <c r="W67" s="218"/>
      <c r="X67" s="217">
        <f>SUM(X61:X66)</f>
        <v>0</v>
      </c>
      <c r="Y67" s="217">
        <f>SUM(Y61:Y66)</f>
        <v>0</v>
      </c>
      <c r="Z67" s="217"/>
      <c r="AA67" s="375">
        <v>9700</v>
      </c>
      <c r="AB67" s="217">
        <f t="shared" ref="AB67:AG67" si="129">SUM(AB61:AB66)</f>
        <v>77988</v>
      </c>
      <c r="AC67" s="217">
        <f t="shared" si="129"/>
        <v>97485.010000000009</v>
      </c>
      <c r="AD67" s="217">
        <f t="shared" si="129"/>
        <v>84487.01</v>
      </c>
      <c r="AE67" s="217">
        <f t="shared" si="129"/>
        <v>0</v>
      </c>
      <c r="AF67" s="217">
        <f t="shared" si="129"/>
        <v>389940</v>
      </c>
      <c r="AG67" s="217">
        <f t="shared" si="129"/>
        <v>649900.02</v>
      </c>
      <c r="AH67" s="362"/>
      <c r="AI67" s="217">
        <f t="shared" ref="AI67:AN67" si="130">SUM(AI61:AI66)</f>
        <v>1164</v>
      </c>
      <c r="AJ67" s="217">
        <f t="shared" si="130"/>
        <v>1455.0001492537313</v>
      </c>
      <c r="AK67" s="217">
        <f t="shared" si="130"/>
        <v>1261.0001492537313</v>
      </c>
      <c r="AL67" s="217">
        <f t="shared" si="130"/>
        <v>0</v>
      </c>
      <c r="AM67" s="217">
        <f t="shared" si="130"/>
        <v>5820</v>
      </c>
      <c r="AN67" s="217">
        <f t="shared" si="130"/>
        <v>9700.0002985074625</v>
      </c>
      <c r="AO67" s="288">
        <f>IF($AN$67=0,0,AI67/$AN$67)</f>
        <v>0.11999999630712428</v>
      </c>
      <c r="AP67" s="288">
        <f t="shared" ref="AP67:AS67" si="131">IF($AN$67=0,0,AJ67/$AN$67)</f>
        <v>0.15000001077088748</v>
      </c>
      <c r="AQ67" s="288">
        <f t="shared" si="131"/>
        <v>0.13000001138636677</v>
      </c>
      <c r="AR67" s="288">
        <f t="shared" si="131"/>
        <v>0</v>
      </c>
      <c r="AS67" s="288">
        <f t="shared" si="131"/>
        <v>0.5999999815356214</v>
      </c>
      <c r="AU67" s="280" t="s">
        <v>395</v>
      </c>
    </row>
    <row r="68" spans="1:47" s="40" customFormat="1" x14ac:dyDescent="0.3">
      <c r="B68">
        <v>1</v>
      </c>
      <c r="C68" s="219" t="s">
        <v>396</v>
      </c>
      <c r="D68" s="220" t="s">
        <v>100</v>
      </c>
      <c r="E68" s="219"/>
      <c r="F68" s="220" t="s">
        <v>100</v>
      </c>
      <c r="G68" s="207">
        <f>$AA$69*AA68*$G$59</f>
        <v>0</v>
      </c>
      <c r="H68" s="275">
        <f>'Perfils manteniment'!$G$10</f>
        <v>67</v>
      </c>
      <c r="I68" s="276">
        <f>ROUND(G68*H68,2)</f>
        <v>0</v>
      </c>
      <c r="J68" s="207">
        <f>$AA$69*AA68*$J$59</f>
        <v>0</v>
      </c>
      <c r="K68" s="275">
        <f>'Perfils manteniment'!$G$18</f>
        <v>67</v>
      </c>
      <c r="L68" s="276">
        <f>ROUND(J68*K68,2)</f>
        <v>0</v>
      </c>
      <c r="M68" s="209">
        <f>$AA$69*AA68*$M$59</f>
        <v>0</v>
      </c>
      <c r="N68" s="275">
        <f>'Perfils manteniment'!$G$26</f>
        <v>67</v>
      </c>
      <c r="O68" s="276">
        <f>ROUND(M68*N68,2)</f>
        <v>0</v>
      </c>
      <c r="P68" s="276"/>
      <c r="Q68" s="210">
        <f>$AA$69*AA68*$Q$59</f>
        <v>0</v>
      </c>
      <c r="R68" s="211">
        <f>'Perfils manteniment'!$G$34</f>
        <v>67</v>
      </c>
      <c r="S68" s="276">
        <f>ROUND(Q68*R68,2)</f>
        <v>0</v>
      </c>
      <c r="T68" s="211">
        <f t="shared" ref="T68" si="132">G68+J68+M68+Q68</f>
        <v>0</v>
      </c>
      <c r="U68" s="276">
        <f>I68+L68+O68+P68+S68</f>
        <v>0</v>
      </c>
      <c r="V68" s="212">
        <v>46204</v>
      </c>
      <c r="W68" s="212">
        <v>46753</v>
      </c>
      <c r="X68" s="277"/>
      <c r="Y68" s="279">
        <f>X68*K68</f>
        <v>0</v>
      </c>
      <c r="Z68" s="278"/>
      <c r="AA68" s="390">
        <v>1</v>
      </c>
      <c r="AB68" s="396">
        <f t="shared" ref="AB68" si="133">I68</f>
        <v>0</v>
      </c>
      <c r="AC68" s="396">
        <f t="shared" ref="AC68" si="134">L68</f>
        <v>0</v>
      </c>
      <c r="AD68" s="396">
        <f t="shared" ref="AD68" si="135">O68</f>
        <v>0</v>
      </c>
      <c r="AE68" s="404">
        <f t="shared" ref="AE68" si="136">P68</f>
        <v>0</v>
      </c>
      <c r="AF68" s="404">
        <f t="shared" ref="AF68" si="137">S68</f>
        <v>0</v>
      </c>
      <c r="AG68" s="405">
        <f>SUM(AB68:AF68)</f>
        <v>0</v>
      </c>
      <c r="AH68" s="362"/>
      <c r="AI68" s="398">
        <f>AB68/H68</f>
        <v>0</v>
      </c>
      <c r="AJ68" s="398">
        <f>(AC68-Y68)/K68</f>
        <v>0</v>
      </c>
      <c r="AK68" s="398">
        <f>AD68/N68</f>
        <v>0</v>
      </c>
      <c r="AL68" s="398">
        <f>X68</f>
        <v>0</v>
      </c>
      <c r="AM68" s="398">
        <f t="shared" ref="AM68" si="138">AF68/R68</f>
        <v>0</v>
      </c>
      <c r="AN68" s="398">
        <f>SUM(AI68:AM68)</f>
        <v>0</v>
      </c>
      <c r="AO68" s="399">
        <f>IF($AN$68=0,0,AI68/$AN$68)</f>
        <v>0</v>
      </c>
      <c r="AP68" s="399">
        <f t="shared" ref="AP68:AS68" si="139">IF($AN$68=0,0,AJ68/$AN$68)</f>
        <v>0</v>
      </c>
      <c r="AQ68" s="399">
        <f t="shared" si="139"/>
        <v>0</v>
      </c>
      <c r="AR68" s="399">
        <f t="shared" si="139"/>
        <v>0</v>
      </c>
      <c r="AS68" s="399">
        <f t="shared" si="139"/>
        <v>0</v>
      </c>
      <c r="AU68" s="220" t="s">
        <v>100</v>
      </c>
    </row>
    <row r="69" spans="1:47" s="270" customFormat="1" ht="13.5" customHeight="1" x14ac:dyDescent="0.3">
      <c r="C69" s="271"/>
      <c r="D69" s="271"/>
      <c r="E69" s="271"/>
      <c r="F69" s="272" t="s">
        <v>397</v>
      </c>
      <c r="G69" s="222">
        <f>SUM(G68:G68)</f>
        <v>0</v>
      </c>
      <c r="H69" s="222"/>
      <c r="I69" s="222">
        <f>SUM(I68:I68)</f>
        <v>0</v>
      </c>
      <c r="J69" s="222">
        <f>SUM(J68:J68)</f>
        <v>0</v>
      </c>
      <c r="K69" s="222"/>
      <c r="L69" s="222">
        <f>SUM(L68:L68)</f>
        <v>0</v>
      </c>
      <c r="M69" s="222">
        <f>SUM(M68:M68)</f>
        <v>0</v>
      </c>
      <c r="N69" s="222"/>
      <c r="O69" s="222">
        <f>SUM(O68:O68)</f>
        <v>0</v>
      </c>
      <c r="P69" s="222">
        <f>SUM(P68:P68)</f>
        <v>0</v>
      </c>
      <c r="Q69" s="222">
        <f>SUM(Q68:Q68)</f>
        <v>0</v>
      </c>
      <c r="R69" s="222"/>
      <c r="S69" s="222">
        <f>SUM(S68:S68)</f>
        <v>0</v>
      </c>
      <c r="T69" s="222">
        <f>SUM(T68:T68)</f>
        <v>0</v>
      </c>
      <c r="U69" s="222">
        <f>SUM(U68:U68)</f>
        <v>0</v>
      </c>
      <c r="V69" s="273"/>
      <c r="W69" s="273"/>
      <c r="X69" s="222">
        <f>SUM(X68:X68)</f>
        <v>0</v>
      </c>
      <c r="Y69" s="222">
        <f>SUM(Y68:Y68)</f>
        <v>0</v>
      </c>
      <c r="Z69" s="222"/>
      <c r="AA69" s="400">
        <v>0</v>
      </c>
      <c r="AB69" s="274">
        <f t="shared" ref="AB69:AG69" si="140">SUM(AB68:AB68)</f>
        <v>0</v>
      </c>
      <c r="AC69" s="274">
        <f t="shared" si="140"/>
        <v>0</v>
      </c>
      <c r="AD69" s="274">
        <f t="shared" si="140"/>
        <v>0</v>
      </c>
      <c r="AE69" s="274">
        <f t="shared" si="140"/>
        <v>0</v>
      </c>
      <c r="AF69" s="274">
        <f t="shared" si="140"/>
        <v>0</v>
      </c>
      <c r="AG69" s="274">
        <f t="shared" si="140"/>
        <v>0</v>
      </c>
      <c r="AH69" s="400"/>
      <c r="AI69" s="274">
        <f t="shared" ref="AI69:AN69" si="141">SUM(AI68:AI68)</f>
        <v>0</v>
      </c>
      <c r="AJ69" s="274">
        <f t="shared" si="141"/>
        <v>0</v>
      </c>
      <c r="AK69" s="274">
        <f t="shared" si="141"/>
        <v>0</v>
      </c>
      <c r="AL69" s="274">
        <f t="shared" si="141"/>
        <v>0</v>
      </c>
      <c r="AM69" s="274">
        <f t="shared" si="141"/>
        <v>0</v>
      </c>
      <c r="AN69" s="274">
        <f t="shared" si="141"/>
        <v>0</v>
      </c>
      <c r="AO69" s="289">
        <f>IF($AN$69=0,0,AI69/$AN$69)</f>
        <v>0</v>
      </c>
      <c r="AP69" s="289">
        <f t="shared" ref="AP69:AS69" si="142">IF($AN$69=0,0,AJ69/$AN$69)</f>
        <v>0</v>
      </c>
      <c r="AQ69" s="289">
        <f t="shared" si="142"/>
        <v>0</v>
      </c>
      <c r="AR69" s="289">
        <f t="shared" si="142"/>
        <v>0</v>
      </c>
      <c r="AS69" s="289">
        <f t="shared" si="142"/>
        <v>0</v>
      </c>
      <c r="AU69" s="281" t="s">
        <v>397</v>
      </c>
    </row>
    <row r="70" spans="1:47" s="40" customFormat="1" ht="13.5" customHeight="1" x14ac:dyDescent="0.3">
      <c r="B70" s="362">
        <v>0</v>
      </c>
      <c r="C70" s="22" t="s">
        <v>398</v>
      </c>
      <c r="D70" s="22" t="s">
        <v>399</v>
      </c>
      <c r="E70" s="22" t="s">
        <v>376</v>
      </c>
      <c r="F70" s="269" t="s">
        <v>400</v>
      </c>
      <c r="G70" s="207">
        <f>$AA$71*AA70*$G$59</f>
        <v>138</v>
      </c>
      <c r="H70" s="207">
        <f>'Perfils manteniment'!$G$10</f>
        <v>67</v>
      </c>
      <c r="I70" s="208">
        <f>ROUND(G70*H70,2)</f>
        <v>9246</v>
      </c>
      <c r="J70" s="207">
        <f>$AA$71*AA70*$J$59</f>
        <v>172.5</v>
      </c>
      <c r="K70" s="207">
        <f>'Perfils manteniment'!$G$18</f>
        <v>67</v>
      </c>
      <c r="L70" s="208">
        <f>ROUND(J70*K70,2)</f>
        <v>11557.5</v>
      </c>
      <c r="M70" s="209">
        <f>$AA$71*AA70*$M$59</f>
        <v>149.5</v>
      </c>
      <c r="N70" s="207">
        <f>'Perfils manteniment'!$G$26</f>
        <v>67</v>
      </c>
      <c r="O70" s="208">
        <f>ROUND(M70*N70,2)</f>
        <v>10016.5</v>
      </c>
      <c r="P70" s="208"/>
      <c r="Q70" s="210">
        <f>$AA$71*AA70*$Q$59</f>
        <v>690</v>
      </c>
      <c r="R70" s="211">
        <f>'Perfils manteniment'!$G$34</f>
        <v>67</v>
      </c>
      <c r="S70" s="208">
        <f>ROUND(Q70*R70,2)</f>
        <v>46230</v>
      </c>
      <c r="T70" s="211">
        <f t="shared" ref="T70" si="143">G70+J70+M70+Q70</f>
        <v>1150</v>
      </c>
      <c r="U70" s="208">
        <f>I70+L70+O70+P70+S70</f>
        <v>77050</v>
      </c>
      <c r="V70" s="212">
        <v>46204</v>
      </c>
      <c r="W70" s="212">
        <v>46753</v>
      </c>
      <c r="X70" s="211"/>
      <c r="Y70" s="213"/>
      <c r="Z70" s="212"/>
      <c r="AA70" s="390">
        <v>1</v>
      </c>
      <c r="AB70" s="285">
        <f t="shared" ref="AB70" si="144">I70</f>
        <v>9246</v>
      </c>
      <c r="AC70" s="285">
        <f t="shared" ref="AC70" si="145">L70</f>
        <v>11557.5</v>
      </c>
      <c r="AD70" s="285">
        <f t="shared" ref="AD70" si="146">O70</f>
        <v>10016.5</v>
      </c>
      <c r="AE70" s="285">
        <f t="shared" ref="AE70" si="147">P70</f>
        <v>0</v>
      </c>
      <c r="AF70" s="285">
        <f t="shared" ref="AF70" si="148">S70</f>
        <v>46230</v>
      </c>
      <c r="AG70" s="285">
        <f>SUM(AB70:AF70)</f>
        <v>77050</v>
      </c>
      <c r="AH70" s="401"/>
      <c r="AI70" s="285">
        <f>AB70/H70</f>
        <v>138</v>
      </c>
      <c r="AJ70" s="285">
        <f>(AC70-Y70)/K70</f>
        <v>172.5</v>
      </c>
      <c r="AK70" s="285">
        <f>AD70/N70</f>
        <v>149.5</v>
      </c>
      <c r="AL70" s="285">
        <f>X70</f>
        <v>0</v>
      </c>
      <c r="AM70" s="285">
        <f t="shared" ref="AM70" si="149">AF70/R70</f>
        <v>690</v>
      </c>
      <c r="AN70" s="285">
        <f>SUM(AI70:AM70)</f>
        <v>1150</v>
      </c>
      <c r="AO70" s="286">
        <f>IF($AN$70=0,0,AI70/$AN$70)</f>
        <v>0.12</v>
      </c>
      <c r="AP70" s="286">
        <f t="shared" ref="AP70:AS70" si="150">IF($AN$70=0,0,AJ70/$AN$70)</f>
        <v>0.15</v>
      </c>
      <c r="AQ70" s="286">
        <f t="shared" si="150"/>
        <v>0.13</v>
      </c>
      <c r="AR70" s="286">
        <f t="shared" si="150"/>
        <v>0</v>
      </c>
      <c r="AS70" s="286">
        <f t="shared" si="150"/>
        <v>0.6</v>
      </c>
      <c r="AU70" s="269" t="s">
        <v>400</v>
      </c>
    </row>
    <row r="71" spans="1:47" s="40" customFormat="1" ht="13.5" customHeight="1" x14ac:dyDescent="0.3">
      <c r="C71" s="196"/>
      <c r="D71" s="196"/>
      <c r="E71" s="196"/>
      <c r="F71" s="265" t="s">
        <v>401</v>
      </c>
      <c r="G71" s="266">
        <f>SUM(G70)</f>
        <v>138</v>
      </c>
      <c r="H71" s="266"/>
      <c r="I71" s="266">
        <f>SUM(I70)</f>
        <v>9246</v>
      </c>
      <c r="J71" s="266">
        <f>SUM(J70)</f>
        <v>172.5</v>
      </c>
      <c r="K71" s="266"/>
      <c r="L71" s="266">
        <f>SUM(L70)</f>
        <v>11557.5</v>
      </c>
      <c r="M71" s="266">
        <f>SUM(M70)</f>
        <v>149.5</v>
      </c>
      <c r="N71" s="266"/>
      <c r="O71" s="266">
        <f>SUM(O70)</f>
        <v>10016.5</v>
      </c>
      <c r="P71" s="266">
        <f>SUM(P70)</f>
        <v>0</v>
      </c>
      <c r="Q71" s="266">
        <f>SUM(Q70)</f>
        <v>690</v>
      </c>
      <c r="R71" s="266"/>
      <c r="S71" s="266">
        <f>SUM(S70)</f>
        <v>46230</v>
      </c>
      <c r="T71" s="266">
        <f>SUM(T70)</f>
        <v>1150</v>
      </c>
      <c r="U71" s="266">
        <f>SUM(U70)</f>
        <v>77050</v>
      </c>
      <c r="V71" s="267"/>
      <c r="W71" s="267"/>
      <c r="X71" s="266">
        <f>SUM(X70)</f>
        <v>0</v>
      </c>
      <c r="Y71" s="266">
        <f>SUM(Y70)</f>
        <v>0</v>
      </c>
      <c r="Z71" s="268"/>
      <c r="AA71" s="401">
        <v>1150</v>
      </c>
      <c r="AB71" s="266">
        <f t="shared" ref="AB71:AG71" si="151">SUM(AB70)</f>
        <v>9246</v>
      </c>
      <c r="AC71" s="266">
        <f t="shared" si="151"/>
        <v>11557.5</v>
      </c>
      <c r="AD71" s="266">
        <f t="shared" si="151"/>
        <v>10016.5</v>
      </c>
      <c r="AE71" s="266">
        <f t="shared" si="151"/>
        <v>0</v>
      </c>
      <c r="AF71" s="266">
        <f t="shared" si="151"/>
        <v>46230</v>
      </c>
      <c r="AG71" s="266">
        <f t="shared" si="151"/>
        <v>77050</v>
      </c>
      <c r="AH71" s="401"/>
      <c r="AI71" s="266">
        <f t="shared" ref="AI71:AN71" si="152">SUM(AI70)</f>
        <v>138</v>
      </c>
      <c r="AJ71" s="266">
        <f t="shared" si="152"/>
        <v>172.5</v>
      </c>
      <c r="AK71" s="266">
        <f t="shared" si="152"/>
        <v>149.5</v>
      </c>
      <c r="AL71" s="266">
        <f t="shared" si="152"/>
        <v>0</v>
      </c>
      <c r="AM71" s="266">
        <f t="shared" si="152"/>
        <v>690</v>
      </c>
      <c r="AN71" s="266">
        <f t="shared" si="152"/>
        <v>1150</v>
      </c>
      <c r="AO71" s="290">
        <f>IF($AN$71=0,0,AI71/$AN$71)</f>
        <v>0.12</v>
      </c>
      <c r="AP71" s="290">
        <f t="shared" ref="AP71:AS71" si="153">IF($AN$71=0,0,AJ71/$AN$71)</f>
        <v>0.15</v>
      </c>
      <c r="AQ71" s="290">
        <f t="shared" si="153"/>
        <v>0.13</v>
      </c>
      <c r="AR71" s="290">
        <f t="shared" si="153"/>
        <v>0</v>
      </c>
      <c r="AS71" s="290">
        <f t="shared" si="153"/>
        <v>0.6</v>
      </c>
      <c r="AU71" s="282" t="s">
        <v>402</v>
      </c>
    </row>
    <row r="72" spans="1:47" s="40" customFormat="1" ht="15.6" x14ac:dyDescent="0.3">
      <c r="C72" s="224" t="s">
        <v>367</v>
      </c>
      <c r="D72" s="225"/>
      <c r="E72" s="226"/>
      <c r="F72" s="287"/>
      <c r="G72" s="228">
        <f>G67+G69</f>
        <v>1164</v>
      </c>
      <c r="H72" s="228"/>
      <c r="I72" s="228">
        <f>I67+I69</f>
        <v>77988</v>
      </c>
      <c r="J72" s="228">
        <f>J67+J69</f>
        <v>1455</v>
      </c>
      <c r="K72" s="228"/>
      <c r="L72" s="228">
        <f>L67+L69</f>
        <v>97485.010000000009</v>
      </c>
      <c r="M72" s="228">
        <f>M67+M69</f>
        <v>1261</v>
      </c>
      <c r="N72" s="228"/>
      <c r="O72" s="228">
        <f>O67+O69</f>
        <v>84487.01</v>
      </c>
      <c r="P72" s="228">
        <f>P67+P69</f>
        <v>0</v>
      </c>
      <c r="Q72" s="228">
        <f>Q67+Q69</f>
        <v>0</v>
      </c>
      <c r="R72" s="228"/>
      <c r="S72" s="228">
        <f>S67+S69</f>
        <v>389940</v>
      </c>
      <c r="T72" s="228">
        <f>T67+T69</f>
        <v>9700</v>
      </c>
      <c r="U72" s="228">
        <f>U67+U69+U71</f>
        <v>726950.02</v>
      </c>
      <c r="V72" s="228"/>
      <c r="W72" s="228"/>
      <c r="X72" s="228">
        <f>X67+X69</f>
        <v>0</v>
      </c>
      <c r="Y72" s="228">
        <f>Y67+Y69</f>
        <v>0</v>
      </c>
      <c r="Z72" s="229"/>
      <c r="AB72" s="228">
        <f>AB67+AB69+AB71</f>
        <v>87234</v>
      </c>
      <c r="AC72" s="228">
        <f t="shared" ref="AC72" si="154">AC67+AC69+AC71</f>
        <v>109042.51000000001</v>
      </c>
      <c r="AD72" s="228">
        <f t="shared" ref="AD72" si="155">AD67+AD69+AD71</f>
        <v>94503.51</v>
      </c>
      <c r="AE72" s="228">
        <f t="shared" ref="AE72" si="156">AE67+AE69+AE71</f>
        <v>0</v>
      </c>
      <c r="AF72" s="228">
        <f t="shared" ref="AF72" si="157">AF67+AF69+AF71</f>
        <v>436170</v>
      </c>
      <c r="AG72" s="228">
        <f t="shared" ref="AG72" si="158">AG67+AG69+AG71</f>
        <v>726950.02</v>
      </c>
      <c r="AH72" s="362"/>
      <c r="AI72" s="228">
        <f t="shared" ref="AI72:AN72" si="159">AI67+AI69+AI71</f>
        <v>1302</v>
      </c>
      <c r="AJ72" s="228">
        <f t="shared" si="159"/>
        <v>1627.5001492537313</v>
      </c>
      <c r="AK72" s="228">
        <f t="shared" si="159"/>
        <v>1410.5001492537313</v>
      </c>
      <c r="AL72" s="228">
        <f t="shared" si="159"/>
        <v>0</v>
      </c>
      <c r="AM72" s="228">
        <f t="shared" si="159"/>
        <v>6510</v>
      </c>
      <c r="AN72" s="228">
        <f t="shared" si="159"/>
        <v>10850.000298507463</v>
      </c>
      <c r="AO72" s="291">
        <f>IF($AN$72=0,0,AI72/$AN$72)</f>
        <v>0.11999999669853507</v>
      </c>
      <c r="AP72" s="291">
        <f t="shared" ref="AP72:AS72" si="160">IF($AN$72=0,0,AJ72/$AN$72)</f>
        <v>0.15000000962927271</v>
      </c>
      <c r="AQ72" s="291">
        <f t="shared" si="160"/>
        <v>0.13000001017951687</v>
      </c>
      <c r="AR72" s="291">
        <f t="shared" si="160"/>
        <v>0</v>
      </c>
      <c r="AS72" s="291">
        <f t="shared" si="160"/>
        <v>0.59999998349267536</v>
      </c>
      <c r="AU72" s="230" t="s">
        <v>367</v>
      </c>
    </row>
    <row r="73" spans="1:47" s="40" customFormat="1" x14ac:dyDescent="0.3">
      <c r="A73" s="231"/>
      <c r="B73" s="231"/>
      <c r="C73" s="232"/>
      <c r="D73" s="233"/>
      <c r="E73" s="234"/>
      <c r="F73" s="234" t="s">
        <v>403</v>
      </c>
      <c r="G73" s="235">
        <f>G72/$T$38</f>
        <v>0.13295259851513422</v>
      </c>
      <c r="H73" s="236"/>
      <c r="I73" s="237"/>
      <c r="J73" s="235">
        <f>J72/$T$38</f>
        <v>0.16619074814391777</v>
      </c>
      <c r="K73" s="236"/>
      <c r="L73" s="237"/>
      <c r="M73" s="235">
        <f>M72/$T$38</f>
        <v>0.14403198172472872</v>
      </c>
      <c r="N73" s="236"/>
      <c r="O73" s="237"/>
      <c r="P73" s="237"/>
      <c r="Q73" s="236"/>
      <c r="R73" s="236"/>
      <c r="S73" s="237"/>
      <c r="T73" s="237"/>
      <c r="U73" s="221"/>
      <c r="V73" s="212"/>
      <c r="W73" s="212"/>
      <c r="X73" s="221"/>
      <c r="Y73" s="238"/>
      <c r="Z73" s="239"/>
      <c r="AA73" s="499">
        <f>(AA67-AA50)/AA50</f>
        <v>0.40845070422535212</v>
      </c>
      <c r="AC73" s="240"/>
      <c r="AG73" s="362"/>
      <c r="AH73" s="362"/>
      <c r="AI73" s="223"/>
      <c r="AJ73" s="223"/>
      <c r="AK73" s="223"/>
      <c r="AN73" s="241">
        <f>AN67/1500</f>
        <v>6.466666865671642</v>
      </c>
      <c r="AO73" s="241"/>
      <c r="AP73" s="241"/>
      <c r="AQ73" s="241"/>
      <c r="AR73" s="241"/>
      <c r="AS73" s="241"/>
    </row>
    <row r="74" spans="1:47" s="40" customFormat="1" x14ac:dyDescent="0.3">
      <c r="A74" s="231"/>
      <c r="B74" s="231"/>
      <c r="C74" s="232"/>
      <c r="D74" s="233"/>
      <c r="E74" s="234"/>
      <c r="F74" s="234" t="s">
        <v>404</v>
      </c>
      <c r="G74" s="235">
        <f>I72/($U$38-$P$38)</f>
        <v>0.13295259851513422</v>
      </c>
      <c r="H74" s="236"/>
      <c r="I74" s="236"/>
      <c r="J74" s="235">
        <f>L72/($U$38-$P$38)</f>
        <v>0.16619076519174547</v>
      </c>
      <c r="K74" s="236"/>
      <c r="L74" s="237"/>
      <c r="M74" s="235">
        <f>O72/($U$38-$P$38)</f>
        <v>0.1440319987725564</v>
      </c>
      <c r="N74" s="236"/>
      <c r="O74" s="236"/>
      <c r="P74" s="236"/>
      <c r="Q74" s="236"/>
      <c r="R74" s="236"/>
      <c r="S74" s="236"/>
      <c r="T74" s="236"/>
      <c r="U74" s="221"/>
      <c r="V74" s="212"/>
      <c r="W74" s="212"/>
      <c r="X74" s="221"/>
      <c r="Y74" s="236"/>
      <c r="Z74" s="236"/>
      <c r="AB74" s="199"/>
      <c r="AD74" s="240"/>
      <c r="AI74" s="223"/>
      <c r="AJ74" s="223"/>
      <c r="AK74" s="223"/>
      <c r="AN74" s="241">
        <f>AN69/1500</f>
        <v>0</v>
      </c>
      <c r="AO74" s="241"/>
      <c r="AP74" s="241"/>
      <c r="AQ74" s="241"/>
      <c r="AR74" s="241"/>
      <c r="AS74" s="241"/>
    </row>
    <row r="75" spans="1:47" ht="18.75" customHeight="1" x14ac:dyDescent="0.3">
      <c r="A75" s="362"/>
      <c r="B75" s="362"/>
      <c r="C75" s="374"/>
      <c r="D75" s="362"/>
      <c r="E75" s="367"/>
      <c r="F75" s="362"/>
      <c r="G75" s="362"/>
      <c r="H75" s="362"/>
      <c r="I75" s="362"/>
      <c r="J75" s="362"/>
      <c r="K75" s="362"/>
      <c r="L75" s="375"/>
      <c r="M75" s="375"/>
      <c r="N75" s="375"/>
      <c r="O75" s="385"/>
      <c r="P75" s="385"/>
      <c r="Q75" s="385"/>
      <c r="R75" s="385"/>
      <c r="S75" s="375"/>
      <c r="T75" s="362"/>
      <c r="U75"/>
      <c r="V75"/>
      <c r="W75" s="362"/>
      <c r="X75" s="362"/>
      <c r="Y75" s="362"/>
      <c r="Z75" s="362"/>
      <c r="AA75" s="199">
        <v>47483</v>
      </c>
      <c r="AB75"/>
      <c r="AC75"/>
      <c r="AD75"/>
      <c r="AE75"/>
      <c r="AF75" s="362"/>
      <c r="AG75" s="40"/>
      <c r="AH75" s="362"/>
      <c r="AI75" s="558" t="s">
        <v>334</v>
      </c>
      <c r="AJ75" s="559"/>
      <c r="AK75" s="559"/>
      <c r="AL75" s="559"/>
      <c r="AM75" s="559"/>
      <c r="AN75" s="559"/>
      <c r="AO75" s="388"/>
      <c r="AP75" s="388"/>
      <c r="AQ75" s="388"/>
      <c r="AR75" s="388"/>
      <c r="AS75" s="388"/>
      <c r="AT75" s="362"/>
      <c r="AU75" s="362"/>
    </row>
    <row r="76" spans="1:47" x14ac:dyDescent="0.3">
      <c r="A76" s="362"/>
      <c r="B76" s="362"/>
      <c r="C76" s="560" t="s">
        <v>411</v>
      </c>
      <c r="D76" s="560"/>
      <c r="E76" s="370"/>
      <c r="F76" s="370"/>
      <c r="G76" s="389">
        <v>0.12</v>
      </c>
      <c r="H76" s="389"/>
      <c r="I76" s="389"/>
      <c r="J76" s="389">
        <v>0.15</v>
      </c>
      <c r="K76" s="389"/>
      <c r="L76" s="389"/>
      <c r="M76" s="389">
        <v>0.13</v>
      </c>
      <c r="N76" s="389"/>
      <c r="O76" s="389"/>
      <c r="P76" s="389"/>
      <c r="Q76" s="389">
        <v>0.6</v>
      </c>
      <c r="R76" s="362"/>
      <c r="S76"/>
      <c r="T76"/>
      <c r="U76"/>
      <c r="V76" s="561" t="s">
        <v>336</v>
      </c>
      <c r="W76" s="561"/>
      <c r="X76" s="40"/>
      <c r="Y76" s="362"/>
      <c r="Z76" s="362"/>
      <c r="AA76" s="362"/>
      <c r="AB76" s="562" t="s">
        <v>412</v>
      </c>
      <c r="AC76" s="562"/>
      <c r="AD76" s="562"/>
      <c r="AE76" s="562"/>
      <c r="AF76" s="562"/>
      <c r="AG76" s="362"/>
      <c r="AH76" s="362"/>
      <c r="AI76" s="562" t="s">
        <v>413</v>
      </c>
      <c r="AJ76" s="562"/>
      <c r="AK76" s="562"/>
      <c r="AL76" s="362"/>
      <c r="AM76" s="362"/>
      <c r="AN76" s="362"/>
      <c r="AO76" s="362"/>
      <c r="AP76" s="362"/>
      <c r="AQ76" s="362"/>
      <c r="AR76" s="362"/>
      <c r="AS76" s="362"/>
      <c r="AT76" s="362"/>
      <c r="AU76" s="362"/>
    </row>
    <row r="77" spans="1:47" s="40" customFormat="1" ht="41.4" customHeight="1" x14ac:dyDescent="0.3">
      <c r="A77" s="200" t="s">
        <v>339</v>
      </c>
      <c r="B77" s="183" t="s">
        <v>48</v>
      </c>
      <c r="C77" s="183" t="s">
        <v>297</v>
      </c>
      <c r="D77" s="183" t="s">
        <v>340</v>
      </c>
      <c r="E77" s="183" t="s">
        <v>341</v>
      </c>
      <c r="F77" s="201" t="s">
        <v>342</v>
      </c>
      <c r="G77" s="202" t="s">
        <v>343</v>
      </c>
      <c r="H77" s="182" t="s">
        <v>344</v>
      </c>
      <c r="I77" s="182" t="s">
        <v>345</v>
      </c>
      <c r="J77" s="202" t="s">
        <v>346</v>
      </c>
      <c r="K77" s="182" t="s">
        <v>344</v>
      </c>
      <c r="L77" s="182" t="s">
        <v>347</v>
      </c>
      <c r="M77" s="202" t="s">
        <v>348</v>
      </c>
      <c r="N77" s="182" t="s">
        <v>344</v>
      </c>
      <c r="O77" s="182" t="s">
        <v>349</v>
      </c>
      <c r="P77" s="202" t="s">
        <v>350</v>
      </c>
      <c r="Q77" s="202" t="s">
        <v>351</v>
      </c>
      <c r="R77" s="182" t="s">
        <v>344</v>
      </c>
      <c r="S77" s="182" t="s">
        <v>352</v>
      </c>
      <c r="T77" s="182" t="s">
        <v>353</v>
      </c>
      <c r="U77" s="182" t="s">
        <v>354</v>
      </c>
      <c r="V77" s="203" t="s">
        <v>355</v>
      </c>
      <c r="W77" s="203" t="s">
        <v>356</v>
      </c>
      <c r="X77" s="202" t="s">
        <v>357</v>
      </c>
      <c r="Y77" s="202" t="s">
        <v>358</v>
      </c>
      <c r="Z77" s="203" t="s">
        <v>359</v>
      </c>
      <c r="AB77" s="182" t="s">
        <v>345</v>
      </c>
      <c r="AC77" s="182" t="s">
        <v>347</v>
      </c>
      <c r="AD77" s="182" t="s">
        <v>349</v>
      </c>
      <c r="AE77" s="182" t="s">
        <v>350</v>
      </c>
      <c r="AF77" s="182" t="s">
        <v>360</v>
      </c>
      <c r="AG77" s="182" t="s">
        <v>361</v>
      </c>
      <c r="AH77"/>
      <c r="AI77" s="182" t="s">
        <v>362</v>
      </c>
      <c r="AJ77" s="182" t="s">
        <v>363</v>
      </c>
      <c r="AK77" s="182" t="s">
        <v>364</v>
      </c>
      <c r="AL77" s="204" t="s">
        <v>365</v>
      </c>
      <c r="AM77" s="204" t="s">
        <v>366</v>
      </c>
      <c r="AN77" s="182" t="s">
        <v>367</v>
      </c>
      <c r="AO77" s="182" t="s">
        <v>368</v>
      </c>
      <c r="AP77" s="182" t="s">
        <v>369</v>
      </c>
      <c r="AQ77" s="182" t="s">
        <v>370</v>
      </c>
      <c r="AR77" s="182" t="s">
        <v>371</v>
      </c>
      <c r="AS77" s="182" t="s">
        <v>372</v>
      </c>
      <c r="AU77" s="201" t="s">
        <v>342</v>
      </c>
    </row>
    <row r="78" spans="1:47" s="40" customFormat="1" x14ac:dyDescent="0.3">
      <c r="A78" s="205" t="s">
        <v>373</v>
      </c>
      <c r="B78" s="196">
        <v>5</v>
      </c>
      <c r="C78" s="206" t="s">
        <v>374</v>
      </c>
      <c r="D78" s="206" t="s">
        <v>375</v>
      </c>
      <c r="E78" s="206" t="s">
        <v>376</v>
      </c>
      <c r="F78" s="206" t="s">
        <v>377</v>
      </c>
      <c r="G78" s="207">
        <f>$AA$84*AA78*$G$76</f>
        <v>301.05599999999998</v>
      </c>
      <c r="H78" s="207">
        <f>'Perfils manteniment'!$G$10</f>
        <v>67</v>
      </c>
      <c r="I78" s="208">
        <f>ROUND(G78*H78,2)</f>
        <v>20170.75</v>
      </c>
      <c r="J78" s="207">
        <f>$AA$84*AA78*$J$76</f>
        <v>376.31999999999994</v>
      </c>
      <c r="K78" s="207">
        <f>'Perfils manteniment'!$G$18</f>
        <v>67</v>
      </c>
      <c r="L78" s="208">
        <f>ROUND(J78*K78,2)</f>
        <v>25213.439999999999</v>
      </c>
      <c r="M78" s="209">
        <f>$AA$84*AA78*$M$76</f>
        <v>326.14399999999995</v>
      </c>
      <c r="N78" s="207">
        <f>'Perfils manteniment'!$G$26</f>
        <v>67</v>
      </c>
      <c r="O78" s="208">
        <f>ROUND(M78*N78,2)</f>
        <v>21851.65</v>
      </c>
      <c r="P78" s="208"/>
      <c r="Q78" s="210">
        <f>$AA$84*AA78*$Q$76</f>
        <v>1505.2799999999997</v>
      </c>
      <c r="R78" s="211">
        <f>'Perfils manteniment'!$G$34</f>
        <v>67</v>
      </c>
      <c r="S78" s="208">
        <f>ROUND(Q78*R78,2)</f>
        <v>100853.75999999999</v>
      </c>
      <c r="T78" s="211">
        <f t="shared" ref="T78:T83" si="161">G78+J78+M78+Q78</f>
        <v>2508.7999999999997</v>
      </c>
      <c r="U78" s="208">
        <f>I78+L78+O78+P78+S78</f>
        <v>168089.59999999998</v>
      </c>
      <c r="V78" s="212">
        <v>46204</v>
      </c>
      <c r="W78" s="212">
        <v>47119</v>
      </c>
      <c r="X78" s="211"/>
      <c r="Y78" s="213">
        <f>X78*K78*1</f>
        <v>0</v>
      </c>
      <c r="Z78" s="212"/>
      <c r="AA78" s="389">
        <v>0.17499999999999999</v>
      </c>
      <c r="AB78" s="391">
        <f>I78</f>
        <v>20170.75</v>
      </c>
      <c r="AC78" s="391">
        <f>L78</f>
        <v>25213.439999999999</v>
      </c>
      <c r="AD78" s="391">
        <f>O78</f>
        <v>21851.65</v>
      </c>
      <c r="AE78" s="402">
        <f t="shared" ref="AE78:AE83" si="162">P78</f>
        <v>0</v>
      </c>
      <c r="AF78" s="402">
        <f>S78</f>
        <v>100853.75999999999</v>
      </c>
      <c r="AG78" s="403">
        <f t="shared" ref="AG78:AG83" si="163">SUM(AB78:AF78)</f>
        <v>168089.59999999998</v>
      </c>
      <c r="AH78" s="362"/>
      <c r="AI78" s="393">
        <f t="shared" ref="AI78:AI83" si="164">AB78/H78</f>
        <v>301.05597014925371</v>
      </c>
      <c r="AJ78" s="393">
        <f t="shared" ref="AJ78:AJ83" si="165">(AC78-Y78)/K78</f>
        <v>376.32</v>
      </c>
      <c r="AK78" s="393">
        <f t="shared" ref="AK78:AK83" si="166">AD78/N78</f>
        <v>326.14402985074628</v>
      </c>
      <c r="AL78" s="393">
        <f>X78</f>
        <v>0</v>
      </c>
      <c r="AM78" s="393">
        <f>AF78/R78</f>
        <v>1505.28</v>
      </c>
      <c r="AN78" s="394">
        <f>SUM(AI78:AM78)</f>
        <v>2508.8000000000002</v>
      </c>
      <c r="AO78" s="395">
        <f>IF($AN$78=0,0,AI78/$AN$78)</f>
        <v>0.1199999881015839</v>
      </c>
      <c r="AP78" s="395">
        <f t="shared" ref="AP78:AS78" si="167">IF($AN$78=0,0,AJ78/$AN$78)</f>
        <v>0.15</v>
      </c>
      <c r="AQ78" s="395">
        <f t="shared" si="167"/>
        <v>0.13000001189841609</v>
      </c>
      <c r="AR78" s="395">
        <f t="shared" si="167"/>
        <v>0</v>
      </c>
      <c r="AS78" s="395">
        <f t="shared" si="167"/>
        <v>0.6</v>
      </c>
      <c r="AU78" s="206" t="s">
        <v>377</v>
      </c>
    </row>
    <row r="79" spans="1:47" s="40" customFormat="1" x14ac:dyDescent="0.3">
      <c r="A79" s="214" t="s">
        <v>378</v>
      </c>
      <c r="B79" s="40">
        <v>1</v>
      </c>
      <c r="C79" s="206" t="s">
        <v>379</v>
      </c>
      <c r="D79" s="206" t="s">
        <v>380</v>
      </c>
      <c r="E79" s="206" t="s">
        <v>376</v>
      </c>
      <c r="F79" s="206" t="s">
        <v>381</v>
      </c>
      <c r="G79" s="207">
        <f t="shared" ref="G79:G83" si="168">$AA$84*AA79*$G$76</f>
        <v>172.03200000000001</v>
      </c>
      <c r="H79" s="207">
        <f>'Perfils manteniment'!$G$10</f>
        <v>67</v>
      </c>
      <c r="I79" s="208">
        <f>ROUND(G79*H79,2)</f>
        <v>11526.14</v>
      </c>
      <c r="J79" s="207">
        <f t="shared" ref="J79:J83" si="169">$AA$84*AA79*$J$76</f>
        <v>215.04000000000002</v>
      </c>
      <c r="K79" s="207">
        <f>'Perfils manteniment'!$G$18</f>
        <v>67</v>
      </c>
      <c r="L79" s="208">
        <f>ROUND(J79*K79,2)</f>
        <v>14407.68</v>
      </c>
      <c r="M79" s="209">
        <f t="shared" ref="M79:M83" si="170">$AA$84*AA79*$M$76</f>
        <v>186.36800000000002</v>
      </c>
      <c r="N79" s="207">
        <f>'Perfils manteniment'!$G$26</f>
        <v>67</v>
      </c>
      <c r="O79" s="208">
        <f t="shared" ref="O79:O83" si="171">ROUND(M79*N79,2)</f>
        <v>12486.66</v>
      </c>
      <c r="P79" s="208"/>
      <c r="Q79" s="210">
        <f t="shared" ref="Q79:Q83" si="172">$AA$84*AA79*$Q$76</f>
        <v>860.16000000000008</v>
      </c>
      <c r="R79" s="211">
        <f>'Perfils manteniment'!$G$34</f>
        <v>67</v>
      </c>
      <c r="S79" s="208">
        <f t="shared" ref="S79:S83" si="173">ROUND(Q79*R79,2)</f>
        <v>57630.720000000001</v>
      </c>
      <c r="T79" s="211">
        <f t="shared" si="161"/>
        <v>1433.6000000000001</v>
      </c>
      <c r="U79" s="208">
        <f t="shared" ref="U79:U83" si="174">I79+L79+O79+P79+S79</f>
        <v>96051.199999999997</v>
      </c>
      <c r="V79" s="212">
        <v>46204</v>
      </c>
      <c r="W79" s="212">
        <v>47119</v>
      </c>
      <c r="X79" s="211"/>
      <c r="Y79" s="213">
        <f t="shared" ref="Y79:Y83" si="175">X79*K79</f>
        <v>0</v>
      </c>
      <c r="Z79" s="212"/>
      <c r="AA79" s="389">
        <v>0.1</v>
      </c>
      <c r="AB79" s="391">
        <f t="shared" ref="AB79:AB83" si="176">I79</f>
        <v>11526.14</v>
      </c>
      <c r="AC79" s="391">
        <f t="shared" ref="AC79:AC83" si="177">L79</f>
        <v>14407.68</v>
      </c>
      <c r="AD79" s="391">
        <f t="shared" ref="AD79:AD83" si="178">O79</f>
        <v>12486.66</v>
      </c>
      <c r="AE79" s="402">
        <f t="shared" si="162"/>
        <v>0</v>
      </c>
      <c r="AF79" s="402">
        <f t="shared" ref="AF79:AF83" si="179">S79</f>
        <v>57630.720000000001</v>
      </c>
      <c r="AG79" s="403">
        <f t="shared" si="163"/>
        <v>96051.199999999997</v>
      </c>
      <c r="AH79" s="362"/>
      <c r="AI79" s="393">
        <f t="shared" si="164"/>
        <v>172.03194029850746</v>
      </c>
      <c r="AJ79" s="393">
        <f t="shared" si="165"/>
        <v>215.04</v>
      </c>
      <c r="AK79" s="393">
        <f t="shared" si="166"/>
        <v>186.36805970149254</v>
      </c>
      <c r="AL79" s="393">
        <f t="shared" ref="AL79:AL83" si="180">X79</f>
        <v>0</v>
      </c>
      <c r="AM79" s="393">
        <f t="shared" ref="AM79:AM83" si="181">AF79/R79</f>
        <v>860.16</v>
      </c>
      <c r="AN79" s="394">
        <f t="shared" ref="AN79:AN83" si="182">SUM(AI79:AM79)</f>
        <v>1433.6</v>
      </c>
      <c r="AO79" s="395">
        <f>IF($AN$79=0,0,AI79/$AN$79)</f>
        <v>0.11999995835554372</v>
      </c>
      <c r="AP79" s="395">
        <f>IF($AN$79=0,0,AJ79/$AN$79)</f>
        <v>0.15</v>
      </c>
      <c r="AQ79" s="395">
        <f>IF($AN$79=0,0,AK79/$AN$79)</f>
        <v>0.1300000416444563</v>
      </c>
      <c r="AR79" s="395">
        <f>IF($AN$79=0,0,AL79/$AN$79)</f>
        <v>0</v>
      </c>
      <c r="AS79" s="395">
        <f>IF($AN$79=0,0,AM79/$AN$79)</f>
        <v>0.6</v>
      </c>
      <c r="AU79" s="206" t="s">
        <v>381</v>
      </c>
    </row>
    <row r="80" spans="1:47" s="40" customFormat="1" x14ac:dyDescent="0.3">
      <c r="A80" s="264" t="s">
        <v>382</v>
      </c>
      <c r="B80">
        <v>4</v>
      </c>
      <c r="C80" s="206" t="s">
        <v>383</v>
      </c>
      <c r="D80" s="206" t="s">
        <v>384</v>
      </c>
      <c r="E80" s="206" t="s">
        <v>376</v>
      </c>
      <c r="F80" s="206" t="s">
        <v>385</v>
      </c>
      <c r="G80" s="207">
        <f t="shared" si="168"/>
        <v>301.05599999999998</v>
      </c>
      <c r="H80" s="207">
        <f>'Perfils manteniment'!$G$10</f>
        <v>67</v>
      </c>
      <c r="I80" s="208">
        <f t="shared" ref="I80:I83" si="183">ROUND(G80*H80,2)</f>
        <v>20170.75</v>
      </c>
      <c r="J80" s="207">
        <f t="shared" si="169"/>
        <v>376.31999999999994</v>
      </c>
      <c r="K80" s="207">
        <f>'Perfils manteniment'!$G$18</f>
        <v>67</v>
      </c>
      <c r="L80" s="208">
        <f t="shared" ref="L80:L83" si="184">ROUND(J80*K80,2)</f>
        <v>25213.439999999999</v>
      </c>
      <c r="M80" s="209">
        <f t="shared" si="170"/>
        <v>326.14399999999995</v>
      </c>
      <c r="N80" s="207">
        <f>'Perfils manteniment'!$G$26</f>
        <v>67</v>
      </c>
      <c r="O80" s="208">
        <f t="shared" si="171"/>
        <v>21851.65</v>
      </c>
      <c r="P80" s="208"/>
      <c r="Q80" s="210">
        <f t="shared" si="172"/>
        <v>1505.2799999999997</v>
      </c>
      <c r="R80" s="211">
        <f>'Perfils manteniment'!$G$34</f>
        <v>67</v>
      </c>
      <c r="S80" s="208">
        <f t="shared" si="173"/>
        <v>100853.75999999999</v>
      </c>
      <c r="T80" s="211">
        <f t="shared" si="161"/>
        <v>2508.7999999999997</v>
      </c>
      <c r="U80" s="208">
        <f t="shared" si="174"/>
        <v>168089.59999999998</v>
      </c>
      <c r="V80" s="212">
        <v>46204</v>
      </c>
      <c r="W80" s="212">
        <v>47119</v>
      </c>
      <c r="X80" s="211"/>
      <c r="Y80" s="213">
        <f t="shared" si="175"/>
        <v>0</v>
      </c>
      <c r="Z80" s="212"/>
      <c r="AA80" s="389">
        <v>0.17499999999999999</v>
      </c>
      <c r="AB80" s="391">
        <f t="shared" si="176"/>
        <v>20170.75</v>
      </c>
      <c r="AC80" s="391">
        <f t="shared" si="177"/>
        <v>25213.439999999999</v>
      </c>
      <c r="AD80" s="391">
        <f t="shared" si="178"/>
        <v>21851.65</v>
      </c>
      <c r="AE80" s="402">
        <f t="shared" si="162"/>
        <v>0</v>
      </c>
      <c r="AF80" s="402">
        <f t="shared" si="179"/>
        <v>100853.75999999999</v>
      </c>
      <c r="AG80" s="403">
        <f t="shared" si="163"/>
        <v>168089.59999999998</v>
      </c>
      <c r="AH80" s="362"/>
      <c r="AI80" s="393">
        <f t="shared" si="164"/>
        <v>301.05597014925371</v>
      </c>
      <c r="AJ80" s="393">
        <f t="shared" si="165"/>
        <v>376.32</v>
      </c>
      <c r="AK80" s="393">
        <f t="shared" si="166"/>
        <v>326.14402985074628</v>
      </c>
      <c r="AL80" s="393">
        <f t="shared" si="180"/>
        <v>0</v>
      </c>
      <c r="AM80" s="393">
        <f t="shared" si="181"/>
        <v>1505.28</v>
      </c>
      <c r="AN80" s="394">
        <f t="shared" si="182"/>
        <v>2508.8000000000002</v>
      </c>
      <c r="AO80" s="395">
        <f>IF($AN$80=0,0,AI80/$AN$80)</f>
        <v>0.1199999881015839</v>
      </c>
      <c r="AP80" s="395">
        <f t="shared" ref="AP80:AS80" si="185">IF($AN$80=0,0,AJ80/$AN$80)</f>
        <v>0.15</v>
      </c>
      <c r="AQ80" s="395">
        <f t="shared" si="185"/>
        <v>0.13000001189841609</v>
      </c>
      <c r="AR80" s="395">
        <f t="shared" si="185"/>
        <v>0</v>
      </c>
      <c r="AS80" s="395">
        <f t="shared" si="185"/>
        <v>0.6</v>
      </c>
      <c r="AU80" s="206" t="s">
        <v>385</v>
      </c>
    </row>
    <row r="81" spans="1:47" s="40" customFormat="1" x14ac:dyDescent="0.3">
      <c r="B81">
        <v>5</v>
      </c>
      <c r="C81" s="206" t="s">
        <v>386</v>
      </c>
      <c r="D81" s="206" t="s">
        <v>387</v>
      </c>
      <c r="E81" s="206" t="s">
        <v>376</v>
      </c>
      <c r="F81" s="206" t="s">
        <v>388</v>
      </c>
      <c r="G81" s="207">
        <f t="shared" si="168"/>
        <v>516.096</v>
      </c>
      <c r="H81" s="207">
        <f>'Perfils manteniment'!$G$10</f>
        <v>67</v>
      </c>
      <c r="I81" s="208">
        <f t="shared" si="183"/>
        <v>34578.43</v>
      </c>
      <c r="J81" s="207">
        <f t="shared" si="169"/>
        <v>645.12</v>
      </c>
      <c r="K81" s="207">
        <f>'Perfils manteniment'!$G$18</f>
        <v>67</v>
      </c>
      <c r="L81" s="208">
        <f t="shared" si="184"/>
        <v>43223.040000000001</v>
      </c>
      <c r="M81" s="209">
        <f t="shared" si="170"/>
        <v>559.10400000000004</v>
      </c>
      <c r="N81" s="207">
        <f>'Perfils manteniment'!$G$26</f>
        <v>67</v>
      </c>
      <c r="O81" s="208">
        <f t="shared" si="171"/>
        <v>37459.97</v>
      </c>
      <c r="P81" s="208"/>
      <c r="Q81" s="210">
        <f t="shared" si="172"/>
        <v>2580.48</v>
      </c>
      <c r="R81" s="211">
        <f>'Perfils manteniment'!$G$34</f>
        <v>67</v>
      </c>
      <c r="S81" s="208">
        <f t="shared" si="173"/>
        <v>172892.16</v>
      </c>
      <c r="T81" s="211">
        <f t="shared" si="161"/>
        <v>4300.8</v>
      </c>
      <c r="U81" s="208">
        <f t="shared" si="174"/>
        <v>288153.59999999998</v>
      </c>
      <c r="V81" s="212">
        <v>46204</v>
      </c>
      <c r="W81" s="212">
        <v>47119</v>
      </c>
      <c r="X81" s="211"/>
      <c r="Y81" s="213">
        <f t="shared" si="175"/>
        <v>0</v>
      </c>
      <c r="Z81" s="212"/>
      <c r="AA81" s="389">
        <v>0.3</v>
      </c>
      <c r="AB81" s="391">
        <f t="shared" si="176"/>
        <v>34578.43</v>
      </c>
      <c r="AC81" s="391">
        <f t="shared" si="177"/>
        <v>43223.040000000001</v>
      </c>
      <c r="AD81" s="391">
        <f t="shared" si="178"/>
        <v>37459.97</v>
      </c>
      <c r="AE81" s="402">
        <f t="shared" si="162"/>
        <v>0</v>
      </c>
      <c r="AF81" s="402">
        <f t="shared" si="179"/>
        <v>172892.16</v>
      </c>
      <c r="AG81" s="403">
        <f t="shared" si="163"/>
        <v>288153.59999999998</v>
      </c>
      <c r="AH81" s="362"/>
      <c r="AI81" s="393">
        <f t="shared" si="164"/>
        <v>516.09597014925373</v>
      </c>
      <c r="AJ81" s="393">
        <f t="shared" si="165"/>
        <v>645.12</v>
      </c>
      <c r="AK81" s="393">
        <f t="shared" si="166"/>
        <v>559.10402985074631</v>
      </c>
      <c r="AL81" s="393">
        <f t="shared" si="180"/>
        <v>0</v>
      </c>
      <c r="AM81" s="393">
        <f t="shared" si="181"/>
        <v>2580.48</v>
      </c>
      <c r="AN81" s="394">
        <f t="shared" si="182"/>
        <v>4300.8</v>
      </c>
      <c r="AO81" s="395">
        <f>IF($AN$81=0,0,AI81/$AN$81)</f>
        <v>0.11999999305925728</v>
      </c>
      <c r="AP81" s="395">
        <f t="shared" ref="AP81:AS81" si="186">IF($AN$81=0,0,AJ81/$AN$81)</f>
        <v>0.15</v>
      </c>
      <c r="AQ81" s="395">
        <f t="shared" si="186"/>
        <v>0.13000000694074271</v>
      </c>
      <c r="AR81" s="395">
        <f t="shared" si="186"/>
        <v>0</v>
      </c>
      <c r="AS81" s="395">
        <f t="shared" si="186"/>
        <v>0.6</v>
      </c>
      <c r="AU81" s="206" t="s">
        <v>388</v>
      </c>
    </row>
    <row r="82" spans="1:47" s="40" customFormat="1" x14ac:dyDescent="0.3">
      <c r="B82">
        <v>4</v>
      </c>
      <c r="C82" s="206" t="s">
        <v>389</v>
      </c>
      <c r="D82" s="206" t="s">
        <v>390</v>
      </c>
      <c r="E82" s="206" t="s">
        <v>376</v>
      </c>
      <c r="F82" s="206" t="s">
        <v>391</v>
      </c>
      <c r="G82" s="207">
        <f t="shared" si="168"/>
        <v>258.048</v>
      </c>
      <c r="H82" s="207">
        <f>'Perfils manteniment'!$G$10</f>
        <v>67</v>
      </c>
      <c r="I82" s="208">
        <f t="shared" si="183"/>
        <v>17289.22</v>
      </c>
      <c r="J82" s="207">
        <f t="shared" si="169"/>
        <v>322.56</v>
      </c>
      <c r="K82" s="207">
        <f>'Perfils manteniment'!$G$18</f>
        <v>67</v>
      </c>
      <c r="L82" s="208">
        <f t="shared" si="184"/>
        <v>21611.52</v>
      </c>
      <c r="M82" s="209">
        <f t="shared" si="170"/>
        <v>279.55200000000002</v>
      </c>
      <c r="N82" s="207">
        <f>'Perfils manteniment'!$G$26</f>
        <v>67</v>
      </c>
      <c r="O82" s="208">
        <f t="shared" si="171"/>
        <v>18729.98</v>
      </c>
      <c r="P82" s="208"/>
      <c r="Q82" s="210">
        <f t="shared" si="172"/>
        <v>1290.24</v>
      </c>
      <c r="R82" s="211">
        <f>'Perfils manteniment'!$G$34</f>
        <v>67</v>
      </c>
      <c r="S82" s="208">
        <f t="shared" si="173"/>
        <v>86446.080000000002</v>
      </c>
      <c r="T82" s="211">
        <f t="shared" si="161"/>
        <v>2150.4</v>
      </c>
      <c r="U82" s="208">
        <f t="shared" si="174"/>
        <v>144076.79999999999</v>
      </c>
      <c r="V82" s="212">
        <v>46204</v>
      </c>
      <c r="W82" s="212">
        <v>47119</v>
      </c>
      <c r="X82" s="211"/>
      <c r="Y82" s="213">
        <f t="shared" si="175"/>
        <v>0</v>
      </c>
      <c r="Z82" s="212"/>
      <c r="AA82" s="389">
        <v>0.15</v>
      </c>
      <c r="AB82" s="391">
        <f t="shared" si="176"/>
        <v>17289.22</v>
      </c>
      <c r="AC82" s="391">
        <f t="shared" si="177"/>
        <v>21611.52</v>
      </c>
      <c r="AD82" s="391">
        <f t="shared" si="178"/>
        <v>18729.98</v>
      </c>
      <c r="AE82" s="402">
        <f t="shared" si="162"/>
        <v>0</v>
      </c>
      <c r="AF82" s="402">
        <f t="shared" si="179"/>
        <v>86446.080000000002</v>
      </c>
      <c r="AG82" s="403">
        <f t="shared" si="163"/>
        <v>144076.79999999999</v>
      </c>
      <c r="AH82" s="362"/>
      <c r="AI82" s="393">
        <f t="shared" si="164"/>
        <v>258.04805970149255</v>
      </c>
      <c r="AJ82" s="393">
        <f t="shared" si="165"/>
        <v>322.56</v>
      </c>
      <c r="AK82" s="393">
        <f t="shared" si="166"/>
        <v>279.55194029850747</v>
      </c>
      <c r="AL82" s="393">
        <f t="shared" si="180"/>
        <v>0</v>
      </c>
      <c r="AM82" s="393">
        <f t="shared" si="181"/>
        <v>1290.24</v>
      </c>
      <c r="AN82" s="394">
        <f t="shared" si="182"/>
        <v>2150.4</v>
      </c>
      <c r="AO82" s="395">
        <f>IF($AN$82=0,0,AI82/$AN$82)</f>
        <v>0.12000002776297086</v>
      </c>
      <c r="AP82" s="395">
        <f t="shared" ref="AP82:AS82" si="187">IF($AN$82=0,0,AJ82/$AN$82)</f>
        <v>0.15</v>
      </c>
      <c r="AQ82" s="395">
        <f t="shared" si="187"/>
        <v>0.12999997223702914</v>
      </c>
      <c r="AR82" s="395">
        <f t="shared" si="187"/>
        <v>0</v>
      </c>
      <c r="AS82" s="395">
        <f t="shared" si="187"/>
        <v>0.6</v>
      </c>
      <c r="AU82" s="206" t="s">
        <v>391</v>
      </c>
    </row>
    <row r="83" spans="1:47" s="40" customFormat="1" x14ac:dyDescent="0.3">
      <c r="B83">
        <v>6</v>
      </c>
      <c r="C83" s="206" t="s">
        <v>392</v>
      </c>
      <c r="D83" s="206" t="s">
        <v>393</v>
      </c>
      <c r="E83" s="206" t="s">
        <v>376</v>
      </c>
      <c r="F83" s="206" t="s">
        <v>394</v>
      </c>
      <c r="G83" s="207">
        <f t="shared" si="168"/>
        <v>172.03200000000001</v>
      </c>
      <c r="H83" s="207">
        <f>'Perfils manteniment'!$G$10</f>
        <v>67</v>
      </c>
      <c r="I83" s="208">
        <f t="shared" si="183"/>
        <v>11526.14</v>
      </c>
      <c r="J83" s="207">
        <f t="shared" si="169"/>
        <v>215.04000000000002</v>
      </c>
      <c r="K83" s="207">
        <f>'Perfils manteniment'!$G$18</f>
        <v>67</v>
      </c>
      <c r="L83" s="208">
        <f t="shared" si="184"/>
        <v>14407.68</v>
      </c>
      <c r="M83" s="209">
        <f t="shared" si="170"/>
        <v>186.36800000000002</v>
      </c>
      <c r="N83" s="207">
        <f>'Perfils manteniment'!$G$26</f>
        <v>67</v>
      </c>
      <c r="O83" s="208">
        <f t="shared" si="171"/>
        <v>12486.66</v>
      </c>
      <c r="P83" s="208"/>
      <c r="Q83" s="210">
        <f t="shared" si="172"/>
        <v>860.16000000000008</v>
      </c>
      <c r="R83" s="211">
        <f>'Perfils manteniment'!$G$34</f>
        <v>67</v>
      </c>
      <c r="S83" s="208">
        <f t="shared" si="173"/>
        <v>57630.720000000001</v>
      </c>
      <c r="T83" s="211">
        <f t="shared" si="161"/>
        <v>1433.6000000000001</v>
      </c>
      <c r="U83" s="208">
        <f t="shared" si="174"/>
        <v>96051.199999999997</v>
      </c>
      <c r="V83" s="212">
        <v>46204</v>
      </c>
      <c r="W83" s="212">
        <v>47119</v>
      </c>
      <c r="X83" s="211"/>
      <c r="Y83" s="213">
        <f t="shared" si="175"/>
        <v>0</v>
      </c>
      <c r="Z83" s="212"/>
      <c r="AA83" s="389">
        <v>0.1</v>
      </c>
      <c r="AB83" s="391">
        <f t="shared" si="176"/>
        <v>11526.14</v>
      </c>
      <c r="AC83" s="391">
        <f t="shared" si="177"/>
        <v>14407.68</v>
      </c>
      <c r="AD83" s="391">
        <f t="shared" si="178"/>
        <v>12486.66</v>
      </c>
      <c r="AE83" s="402">
        <f t="shared" si="162"/>
        <v>0</v>
      </c>
      <c r="AF83" s="402">
        <f t="shared" si="179"/>
        <v>57630.720000000001</v>
      </c>
      <c r="AG83" s="403">
        <f t="shared" si="163"/>
        <v>96051.199999999997</v>
      </c>
      <c r="AH83" s="362"/>
      <c r="AI83" s="393">
        <f t="shared" si="164"/>
        <v>172.03194029850746</v>
      </c>
      <c r="AJ83" s="393">
        <f t="shared" si="165"/>
        <v>215.04</v>
      </c>
      <c r="AK83" s="393">
        <f t="shared" si="166"/>
        <v>186.36805970149254</v>
      </c>
      <c r="AL83" s="393">
        <f t="shared" si="180"/>
        <v>0</v>
      </c>
      <c r="AM83" s="393">
        <f t="shared" si="181"/>
        <v>860.16</v>
      </c>
      <c r="AN83" s="394">
        <f t="shared" si="182"/>
        <v>1433.6</v>
      </c>
      <c r="AO83" s="395">
        <f>IF($AN$83=0,0,AI83/$AN$83)</f>
        <v>0.11999995835554372</v>
      </c>
      <c r="AP83" s="395">
        <f t="shared" ref="AP83:AS83" si="188">IF($AN$83=0,0,AJ83/$AN$83)</f>
        <v>0.15</v>
      </c>
      <c r="AQ83" s="395">
        <f t="shared" si="188"/>
        <v>0.1300000416444563</v>
      </c>
      <c r="AR83" s="395">
        <f t="shared" si="188"/>
        <v>0</v>
      </c>
      <c r="AS83" s="395">
        <f t="shared" si="188"/>
        <v>0.6</v>
      </c>
      <c r="AU83" s="206" t="s">
        <v>394</v>
      </c>
    </row>
    <row r="84" spans="1:47" s="40" customFormat="1" ht="14.1" customHeight="1" x14ac:dyDescent="0.3">
      <c r="A84" s="215"/>
      <c r="B84"/>
      <c r="C84" s="563"/>
      <c r="D84" s="563"/>
      <c r="E84" s="563"/>
      <c r="F84" s="216" t="s">
        <v>395</v>
      </c>
      <c r="G84" s="217">
        <f>SUM(G78:G83)</f>
        <v>1720.32</v>
      </c>
      <c r="H84" s="217"/>
      <c r="I84" s="217">
        <f>SUM(I78:I83)</f>
        <v>115261.43000000001</v>
      </c>
      <c r="J84" s="217">
        <f>SUM(J78:J83)</f>
        <v>2150.3999999999996</v>
      </c>
      <c r="K84" s="217"/>
      <c r="L84" s="217">
        <f>SUM(L78:L83)</f>
        <v>144076.80000000002</v>
      </c>
      <c r="M84" s="217">
        <f>SUM(M78:M83)</f>
        <v>1863.6799999999998</v>
      </c>
      <c r="N84" s="217"/>
      <c r="O84" s="217">
        <f>SUM(O78:O83)</f>
        <v>124866.56999999999</v>
      </c>
      <c r="P84" s="217">
        <f>SUM(P78:P83)</f>
        <v>0</v>
      </c>
      <c r="Q84" s="217">
        <f t="shared" ref="Q84" si="189">$AA$43*AA84*$Q$42</f>
        <v>0</v>
      </c>
      <c r="R84" s="217"/>
      <c r="S84" s="217">
        <f>SUM(S78:S83)</f>
        <v>576307.20000000007</v>
      </c>
      <c r="T84" s="217">
        <f>SUM(T78:T83)</f>
        <v>14336</v>
      </c>
      <c r="U84" s="217">
        <f>SUM(U78:U83)</f>
        <v>960512</v>
      </c>
      <c r="V84" s="218"/>
      <c r="W84" s="218"/>
      <c r="X84" s="217">
        <f>SUM(X78:X83)</f>
        <v>0</v>
      </c>
      <c r="Y84" s="217">
        <f>SUM(Y78:Y83)</f>
        <v>0</v>
      </c>
      <c r="Z84" s="217"/>
      <c r="AA84" s="375">
        <v>14336</v>
      </c>
      <c r="AB84" s="217">
        <f t="shared" ref="AB84:AF84" si="190">SUM(AB78:AB83)</f>
        <v>115261.43000000001</v>
      </c>
      <c r="AC84" s="217">
        <f t="shared" si="190"/>
        <v>144076.80000000002</v>
      </c>
      <c r="AD84" s="217">
        <f t="shared" si="190"/>
        <v>124866.56999999999</v>
      </c>
      <c r="AE84" s="217">
        <f t="shared" si="190"/>
        <v>0</v>
      </c>
      <c r="AF84" s="217">
        <f t="shared" si="190"/>
        <v>576307.20000000007</v>
      </c>
      <c r="AG84" s="217">
        <f t="shared" ref="AG84" si="191">SUM(AG78:AG83)</f>
        <v>960512</v>
      </c>
      <c r="AH84" s="362"/>
      <c r="AI84" s="217">
        <f t="shared" ref="AI84:AN84" si="192">SUM(AI78:AI83)</f>
        <v>1720.3198507462685</v>
      </c>
      <c r="AJ84" s="217">
        <f t="shared" si="192"/>
        <v>2150.4</v>
      </c>
      <c r="AK84" s="217">
        <f t="shared" si="192"/>
        <v>1863.6801492537313</v>
      </c>
      <c r="AL84" s="217">
        <f t="shared" si="192"/>
        <v>0</v>
      </c>
      <c r="AM84" s="217">
        <f t="shared" si="192"/>
        <v>8601.6</v>
      </c>
      <c r="AN84" s="217">
        <f t="shared" si="192"/>
        <v>14336</v>
      </c>
      <c r="AO84" s="288">
        <f>IF($AN$84=0,0,AI84/$AN$84)</f>
        <v>0.11999998958888591</v>
      </c>
      <c r="AP84" s="288">
        <f t="shared" ref="AP84:AS84" si="193">IF($AN$84=0,0,AJ84/$AN$84)</f>
        <v>0.15</v>
      </c>
      <c r="AQ84" s="288">
        <f t="shared" si="193"/>
        <v>0.13000001041111406</v>
      </c>
      <c r="AR84" s="288">
        <f t="shared" si="193"/>
        <v>0</v>
      </c>
      <c r="AS84" s="288">
        <f t="shared" si="193"/>
        <v>0.6</v>
      </c>
      <c r="AU84" s="280" t="s">
        <v>395</v>
      </c>
    </row>
    <row r="85" spans="1:47" s="40" customFormat="1" x14ac:dyDescent="0.3">
      <c r="B85">
        <v>1</v>
      </c>
      <c r="C85" s="219" t="s">
        <v>396</v>
      </c>
      <c r="D85" s="220" t="s">
        <v>100</v>
      </c>
      <c r="E85" s="219"/>
      <c r="F85" s="220" t="s">
        <v>100</v>
      </c>
      <c r="G85" s="207">
        <f>$AA$86*AA85*$G$76</f>
        <v>0</v>
      </c>
      <c r="H85" s="275">
        <f>'Perfils manteniment'!$G$10</f>
        <v>67</v>
      </c>
      <c r="I85" s="276">
        <f>ROUND(G85*H85,2)</f>
        <v>0</v>
      </c>
      <c r="J85" s="207">
        <f>$AA$86*AA85*$J$76</f>
        <v>0</v>
      </c>
      <c r="K85" s="275">
        <f>'Perfils manteniment'!$G$18</f>
        <v>67</v>
      </c>
      <c r="L85" s="276">
        <f>ROUND(J85*K85,2)</f>
        <v>0</v>
      </c>
      <c r="M85" s="209">
        <f>$AA$86*AA85*$M$76</f>
        <v>0</v>
      </c>
      <c r="N85" s="275">
        <f>'Perfils manteniment'!$G$26</f>
        <v>67</v>
      </c>
      <c r="O85" s="276">
        <f>ROUND(M85*N85,2)</f>
        <v>0</v>
      </c>
      <c r="P85" s="276"/>
      <c r="Q85" s="210">
        <f>$AA$86*AA85*$Q$76</f>
        <v>0</v>
      </c>
      <c r="R85" s="211">
        <f>'Perfils manteniment'!$G$34</f>
        <v>67</v>
      </c>
      <c r="S85" s="276">
        <f>ROUND(Q85*R85,2)</f>
        <v>0</v>
      </c>
      <c r="T85" s="211">
        <f t="shared" ref="T85" si="194">G85+J85+M85+Q85</f>
        <v>0</v>
      </c>
      <c r="U85" s="276">
        <f>I85+L85+O85+P85+S85</f>
        <v>0</v>
      </c>
      <c r="V85" s="212">
        <v>46204</v>
      </c>
      <c r="W85" s="212">
        <v>47119</v>
      </c>
      <c r="X85" s="277"/>
      <c r="Y85" s="279">
        <f>X85*K85</f>
        <v>0</v>
      </c>
      <c r="Z85" s="278"/>
      <c r="AA85" s="390">
        <v>1</v>
      </c>
      <c r="AB85" s="396">
        <f t="shared" ref="AB85" si="195">I85</f>
        <v>0</v>
      </c>
      <c r="AC85" s="396">
        <f t="shared" ref="AC85" si="196">L85</f>
        <v>0</v>
      </c>
      <c r="AD85" s="396">
        <f t="shared" ref="AD85" si="197">O85</f>
        <v>0</v>
      </c>
      <c r="AE85" s="404">
        <f t="shared" ref="AE85" si="198">P85</f>
        <v>0</v>
      </c>
      <c r="AF85" s="404">
        <f t="shared" ref="AF85" si="199">S85</f>
        <v>0</v>
      </c>
      <c r="AG85" s="405">
        <f>SUM(AB85:AF85)</f>
        <v>0</v>
      </c>
      <c r="AH85" s="362"/>
      <c r="AI85" s="398">
        <f>AB85/H85</f>
        <v>0</v>
      </c>
      <c r="AJ85" s="398">
        <f>(AC85-Y85)/K85</f>
        <v>0</v>
      </c>
      <c r="AK85" s="398">
        <f>AD85/N85</f>
        <v>0</v>
      </c>
      <c r="AL85" s="398">
        <f>X85</f>
        <v>0</v>
      </c>
      <c r="AM85" s="398">
        <f t="shared" ref="AM85" si="200">AF85/R85</f>
        <v>0</v>
      </c>
      <c r="AN85" s="398">
        <f>SUM(AI85:AM85)</f>
        <v>0</v>
      </c>
      <c r="AO85" s="399">
        <f>IF($AN$85=0,0,AI85/$AN$85)</f>
        <v>0</v>
      </c>
      <c r="AP85" s="399">
        <f t="shared" ref="AP85:AS85" si="201">IF($AN$85=0,0,AJ85/$AN$85)</f>
        <v>0</v>
      </c>
      <c r="AQ85" s="399">
        <f t="shared" si="201"/>
        <v>0</v>
      </c>
      <c r="AR85" s="399">
        <f t="shared" si="201"/>
        <v>0</v>
      </c>
      <c r="AS85" s="399">
        <f t="shared" si="201"/>
        <v>0</v>
      </c>
      <c r="AU85" s="220" t="s">
        <v>100</v>
      </c>
    </row>
    <row r="86" spans="1:47" s="270" customFormat="1" ht="13.5" customHeight="1" x14ac:dyDescent="0.3">
      <c r="C86" s="271"/>
      <c r="D86" s="271"/>
      <c r="E86" s="271"/>
      <c r="F86" s="272" t="s">
        <v>397</v>
      </c>
      <c r="G86" s="222">
        <f>SUM(G85:G85)</f>
        <v>0</v>
      </c>
      <c r="H86" s="222"/>
      <c r="I86" s="222">
        <f>SUM(I85:I85)</f>
        <v>0</v>
      </c>
      <c r="J86" s="222">
        <f>SUM(J85:J85)</f>
        <v>0</v>
      </c>
      <c r="K86" s="222"/>
      <c r="L86" s="222">
        <f>SUM(L85:L85)</f>
        <v>0</v>
      </c>
      <c r="M86" s="222">
        <f>SUM(M85:M85)</f>
        <v>0</v>
      </c>
      <c r="N86" s="222"/>
      <c r="O86" s="222">
        <f>SUM(O85:O85)</f>
        <v>0</v>
      </c>
      <c r="P86" s="222">
        <f>SUM(P85:P85)</f>
        <v>0</v>
      </c>
      <c r="Q86" s="222">
        <f>SUM(Q85:Q85)</f>
        <v>0</v>
      </c>
      <c r="R86" s="222"/>
      <c r="S86" s="222">
        <f>SUM(S85:S85)</f>
        <v>0</v>
      </c>
      <c r="T86" s="222">
        <f>SUM(T85:T85)</f>
        <v>0</v>
      </c>
      <c r="U86" s="222">
        <f>SUM(U85:U85)</f>
        <v>0</v>
      </c>
      <c r="V86" s="273"/>
      <c r="W86" s="273"/>
      <c r="X86" s="222">
        <f>SUM(X85:X85)</f>
        <v>0</v>
      </c>
      <c r="Y86" s="222">
        <f>SUM(Y85:Y85)</f>
        <v>0</v>
      </c>
      <c r="Z86" s="222"/>
      <c r="AA86" s="400">
        <v>0</v>
      </c>
      <c r="AB86" s="274">
        <f t="shared" ref="AB86:AF86" si="202">SUM(AB85:AB85)</f>
        <v>0</v>
      </c>
      <c r="AC86" s="274">
        <f t="shared" si="202"/>
        <v>0</v>
      </c>
      <c r="AD86" s="274">
        <f t="shared" si="202"/>
        <v>0</v>
      </c>
      <c r="AE86" s="274">
        <f t="shared" si="202"/>
        <v>0</v>
      </c>
      <c r="AF86" s="274">
        <f t="shared" si="202"/>
        <v>0</v>
      </c>
      <c r="AG86" s="274">
        <f t="shared" ref="AG86" si="203">SUM(AG85:AG85)</f>
        <v>0</v>
      </c>
      <c r="AH86" s="400"/>
      <c r="AI86" s="274">
        <f t="shared" ref="AI86:AN86" si="204">SUM(AI85:AI85)</f>
        <v>0</v>
      </c>
      <c r="AJ86" s="274">
        <f t="shared" si="204"/>
        <v>0</v>
      </c>
      <c r="AK86" s="274">
        <f t="shared" si="204"/>
        <v>0</v>
      </c>
      <c r="AL86" s="274">
        <f t="shared" si="204"/>
        <v>0</v>
      </c>
      <c r="AM86" s="274">
        <f t="shared" si="204"/>
        <v>0</v>
      </c>
      <c r="AN86" s="274">
        <f t="shared" si="204"/>
        <v>0</v>
      </c>
      <c r="AO86" s="289">
        <f>IF($AN$86=0,0,AI86/$AN$86)</f>
        <v>0</v>
      </c>
      <c r="AP86" s="289">
        <f>IF($AN$86=0,0,AJ86/$AN$86)</f>
        <v>0</v>
      </c>
      <c r="AQ86" s="289">
        <f>IF($AN$86=0,0,AK86/$AN$86)</f>
        <v>0</v>
      </c>
      <c r="AR86" s="289">
        <f>IF($AN$86=0,0,AL86/$AN$86)</f>
        <v>0</v>
      </c>
      <c r="AS86" s="289">
        <f>IF($AN$86=0,0,AM86/$AN$86)</f>
        <v>0</v>
      </c>
      <c r="AU86" s="281" t="s">
        <v>397</v>
      </c>
    </row>
    <row r="87" spans="1:47" s="40" customFormat="1" ht="13.5" customHeight="1" x14ac:dyDescent="0.3">
      <c r="B87" s="362">
        <v>0</v>
      </c>
      <c r="C87" s="22" t="s">
        <v>398</v>
      </c>
      <c r="D87" s="22" t="s">
        <v>399</v>
      </c>
      <c r="E87" s="22" t="s">
        <v>376</v>
      </c>
      <c r="F87" s="269" t="s">
        <v>400</v>
      </c>
      <c r="G87" s="207">
        <f>$AA$88*AA87*$G$76</f>
        <v>138</v>
      </c>
      <c r="H87" s="207">
        <f>'Perfils manteniment'!$G$10</f>
        <v>67</v>
      </c>
      <c r="I87" s="208">
        <f>ROUND(G87*H87,2)</f>
        <v>9246</v>
      </c>
      <c r="J87" s="207">
        <f>$AA$88*AA87*$J$76</f>
        <v>172.5</v>
      </c>
      <c r="K87" s="207">
        <f>'Perfils manteniment'!$G$18</f>
        <v>67</v>
      </c>
      <c r="L87" s="208">
        <f>ROUND(J87*K87,2)</f>
        <v>11557.5</v>
      </c>
      <c r="M87" s="209">
        <f>$AA$88*AA87*$M$76</f>
        <v>149.5</v>
      </c>
      <c r="N87" s="207">
        <f>'Perfils manteniment'!$G$26</f>
        <v>67</v>
      </c>
      <c r="O87" s="208">
        <f>ROUND(M87*N87,2)</f>
        <v>10016.5</v>
      </c>
      <c r="P87" s="208"/>
      <c r="Q87" s="210">
        <f>$AA$88*AA87*$Q$76</f>
        <v>690</v>
      </c>
      <c r="R87" s="211">
        <f>'Perfils manteniment'!$G$34</f>
        <v>67</v>
      </c>
      <c r="S87" s="208">
        <f>ROUND(Q87*R87,2)</f>
        <v>46230</v>
      </c>
      <c r="T87" s="211">
        <f t="shared" ref="T87" si="205">G87+J87+M87+Q87</f>
        <v>1150</v>
      </c>
      <c r="U87" s="208">
        <f>I87+L87+O87+P87+S87</f>
        <v>77050</v>
      </c>
      <c r="V87" s="212">
        <v>46204</v>
      </c>
      <c r="W87" s="212">
        <v>47119</v>
      </c>
      <c r="X87" s="211"/>
      <c r="Y87" s="213"/>
      <c r="Z87" s="212"/>
      <c r="AA87" s="390">
        <v>1</v>
      </c>
      <c r="AB87" s="285">
        <f t="shared" ref="AB87" si="206">I87</f>
        <v>9246</v>
      </c>
      <c r="AC87" s="285">
        <f t="shared" ref="AC87" si="207">L87</f>
        <v>11557.5</v>
      </c>
      <c r="AD87" s="285">
        <f t="shared" ref="AD87" si="208">O87</f>
        <v>10016.5</v>
      </c>
      <c r="AE87" s="285">
        <f t="shared" ref="AE87" si="209">P87</f>
        <v>0</v>
      </c>
      <c r="AF87" s="285">
        <f t="shared" ref="AF87" si="210">S87</f>
        <v>46230</v>
      </c>
      <c r="AG87" s="285">
        <f>SUM(AB87:AF87)</f>
        <v>77050</v>
      </c>
      <c r="AH87" s="401"/>
      <c r="AI87" s="285">
        <f>AB87/H87</f>
        <v>138</v>
      </c>
      <c r="AJ87" s="285">
        <f>(AC87-Y87)/K87</f>
        <v>172.5</v>
      </c>
      <c r="AK87" s="285">
        <f>AD87/N87</f>
        <v>149.5</v>
      </c>
      <c r="AL87" s="285">
        <f>X87</f>
        <v>0</v>
      </c>
      <c r="AM87" s="285">
        <f t="shared" ref="AM87" si="211">AF87/R87</f>
        <v>690</v>
      </c>
      <c r="AN87" s="285">
        <f>SUM(AI87:AM87)</f>
        <v>1150</v>
      </c>
      <c r="AO87" s="286">
        <f>IF($AN$87=0,0,AI87/$AN$87)</f>
        <v>0.12</v>
      </c>
      <c r="AP87" s="286">
        <f t="shared" ref="AP87:AS87" si="212">IF($AN$87=0,0,AJ87/$AN$87)</f>
        <v>0.15</v>
      </c>
      <c r="AQ87" s="286">
        <f t="shared" si="212"/>
        <v>0.13</v>
      </c>
      <c r="AR87" s="286">
        <f t="shared" si="212"/>
        <v>0</v>
      </c>
      <c r="AS87" s="286">
        <f t="shared" si="212"/>
        <v>0.6</v>
      </c>
      <c r="AU87" s="269" t="s">
        <v>400</v>
      </c>
    </row>
    <row r="88" spans="1:47" s="40" customFormat="1" ht="13.5" customHeight="1" x14ac:dyDescent="0.3">
      <c r="C88" s="196"/>
      <c r="D88" s="196"/>
      <c r="E88" s="196"/>
      <c r="F88" s="265" t="s">
        <v>401</v>
      </c>
      <c r="G88" s="266">
        <f>SUM(G87)</f>
        <v>138</v>
      </c>
      <c r="H88" s="266"/>
      <c r="I88" s="266">
        <f>SUM(I87)</f>
        <v>9246</v>
      </c>
      <c r="J88" s="266">
        <f>SUM(J87)</f>
        <v>172.5</v>
      </c>
      <c r="K88" s="266"/>
      <c r="L88" s="266">
        <f>SUM(L87)</f>
        <v>11557.5</v>
      </c>
      <c r="M88" s="266">
        <f>SUM(M87)</f>
        <v>149.5</v>
      </c>
      <c r="N88" s="266"/>
      <c r="O88" s="266">
        <f>SUM(O87)</f>
        <v>10016.5</v>
      </c>
      <c r="P88" s="266">
        <f>SUM(P87)</f>
        <v>0</v>
      </c>
      <c r="Q88" s="266">
        <f>SUM(Q87)</f>
        <v>690</v>
      </c>
      <c r="R88" s="266"/>
      <c r="S88" s="266">
        <f>SUM(S87)</f>
        <v>46230</v>
      </c>
      <c r="T88" s="266">
        <f>SUM(T87)</f>
        <v>1150</v>
      </c>
      <c r="U88" s="266">
        <f>SUM(U87)</f>
        <v>77050</v>
      </c>
      <c r="V88" s="267"/>
      <c r="W88" s="267"/>
      <c r="X88" s="266">
        <f>SUM(X87)</f>
        <v>0</v>
      </c>
      <c r="Y88" s="266">
        <f>SUM(Y87)</f>
        <v>0</v>
      </c>
      <c r="Z88" s="268"/>
      <c r="AA88" s="401">
        <v>1150</v>
      </c>
      <c r="AB88" s="266">
        <f t="shared" ref="AB88:AF88" si="213">SUM(AB87)</f>
        <v>9246</v>
      </c>
      <c r="AC88" s="266">
        <f t="shared" si="213"/>
        <v>11557.5</v>
      </c>
      <c r="AD88" s="266">
        <f t="shared" si="213"/>
        <v>10016.5</v>
      </c>
      <c r="AE88" s="266">
        <f t="shared" si="213"/>
        <v>0</v>
      </c>
      <c r="AF88" s="266">
        <f t="shared" si="213"/>
        <v>46230</v>
      </c>
      <c r="AG88" s="266">
        <f t="shared" ref="AG88" si="214">SUM(AG87)</f>
        <v>77050</v>
      </c>
      <c r="AH88" s="401"/>
      <c r="AI88" s="266">
        <f t="shared" ref="AI88:AN88" si="215">SUM(AI87)</f>
        <v>138</v>
      </c>
      <c r="AJ88" s="266">
        <f t="shared" si="215"/>
        <v>172.5</v>
      </c>
      <c r="AK88" s="266">
        <f t="shared" si="215"/>
        <v>149.5</v>
      </c>
      <c r="AL88" s="266">
        <f t="shared" si="215"/>
        <v>0</v>
      </c>
      <c r="AM88" s="266">
        <f t="shared" si="215"/>
        <v>690</v>
      </c>
      <c r="AN88" s="266">
        <f t="shared" si="215"/>
        <v>1150</v>
      </c>
      <c r="AO88" s="290">
        <f>IF($AN$88=0,0,AI88/$AN$88)</f>
        <v>0.12</v>
      </c>
      <c r="AP88" s="290">
        <f t="shared" ref="AP88:AS88" si="216">IF($AN$88=0,0,AJ88/$AN$88)</f>
        <v>0.15</v>
      </c>
      <c r="AQ88" s="290">
        <f t="shared" si="216"/>
        <v>0.13</v>
      </c>
      <c r="AR88" s="290">
        <f t="shared" si="216"/>
        <v>0</v>
      </c>
      <c r="AS88" s="290">
        <f t="shared" si="216"/>
        <v>0.6</v>
      </c>
      <c r="AU88" s="282" t="s">
        <v>402</v>
      </c>
    </row>
    <row r="89" spans="1:47" s="40" customFormat="1" ht="15.6" x14ac:dyDescent="0.3">
      <c r="C89" s="224" t="s">
        <v>367</v>
      </c>
      <c r="D89" s="225"/>
      <c r="E89" s="226"/>
      <c r="F89" s="287"/>
      <c r="G89" s="228">
        <f>G84+G86</f>
        <v>1720.32</v>
      </c>
      <c r="H89" s="228"/>
      <c r="I89" s="228">
        <f>I84+I86</f>
        <v>115261.43000000001</v>
      </c>
      <c r="J89" s="228">
        <f>J84+J86</f>
        <v>2150.3999999999996</v>
      </c>
      <c r="K89" s="228"/>
      <c r="L89" s="228">
        <f>L84+L86</f>
        <v>144076.80000000002</v>
      </c>
      <c r="M89" s="228">
        <f>M84+M86</f>
        <v>1863.6799999999998</v>
      </c>
      <c r="N89" s="228"/>
      <c r="O89" s="228">
        <f>O84+O86</f>
        <v>124866.56999999999</v>
      </c>
      <c r="P89" s="228">
        <f>P84+P86</f>
        <v>0</v>
      </c>
      <c r="Q89" s="228">
        <f>Q84+Q86</f>
        <v>0</v>
      </c>
      <c r="R89" s="228"/>
      <c r="S89" s="228">
        <f>S84+S86</f>
        <v>576307.20000000007</v>
      </c>
      <c r="T89" s="228">
        <f>T84+T86</f>
        <v>14336</v>
      </c>
      <c r="U89" s="228">
        <f>U84+U86+U88</f>
        <v>1037562</v>
      </c>
      <c r="V89" s="228"/>
      <c r="W89" s="228"/>
      <c r="X89" s="228">
        <f>X84+X86</f>
        <v>0</v>
      </c>
      <c r="Y89" s="228">
        <f>Y84+Y86</f>
        <v>0</v>
      </c>
      <c r="Z89" s="229"/>
      <c r="AB89" s="228">
        <f>AB84+AB86+AB88</f>
        <v>124507.43000000001</v>
      </c>
      <c r="AC89" s="228">
        <f t="shared" ref="AC89" si="217">AC84+AC86+AC88</f>
        <v>155634.30000000002</v>
      </c>
      <c r="AD89" s="228">
        <f t="shared" ref="AD89" si="218">AD84+AD86+AD88</f>
        <v>134883.07</v>
      </c>
      <c r="AE89" s="228">
        <f t="shared" ref="AE89" si="219">AE84+AE86+AE88</f>
        <v>0</v>
      </c>
      <c r="AF89" s="228">
        <f t="shared" ref="AF89" si="220">AF84+AF86+AF88</f>
        <v>622537.20000000007</v>
      </c>
      <c r="AG89" s="228">
        <f t="shared" ref="AG89" si="221">AG84+AG86+AG88</f>
        <v>1037562</v>
      </c>
      <c r="AH89" s="362"/>
      <c r="AI89" s="228">
        <f t="shared" ref="AI89:AN89" si="222">AI84+AI86+AI88</f>
        <v>1858.3198507462685</v>
      </c>
      <c r="AJ89" s="228">
        <f t="shared" si="222"/>
        <v>2322.9</v>
      </c>
      <c r="AK89" s="228">
        <f t="shared" si="222"/>
        <v>2013.1801492537313</v>
      </c>
      <c r="AL89" s="228">
        <f t="shared" si="222"/>
        <v>0</v>
      </c>
      <c r="AM89" s="228">
        <f t="shared" si="222"/>
        <v>9291.6</v>
      </c>
      <c r="AN89" s="228">
        <f t="shared" si="222"/>
        <v>15486</v>
      </c>
      <c r="AO89" s="291">
        <f>IF($AN$89=0,0,AI89/$AN$89)</f>
        <v>0.11999999036202173</v>
      </c>
      <c r="AP89" s="291">
        <f t="shared" ref="AP89:AS89" si="223">IF($AN$89=0,0,AJ89/$AN$89)</f>
        <v>0.15</v>
      </c>
      <c r="AQ89" s="291">
        <f t="shared" si="223"/>
        <v>0.13000000963797825</v>
      </c>
      <c r="AR89" s="291">
        <f t="shared" si="223"/>
        <v>0</v>
      </c>
      <c r="AS89" s="291">
        <f t="shared" si="223"/>
        <v>0.6</v>
      </c>
      <c r="AU89" s="230" t="s">
        <v>367</v>
      </c>
    </row>
    <row r="90" spans="1:47" s="40" customFormat="1" x14ac:dyDescent="0.3">
      <c r="A90" s="231"/>
      <c r="B90" s="231"/>
      <c r="C90" s="232"/>
      <c r="D90" s="233"/>
      <c r="E90" s="234"/>
      <c r="F90" s="234" t="s">
        <v>403</v>
      </c>
      <c r="G90" s="235">
        <f>G89/$T$38</f>
        <v>0.19649571673329524</v>
      </c>
      <c r="H90" s="236"/>
      <c r="I90" s="237"/>
      <c r="J90" s="235">
        <f>J89/$T$38</f>
        <v>0.24561964591661903</v>
      </c>
      <c r="K90" s="236"/>
      <c r="L90" s="237"/>
      <c r="M90" s="235">
        <f>M89/$T$38</f>
        <v>0.21287035979440319</v>
      </c>
      <c r="N90" s="236"/>
      <c r="O90" s="237"/>
      <c r="P90" s="237"/>
      <c r="Q90" s="236"/>
      <c r="R90" s="236"/>
      <c r="S90" s="237"/>
      <c r="T90" s="237"/>
      <c r="U90" s="221"/>
      <c r="V90" s="212"/>
      <c r="W90" s="212"/>
      <c r="X90" s="221"/>
      <c r="Y90" s="238"/>
      <c r="Z90" s="239"/>
      <c r="AA90" s="499">
        <f>(AA84-AA67)/AA67</f>
        <v>0.4779381443298969</v>
      </c>
      <c r="AC90" s="240"/>
      <c r="AG90" s="362"/>
      <c r="AH90" s="362"/>
      <c r="AI90" s="223"/>
      <c r="AJ90" s="223"/>
      <c r="AK90" s="223"/>
      <c r="AN90" s="241">
        <f>AN84/1500</f>
        <v>9.5573333333333341</v>
      </c>
      <c r="AO90" s="241"/>
      <c r="AP90" s="241"/>
      <c r="AQ90" s="241"/>
      <c r="AR90" s="241"/>
      <c r="AS90" s="241"/>
    </row>
    <row r="91" spans="1:47" s="40" customFormat="1" x14ac:dyDescent="0.3">
      <c r="A91" s="231"/>
      <c r="B91" s="231"/>
      <c r="C91" s="232"/>
      <c r="D91" s="233"/>
      <c r="E91" s="234"/>
      <c r="F91" s="234" t="s">
        <v>404</v>
      </c>
      <c r="G91" s="235">
        <f>I89/($U$38-$P$38)</f>
        <v>0.1964956996854676</v>
      </c>
      <c r="H91" s="236"/>
      <c r="I91" s="236"/>
      <c r="J91" s="235">
        <f>L89/($U$38-$P$38)</f>
        <v>0.24561964591661911</v>
      </c>
      <c r="K91" s="236"/>
      <c r="L91" s="237"/>
      <c r="M91" s="235">
        <f>O89/($U$38-$P$38)</f>
        <v>0.21287037684223087</v>
      </c>
      <c r="N91" s="236"/>
      <c r="O91" s="236"/>
      <c r="P91" s="236"/>
      <c r="Q91" s="236"/>
      <c r="R91" s="236"/>
      <c r="S91" s="236"/>
      <c r="T91" s="236"/>
      <c r="U91" s="221"/>
      <c r="V91" s="212"/>
      <c r="W91" s="212"/>
      <c r="X91" s="221"/>
      <c r="Y91" s="236"/>
      <c r="Z91" s="236"/>
      <c r="AB91" s="199"/>
      <c r="AD91" s="240"/>
      <c r="AI91" s="223"/>
      <c r="AJ91" s="223"/>
      <c r="AK91" s="223"/>
      <c r="AN91" s="241">
        <f>AN86/1500</f>
        <v>0</v>
      </c>
      <c r="AO91" s="241"/>
      <c r="AP91" s="241"/>
      <c r="AQ91" s="241"/>
      <c r="AR91" s="241"/>
      <c r="AS91" s="241"/>
    </row>
    <row r="92" spans="1:47" ht="18.75" customHeight="1" x14ac:dyDescent="0.3">
      <c r="A92" s="362"/>
      <c r="B92" s="362"/>
      <c r="C92" s="374"/>
      <c r="D92" s="362"/>
      <c r="E92" s="367"/>
      <c r="F92" s="362"/>
      <c r="G92" s="362"/>
      <c r="H92" s="362"/>
      <c r="I92" s="362"/>
      <c r="J92" s="362"/>
      <c r="K92" s="362"/>
      <c r="L92" s="375"/>
      <c r="M92" s="375"/>
      <c r="N92" s="375"/>
      <c r="O92" s="385"/>
      <c r="P92" s="385"/>
      <c r="Q92" s="385"/>
      <c r="R92" s="385"/>
      <c r="S92" s="375"/>
      <c r="T92" s="362"/>
      <c r="U92"/>
      <c r="V92"/>
      <c r="W92" s="362"/>
      <c r="X92" s="362"/>
      <c r="Y92" s="362"/>
      <c r="Z92" s="362"/>
      <c r="AA92" s="199">
        <v>47848</v>
      </c>
      <c r="AB92"/>
      <c r="AC92"/>
      <c r="AD92"/>
      <c r="AE92"/>
      <c r="AF92" s="362"/>
      <c r="AG92" s="40"/>
      <c r="AH92" s="362"/>
      <c r="AI92" s="558" t="s">
        <v>334</v>
      </c>
      <c r="AJ92" s="559"/>
      <c r="AK92" s="559"/>
      <c r="AL92" s="559"/>
      <c r="AM92" s="559"/>
      <c r="AN92" s="559"/>
      <c r="AO92" s="388"/>
      <c r="AP92" s="388"/>
      <c r="AQ92" s="388"/>
      <c r="AR92" s="388"/>
      <c r="AS92" s="388"/>
      <c r="AT92" s="362"/>
      <c r="AU92" s="362"/>
    </row>
    <row r="93" spans="1:47" x14ac:dyDescent="0.3">
      <c r="A93" s="362"/>
      <c r="B93" s="362"/>
      <c r="C93" s="560" t="s">
        <v>414</v>
      </c>
      <c r="D93" s="560"/>
      <c r="E93" s="370"/>
      <c r="F93" s="370"/>
      <c r="G93" s="389">
        <v>0.12</v>
      </c>
      <c r="H93" s="389"/>
      <c r="I93" s="389"/>
      <c r="J93" s="389">
        <v>0.15</v>
      </c>
      <c r="K93" s="389"/>
      <c r="L93" s="389"/>
      <c r="M93" s="389">
        <v>0.13</v>
      </c>
      <c r="N93" s="389"/>
      <c r="O93" s="389"/>
      <c r="P93" s="389"/>
      <c r="Q93" s="389">
        <v>0.6</v>
      </c>
      <c r="R93" s="362"/>
      <c r="S93"/>
      <c r="T93"/>
      <c r="U93"/>
      <c r="V93" s="561" t="s">
        <v>336</v>
      </c>
      <c r="W93" s="561"/>
      <c r="X93" s="40"/>
      <c r="Y93" s="362"/>
      <c r="Z93" s="362"/>
      <c r="AA93" s="362"/>
      <c r="AB93" s="562" t="s">
        <v>415</v>
      </c>
      <c r="AC93" s="562"/>
      <c r="AD93" s="562"/>
      <c r="AE93" s="562"/>
      <c r="AF93" s="562"/>
      <c r="AG93" s="362"/>
      <c r="AH93" s="362"/>
      <c r="AI93" s="562" t="s">
        <v>416</v>
      </c>
      <c r="AJ93" s="562"/>
      <c r="AK93" s="562"/>
      <c r="AL93" s="362"/>
      <c r="AM93" s="362"/>
      <c r="AN93" s="362"/>
      <c r="AO93" s="362"/>
      <c r="AP93" s="362"/>
      <c r="AQ93" s="362"/>
      <c r="AR93" s="362"/>
      <c r="AS93" s="362"/>
      <c r="AT93" s="362"/>
      <c r="AU93" s="362"/>
    </row>
    <row r="94" spans="1:47" s="40" customFormat="1" ht="41.4" customHeight="1" x14ac:dyDescent="0.3">
      <c r="A94" s="200" t="s">
        <v>339</v>
      </c>
      <c r="B94" s="183" t="s">
        <v>48</v>
      </c>
      <c r="C94" s="183" t="s">
        <v>297</v>
      </c>
      <c r="D94" s="183" t="s">
        <v>340</v>
      </c>
      <c r="E94" s="183" t="s">
        <v>341</v>
      </c>
      <c r="F94" s="201" t="s">
        <v>342</v>
      </c>
      <c r="G94" s="202" t="s">
        <v>343</v>
      </c>
      <c r="H94" s="182" t="s">
        <v>344</v>
      </c>
      <c r="I94" s="182" t="s">
        <v>345</v>
      </c>
      <c r="J94" s="202" t="s">
        <v>346</v>
      </c>
      <c r="K94" s="182" t="s">
        <v>344</v>
      </c>
      <c r="L94" s="182" t="s">
        <v>347</v>
      </c>
      <c r="M94" s="202" t="s">
        <v>348</v>
      </c>
      <c r="N94" s="182" t="s">
        <v>344</v>
      </c>
      <c r="O94" s="182" t="s">
        <v>349</v>
      </c>
      <c r="P94" s="202" t="s">
        <v>350</v>
      </c>
      <c r="Q94" s="202" t="s">
        <v>351</v>
      </c>
      <c r="R94" s="182" t="s">
        <v>344</v>
      </c>
      <c r="S94" s="182" t="s">
        <v>352</v>
      </c>
      <c r="T94" s="182" t="s">
        <v>353</v>
      </c>
      <c r="U94" s="182" t="s">
        <v>354</v>
      </c>
      <c r="V94" s="203" t="s">
        <v>355</v>
      </c>
      <c r="W94" s="203" t="s">
        <v>356</v>
      </c>
      <c r="X94" s="202" t="s">
        <v>357</v>
      </c>
      <c r="Y94" s="202" t="s">
        <v>358</v>
      </c>
      <c r="Z94" s="203" t="s">
        <v>359</v>
      </c>
      <c r="AB94" s="182" t="s">
        <v>345</v>
      </c>
      <c r="AC94" s="182" t="s">
        <v>347</v>
      </c>
      <c r="AD94" s="182" t="s">
        <v>349</v>
      </c>
      <c r="AE94" s="182" t="s">
        <v>350</v>
      </c>
      <c r="AF94" s="182" t="s">
        <v>360</v>
      </c>
      <c r="AG94" s="182" t="s">
        <v>361</v>
      </c>
      <c r="AH94"/>
      <c r="AI94" s="182" t="s">
        <v>362</v>
      </c>
      <c r="AJ94" s="182" t="s">
        <v>363</v>
      </c>
      <c r="AK94" s="182" t="s">
        <v>364</v>
      </c>
      <c r="AL94" s="204" t="s">
        <v>365</v>
      </c>
      <c r="AM94" s="204" t="s">
        <v>366</v>
      </c>
      <c r="AN94" s="182" t="s">
        <v>367</v>
      </c>
      <c r="AO94" s="182" t="s">
        <v>368</v>
      </c>
      <c r="AP94" s="182" t="s">
        <v>369</v>
      </c>
      <c r="AQ94" s="182" t="s">
        <v>370</v>
      </c>
      <c r="AR94" s="182" t="s">
        <v>371</v>
      </c>
      <c r="AS94" s="182" t="s">
        <v>372</v>
      </c>
      <c r="AU94" s="201" t="s">
        <v>342</v>
      </c>
    </row>
    <row r="95" spans="1:47" s="40" customFormat="1" x14ac:dyDescent="0.3">
      <c r="A95" s="205" t="s">
        <v>373</v>
      </c>
      <c r="B95" s="196">
        <v>5</v>
      </c>
      <c r="C95" s="206" t="s">
        <v>374</v>
      </c>
      <c r="D95" s="206" t="s">
        <v>375</v>
      </c>
      <c r="E95" s="206" t="s">
        <v>376</v>
      </c>
      <c r="F95" s="206" t="s">
        <v>377</v>
      </c>
      <c r="G95" s="207">
        <f>$AA$84*AA95*$G$76</f>
        <v>301.05599999999998</v>
      </c>
      <c r="H95" s="207">
        <f>'Perfils manteniment'!$G$10</f>
        <v>67</v>
      </c>
      <c r="I95" s="208">
        <f>ROUND(G95*H95,2)</f>
        <v>20170.75</v>
      </c>
      <c r="J95" s="207">
        <f>$AA$84*AA95*$J$76</f>
        <v>376.31999999999994</v>
      </c>
      <c r="K95" s="207">
        <f>'Perfils manteniment'!$G$18</f>
        <v>67</v>
      </c>
      <c r="L95" s="208">
        <f>ROUND(J95*K95,2)</f>
        <v>25213.439999999999</v>
      </c>
      <c r="M95" s="209">
        <f>$AA$84*AA95*$M$76</f>
        <v>326.14399999999995</v>
      </c>
      <c r="N95" s="207">
        <f>'Perfils manteniment'!$G$26</f>
        <v>67</v>
      </c>
      <c r="O95" s="208">
        <f>ROUND(M95*N95,2)</f>
        <v>21851.65</v>
      </c>
      <c r="P95" s="208"/>
      <c r="Q95" s="210">
        <f>$AA$84*AA95*$Q$76</f>
        <v>1505.2799999999997</v>
      </c>
      <c r="R95" s="211">
        <f>'Perfils manteniment'!$G$34</f>
        <v>67</v>
      </c>
      <c r="S95" s="208">
        <f>ROUND(Q95*R95,2)</f>
        <v>100853.75999999999</v>
      </c>
      <c r="T95" s="211">
        <f t="shared" ref="T95:T100" si="224">G95+J95+M95+Q95</f>
        <v>2508.7999999999997</v>
      </c>
      <c r="U95" s="208">
        <f>I95+L95+O95+P95+S95</f>
        <v>168089.59999999998</v>
      </c>
      <c r="V95" s="212">
        <v>46204</v>
      </c>
      <c r="W95" s="212">
        <v>47484</v>
      </c>
      <c r="X95" s="211"/>
      <c r="Y95" s="213">
        <f>X95*K95*1</f>
        <v>0</v>
      </c>
      <c r="Z95" s="212">
        <v>47664</v>
      </c>
      <c r="AA95" s="389">
        <v>0.17499999999999999</v>
      </c>
      <c r="AB95" s="406">
        <f t="shared" ref="AB95:AB100" si="225">ROUND(I95*(MIN($AA$92,Z95)-$W95+1)/365,2)</f>
        <v>10002.48</v>
      </c>
      <c r="AC95" s="406">
        <f t="shared" ref="AC95:AC100" si="226">ROUND(L95*(MIN($AA$92,Z95)-$W95+1)/365,2)+Y95</f>
        <v>12503.1</v>
      </c>
      <c r="AD95" s="406">
        <f t="shared" ref="AD95:AD100" si="227">ROUND(O95*(MIN($AA$92,Z95)-$W95+1)/365,2)</f>
        <v>10836.02</v>
      </c>
      <c r="AE95" s="407">
        <f t="shared" ref="AE95:AE100" si="228">P95</f>
        <v>0</v>
      </c>
      <c r="AF95" s="407">
        <f t="shared" ref="AF95:AF100" si="229">ROUND(S95*(MIN($AA$92,Z95)-$W95+1)/365,2)</f>
        <v>50012.41</v>
      </c>
      <c r="AG95" s="408">
        <f t="shared" ref="AG95:AG100" si="230">SUM(AB95:AF95)</f>
        <v>83354.010000000009</v>
      </c>
      <c r="AH95" s="362"/>
      <c r="AI95" s="393">
        <f t="shared" ref="AI95:AI100" si="231">AB95/H95</f>
        <v>149.2907462686567</v>
      </c>
      <c r="AJ95" s="393">
        <f t="shared" ref="AJ95:AJ100" si="232">(AC95-Y95)/K95</f>
        <v>186.6134328358209</v>
      </c>
      <c r="AK95" s="393">
        <f t="shared" ref="AK95:AK100" si="233">AD95/N95</f>
        <v>161.73164179104478</v>
      </c>
      <c r="AL95" s="393">
        <f>X95</f>
        <v>0</v>
      </c>
      <c r="AM95" s="393">
        <f>AF95/R95</f>
        <v>746.45388059701497</v>
      </c>
      <c r="AN95" s="394">
        <f>SUM(AI95:AM95)</f>
        <v>1244.0897014925374</v>
      </c>
      <c r="AO95" s="395">
        <f>IF($AN$78=0,0,AI95/$AN$78)</f>
        <v>5.9506834450197978E-2</v>
      </c>
      <c r="AP95" s="395">
        <f t="shared" ref="AP95" si="234">IF($AN$78=0,0,AJ95/$AN$78)</f>
        <v>7.4383543062747484E-2</v>
      </c>
      <c r="AQ95" s="395">
        <f t="shared" ref="AQ95" si="235">IF($AN$78=0,0,AK95/$AN$78)</f>
        <v>6.4465737321047822E-2</v>
      </c>
      <c r="AR95" s="395">
        <f t="shared" ref="AR95" si="236">IF($AN$78=0,0,AL95/$AN$78)</f>
        <v>0</v>
      </c>
      <c r="AS95" s="395">
        <f t="shared" ref="AS95" si="237">IF($AN$78=0,0,AM95/$AN$78)</f>
        <v>0.29753423174307037</v>
      </c>
      <c r="AU95" s="206" t="s">
        <v>377</v>
      </c>
    </row>
    <row r="96" spans="1:47" s="40" customFormat="1" x14ac:dyDescent="0.3">
      <c r="A96" s="214" t="s">
        <v>378</v>
      </c>
      <c r="B96" s="40">
        <v>1</v>
      </c>
      <c r="C96" s="206" t="s">
        <v>379</v>
      </c>
      <c r="D96" s="206" t="s">
        <v>380</v>
      </c>
      <c r="E96" s="206" t="s">
        <v>376</v>
      </c>
      <c r="F96" s="206" t="s">
        <v>381</v>
      </c>
      <c r="G96" s="207">
        <f t="shared" ref="G96:G100" si="238">$AA$84*AA96*$G$76</f>
        <v>172.03200000000001</v>
      </c>
      <c r="H96" s="207">
        <f>'Perfils manteniment'!$G$10</f>
        <v>67</v>
      </c>
      <c r="I96" s="208">
        <f>ROUND(G96*H96,2)</f>
        <v>11526.14</v>
      </c>
      <c r="J96" s="207">
        <f t="shared" ref="J96:J100" si="239">$AA$84*AA96*$J$76</f>
        <v>215.04000000000002</v>
      </c>
      <c r="K96" s="207">
        <f>'Perfils manteniment'!$G$18</f>
        <v>67</v>
      </c>
      <c r="L96" s="208">
        <f>ROUND(J96*K96,2)</f>
        <v>14407.68</v>
      </c>
      <c r="M96" s="209">
        <f t="shared" ref="M96:M100" si="240">$AA$84*AA96*$M$76</f>
        <v>186.36800000000002</v>
      </c>
      <c r="N96" s="207">
        <f>'Perfils manteniment'!$G$26</f>
        <v>67</v>
      </c>
      <c r="O96" s="208">
        <f t="shared" ref="O96:O100" si="241">ROUND(M96*N96,2)</f>
        <v>12486.66</v>
      </c>
      <c r="P96" s="208"/>
      <c r="Q96" s="210">
        <f t="shared" ref="Q96:Q100" si="242">$AA$84*AA96*$Q$76</f>
        <v>860.16000000000008</v>
      </c>
      <c r="R96" s="211">
        <f>'Perfils manteniment'!$G$34</f>
        <v>67</v>
      </c>
      <c r="S96" s="208">
        <f t="shared" ref="S96:S100" si="243">ROUND(Q96*R96,2)</f>
        <v>57630.720000000001</v>
      </c>
      <c r="T96" s="211">
        <f t="shared" si="224"/>
        <v>1433.6000000000001</v>
      </c>
      <c r="U96" s="208">
        <f t="shared" ref="U96:U100" si="244">I96+L96+O96+P96+S96</f>
        <v>96051.199999999997</v>
      </c>
      <c r="V96" s="212">
        <v>46204</v>
      </c>
      <c r="W96" s="212">
        <v>47484</v>
      </c>
      <c r="X96" s="211"/>
      <c r="Y96" s="213">
        <f t="shared" ref="Y96:Y100" si="245">X96*K96</f>
        <v>0</v>
      </c>
      <c r="Z96" s="212">
        <v>47664</v>
      </c>
      <c r="AA96" s="389">
        <v>0.1</v>
      </c>
      <c r="AB96" s="406">
        <f t="shared" si="225"/>
        <v>5715.7</v>
      </c>
      <c r="AC96" s="406">
        <f t="shared" si="226"/>
        <v>7144.63</v>
      </c>
      <c r="AD96" s="406">
        <f t="shared" si="227"/>
        <v>6192.01</v>
      </c>
      <c r="AE96" s="407">
        <f t="shared" si="228"/>
        <v>0</v>
      </c>
      <c r="AF96" s="407">
        <f t="shared" si="229"/>
        <v>28578.52</v>
      </c>
      <c r="AG96" s="408">
        <f t="shared" si="230"/>
        <v>47630.86</v>
      </c>
      <c r="AH96" s="362"/>
      <c r="AI96" s="393">
        <f t="shared" si="231"/>
        <v>85.308955223880588</v>
      </c>
      <c r="AJ96" s="393">
        <f t="shared" si="232"/>
        <v>106.63626865671642</v>
      </c>
      <c r="AK96" s="393">
        <f t="shared" si="233"/>
        <v>92.418059701492538</v>
      </c>
      <c r="AL96" s="393">
        <f t="shared" ref="AL96:AL100" si="246">X96</f>
        <v>0</v>
      </c>
      <c r="AM96" s="393">
        <f t="shared" ref="AM96:AM100" si="247">AF96/R96</f>
        <v>426.5450746268657</v>
      </c>
      <c r="AN96" s="394">
        <f t="shared" ref="AN96:AN100" si="248">SUM(AI96:AM96)</f>
        <v>710.90835820895518</v>
      </c>
      <c r="AO96" s="395">
        <f>IF($AN$79=0,0,AI96/$AN$79)</f>
        <v>5.9506804704157777E-2</v>
      </c>
      <c r="AP96" s="395">
        <f>IF($AN$79=0,0,AJ96/$AN$79)</f>
        <v>7.4383557935767605E-2</v>
      </c>
      <c r="AQ96" s="395">
        <f>IF($AN$79=0,0,AK96/$AN$79)</f>
        <v>6.4465722448027729E-2</v>
      </c>
      <c r="AR96" s="395">
        <f>IF($AN$79=0,0,AL96/$AN$79)</f>
        <v>0</v>
      </c>
      <c r="AS96" s="395">
        <f>IF($AN$79=0,0,AM96/$AN$79)</f>
        <v>0.29753423174307042</v>
      </c>
      <c r="AU96" s="206" t="s">
        <v>381</v>
      </c>
    </row>
    <row r="97" spans="1:47" s="40" customFormat="1" x14ac:dyDescent="0.3">
      <c r="A97" s="264" t="s">
        <v>382</v>
      </c>
      <c r="B97">
        <v>4</v>
      </c>
      <c r="C97" s="206" t="s">
        <v>383</v>
      </c>
      <c r="D97" s="206" t="s">
        <v>384</v>
      </c>
      <c r="E97" s="206" t="s">
        <v>376</v>
      </c>
      <c r="F97" s="206" t="s">
        <v>385</v>
      </c>
      <c r="G97" s="207">
        <f t="shared" si="238"/>
        <v>301.05599999999998</v>
      </c>
      <c r="H97" s="207">
        <f>'Perfils manteniment'!$G$10</f>
        <v>67</v>
      </c>
      <c r="I97" s="208">
        <f t="shared" ref="I97:I100" si="249">ROUND(G97*H97,2)</f>
        <v>20170.75</v>
      </c>
      <c r="J97" s="207">
        <f t="shared" si="239"/>
        <v>376.31999999999994</v>
      </c>
      <c r="K97" s="207">
        <f>'Perfils manteniment'!$G$18</f>
        <v>67</v>
      </c>
      <c r="L97" s="208">
        <f t="shared" ref="L97:L100" si="250">ROUND(J97*K97,2)</f>
        <v>25213.439999999999</v>
      </c>
      <c r="M97" s="209">
        <f t="shared" si="240"/>
        <v>326.14399999999995</v>
      </c>
      <c r="N97" s="207">
        <f>'Perfils manteniment'!$G$26</f>
        <v>67</v>
      </c>
      <c r="O97" s="208">
        <f t="shared" si="241"/>
        <v>21851.65</v>
      </c>
      <c r="P97" s="208"/>
      <c r="Q97" s="210">
        <f t="shared" si="242"/>
        <v>1505.2799999999997</v>
      </c>
      <c r="R97" s="211">
        <f>'Perfils manteniment'!$G$34</f>
        <v>67</v>
      </c>
      <c r="S97" s="208">
        <f t="shared" si="243"/>
        <v>100853.75999999999</v>
      </c>
      <c r="T97" s="211">
        <f t="shared" si="224"/>
        <v>2508.7999999999997</v>
      </c>
      <c r="U97" s="208">
        <f t="shared" si="244"/>
        <v>168089.59999999998</v>
      </c>
      <c r="V97" s="212">
        <v>46204</v>
      </c>
      <c r="W97" s="212">
        <v>47484</v>
      </c>
      <c r="X97" s="211"/>
      <c r="Y97" s="213">
        <f t="shared" si="245"/>
        <v>0</v>
      </c>
      <c r="Z97" s="212">
        <v>47664</v>
      </c>
      <c r="AA97" s="389">
        <v>0.17499999999999999</v>
      </c>
      <c r="AB97" s="406">
        <f t="shared" si="225"/>
        <v>10002.48</v>
      </c>
      <c r="AC97" s="406">
        <f t="shared" si="226"/>
        <v>12503.1</v>
      </c>
      <c r="AD97" s="406">
        <f t="shared" si="227"/>
        <v>10836.02</v>
      </c>
      <c r="AE97" s="407">
        <f t="shared" si="228"/>
        <v>0</v>
      </c>
      <c r="AF97" s="407">
        <f t="shared" si="229"/>
        <v>50012.41</v>
      </c>
      <c r="AG97" s="408">
        <f t="shared" si="230"/>
        <v>83354.010000000009</v>
      </c>
      <c r="AH97" s="362"/>
      <c r="AI97" s="393">
        <f t="shared" si="231"/>
        <v>149.2907462686567</v>
      </c>
      <c r="AJ97" s="393">
        <f t="shared" si="232"/>
        <v>186.6134328358209</v>
      </c>
      <c r="AK97" s="393">
        <f t="shared" si="233"/>
        <v>161.73164179104478</v>
      </c>
      <c r="AL97" s="393">
        <f t="shared" si="246"/>
        <v>0</v>
      </c>
      <c r="AM97" s="393">
        <f t="shared" si="247"/>
        <v>746.45388059701497</v>
      </c>
      <c r="AN97" s="394">
        <f t="shared" si="248"/>
        <v>1244.0897014925374</v>
      </c>
      <c r="AO97" s="395">
        <f>IF($AN$80=0,0,AI97/$AN$80)</f>
        <v>5.9506834450197978E-2</v>
      </c>
      <c r="AP97" s="395">
        <f t="shared" ref="AP97" si="251">IF($AN$80=0,0,AJ97/$AN$80)</f>
        <v>7.4383543062747484E-2</v>
      </c>
      <c r="AQ97" s="395">
        <f t="shared" ref="AQ97" si="252">IF($AN$80=0,0,AK97/$AN$80)</f>
        <v>6.4465737321047822E-2</v>
      </c>
      <c r="AR97" s="395">
        <f t="shared" ref="AR97" si="253">IF($AN$80=0,0,AL97/$AN$80)</f>
        <v>0</v>
      </c>
      <c r="AS97" s="395">
        <f t="shared" ref="AS97" si="254">IF($AN$80=0,0,AM97/$AN$80)</f>
        <v>0.29753423174307037</v>
      </c>
      <c r="AU97" s="206" t="s">
        <v>385</v>
      </c>
    </row>
    <row r="98" spans="1:47" s="40" customFormat="1" x14ac:dyDescent="0.3">
      <c r="B98">
        <v>5</v>
      </c>
      <c r="C98" s="206" t="s">
        <v>386</v>
      </c>
      <c r="D98" s="206" t="s">
        <v>387</v>
      </c>
      <c r="E98" s="206" t="s">
        <v>376</v>
      </c>
      <c r="F98" s="206" t="s">
        <v>388</v>
      </c>
      <c r="G98" s="207">
        <f t="shared" si="238"/>
        <v>516.096</v>
      </c>
      <c r="H98" s="207">
        <f>'Perfils manteniment'!$G$10</f>
        <v>67</v>
      </c>
      <c r="I98" s="208">
        <f t="shared" si="249"/>
        <v>34578.43</v>
      </c>
      <c r="J98" s="207">
        <f t="shared" si="239"/>
        <v>645.12</v>
      </c>
      <c r="K98" s="207">
        <f>'Perfils manteniment'!$G$18</f>
        <v>67</v>
      </c>
      <c r="L98" s="208">
        <f t="shared" si="250"/>
        <v>43223.040000000001</v>
      </c>
      <c r="M98" s="209">
        <f t="shared" si="240"/>
        <v>559.10400000000004</v>
      </c>
      <c r="N98" s="207">
        <f>'Perfils manteniment'!$G$26</f>
        <v>67</v>
      </c>
      <c r="O98" s="208">
        <f t="shared" si="241"/>
        <v>37459.97</v>
      </c>
      <c r="P98" s="208"/>
      <c r="Q98" s="210">
        <f t="shared" si="242"/>
        <v>2580.48</v>
      </c>
      <c r="R98" s="211">
        <f>'Perfils manteniment'!$G$34</f>
        <v>67</v>
      </c>
      <c r="S98" s="208">
        <f t="shared" si="243"/>
        <v>172892.16</v>
      </c>
      <c r="T98" s="211">
        <f t="shared" si="224"/>
        <v>4300.8</v>
      </c>
      <c r="U98" s="208">
        <f t="shared" si="244"/>
        <v>288153.59999999998</v>
      </c>
      <c r="V98" s="212">
        <v>46204</v>
      </c>
      <c r="W98" s="212">
        <v>47484</v>
      </c>
      <c r="X98" s="211"/>
      <c r="Y98" s="213">
        <f t="shared" si="245"/>
        <v>0</v>
      </c>
      <c r="Z98" s="212">
        <v>47664</v>
      </c>
      <c r="AA98" s="389">
        <v>0.3</v>
      </c>
      <c r="AB98" s="406">
        <f t="shared" si="225"/>
        <v>17147.11</v>
      </c>
      <c r="AC98" s="406">
        <f t="shared" si="226"/>
        <v>21433.89</v>
      </c>
      <c r="AD98" s="406">
        <f t="shared" si="227"/>
        <v>18576.04</v>
      </c>
      <c r="AE98" s="407">
        <f t="shared" si="228"/>
        <v>0</v>
      </c>
      <c r="AF98" s="407">
        <f t="shared" si="229"/>
        <v>85735.56</v>
      </c>
      <c r="AG98" s="408">
        <f t="shared" si="230"/>
        <v>142892.6</v>
      </c>
      <c r="AH98" s="362"/>
      <c r="AI98" s="393">
        <f t="shared" si="231"/>
        <v>255.92701492537313</v>
      </c>
      <c r="AJ98" s="393">
        <f t="shared" si="232"/>
        <v>319.90880597014922</v>
      </c>
      <c r="AK98" s="393">
        <f t="shared" si="233"/>
        <v>277.25432835820897</v>
      </c>
      <c r="AL98" s="393">
        <f t="shared" si="246"/>
        <v>0</v>
      </c>
      <c r="AM98" s="393">
        <f t="shared" si="247"/>
        <v>1279.6352238805969</v>
      </c>
      <c r="AN98" s="394">
        <f t="shared" si="248"/>
        <v>2132.725373134328</v>
      </c>
      <c r="AO98" s="395">
        <f>IF($AN$81=0,0,AI98/$AN$81)</f>
        <v>5.9506839407871354E-2</v>
      </c>
      <c r="AP98" s="395">
        <f t="shared" ref="AP98" si="255">IF($AN$81=0,0,AJ98/$AN$81)</f>
        <v>7.4383557935767577E-2</v>
      </c>
      <c r="AQ98" s="395">
        <f t="shared" ref="AQ98" si="256">IF($AN$81=0,0,AK98/$AN$81)</f>
        <v>6.4465757151741299E-2</v>
      </c>
      <c r="AR98" s="395">
        <f t="shared" ref="AR98" si="257">IF($AN$81=0,0,AL98/$AN$81)</f>
        <v>0</v>
      </c>
      <c r="AS98" s="395">
        <f t="shared" ref="AS98" si="258">IF($AN$81=0,0,AM98/$AN$81)</f>
        <v>0.29753423174307031</v>
      </c>
      <c r="AU98" s="206" t="s">
        <v>388</v>
      </c>
    </row>
    <row r="99" spans="1:47" s="40" customFormat="1" x14ac:dyDescent="0.3">
      <c r="B99">
        <v>4</v>
      </c>
      <c r="C99" s="206" t="s">
        <v>389</v>
      </c>
      <c r="D99" s="206" t="s">
        <v>390</v>
      </c>
      <c r="E99" s="206" t="s">
        <v>376</v>
      </c>
      <c r="F99" s="206" t="s">
        <v>391</v>
      </c>
      <c r="G99" s="207">
        <f t="shared" si="238"/>
        <v>258.048</v>
      </c>
      <c r="H99" s="207">
        <f>'Perfils manteniment'!$G$10</f>
        <v>67</v>
      </c>
      <c r="I99" s="208">
        <f t="shared" si="249"/>
        <v>17289.22</v>
      </c>
      <c r="J99" s="207">
        <f t="shared" si="239"/>
        <v>322.56</v>
      </c>
      <c r="K99" s="207">
        <f>'Perfils manteniment'!$G$18</f>
        <v>67</v>
      </c>
      <c r="L99" s="208">
        <f t="shared" si="250"/>
        <v>21611.52</v>
      </c>
      <c r="M99" s="209">
        <f t="shared" si="240"/>
        <v>279.55200000000002</v>
      </c>
      <c r="N99" s="207">
        <f>'Perfils manteniment'!$G$26</f>
        <v>67</v>
      </c>
      <c r="O99" s="208">
        <f t="shared" si="241"/>
        <v>18729.98</v>
      </c>
      <c r="P99" s="208"/>
      <c r="Q99" s="210">
        <f t="shared" si="242"/>
        <v>1290.24</v>
      </c>
      <c r="R99" s="211">
        <f>'Perfils manteniment'!$G$34</f>
        <v>67</v>
      </c>
      <c r="S99" s="208">
        <f t="shared" si="243"/>
        <v>86446.080000000002</v>
      </c>
      <c r="T99" s="211">
        <f t="shared" si="224"/>
        <v>2150.4</v>
      </c>
      <c r="U99" s="208">
        <f t="shared" si="244"/>
        <v>144076.79999999999</v>
      </c>
      <c r="V99" s="212">
        <v>46204</v>
      </c>
      <c r="W99" s="212">
        <v>47484</v>
      </c>
      <c r="X99" s="211"/>
      <c r="Y99" s="213">
        <f t="shared" si="245"/>
        <v>0</v>
      </c>
      <c r="Z99" s="212">
        <v>47664</v>
      </c>
      <c r="AA99" s="389">
        <v>0.15</v>
      </c>
      <c r="AB99" s="406">
        <f t="shared" si="225"/>
        <v>8573.56</v>
      </c>
      <c r="AC99" s="406">
        <f t="shared" si="226"/>
        <v>10716.95</v>
      </c>
      <c r="AD99" s="406">
        <f t="shared" si="227"/>
        <v>9288.02</v>
      </c>
      <c r="AE99" s="407">
        <f t="shared" si="228"/>
        <v>0</v>
      </c>
      <c r="AF99" s="407">
        <f t="shared" si="229"/>
        <v>42867.78</v>
      </c>
      <c r="AG99" s="408">
        <f t="shared" si="230"/>
        <v>71446.31</v>
      </c>
      <c r="AH99" s="362"/>
      <c r="AI99" s="393">
        <f t="shared" si="231"/>
        <v>127.96358208955223</v>
      </c>
      <c r="AJ99" s="393">
        <f t="shared" si="232"/>
        <v>159.95447761194032</v>
      </c>
      <c r="AK99" s="393">
        <f t="shared" si="233"/>
        <v>138.62716417910448</v>
      </c>
      <c r="AL99" s="393">
        <f t="shared" si="246"/>
        <v>0</v>
      </c>
      <c r="AM99" s="393">
        <f t="shared" si="247"/>
        <v>639.81761194029843</v>
      </c>
      <c r="AN99" s="394">
        <f t="shared" si="248"/>
        <v>1066.3628358208955</v>
      </c>
      <c r="AO99" s="395">
        <f>IF($AN$82=0,0,AI99/$AN$82)</f>
        <v>5.950687411158493E-2</v>
      </c>
      <c r="AP99" s="395">
        <f t="shared" ref="AP99" si="259">IF($AN$82=0,0,AJ99/$AN$82)</f>
        <v>7.4383592639481175E-2</v>
      </c>
      <c r="AQ99" s="395">
        <f t="shared" ref="AQ99" si="260">IF($AN$82=0,0,AK99/$AN$82)</f>
        <v>6.4465757151741299E-2</v>
      </c>
      <c r="AR99" s="395">
        <f t="shared" ref="AR99" si="261">IF($AN$82=0,0,AL99/$AN$82)</f>
        <v>0</v>
      </c>
      <c r="AS99" s="395">
        <f t="shared" ref="AS99" si="262">IF($AN$82=0,0,AM99/$AN$82)</f>
        <v>0.29753423174307031</v>
      </c>
      <c r="AU99" s="206" t="s">
        <v>391</v>
      </c>
    </row>
    <row r="100" spans="1:47" s="40" customFormat="1" x14ac:dyDescent="0.3">
      <c r="B100">
        <v>6</v>
      </c>
      <c r="C100" s="206" t="s">
        <v>392</v>
      </c>
      <c r="D100" s="206" t="s">
        <v>393</v>
      </c>
      <c r="E100" s="206" t="s">
        <v>376</v>
      </c>
      <c r="F100" s="206" t="s">
        <v>394</v>
      </c>
      <c r="G100" s="207">
        <f t="shared" si="238"/>
        <v>172.03200000000001</v>
      </c>
      <c r="H100" s="207">
        <f>'Perfils manteniment'!$G$10</f>
        <v>67</v>
      </c>
      <c r="I100" s="208">
        <f t="shared" si="249"/>
        <v>11526.14</v>
      </c>
      <c r="J100" s="207">
        <f t="shared" si="239"/>
        <v>215.04000000000002</v>
      </c>
      <c r="K100" s="207">
        <f>'Perfils manteniment'!$G$18</f>
        <v>67</v>
      </c>
      <c r="L100" s="208">
        <f t="shared" si="250"/>
        <v>14407.68</v>
      </c>
      <c r="M100" s="209">
        <f t="shared" si="240"/>
        <v>186.36800000000002</v>
      </c>
      <c r="N100" s="207">
        <f>'Perfils manteniment'!$G$26</f>
        <v>67</v>
      </c>
      <c r="O100" s="208">
        <f t="shared" si="241"/>
        <v>12486.66</v>
      </c>
      <c r="P100" s="208"/>
      <c r="Q100" s="210">
        <f t="shared" si="242"/>
        <v>860.16000000000008</v>
      </c>
      <c r="R100" s="211">
        <f>'Perfils manteniment'!$G$34</f>
        <v>67</v>
      </c>
      <c r="S100" s="208">
        <f t="shared" si="243"/>
        <v>57630.720000000001</v>
      </c>
      <c r="T100" s="211">
        <f t="shared" si="224"/>
        <v>1433.6000000000001</v>
      </c>
      <c r="U100" s="208">
        <f t="shared" si="244"/>
        <v>96051.199999999997</v>
      </c>
      <c r="V100" s="212">
        <v>46204</v>
      </c>
      <c r="W100" s="212">
        <v>47484</v>
      </c>
      <c r="X100" s="211"/>
      <c r="Y100" s="213">
        <f t="shared" si="245"/>
        <v>0</v>
      </c>
      <c r="Z100" s="212">
        <v>47664</v>
      </c>
      <c r="AA100" s="389">
        <v>0.1</v>
      </c>
      <c r="AB100" s="406">
        <f t="shared" si="225"/>
        <v>5715.7</v>
      </c>
      <c r="AC100" s="406">
        <f t="shared" si="226"/>
        <v>7144.63</v>
      </c>
      <c r="AD100" s="406">
        <f t="shared" si="227"/>
        <v>6192.01</v>
      </c>
      <c r="AE100" s="407">
        <f t="shared" si="228"/>
        <v>0</v>
      </c>
      <c r="AF100" s="407">
        <f t="shared" si="229"/>
        <v>28578.52</v>
      </c>
      <c r="AG100" s="408">
        <f t="shared" si="230"/>
        <v>47630.86</v>
      </c>
      <c r="AH100" s="362"/>
      <c r="AI100" s="393">
        <f t="shared" si="231"/>
        <v>85.308955223880588</v>
      </c>
      <c r="AJ100" s="393">
        <f t="shared" si="232"/>
        <v>106.63626865671642</v>
      </c>
      <c r="AK100" s="393">
        <f t="shared" si="233"/>
        <v>92.418059701492538</v>
      </c>
      <c r="AL100" s="393">
        <f t="shared" si="246"/>
        <v>0</v>
      </c>
      <c r="AM100" s="393">
        <f t="shared" si="247"/>
        <v>426.5450746268657</v>
      </c>
      <c r="AN100" s="394">
        <f t="shared" si="248"/>
        <v>710.90835820895518</v>
      </c>
      <c r="AO100" s="395">
        <f>IF($AN$83=0,0,AI100/$AN$83)</f>
        <v>5.9506804704157777E-2</v>
      </c>
      <c r="AP100" s="395">
        <f t="shared" ref="AP100" si="263">IF($AN$83=0,0,AJ100/$AN$83)</f>
        <v>7.4383557935767605E-2</v>
      </c>
      <c r="AQ100" s="395">
        <f t="shared" ref="AQ100" si="264">IF($AN$83=0,0,AK100/$AN$83)</f>
        <v>6.4465722448027729E-2</v>
      </c>
      <c r="AR100" s="395">
        <f t="shared" ref="AR100" si="265">IF($AN$83=0,0,AL100/$AN$83)</f>
        <v>0</v>
      </c>
      <c r="AS100" s="395">
        <f t="shared" ref="AS100" si="266">IF($AN$83=0,0,AM100/$AN$83)</f>
        <v>0.29753423174307042</v>
      </c>
      <c r="AU100" s="206" t="s">
        <v>394</v>
      </c>
    </row>
    <row r="101" spans="1:47" s="40" customFormat="1" ht="14.1" customHeight="1" x14ac:dyDescent="0.3">
      <c r="A101" s="215"/>
      <c r="B101"/>
      <c r="C101" s="563"/>
      <c r="D101" s="563"/>
      <c r="E101" s="563"/>
      <c r="F101" s="216" t="s">
        <v>395</v>
      </c>
      <c r="G101" s="217">
        <f>SUM(G95:G100)</f>
        <v>1720.32</v>
      </c>
      <c r="H101" s="217"/>
      <c r="I101" s="217">
        <f>SUM(I95:I100)</f>
        <v>115261.43000000001</v>
      </c>
      <c r="J101" s="217">
        <f>SUM(J95:J100)</f>
        <v>2150.3999999999996</v>
      </c>
      <c r="K101" s="217"/>
      <c r="L101" s="217">
        <f>SUM(L95:L100)</f>
        <v>144076.80000000002</v>
      </c>
      <c r="M101" s="217">
        <f>SUM(M95:M100)</f>
        <v>1863.6799999999998</v>
      </c>
      <c r="N101" s="217"/>
      <c r="O101" s="217">
        <f>SUM(O95:O100)</f>
        <v>124866.56999999999</v>
      </c>
      <c r="P101" s="217">
        <f>SUM(P95:P100)</f>
        <v>0</v>
      </c>
      <c r="Q101" s="217">
        <f t="shared" ref="Q101" si="267">$AA$43*AA101*$Q$42</f>
        <v>0</v>
      </c>
      <c r="R101" s="217"/>
      <c r="S101" s="217">
        <f>SUM(S95:S100)</f>
        <v>576307.20000000007</v>
      </c>
      <c r="T101" s="217">
        <f>SUM(T95:T100)</f>
        <v>14336</v>
      </c>
      <c r="U101" s="217">
        <f>SUM(U95:U100)</f>
        <v>960512</v>
      </c>
      <c r="V101" s="218"/>
      <c r="W101" s="218"/>
      <c r="X101" s="217">
        <f>SUM(X95:X100)</f>
        <v>0</v>
      </c>
      <c r="Y101" s="217">
        <f>SUM(Y95:Y100)</f>
        <v>0</v>
      </c>
      <c r="Z101" s="217"/>
      <c r="AA101" s="375">
        <v>14336</v>
      </c>
      <c r="AB101" s="217">
        <f t="shared" ref="AB101:AG101" si="268">SUM(AB95:AB100)</f>
        <v>57157.03</v>
      </c>
      <c r="AC101" s="217">
        <f t="shared" si="268"/>
        <v>71446.3</v>
      </c>
      <c r="AD101" s="217">
        <f t="shared" si="268"/>
        <v>61920.12</v>
      </c>
      <c r="AE101" s="217">
        <f t="shared" si="268"/>
        <v>0</v>
      </c>
      <c r="AF101" s="217">
        <f t="shared" si="268"/>
        <v>285785.2</v>
      </c>
      <c r="AG101" s="217">
        <f t="shared" si="268"/>
        <v>476308.64999999997</v>
      </c>
      <c r="AH101" s="362"/>
      <c r="AI101" s="217">
        <f t="shared" ref="AI101:AN101" si="269">SUM(AI95:AI100)</f>
        <v>853.08999999999992</v>
      </c>
      <c r="AJ101" s="217">
        <f t="shared" si="269"/>
        <v>1066.362686567164</v>
      </c>
      <c r="AK101" s="217">
        <f t="shared" si="269"/>
        <v>924.18089552238814</v>
      </c>
      <c r="AL101" s="217">
        <f t="shared" si="269"/>
        <v>0</v>
      </c>
      <c r="AM101" s="217">
        <f t="shared" si="269"/>
        <v>4265.450746268657</v>
      </c>
      <c r="AN101" s="217">
        <f t="shared" si="269"/>
        <v>7109.0843283582089</v>
      </c>
      <c r="AO101" s="288">
        <f>IF($AN$84=0,0,AI101/$AN$84)</f>
        <v>5.9506835937499995E-2</v>
      </c>
      <c r="AP101" s="288">
        <f t="shared" ref="AP101" si="270">IF($AN$84=0,0,AJ101/$AN$84)</f>
        <v>7.4383557935767577E-2</v>
      </c>
      <c r="AQ101" s="288">
        <f t="shared" ref="AQ101" si="271">IF($AN$84=0,0,AK101/$AN$84)</f>
        <v>6.4465743270255865E-2</v>
      </c>
      <c r="AR101" s="288">
        <f t="shared" ref="AR101" si="272">IF($AN$84=0,0,AL101/$AN$84)</f>
        <v>0</v>
      </c>
      <c r="AS101" s="288">
        <f t="shared" ref="AS101" si="273">IF($AN$84=0,0,AM101/$AN$84)</f>
        <v>0.29753423174307037</v>
      </c>
      <c r="AU101" s="280" t="s">
        <v>395</v>
      </c>
    </row>
    <row r="102" spans="1:47" s="40" customFormat="1" x14ac:dyDescent="0.3">
      <c r="B102">
        <v>1</v>
      </c>
      <c r="C102" s="219" t="s">
        <v>396</v>
      </c>
      <c r="D102" s="220" t="s">
        <v>100</v>
      </c>
      <c r="E102" s="219"/>
      <c r="F102" s="220" t="s">
        <v>100</v>
      </c>
      <c r="G102" s="207">
        <f>$AA$86*AA102*$G$76</f>
        <v>0</v>
      </c>
      <c r="H102" s="275">
        <f>'Perfils manteniment'!$G$10</f>
        <v>67</v>
      </c>
      <c r="I102" s="276">
        <f>ROUND(G102*H102,2)</f>
        <v>0</v>
      </c>
      <c r="J102" s="207">
        <f>$AA$86*AA102*$J$76</f>
        <v>0</v>
      </c>
      <c r="K102" s="275">
        <f>'Perfils manteniment'!$G$18</f>
        <v>67</v>
      </c>
      <c r="L102" s="276">
        <f>ROUND(J102*K102,2)</f>
        <v>0</v>
      </c>
      <c r="M102" s="209">
        <f>$AA$86*AA102*$M$76</f>
        <v>0</v>
      </c>
      <c r="N102" s="275">
        <f>'Perfils manteniment'!$G$26</f>
        <v>67</v>
      </c>
      <c r="O102" s="276">
        <f>ROUND(M102*N102,2)</f>
        <v>0</v>
      </c>
      <c r="P102" s="276"/>
      <c r="Q102" s="210">
        <f>$AA$86*AA102*$Q$76</f>
        <v>0</v>
      </c>
      <c r="R102" s="211">
        <f>'Perfils manteniment'!$G$34</f>
        <v>67</v>
      </c>
      <c r="S102" s="276">
        <f>ROUND(Q102*R102,2)</f>
        <v>0</v>
      </c>
      <c r="T102" s="211">
        <f t="shared" ref="T102" si="274">G102+J102+M102+Q102</f>
        <v>0</v>
      </c>
      <c r="U102" s="276">
        <f>I102+L102+O102+P102+S102</f>
        <v>0</v>
      </c>
      <c r="V102" s="212">
        <v>46204</v>
      </c>
      <c r="W102" s="212">
        <v>47484</v>
      </c>
      <c r="X102" s="277"/>
      <c r="Y102" s="279">
        <f>X102*K102</f>
        <v>0</v>
      </c>
      <c r="Z102" s="212">
        <v>47664</v>
      </c>
      <c r="AA102" s="390">
        <v>1</v>
      </c>
      <c r="AB102" s="406">
        <f>ROUND(I102*(MIN($AA$92,Z102)-$W102+1)/365,2)</f>
        <v>0</v>
      </c>
      <c r="AC102" s="406">
        <f>ROUND(L102*(MIN($AA$92,Z102)-$W102+1)/365,2)+Y102</f>
        <v>0</v>
      </c>
      <c r="AD102" s="406">
        <f>ROUND(O102*(MIN($AA$92,Z102)-$W102+1)/365,2)</f>
        <v>0</v>
      </c>
      <c r="AE102" s="407">
        <f>P102</f>
        <v>0</v>
      </c>
      <c r="AF102" s="407">
        <f>ROUND(S102*(MIN($AA$92,Z102)-$W102+1)/365,2)</f>
        <v>0</v>
      </c>
      <c r="AG102" s="409">
        <f>SUM(AB102:AF102)</f>
        <v>0</v>
      </c>
      <c r="AH102" s="362"/>
      <c r="AI102" s="398">
        <f>AB102/H102</f>
        <v>0</v>
      </c>
      <c r="AJ102" s="398">
        <f>(AC102-Y102)/K102</f>
        <v>0</v>
      </c>
      <c r="AK102" s="398">
        <f>AD102/N102</f>
        <v>0</v>
      </c>
      <c r="AL102" s="398">
        <f>X102</f>
        <v>0</v>
      </c>
      <c r="AM102" s="398">
        <f t="shared" ref="AM102" si="275">AF102/R102</f>
        <v>0</v>
      </c>
      <c r="AN102" s="398">
        <f>SUM(AI102:AM102)</f>
        <v>0</v>
      </c>
      <c r="AO102" s="399">
        <f>IF($AN$85=0,0,AI102/$AN$85)</f>
        <v>0</v>
      </c>
      <c r="AP102" s="399">
        <f t="shared" ref="AP102" si="276">IF($AN$85=0,0,AJ102/$AN$85)</f>
        <v>0</v>
      </c>
      <c r="AQ102" s="399">
        <f t="shared" ref="AQ102" si="277">IF($AN$85=0,0,AK102/$AN$85)</f>
        <v>0</v>
      </c>
      <c r="AR102" s="399">
        <f t="shared" ref="AR102" si="278">IF($AN$85=0,0,AL102/$AN$85)</f>
        <v>0</v>
      </c>
      <c r="AS102" s="399">
        <f t="shared" ref="AS102" si="279">IF($AN$85=0,0,AM102/$AN$85)</f>
        <v>0</v>
      </c>
      <c r="AU102" s="220" t="s">
        <v>100</v>
      </c>
    </row>
    <row r="103" spans="1:47" s="270" customFormat="1" ht="13.5" customHeight="1" x14ac:dyDescent="0.3">
      <c r="C103" s="271"/>
      <c r="D103" s="271"/>
      <c r="E103" s="271"/>
      <c r="F103" s="272" t="s">
        <v>397</v>
      </c>
      <c r="G103" s="222">
        <f>SUM(G102:G102)</f>
        <v>0</v>
      </c>
      <c r="H103" s="222"/>
      <c r="I103" s="222">
        <f>SUM(I102:I102)</f>
        <v>0</v>
      </c>
      <c r="J103" s="222">
        <f>SUM(J102:J102)</f>
        <v>0</v>
      </c>
      <c r="K103" s="222"/>
      <c r="L103" s="222">
        <f>SUM(L102:L102)</f>
        <v>0</v>
      </c>
      <c r="M103" s="222">
        <f>SUM(M102:M102)</f>
        <v>0</v>
      </c>
      <c r="N103" s="222"/>
      <c r="O103" s="222">
        <f>SUM(O102:O102)</f>
        <v>0</v>
      </c>
      <c r="P103" s="222">
        <f>SUM(P102:P102)</f>
        <v>0</v>
      </c>
      <c r="Q103" s="222">
        <f>SUM(Q102:Q102)</f>
        <v>0</v>
      </c>
      <c r="R103" s="222"/>
      <c r="S103" s="222">
        <f>SUM(S102:S102)</f>
        <v>0</v>
      </c>
      <c r="T103" s="222">
        <f>SUM(T102:T102)</f>
        <v>0</v>
      </c>
      <c r="U103" s="222">
        <f>SUM(U102:U102)</f>
        <v>0</v>
      </c>
      <c r="V103" s="273"/>
      <c r="W103" s="273"/>
      <c r="X103" s="222">
        <f>SUM(X102:X102)</f>
        <v>0</v>
      </c>
      <c r="Y103" s="222">
        <f>SUM(Y102:Y102)</f>
        <v>0</v>
      </c>
      <c r="Z103" s="222"/>
      <c r="AA103" s="400">
        <v>0</v>
      </c>
      <c r="AB103" s="274">
        <f t="shared" ref="AB103:AG103" si="280">SUM(AB102:AB102)</f>
        <v>0</v>
      </c>
      <c r="AC103" s="274">
        <f t="shared" si="280"/>
        <v>0</v>
      </c>
      <c r="AD103" s="274">
        <f t="shared" si="280"/>
        <v>0</v>
      </c>
      <c r="AE103" s="274">
        <f t="shared" si="280"/>
        <v>0</v>
      </c>
      <c r="AF103" s="274">
        <f t="shared" si="280"/>
        <v>0</v>
      </c>
      <c r="AG103" s="274">
        <f t="shared" si="280"/>
        <v>0</v>
      </c>
      <c r="AH103" s="400"/>
      <c r="AI103" s="274">
        <f t="shared" ref="AI103:AN103" si="281">SUM(AI102:AI102)</f>
        <v>0</v>
      </c>
      <c r="AJ103" s="274">
        <f t="shared" si="281"/>
        <v>0</v>
      </c>
      <c r="AK103" s="274">
        <f t="shared" si="281"/>
        <v>0</v>
      </c>
      <c r="AL103" s="274">
        <f t="shared" si="281"/>
        <v>0</v>
      </c>
      <c r="AM103" s="274">
        <f t="shared" si="281"/>
        <v>0</v>
      </c>
      <c r="AN103" s="274">
        <f t="shared" si="281"/>
        <v>0</v>
      </c>
      <c r="AO103" s="289">
        <f>IF($AN$86=0,0,AI103/$AN$86)</f>
        <v>0</v>
      </c>
      <c r="AP103" s="289">
        <f>IF($AN$86=0,0,AJ103/$AN$86)</f>
        <v>0</v>
      </c>
      <c r="AQ103" s="289">
        <f>IF($AN$86=0,0,AK103/$AN$86)</f>
        <v>0</v>
      </c>
      <c r="AR103" s="289">
        <f>IF($AN$86=0,0,AL103/$AN$86)</f>
        <v>0</v>
      </c>
      <c r="AS103" s="289">
        <f>IF($AN$86=0,0,AM103/$AN$86)</f>
        <v>0</v>
      </c>
      <c r="AU103" s="281" t="s">
        <v>397</v>
      </c>
    </row>
    <row r="104" spans="1:47" s="40" customFormat="1" ht="13.5" customHeight="1" x14ac:dyDescent="0.3">
      <c r="B104" s="362">
        <v>0</v>
      </c>
      <c r="C104" s="22" t="s">
        <v>398</v>
      </c>
      <c r="D104" s="22" t="s">
        <v>399</v>
      </c>
      <c r="E104" s="22" t="s">
        <v>376</v>
      </c>
      <c r="F104" s="269" t="s">
        <v>400</v>
      </c>
      <c r="G104" s="207">
        <f>$AA$88*AA104*$G$76</f>
        <v>138</v>
      </c>
      <c r="H104" s="207">
        <f>'Perfils manteniment'!$G$10</f>
        <v>67</v>
      </c>
      <c r="I104" s="208">
        <f>ROUND(G104*H104,2)</f>
        <v>9246</v>
      </c>
      <c r="J104" s="207">
        <f>$AA$88*AA104*$J$76</f>
        <v>172.5</v>
      </c>
      <c r="K104" s="207">
        <f>'Perfils manteniment'!$G$18</f>
        <v>67</v>
      </c>
      <c r="L104" s="208">
        <f>ROUND(J104*K104,2)</f>
        <v>11557.5</v>
      </c>
      <c r="M104" s="209">
        <f>$AA$88*AA104*$M$76</f>
        <v>149.5</v>
      </c>
      <c r="N104" s="207">
        <f>'Perfils manteniment'!$G$26</f>
        <v>67</v>
      </c>
      <c r="O104" s="208">
        <f>ROUND(M104*N104,2)</f>
        <v>10016.5</v>
      </c>
      <c r="P104" s="208"/>
      <c r="Q104" s="210">
        <f>$AA$88*AA104*$Q$76</f>
        <v>690</v>
      </c>
      <c r="R104" s="211">
        <f>'Perfils manteniment'!$G$34</f>
        <v>67</v>
      </c>
      <c r="S104" s="208">
        <f>ROUND(Q104*R104,2)</f>
        <v>46230</v>
      </c>
      <c r="T104" s="211">
        <f t="shared" ref="T104" si="282">G104+J104+M104+Q104</f>
        <v>1150</v>
      </c>
      <c r="U104" s="208">
        <f>I104+L104+O104+P104+S104</f>
        <v>77050</v>
      </c>
      <c r="V104" s="212">
        <v>46204</v>
      </c>
      <c r="W104" s="212">
        <v>47484</v>
      </c>
      <c r="X104" s="211"/>
      <c r="Y104" s="213"/>
      <c r="Z104" s="212">
        <v>47664</v>
      </c>
      <c r="AA104" s="390">
        <v>1</v>
      </c>
      <c r="AB104" s="285">
        <f>ROUND(I104*(MIN($AA$92,Z104)-$W104+1)/365,2)</f>
        <v>4585</v>
      </c>
      <c r="AC104" s="285">
        <f>ROUND(L104*(MIN($AA$92,Z104)-$W104+1)/365,2)+Y104</f>
        <v>5731.25</v>
      </c>
      <c r="AD104" s="285">
        <f>ROUND(O104*(MIN($AA$92,Z104)-$W104+1)/365,2)</f>
        <v>4967.09</v>
      </c>
      <c r="AE104" s="285">
        <f t="shared" ref="AE104" si="283">P104</f>
        <v>0</v>
      </c>
      <c r="AF104" s="285">
        <f>ROUND(S104*(MIN($AA$92,Z104)-$W104+1)/365,2)-0.01</f>
        <v>22925</v>
      </c>
      <c r="AG104" s="285">
        <f>SUM(AB104:AF104)</f>
        <v>38208.339999999997</v>
      </c>
      <c r="AH104" s="401"/>
      <c r="AI104" s="285">
        <f>AB104/H104</f>
        <v>68.432835820895519</v>
      </c>
      <c r="AJ104" s="285">
        <f>(AC104-Y104)/K104</f>
        <v>85.541044776119406</v>
      </c>
      <c r="AK104" s="285">
        <f>AD104/N104</f>
        <v>74.135671641791049</v>
      </c>
      <c r="AL104" s="285">
        <f>X104</f>
        <v>0</v>
      </c>
      <c r="AM104" s="285">
        <f t="shared" ref="AM104" si="284">AF104/R104</f>
        <v>342.16417910447763</v>
      </c>
      <c r="AN104" s="285">
        <f>SUM(AI104:AM104)</f>
        <v>570.27373134328354</v>
      </c>
      <c r="AO104" s="286">
        <f>IF($AN$87=0,0,AI104/$AN$87)</f>
        <v>5.950681375730045E-2</v>
      </c>
      <c r="AP104" s="286">
        <f t="shared" ref="AP104" si="285">IF($AN$87=0,0,AJ104/$AN$87)</f>
        <v>7.4383517196625573E-2</v>
      </c>
      <c r="AQ104" s="286">
        <f t="shared" ref="AQ104" si="286">IF($AN$87=0,0,AK104/$AN$87)</f>
        <v>6.4465801427644395E-2</v>
      </c>
      <c r="AR104" s="286">
        <f t="shared" ref="AR104" si="287">IF($AN$87=0,0,AL104/$AN$87)</f>
        <v>0</v>
      </c>
      <c r="AS104" s="286">
        <f t="shared" ref="AS104" si="288">IF($AN$87=0,0,AM104/$AN$87)</f>
        <v>0.29753406878650229</v>
      </c>
      <c r="AU104" s="269" t="s">
        <v>400</v>
      </c>
    </row>
    <row r="105" spans="1:47" s="40" customFormat="1" ht="13.5" customHeight="1" x14ac:dyDescent="0.3">
      <c r="C105" s="196"/>
      <c r="D105" s="196"/>
      <c r="E105" s="196"/>
      <c r="F105" s="265" t="s">
        <v>401</v>
      </c>
      <c r="G105" s="266">
        <f>SUM(G104)</f>
        <v>138</v>
      </c>
      <c r="H105" s="266"/>
      <c r="I105" s="266">
        <f>SUM(I104)</f>
        <v>9246</v>
      </c>
      <c r="J105" s="266">
        <f>SUM(J104)</f>
        <v>172.5</v>
      </c>
      <c r="K105" s="266"/>
      <c r="L105" s="266">
        <f>SUM(L104)</f>
        <v>11557.5</v>
      </c>
      <c r="M105" s="266">
        <f>SUM(M104)</f>
        <v>149.5</v>
      </c>
      <c r="N105" s="266"/>
      <c r="O105" s="266">
        <f>SUM(O104)</f>
        <v>10016.5</v>
      </c>
      <c r="P105" s="266">
        <f>SUM(P104)</f>
        <v>0</v>
      </c>
      <c r="Q105" s="266">
        <f>SUM(Q104)</f>
        <v>690</v>
      </c>
      <c r="R105" s="266"/>
      <c r="S105" s="266">
        <f>SUM(S104)</f>
        <v>46230</v>
      </c>
      <c r="T105" s="266">
        <f>SUM(T104)</f>
        <v>1150</v>
      </c>
      <c r="U105" s="266">
        <f>SUM(U104)</f>
        <v>77050</v>
      </c>
      <c r="V105" s="267"/>
      <c r="W105" s="267"/>
      <c r="X105" s="266">
        <f>SUM(X104)</f>
        <v>0</v>
      </c>
      <c r="Y105" s="266">
        <f>SUM(Y104)</f>
        <v>0</v>
      </c>
      <c r="Z105" s="268"/>
      <c r="AA105" s="401">
        <v>1150</v>
      </c>
      <c r="AB105" s="266">
        <f t="shared" ref="AB105:AG105" si="289">SUM(AB104)</f>
        <v>4585</v>
      </c>
      <c r="AC105" s="266">
        <f t="shared" si="289"/>
        <v>5731.25</v>
      </c>
      <c r="AD105" s="266">
        <f t="shared" si="289"/>
        <v>4967.09</v>
      </c>
      <c r="AE105" s="266">
        <f t="shared" si="289"/>
        <v>0</v>
      </c>
      <c r="AF105" s="266">
        <f t="shared" si="289"/>
        <v>22925</v>
      </c>
      <c r="AG105" s="266">
        <f t="shared" si="289"/>
        <v>38208.339999999997</v>
      </c>
      <c r="AH105" s="401"/>
      <c r="AI105" s="266">
        <f t="shared" ref="AI105:AN105" si="290">SUM(AI104)</f>
        <v>68.432835820895519</v>
      </c>
      <c r="AJ105" s="266">
        <f t="shared" si="290"/>
        <v>85.541044776119406</v>
      </c>
      <c r="AK105" s="266">
        <f t="shared" si="290"/>
        <v>74.135671641791049</v>
      </c>
      <c r="AL105" s="266">
        <f t="shared" si="290"/>
        <v>0</v>
      </c>
      <c r="AM105" s="266">
        <f t="shared" si="290"/>
        <v>342.16417910447763</v>
      </c>
      <c r="AN105" s="266">
        <f t="shared" si="290"/>
        <v>570.27373134328354</v>
      </c>
      <c r="AO105" s="290">
        <f>IF($AN$88=0,0,AI105/$AN$88)</f>
        <v>5.950681375730045E-2</v>
      </c>
      <c r="AP105" s="290">
        <f t="shared" ref="AP105" si="291">IF($AN$88=0,0,AJ105/$AN$88)</f>
        <v>7.4383517196625573E-2</v>
      </c>
      <c r="AQ105" s="290">
        <f t="shared" ref="AQ105" si="292">IF($AN$88=0,0,AK105/$AN$88)</f>
        <v>6.4465801427644395E-2</v>
      </c>
      <c r="AR105" s="290">
        <f t="shared" ref="AR105" si="293">IF($AN$88=0,0,AL105/$AN$88)</f>
        <v>0</v>
      </c>
      <c r="AS105" s="290">
        <f t="shared" ref="AS105" si="294">IF($AN$88=0,0,AM105/$AN$88)</f>
        <v>0.29753406878650229</v>
      </c>
      <c r="AU105" s="282" t="s">
        <v>402</v>
      </c>
    </row>
    <row r="106" spans="1:47" s="40" customFormat="1" ht="15.6" x14ac:dyDescent="0.3">
      <c r="C106" s="224" t="s">
        <v>367</v>
      </c>
      <c r="D106" s="225"/>
      <c r="E106" s="226"/>
      <c r="F106" s="287"/>
      <c r="G106" s="228">
        <f>G101+G103</f>
        <v>1720.32</v>
      </c>
      <c r="H106" s="228"/>
      <c r="I106" s="228">
        <f>I101+I103</f>
        <v>115261.43000000001</v>
      </c>
      <c r="J106" s="228">
        <f>J101+J103</f>
        <v>2150.3999999999996</v>
      </c>
      <c r="K106" s="228"/>
      <c r="L106" s="228">
        <f>L101+L103</f>
        <v>144076.80000000002</v>
      </c>
      <c r="M106" s="228">
        <f>M101+M103</f>
        <v>1863.6799999999998</v>
      </c>
      <c r="N106" s="228"/>
      <c r="O106" s="228">
        <f>O101+O103</f>
        <v>124866.56999999999</v>
      </c>
      <c r="P106" s="228">
        <f>P101+P103</f>
        <v>0</v>
      </c>
      <c r="Q106" s="228">
        <f>Q101+Q103</f>
        <v>0</v>
      </c>
      <c r="R106" s="228"/>
      <c r="S106" s="228">
        <f>S101+S103</f>
        <v>576307.20000000007</v>
      </c>
      <c r="T106" s="228">
        <f>T101+T103</f>
        <v>14336</v>
      </c>
      <c r="U106" s="228">
        <f>U101+U103+U105</f>
        <v>1037562</v>
      </c>
      <c r="V106" s="228"/>
      <c r="W106" s="228"/>
      <c r="X106" s="228">
        <f>X101+X103</f>
        <v>0</v>
      </c>
      <c r="Y106" s="228">
        <f>Y101+Y103</f>
        <v>0</v>
      </c>
      <c r="Z106" s="229"/>
      <c r="AB106" s="228">
        <f>AB101+AB103+AB105</f>
        <v>61742.03</v>
      </c>
      <c r="AC106" s="228">
        <f t="shared" ref="AC106:AG106" si="295">AC101+AC103+AC105</f>
        <v>77177.55</v>
      </c>
      <c r="AD106" s="228">
        <f t="shared" si="295"/>
        <v>66887.210000000006</v>
      </c>
      <c r="AE106" s="228">
        <f t="shared" si="295"/>
        <v>0</v>
      </c>
      <c r="AF106" s="228">
        <f t="shared" si="295"/>
        <v>308710.2</v>
      </c>
      <c r="AG106" s="228">
        <f t="shared" si="295"/>
        <v>514516.99</v>
      </c>
      <c r="AH106" s="362"/>
      <c r="AI106" s="228">
        <f t="shared" ref="AI106:AN106" si="296">AI101+AI103+AI105</f>
        <v>921.52283582089547</v>
      </c>
      <c r="AJ106" s="228">
        <f t="shared" si="296"/>
        <v>1151.9037313432834</v>
      </c>
      <c r="AK106" s="228">
        <f t="shared" si="296"/>
        <v>998.31656716417922</v>
      </c>
      <c r="AL106" s="228">
        <f t="shared" si="296"/>
        <v>0</v>
      </c>
      <c r="AM106" s="228">
        <f t="shared" si="296"/>
        <v>4607.6149253731346</v>
      </c>
      <c r="AN106" s="228">
        <f t="shared" si="296"/>
        <v>7679.3580597014925</v>
      </c>
      <c r="AO106" s="291">
        <f>IF($AN$89=0,0,AI106/$AN$89)</f>
        <v>5.9506834290384572E-2</v>
      </c>
      <c r="AP106" s="291">
        <f t="shared" ref="AP106" si="297">IF($AN$89=0,0,AJ106/$AN$89)</f>
        <v>7.4383554910453537E-2</v>
      </c>
      <c r="AQ106" s="291">
        <f t="shared" ref="AQ106" si="298">IF($AN$89=0,0,AK106/$AN$89)</f>
        <v>6.4465747589059749E-2</v>
      </c>
      <c r="AR106" s="291">
        <f t="shared" ref="AR106" si="299">IF($AN$89=0,0,AL106/$AN$89)</f>
        <v>0</v>
      </c>
      <c r="AS106" s="291">
        <f t="shared" ref="AS106" si="300">IF($AN$89=0,0,AM106/$AN$89)</f>
        <v>0.2975342196418142</v>
      </c>
      <c r="AU106" s="230" t="s">
        <v>367</v>
      </c>
    </row>
    <row r="107" spans="1:47" s="40" customFormat="1" x14ac:dyDescent="0.3">
      <c r="A107" s="231"/>
      <c r="B107" s="231"/>
      <c r="C107" s="232"/>
      <c r="D107" s="233"/>
      <c r="E107" s="234"/>
      <c r="F107" s="234" t="s">
        <v>403</v>
      </c>
      <c r="G107" s="235">
        <f>G106/$T$38</f>
        <v>0.19649571673329524</v>
      </c>
      <c r="H107" s="236"/>
      <c r="I107" s="237"/>
      <c r="J107" s="235">
        <f>J106/$T$38</f>
        <v>0.24561964591661903</v>
      </c>
      <c r="K107" s="236"/>
      <c r="L107" s="237"/>
      <c r="M107" s="235">
        <f>M106/$T$38</f>
        <v>0.21287035979440319</v>
      </c>
      <c r="N107" s="236"/>
      <c r="O107" s="237"/>
      <c r="P107" s="237"/>
      <c r="Q107" s="236"/>
      <c r="R107" s="236"/>
      <c r="S107" s="237"/>
      <c r="T107" s="237"/>
      <c r="U107" s="221"/>
      <c r="V107" s="212"/>
      <c r="W107" s="212"/>
      <c r="X107" s="221"/>
      <c r="Y107" s="238"/>
      <c r="Z107" s="239"/>
      <c r="AC107" s="240"/>
      <c r="AG107" s="362"/>
      <c r="AH107" s="362"/>
      <c r="AI107" s="223"/>
      <c r="AJ107" s="223"/>
      <c r="AK107" s="223"/>
      <c r="AN107" s="241">
        <f>AN101/1500</f>
        <v>4.7393895522388059</v>
      </c>
      <c r="AO107" s="241"/>
      <c r="AP107" s="241"/>
      <c r="AQ107" s="241"/>
      <c r="AR107" s="241"/>
      <c r="AS107" s="241"/>
    </row>
    <row r="108" spans="1:47" s="40" customFormat="1" x14ac:dyDescent="0.3">
      <c r="A108" s="231"/>
      <c r="B108" s="231"/>
      <c r="C108" s="232"/>
      <c r="D108" s="233"/>
      <c r="E108" s="234"/>
      <c r="F108" s="234" t="s">
        <v>404</v>
      </c>
      <c r="G108" s="235">
        <f>I106/($U$38-$P$38)</f>
        <v>0.1964956996854676</v>
      </c>
      <c r="H108" s="236"/>
      <c r="I108" s="236"/>
      <c r="J108" s="235">
        <f>L106/($U$38-$P$38)</f>
        <v>0.24561964591661911</v>
      </c>
      <c r="K108" s="236"/>
      <c r="L108" s="237"/>
      <c r="M108" s="235">
        <f>O106/($U$38-$P$38)</f>
        <v>0.21287037684223087</v>
      </c>
      <c r="N108" s="236"/>
      <c r="O108" s="236"/>
      <c r="P108" s="236"/>
      <c r="Q108" s="236"/>
      <c r="R108" s="236"/>
      <c r="S108" s="236"/>
      <c r="T108" s="236"/>
      <c r="U108" s="221"/>
      <c r="V108" s="212"/>
      <c r="W108" s="212"/>
      <c r="X108" s="221"/>
      <c r="Y108" s="236"/>
      <c r="Z108" s="236"/>
      <c r="AB108" s="199"/>
      <c r="AD108" s="240"/>
      <c r="AI108" s="223"/>
      <c r="AJ108" s="223"/>
      <c r="AK108" s="223"/>
      <c r="AN108" s="241">
        <f>AN103/1500</f>
        <v>0</v>
      </c>
      <c r="AO108" s="241"/>
      <c r="AP108" s="241"/>
      <c r="AQ108" s="241"/>
      <c r="AR108" s="241"/>
      <c r="AS108" s="241"/>
    </row>
    <row r="109" spans="1:47" customFormat="1" x14ac:dyDescent="0.3">
      <c r="D109" s="234"/>
      <c r="E109" s="234"/>
      <c r="F109" s="234"/>
      <c r="G109" s="242"/>
      <c r="AA109" s="40"/>
      <c r="AB109" s="199"/>
      <c r="AI109" s="558" t="s">
        <v>334</v>
      </c>
      <c r="AJ109" s="559"/>
      <c r="AK109" s="559"/>
      <c r="AL109" s="559"/>
      <c r="AM109" s="559"/>
      <c r="AN109" s="559"/>
      <c r="AO109" s="388"/>
      <c r="AP109" s="388"/>
      <c r="AQ109" s="388"/>
      <c r="AR109" s="388"/>
      <c r="AS109" s="388"/>
    </row>
    <row r="110" spans="1:47" x14ac:dyDescent="0.3">
      <c r="A110" s="40"/>
      <c r="B110" s="362"/>
      <c r="C110" s="374"/>
      <c r="D110" s="370"/>
      <c r="E110" s="374"/>
      <c r="F110" s="370"/>
      <c r="G110" s="370"/>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243"/>
      <c r="AG110" s="243"/>
      <c r="AH110" s="362"/>
      <c r="AI110" s="362"/>
      <c r="AJ110" s="362"/>
      <c r="AK110" s="362"/>
      <c r="AL110" s="362"/>
      <c r="AM110" s="362"/>
      <c r="AN110" s="362"/>
      <c r="AO110" s="362"/>
      <c r="AP110" s="362"/>
      <c r="AQ110" s="362"/>
      <c r="AR110" s="362"/>
      <c r="AS110" s="362"/>
      <c r="AT110" s="362"/>
      <c r="AU110" s="362"/>
    </row>
    <row r="111" spans="1:47" x14ac:dyDescent="0.3">
      <c r="A111" s="40"/>
      <c r="B111" s="362"/>
      <c r="C111" s="374"/>
      <c r="D111" s="370"/>
      <c r="E111" s="374"/>
      <c r="F111" s="370"/>
      <c r="G111" s="370"/>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243"/>
      <c r="AG111" s="243"/>
      <c r="AH111" s="362"/>
      <c r="AI111" s="362"/>
      <c r="AJ111" s="362"/>
      <c r="AK111" s="362"/>
      <c r="AL111" s="362"/>
      <c r="AM111" s="362"/>
      <c r="AN111" s="362"/>
      <c r="AO111" s="362"/>
      <c r="AP111" s="362"/>
      <c r="AQ111" s="362"/>
      <c r="AR111" s="362"/>
      <c r="AS111" s="362"/>
      <c r="AT111" s="362"/>
      <c r="AU111" s="362"/>
    </row>
    <row r="112" spans="1:47" x14ac:dyDescent="0.3">
      <c r="A112" s="40"/>
      <c r="B112" s="362"/>
      <c r="C112" s="374"/>
      <c r="D112" s="370"/>
      <c r="E112" s="374"/>
      <c r="F112" s="370"/>
      <c r="G112" s="370"/>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243"/>
      <c r="AG112" s="243"/>
      <c r="AH112" s="362"/>
      <c r="AI112" s="362"/>
      <c r="AJ112" s="362"/>
      <c r="AK112" s="362"/>
      <c r="AL112" s="362"/>
      <c r="AM112" s="362"/>
      <c r="AN112" s="362"/>
      <c r="AO112" s="362"/>
      <c r="AP112" s="362"/>
      <c r="AQ112" s="362"/>
      <c r="AR112" s="362"/>
      <c r="AS112" s="362"/>
      <c r="AT112" s="362"/>
      <c r="AU112" s="362"/>
    </row>
    <row r="113" spans="1:47" x14ac:dyDescent="0.3">
      <c r="A113" s="40"/>
      <c r="B113" s="362"/>
      <c r="C113" s="374"/>
      <c r="D113" s="370"/>
      <c r="E113" s="374"/>
      <c r="F113" s="370"/>
      <c r="G113" s="370"/>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243"/>
      <c r="AG113" s="243"/>
      <c r="AH113" s="362"/>
      <c r="AI113" s="362"/>
      <c r="AJ113" s="362"/>
      <c r="AK113" s="362"/>
      <c r="AL113" s="362"/>
      <c r="AM113" s="362"/>
      <c r="AN113" s="362"/>
      <c r="AO113" s="362"/>
      <c r="AP113" s="362"/>
      <c r="AQ113" s="362"/>
      <c r="AR113" s="362"/>
      <c r="AS113" s="362"/>
      <c r="AT113" s="362"/>
      <c r="AU113" s="362"/>
    </row>
    <row r="114" spans="1:47" x14ac:dyDescent="0.3">
      <c r="A114" s="40"/>
      <c r="B114" s="362"/>
      <c r="C114" s="374"/>
      <c r="D114" s="370"/>
      <c r="E114" s="374"/>
      <c r="F114" s="370"/>
      <c r="G114" s="370"/>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243"/>
      <c r="AG114" s="243"/>
      <c r="AH114" s="362"/>
      <c r="AI114" s="362"/>
      <c r="AJ114" s="362"/>
      <c r="AK114" s="362"/>
      <c r="AL114" s="362"/>
      <c r="AM114" s="362"/>
      <c r="AN114" s="362"/>
      <c r="AO114" s="362"/>
      <c r="AP114" s="362"/>
      <c r="AQ114" s="362"/>
      <c r="AR114" s="362"/>
      <c r="AS114" s="362"/>
      <c r="AT114" s="362"/>
      <c r="AU114" s="362"/>
    </row>
    <row r="115" spans="1:47" x14ac:dyDescent="0.3">
      <c r="A115" s="40"/>
      <c r="B115" s="362"/>
      <c r="C115" s="374"/>
      <c r="D115" s="370"/>
      <c r="E115" s="374"/>
      <c r="F115" s="370"/>
      <c r="G115" s="370"/>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243"/>
      <c r="AG115" s="243"/>
      <c r="AH115" s="362"/>
      <c r="AI115" s="362"/>
      <c r="AJ115" s="362"/>
      <c r="AK115" s="362"/>
      <c r="AL115" s="362"/>
      <c r="AM115" s="362"/>
      <c r="AN115" s="362"/>
      <c r="AO115" s="362"/>
      <c r="AP115" s="362"/>
      <c r="AQ115" s="362"/>
      <c r="AR115" s="362"/>
      <c r="AS115" s="362"/>
      <c r="AT115" s="362"/>
      <c r="AU115" s="362"/>
    </row>
    <row r="116" spans="1:47" x14ac:dyDescent="0.3">
      <c r="A116" s="362"/>
      <c r="B116" s="362"/>
      <c r="C116" s="374"/>
      <c r="D116" s="370"/>
      <c r="E116" s="374"/>
      <c r="F116" s="370"/>
      <c r="G116" s="370"/>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243"/>
      <c r="AG116" s="243"/>
      <c r="AH116" s="362"/>
      <c r="AI116" s="362"/>
      <c r="AJ116" s="362"/>
      <c r="AK116" s="362"/>
      <c r="AL116" s="362"/>
      <c r="AM116" s="362"/>
      <c r="AN116" s="362"/>
      <c r="AO116" s="362"/>
      <c r="AP116" s="362"/>
      <c r="AQ116" s="362"/>
      <c r="AR116" s="362"/>
      <c r="AS116" s="362"/>
      <c r="AT116" s="362"/>
      <c r="AU116" s="362"/>
    </row>
    <row r="117" spans="1:47" x14ac:dyDescent="0.3">
      <c r="A117" s="362"/>
      <c r="B117" s="362"/>
      <c r="C117" s="374"/>
      <c r="D117" s="370"/>
      <c r="E117" s="374"/>
      <c r="F117" s="370"/>
      <c r="G117" s="370"/>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c r="AF117" s="243"/>
      <c r="AG117" s="243"/>
      <c r="AH117" s="362"/>
      <c r="AI117" s="362"/>
      <c r="AJ117" s="362"/>
      <c r="AK117" s="362"/>
      <c r="AL117" s="362"/>
      <c r="AM117" s="362"/>
      <c r="AN117" s="362"/>
      <c r="AO117" s="362"/>
      <c r="AP117" s="362"/>
      <c r="AQ117" s="362"/>
      <c r="AR117" s="362"/>
      <c r="AS117" s="362"/>
      <c r="AT117" s="362"/>
      <c r="AU117" s="362"/>
    </row>
    <row r="118" spans="1:47" x14ac:dyDescent="0.3">
      <c r="A118" s="362"/>
      <c r="B118" s="362"/>
      <c r="C118" s="374"/>
      <c r="D118" s="370"/>
      <c r="E118" s="374"/>
      <c r="F118" s="370"/>
      <c r="G118" s="370"/>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243"/>
      <c r="AG118" s="243"/>
      <c r="AH118" s="362"/>
      <c r="AI118" s="362"/>
      <c r="AJ118" s="362"/>
      <c r="AK118" s="362"/>
      <c r="AL118" s="362"/>
      <c r="AM118" s="362"/>
      <c r="AN118" s="362"/>
      <c r="AO118" s="362"/>
      <c r="AP118" s="362"/>
      <c r="AQ118" s="362"/>
      <c r="AR118" s="362"/>
      <c r="AS118" s="362"/>
      <c r="AT118" s="362"/>
      <c r="AU118" s="362"/>
    </row>
    <row r="119" spans="1:47" x14ac:dyDescent="0.3">
      <c r="A119" s="362"/>
      <c r="B119" s="362"/>
      <c r="C119" s="374"/>
      <c r="D119" s="370"/>
      <c r="E119" s="374"/>
      <c r="F119" s="370"/>
      <c r="G119" s="370"/>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243"/>
      <c r="AG119" s="243"/>
      <c r="AH119" s="362"/>
      <c r="AI119" s="362"/>
      <c r="AJ119" s="362"/>
      <c r="AK119" s="362"/>
      <c r="AL119" s="362"/>
      <c r="AM119" s="362"/>
      <c r="AN119" s="362"/>
      <c r="AO119" s="362"/>
      <c r="AP119" s="362"/>
      <c r="AQ119" s="362"/>
      <c r="AR119" s="362"/>
      <c r="AS119" s="362"/>
      <c r="AT119" s="362"/>
      <c r="AU119" s="362"/>
    </row>
    <row r="120" spans="1:47" x14ac:dyDescent="0.3">
      <c r="A120" s="362"/>
      <c r="B120" s="362"/>
      <c r="C120" s="374"/>
      <c r="D120" s="370"/>
      <c r="E120" s="374"/>
      <c r="F120" s="370"/>
      <c r="G120" s="370"/>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243"/>
      <c r="AG120" s="243"/>
      <c r="AH120" s="362"/>
      <c r="AI120" s="362"/>
      <c r="AJ120" s="362"/>
      <c r="AK120" s="362"/>
      <c r="AL120" s="362"/>
      <c r="AM120" s="362"/>
      <c r="AN120" s="362"/>
      <c r="AO120" s="362"/>
      <c r="AP120" s="362"/>
      <c r="AQ120" s="362"/>
      <c r="AR120" s="362"/>
      <c r="AS120" s="362"/>
      <c r="AT120" s="362"/>
      <c r="AU120" s="362"/>
    </row>
    <row r="121" spans="1:47" x14ac:dyDescent="0.3">
      <c r="A121" s="362"/>
      <c r="B121" s="362"/>
      <c r="C121" s="374"/>
      <c r="D121" s="370"/>
      <c r="E121" s="374"/>
      <c r="F121" s="370"/>
      <c r="G121" s="370"/>
      <c r="H121" s="362"/>
      <c r="I121" s="362"/>
      <c r="J121" s="362"/>
      <c r="K121" s="362"/>
      <c r="L121" s="362"/>
      <c r="M121" s="362"/>
      <c r="N121" s="362"/>
      <c r="O121" s="362"/>
      <c r="P121" s="362"/>
      <c r="Q121" s="362"/>
      <c r="R121" s="362"/>
      <c r="S121" s="362"/>
      <c r="T121" s="362"/>
      <c r="U121" s="362"/>
      <c r="V121" s="362"/>
      <c r="W121" s="362"/>
      <c r="X121" s="362"/>
      <c r="Y121" s="362"/>
      <c r="Z121" s="362"/>
      <c r="AA121" s="362"/>
      <c r="AB121" s="362"/>
      <c r="AC121" s="362"/>
      <c r="AD121" s="362"/>
      <c r="AE121" s="362"/>
      <c r="AF121" s="243"/>
      <c r="AG121" s="243"/>
      <c r="AH121" s="362"/>
      <c r="AI121" s="362"/>
      <c r="AJ121" s="362"/>
      <c r="AK121" s="362"/>
      <c r="AL121" s="362"/>
      <c r="AM121" s="362"/>
      <c r="AN121" s="362"/>
      <c r="AO121" s="362"/>
      <c r="AP121" s="362"/>
      <c r="AQ121" s="362"/>
      <c r="AR121" s="362"/>
      <c r="AS121" s="362"/>
      <c r="AT121" s="362"/>
      <c r="AU121" s="362"/>
    </row>
    <row r="122" spans="1:47" x14ac:dyDescent="0.3">
      <c r="A122" s="362"/>
      <c r="B122" s="362"/>
      <c r="C122" s="374"/>
      <c r="D122" s="370"/>
      <c r="E122" s="374"/>
      <c r="F122" s="370"/>
      <c r="G122" s="370"/>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2"/>
      <c r="AF122" s="243"/>
      <c r="AG122" s="243"/>
      <c r="AH122" s="362"/>
      <c r="AI122" s="362"/>
      <c r="AJ122" s="362"/>
      <c r="AK122" s="362"/>
      <c r="AL122" s="362"/>
      <c r="AM122" s="362"/>
      <c r="AN122" s="362"/>
      <c r="AO122" s="362"/>
      <c r="AP122" s="362"/>
      <c r="AQ122" s="362"/>
      <c r="AR122" s="362"/>
      <c r="AS122" s="362"/>
      <c r="AT122" s="362"/>
      <c r="AU122" s="362"/>
    </row>
    <row r="123" spans="1:47" x14ac:dyDescent="0.3">
      <c r="A123" s="362"/>
      <c r="B123" s="362"/>
      <c r="C123" s="374"/>
      <c r="D123" s="370"/>
      <c r="E123" s="374"/>
      <c r="F123" s="370"/>
      <c r="G123" s="370"/>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2"/>
      <c r="AF123" s="243"/>
      <c r="AG123" s="243"/>
      <c r="AH123" s="362"/>
      <c r="AI123" s="362"/>
      <c r="AJ123" s="362"/>
      <c r="AK123" s="362"/>
      <c r="AL123" s="362"/>
      <c r="AM123" s="362"/>
      <c r="AN123" s="362"/>
      <c r="AO123" s="362"/>
      <c r="AP123" s="362"/>
      <c r="AQ123" s="362"/>
      <c r="AR123" s="362"/>
      <c r="AS123" s="362"/>
      <c r="AT123" s="362"/>
      <c r="AU123" s="362"/>
    </row>
  </sheetData>
  <mergeCells count="42">
    <mergeCell ref="C84:E84"/>
    <mergeCell ref="AI92:AN92"/>
    <mergeCell ref="V93:W93"/>
    <mergeCell ref="AI93:AK93"/>
    <mergeCell ref="C101:E101"/>
    <mergeCell ref="C25:D25"/>
    <mergeCell ref="V25:W25"/>
    <mergeCell ref="AB25:AF25"/>
    <mergeCell ref="AI25:AK25"/>
    <mergeCell ref="M1:P1"/>
    <mergeCell ref="B2:C2"/>
    <mergeCell ref="B3:C3"/>
    <mergeCell ref="B4:C4"/>
    <mergeCell ref="N4:R4"/>
    <mergeCell ref="W4:AA4"/>
    <mergeCell ref="B5:C5"/>
    <mergeCell ref="B6:C6"/>
    <mergeCell ref="B7:C7"/>
    <mergeCell ref="B8:C8"/>
    <mergeCell ref="AI24:AN24"/>
    <mergeCell ref="AF4:AJ4"/>
    <mergeCell ref="C33:E33"/>
    <mergeCell ref="AI109:AN109"/>
    <mergeCell ref="C93:D93"/>
    <mergeCell ref="AB93:AF93"/>
    <mergeCell ref="AI58:AN58"/>
    <mergeCell ref="C59:D59"/>
    <mergeCell ref="V59:W59"/>
    <mergeCell ref="AB59:AF59"/>
    <mergeCell ref="AI59:AK59"/>
    <mergeCell ref="C67:E67"/>
    <mergeCell ref="AI75:AN75"/>
    <mergeCell ref="C76:D76"/>
    <mergeCell ref="V76:W76"/>
    <mergeCell ref="AB76:AF76"/>
    <mergeCell ref="AI76:AK76"/>
    <mergeCell ref="C50:E50"/>
    <mergeCell ref="AI41:AN41"/>
    <mergeCell ref="C42:D42"/>
    <mergeCell ref="V42:W42"/>
    <mergeCell ref="AB42:AF42"/>
    <mergeCell ref="AI42:AK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49FA-FFA0-4296-AF6B-0631B346495F}">
  <dimension ref="B1:V55"/>
  <sheetViews>
    <sheetView zoomScale="70" zoomScaleNormal="70" workbookViewId="0"/>
  </sheetViews>
  <sheetFormatPr defaultColWidth="11.44140625" defaultRowHeight="13.8" x14ac:dyDescent="0.3"/>
  <cols>
    <col min="1" max="1" width="16.5546875" style="43" customWidth="1"/>
    <col min="2" max="2" width="23.33203125" style="43" customWidth="1"/>
    <col min="3" max="3" width="37.33203125" style="43" bestFit="1" customWidth="1"/>
    <col min="4" max="4" width="31.5546875" style="43" customWidth="1"/>
    <col min="5" max="5" width="16.109375" style="43" customWidth="1"/>
    <col min="6" max="6" width="12.109375" style="43" customWidth="1"/>
    <col min="7" max="7" width="16.44140625" style="43" customWidth="1"/>
    <col min="8" max="8" width="13.109375" style="43" customWidth="1"/>
    <col min="9" max="9" width="13.44140625" style="43" customWidth="1"/>
    <col min="10" max="10" width="17.6640625" style="98" customWidth="1"/>
    <col min="11" max="11" width="13.6640625" style="98" customWidth="1"/>
    <col min="12" max="12" width="14" style="98" customWidth="1"/>
    <col min="13" max="15" width="11.44140625" style="43"/>
    <col min="16" max="16" width="38.33203125" style="43" bestFit="1" customWidth="1"/>
    <col min="17" max="16384" width="11.44140625" style="43"/>
  </cols>
  <sheetData>
    <row r="1" spans="2:22" ht="30" customHeight="1" x14ac:dyDescent="0.3"/>
    <row r="2" spans="2:22" ht="53.25" customHeight="1" x14ac:dyDescent="0.3">
      <c r="B2" s="245" t="s">
        <v>417</v>
      </c>
      <c r="C2" s="245" t="s">
        <v>418</v>
      </c>
      <c r="D2" s="245" t="s">
        <v>35</v>
      </c>
      <c r="E2" s="245" t="s">
        <v>419</v>
      </c>
      <c r="F2" s="245" t="s">
        <v>420</v>
      </c>
      <c r="G2" s="245" t="s">
        <v>421</v>
      </c>
      <c r="H2" s="245" t="s">
        <v>507</v>
      </c>
      <c r="I2" s="245" t="s">
        <v>508</v>
      </c>
      <c r="J2" s="245" t="s">
        <v>509</v>
      </c>
      <c r="K2" s="245" t="s">
        <v>510</v>
      </c>
      <c r="L2" s="245" t="s">
        <v>511</v>
      </c>
    </row>
    <row r="3" spans="2:22" ht="15" customHeight="1" x14ac:dyDescent="0.3">
      <c r="B3" s="575" t="s">
        <v>422</v>
      </c>
      <c r="C3" s="246" t="str">
        <f>$C$41</f>
        <v>Cap de projecte i Responsable del servei</v>
      </c>
      <c r="D3" s="247">
        <v>0.04</v>
      </c>
      <c r="E3" s="248">
        <f>E41</f>
        <v>106</v>
      </c>
      <c r="F3" s="248">
        <f t="shared" ref="F3:F33" si="0">+ROUND(E3/1.21,2)</f>
        <v>87.6</v>
      </c>
      <c r="G3" s="248">
        <f t="shared" ref="G3:G33" si="1">E3*D3</f>
        <v>4.24</v>
      </c>
      <c r="H3" s="352">
        <f>'Càlcul pressupost manteniment'!$F$17*'Perfils manteniment'!D3</f>
        <v>5.2961731343283578</v>
      </c>
      <c r="I3" s="446">
        <f>'Càlcul pressupost manteniment'!$G$17*'Perfils manteniment'!D3</f>
        <v>49.449600000000004</v>
      </c>
      <c r="J3" s="446">
        <f>'Càlcul pressupost manteniment'!$H$17*'Perfils manteniment'!D3</f>
        <v>52.08</v>
      </c>
      <c r="K3" s="446">
        <f>'Càlcul pressupost manteniment'!$I$17*'Perfils manteniment'!D3</f>
        <v>74.332794029850746</v>
      </c>
      <c r="L3" s="353">
        <f>'Càlcul pressupost manteniment'!$J$17*'Perfils manteniment'!D3</f>
        <v>36.860913432835822</v>
      </c>
      <c r="Q3" s="453"/>
      <c r="R3" s="454"/>
      <c r="S3" s="99"/>
      <c r="T3" s="99"/>
      <c r="U3" s="352"/>
      <c r="V3" s="352"/>
    </row>
    <row r="4" spans="2:22" x14ac:dyDescent="0.3">
      <c r="B4" s="576"/>
      <c r="C4" s="246" t="str">
        <f>$C$42</f>
        <v>Arquitecte/a Salesforce</v>
      </c>
      <c r="D4" s="247">
        <v>0.04</v>
      </c>
      <c r="E4" s="248">
        <f>E42</f>
        <v>110.27</v>
      </c>
      <c r="F4" s="248">
        <f t="shared" si="0"/>
        <v>91.13</v>
      </c>
      <c r="G4" s="248">
        <f t="shared" si="1"/>
        <v>4.4108000000000001</v>
      </c>
      <c r="H4" s="352">
        <f>'Càlcul pressupost manteniment'!$F$17*'Perfils manteniment'!D4</f>
        <v>5.2961731343283578</v>
      </c>
      <c r="I4" s="446">
        <f>'Càlcul pressupost manteniment'!$G$17*'Perfils manteniment'!D4</f>
        <v>49.449600000000004</v>
      </c>
      <c r="J4" s="446">
        <f>'Càlcul pressupost manteniment'!$H$17*'Perfils manteniment'!D4</f>
        <v>52.08</v>
      </c>
      <c r="K4" s="446">
        <f>'Càlcul pressupost manteniment'!$I$17*'Perfils manteniment'!D4</f>
        <v>74.332794029850746</v>
      </c>
      <c r="L4" s="353">
        <f>'Càlcul pressupost manteniment'!$J$17*'Perfils manteniment'!D4</f>
        <v>36.860913432835822</v>
      </c>
      <c r="Q4" s="453"/>
      <c r="R4" s="454"/>
      <c r="S4" s="99"/>
      <c r="T4" s="99"/>
      <c r="U4" s="352"/>
      <c r="V4" s="352"/>
    </row>
    <row r="5" spans="2:22" x14ac:dyDescent="0.3">
      <c r="B5" s="576"/>
      <c r="C5" s="246" t="str">
        <f>$C$43</f>
        <v>Consultor/a Salesforce</v>
      </c>
      <c r="D5" s="247">
        <v>0.25</v>
      </c>
      <c r="E5" s="248">
        <f t="shared" ref="E5:E9" si="2">E43</f>
        <v>54.01</v>
      </c>
      <c r="F5" s="248">
        <f t="shared" si="0"/>
        <v>44.64</v>
      </c>
      <c r="G5" s="248">
        <f t="shared" si="1"/>
        <v>13.5025</v>
      </c>
      <c r="H5" s="352">
        <f>'Càlcul pressupost manteniment'!$F$17*'Perfils manteniment'!D5</f>
        <v>33.101082089552236</v>
      </c>
      <c r="I5" s="446">
        <f>'Càlcul pressupost manteniment'!$G$17*'Perfils manteniment'!D5</f>
        <v>309.06</v>
      </c>
      <c r="J5" s="446">
        <f>'Càlcul pressupost manteniment'!$H$17*'Perfils manteniment'!D5</f>
        <v>325.5</v>
      </c>
      <c r="K5" s="446">
        <f>'Càlcul pressupost manteniment'!$I$17*'Perfils manteniment'!D5</f>
        <v>464.57996268656711</v>
      </c>
      <c r="L5" s="353">
        <f>'Càlcul pressupost manteniment'!$J$17*'Perfils manteniment'!D5</f>
        <v>230.38070895522387</v>
      </c>
      <c r="Q5" s="453"/>
      <c r="R5" s="454"/>
      <c r="S5" s="99"/>
      <c r="T5" s="99"/>
      <c r="U5" s="352"/>
      <c r="V5" s="352"/>
    </row>
    <row r="6" spans="2:22" x14ac:dyDescent="0.3">
      <c r="B6" s="576"/>
      <c r="C6" s="246" t="str">
        <f>$C$44</f>
        <v>Consultor/a BI</v>
      </c>
      <c r="D6" s="247">
        <v>0.06</v>
      </c>
      <c r="E6" s="248">
        <f t="shared" si="2"/>
        <v>70.459999999999994</v>
      </c>
      <c r="F6" s="248">
        <f t="shared" si="0"/>
        <v>58.23</v>
      </c>
      <c r="G6" s="248">
        <f t="shared" si="1"/>
        <v>4.2275999999999998</v>
      </c>
      <c r="H6" s="352">
        <f>'Càlcul pressupost manteniment'!$F$17*'Perfils manteniment'!D6</f>
        <v>7.9442597014925367</v>
      </c>
      <c r="I6" s="446">
        <f>'Càlcul pressupost manteniment'!$G$17*'Perfils manteniment'!D6</f>
        <v>74.174399999999991</v>
      </c>
      <c r="J6" s="446">
        <f>'Càlcul pressupost manteniment'!$H$17*'Perfils manteniment'!D6</f>
        <v>78.11999999999999</v>
      </c>
      <c r="K6" s="446">
        <f>'Càlcul pressupost manteniment'!$I$17*'Perfils manteniment'!D6</f>
        <v>111.4991910447761</v>
      </c>
      <c r="L6" s="353">
        <f>'Càlcul pressupost manteniment'!$J$17*'Perfils manteniment'!D6</f>
        <v>55.291370149253723</v>
      </c>
      <c r="Q6" s="453"/>
      <c r="R6" s="454"/>
      <c r="S6" s="99"/>
      <c r="T6" s="99"/>
      <c r="U6" s="352"/>
      <c r="V6" s="352"/>
    </row>
    <row r="7" spans="2:22" ht="15" customHeight="1" x14ac:dyDescent="0.3">
      <c r="B7" s="576"/>
      <c r="C7" s="246" t="str">
        <f>$C$45</f>
        <v>Analista programador sènior Salesforce</v>
      </c>
      <c r="D7" s="247">
        <v>0.32</v>
      </c>
      <c r="E7" s="248">
        <f t="shared" si="2"/>
        <v>71.77</v>
      </c>
      <c r="F7" s="248">
        <f t="shared" si="0"/>
        <v>59.31</v>
      </c>
      <c r="G7" s="248">
        <f t="shared" si="1"/>
        <v>22.9664</v>
      </c>
      <c r="H7" s="352">
        <f>'Càlcul pressupost manteniment'!$F$17*'Perfils manteniment'!D7</f>
        <v>42.369385074626862</v>
      </c>
      <c r="I7" s="446">
        <f>'Càlcul pressupost manteniment'!$G$17*'Perfils manteniment'!D7</f>
        <v>395.59680000000003</v>
      </c>
      <c r="J7" s="446">
        <f>'Càlcul pressupost manteniment'!$H$17*'Perfils manteniment'!D7</f>
        <v>416.64</v>
      </c>
      <c r="K7" s="446">
        <f>'Càlcul pressupost manteniment'!$I$17*'Perfils manteniment'!D7</f>
        <v>594.66235223880597</v>
      </c>
      <c r="L7" s="353">
        <f>'Càlcul pressupost manteniment'!$J$17*'Perfils manteniment'!D7</f>
        <v>294.88730746268658</v>
      </c>
      <c r="Q7" s="453"/>
      <c r="R7" s="454"/>
      <c r="S7" s="99"/>
      <c r="T7" s="99"/>
      <c r="U7" s="352"/>
      <c r="V7" s="352"/>
    </row>
    <row r="8" spans="2:22" ht="15" customHeight="1" x14ac:dyDescent="0.3">
      <c r="B8" s="576"/>
      <c r="C8" s="246" t="str">
        <f>$C$46</f>
        <v>Analista programador Salesforce</v>
      </c>
      <c r="D8" s="247">
        <v>0.17</v>
      </c>
      <c r="E8" s="248">
        <f t="shared" si="2"/>
        <v>53.2</v>
      </c>
      <c r="F8" s="248">
        <f t="shared" si="0"/>
        <v>43.97</v>
      </c>
      <c r="G8" s="248">
        <f t="shared" si="1"/>
        <v>9.0440000000000005</v>
      </c>
      <c r="H8" s="352">
        <f>'Càlcul pressupost manteniment'!$F$17*'Perfils manteniment'!D8</f>
        <v>22.50873582089552</v>
      </c>
      <c r="I8" s="446">
        <f>'Càlcul pressupost manteniment'!$G$17*'Perfils manteniment'!D8</f>
        <v>210.16080000000002</v>
      </c>
      <c r="J8" s="446">
        <f>'Càlcul pressupost manteniment'!$H$17*'Perfils manteniment'!D8</f>
        <v>221.34</v>
      </c>
      <c r="K8" s="446">
        <f>'Càlcul pressupost manteniment'!$I$17*'Perfils manteniment'!D8</f>
        <v>315.91437462686565</v>
      </c>
      <c r="L8" s="353">
        <f>'Càlcul pressupost manteniment'!$J$17*'Perfils manteniment'!D8</f>
        <v>156.65888208955224</v>
      </c>
      <c r="Q8" s="453"/>
      <c r="R8" s="454"/>
      <c r="S8" s="99"/>
      <c r="T8" s="99"/>
      <c r="U8" s="352"/>
      <c r="V8" s="352"/>
    </row>
    <row r="9" spans="2:22" x14ac:dyDescent="0.3">
      <c r="B9" s="576"/>
      <c r="C9" s="246" t="str">
        <f>$C$47</f>
        <v>Analista programador sènior integracions</v>
      </c>
      <c r="D9" s="247">
        <v>0.12</v>
      </c>
      <c r="E9" s="248">
        <f t="shared" si="2"/>
        <v>71.77</v>
      </c>
      <c r="F9" s="248">
        <f t="shared" si="0"/>
        <v>59.31</v>
      </c>
      <c r="G9" s="248">
        <f t="shared" si="1"/>
        <v>8.6123999999999992</v>
      </c>
      <c r="H9" s="352">
        <f>'Càlcul pressupost manteniment'!$F$17*'Perfils manteniment'!D9</f>
        <v>15.888519402985073</v>
      </c>
      <c r="I9" s="446">
        <f>'Càlcul pressupost manteniment'!$G$17*'Perfils manteniment'!D9</f>
        <v>148.34879999999998</v>
      </c>
      <c r="J9" s="446">
        <f>'Càlcul pressupost manteniment'!$H$17*'Perfils manteniment'!D9</f>
        <v>156.23999999999998</v>
      </c>
      <c r="K9" s="446">
        <f>'Càlcul pressupost manteniment'!$I$17*'Perfils manteniment'!D9</f>
        <v>222.99838208955219</v>
      </c>
      <c r="L9" s="353">
        <f>'Càlcul pressupost manteniment'!$J$17*'Perfils manteniment'!D9</f>
        <v>110.58274029850745</v>
      </c>
      <c r="R9" s="454"/>
      <c r="S9" s="99"/>
      <c r="T9" s="99"/>
      <c r="V9" s="352"/>
    </row>
    <row r="10" spans="2:22" ht="13.95" customHeight="1" x14ac:dyDescent="0.3">
      <c r="B10" s="576"/>
      <c r="C10" s="577" t="s">
        <v>423</v>
      </c>
      <c r="D10" s="578"/>
      <c r="E10" s="579"/>
      <c r="F10" s="249"/>
      <c r="G10" s="250">
        <f>ROUND(SUM(G3:G9),2)</f>
        <v>67</v>
      </c>
      <c r="H10" s="259">
        <f>SUM(H3:H9)</f>
        <v>132.40432835820894</v>
      </c>
      <c r="I10" s="259">
        <f>SUM(I3:I9)</f>
        <v>1236.24</v>
      </c>
      <c r="J10" s="259">
        <f>SUM(J3:J9)</f>
        <v>1302</v>
      </c>
      <c r="K10" s="259">
        <f>SUM(K3:K9)</f>
        <v>1858.3198507462685</v>
      </c>
      <c r="L10" s="259">
        <f>SUM(L3:L9)</f>
        <v>921.52283582089547</v>
      </c>
      <c r="M10" s="259"/>
      <c r="Q10" s="453"/>
      <c r="R10" s="454"/>
      <c r="S10" s="99"/>
      <c r="T10" s="99"/>
      <c r="V10" s="50"/>
    </row>
    <row r="11" spans="2:22" x14ac:dyDescent="0.3">
      <c r="B11" s="575" t="s">
        <v>313</v>
      </c>
      <c r="C11" s="246" t="str">
        <f t="shared" ref="C11:C17" si="3">C3</f>
        <v>Cap de projecte i Responsable del servei</v>
      </c>
      <c r="D11" s="247">
        <v>0.04</v>
      </c>
      <c r="E11" s="248">
        <f>E41</f>
        <v>106</v>
      </c>
      <c r="F11" s="248">
        <f t="shared" si="0"/>
        <v>87.6</v>
      </c>
      <c r="G11" s="248">
        <f t="shared" si="1"/>
        <v>4.24</v>
      </c>
      <c r="H11" s="352">
        <f>('Càlcul pressupost manteniment'!$F$18-'Càlcul pressupost manteniment'!$X$38)*'Perfils manteniment'!D11</f>
        <v>6.6202149253731388</v>
      </c>
      <c r="I11" s="446">
        <f>'Càlcul pressupost manteniment'!$G$18*'Perfils manteniment'!D11</f>
        <v>61.812005970149251</v>
      </c>
      <c r="J11" s="446">
        <f>'Càlcul pressupost manteniment'!$H$18*'Perfils manteniment'!D11</f>
        <v>65.100005970149255</v>
      </c>
      <c r="K11" s="446">
        <f>'Càlcul pressupost manteniment'!$I$18*'Perfils manteniment'!D11</f>
        <v>92.916000000000011</v>
      </c>
      <c r="L11" s="353">
        <f>'Càlcul pressupost manteniment'!$J$18*'Perfils manteniment'!D11</f>
        <v>46.076149253731337</v>
      </c>
      <c r="Q11" s="453"/>
      <c r="R11" s="454"/>
      <c r="S11" s="99"/>
      <c r="T11" s="99"/>
    </row>
    <row r="12" spans="2:22" x14ac:dyDescent="0.3">
      <c r="B12" s="576"/>
      <c r="C12" s="246" t="str">
        <f t="shared" si="3"/>
        <v>Arquitecte/a Salesforce</v>
      </c>
      <c r="D12" s="247">
        <v>0.04</v>
      </c>
      <c r="E12" s="248">
        <f>E42</f>
        <v>110.27</v>
      </c>
      <c r="F12" s="248">
        <f t="shared" si="0"/>
        <v>91.13</v>
      </c>
      <c r="G12" s="248">
        <f t="shared" si="1"/>
        <v>4.4108000000000001</v>
      </c>
      <c r="H12" s="352">
        <f>('Càlcul pressupost manteniment'!$F$18-'Càlcul pressupost manteniment'!$X$38)*'Perfils manteniment'!D12</f>
        <v>6.6202149253731388</v>
      </c>
      <c r="I12" s="446">
        <f>'Càlcul pressupost manteniment'!$G$18*'Perfils manteniment'!D12</f>
        <v>61.812005970149251</v>
      </c>
      <c r="J12" s="446">
        <f>'Càlcul pressupost manteniment'!$H$18*'Perfils manteniment'!D12</f>
        <v>65.100005970149255</v>
      </c>
      <c r="K12" s="446">
        <f>'Càlcul pressupost manteniment'!$I$18*'Perfils manteniment'!D12</f>
        <v>92.916000000000011</v>
      </c>
      <c r="L12" s="353">
        <f>'Càlcul pressupost manteniment'!$J$18*'Perfils manteniment'!D12</f>
        <v>46.076149253731337</v>
      </c>
      <c r="Q12" s="453"/>
      <c r="R12" s="454"/>
      <c r="S12" s="99"/>
      <c r="T12" s="99"/>
    </row>
    <row r="13" spans="2:22" x14ac:dyDescent="0.3">
      <c r="B13" s="576"/>
      <c r="C13" s="246" t="str">
        <f t="shared" si="3"/>
        <v>Consultor/a Salesforce</v>
      </c>
      <c r="D13" s="247">
        <v>0.25</v>
      </c>
      <c r="E13" s="248">
        <f t="shared" ref="E13:E17" si="4">E43</f>
        <v>54.01</v>
      </c>
      <c r="F13" s="248">
        <f t="shared" si="0"/>
        <v>44.64</v>
      </c>
      <c r="G13" s="248">
        <f t="shared" si="1"/>
        <v>13.5025</v>
      </c>
      <c r="H13" s="352">
        <f>('Càlcul pressupost manteniment'!$F$18-'Càlcul pressupost manteniment'!$X$38)*'Perfils manteniment'!D13</f>
        <v>41.376343283582116</v>
      </c>
      <c r="I13" s="446">
        <f>'Càlcul pressupost manteniment'!$G$18*'Perfils manteniment'!D13</f>
        <v>386.3250373134328</v>
      </c>
      <c r="J13" s="446">
        <f>'Càlcul pressupost manteniment'!$H$18*'Perfils manteniment'!D13</f>
        <v>406.87503731343281</v>
      </c>
      <c r="K13" s="446">
        <f>'Càlcul pressupost manteniment'!$I$18*'Perfils manteniment'!D13</f>
        <v>580.72500000000002</v>
      </c>
      <c r="L13" s="353">
        <f>'Càlcul pressupost manteniment'!$J$18*'Perfils manteniment'!D13</f>
        <v>287.97593283582086</v>
      </c>
      <c r="Q13" s="453"/>
      <c r="R13" s="454"/>
      <c r="S13" s="99"/>
      <c r="T13" s="99"/>
    </row>
    <row r="14" spans="2:22" x14ac:dyDescent="0.3">
      <c r="B14" s="576"/>
      <c r="C14" s="246" t="str">
        <f t="shared" si="3"/>
        <v>Consultor/a BI</v>
      </c>
      <c r="D14" s="247">
        <v>0.06</v>
      </c>
      <c r="E14" s="248">
        <f t="shared" si="4"/>
        <v>70.459999999999994</v>
      </c>
      <c r="F14" s="248">
        <f t="shared" si="0"/>
        <v>58.23</v>
      </c>
      <c r="G14" s="248">
        <f t="shared" si="1"/>
        <v>4.2275999999999998</v>
      </c>
      <c r="H14" s="352">
        <f>('Càlcul pressupost manteniment'!$F$18-'Càlcul pressupost manteniment'!$X$38)*'Perfils manteniment'!D14</f>
        <v>9.9303223880597074</v>
      </c>
      <c r="I14" s="446">
        <f>'Càlcul pressupost manteniment'!$G$18*'Perfils manteniment'!D14</f>
        <v>92.718008955223866</v>
      </c>
      <c r="J14" s="446">
        <f>'Càlcul pressupost manteniment'!$H$18*'Perfils manteniment'!D14</f>
        <v>97.650008955223868</v>
      </c>
      <c r="K14" s="446">
        <f>'Càlcul pressupost manteniment'!$I$18*'Perfils manteniment'!D14</f>
        <v>139.374</v>
      </c>
      <c r="L14" s="353">
        <f>'Càlcul pressupost manteniment'!$J$18*'Perfils manteniment'!D14</f>
        <v>69.114223880597009</v>
      </c>
      <c r="Q14" s="453"/>
      <c r="R14" s="454"/>
      <c r="S14" s="99"/>
      <c r="T14" s="99"/>
    </row>
    <row r="15" spans="2:22" x14ac:dyDescent="0.3">
      <c r="B15" s="576"/>
      <c r="C15" s="246" t="str">
        <f t="shared" si="3"/>
        <v>Analista programador sènior Salesforce</v>
      </c>
      <c r="D15" s="247">
        <v>0.32</v>
      </c>
      <c r="E15" s="248">
        <f t="shared" si="4"/>
        <v>71.77</v>
      </c>
      <c r="F15" s="248">
        <f t="shared" si="0"/>
        <v>59.31</v>
      </c>
      <c r="G15" s="248">
        <f t="shared" si="1"/>
        <v>22.9664</v>
      </c>
      <c r="H15" s="352">
        <f>('Càlcul pressupost manteniment'!$F$18-'Càlcul pressupost manteniment'!$X$38)*'Perfils manteniment'!D15</f>
        <v>52.961719402985111</v>
      </c>
      <c r="I15" s="446">
        <f>'Càlcul pressupost manteniment'!$G$18*'Perfils manteniment'!D15</f>
        <v>494.49604776119401</v>
      </c>
      <c r="J15" s="446">
        <f>'Càlcul pressupost manteniment'!$H$18*'Perfils manteniment'!D15</f>
        <v>520.80004776119404</v>
      </c>
      <c r="K15" s="446">
        <f>'Càlcul pressupost manteniment'!$I$18*'Perfils manteniment'!D15</f>
        <v>743.32800000000009</v>
      </c>
      <c r="L15" s="353">
        <f>'Càlcul pressupost manteniment'!$J$18*'Perfils manteniment'!D15</f>
        <v>368.6091940298507</v>
      </c>
      <c r="Q15" s="453"/>
      <c r="R15" s="454"/>
      <c r="S15" s="99"/>
      <c r="T15" s="99"/>
    </row>
    <row r="16" spans="2:22" x14ac:dyDescent="0.3">
      <c r="B16" s="576"/>
      <c r="C16" s="246" t="str">
        <f t="shared" si="3"/>
        <v>Analista programador Salesforce</v>
      </c>
      <c r="D16" s="247">
        <v>0.17</v>
      </c>
      <c r="E16" s="248">
        <f t="shared" si="4"/>
        <v>53.2</v>
      </c>
      <c r="F16" s="248">
        <f t="shared" si="0"/>
        <v>43.97</v>
      </c>
      <c r="G16" s="248">
        <f t="shared" si="1"/>
        <v>9.0440000000000005</v>
      </c>
      <c r="H16" s="352">
        <f>('Càlcul pressupost manteniment'!$F$18-'Càlcul pressupost manteniment'!$X$38)*'Perfils manteniment'!D16</f>
        <v>28.135913432835842</v>
      </c>
      <c r="I16" s="446">
        <f>'Càlcul pressupost manteniment'!$G$18*'Perfils manteniment'!D16</f>
        <v>262.70102537313431</v>
      </c>
      <c r="J16" s="446">
        <f>'Càlcul pressupost manteniment'!$H$18*'Perfils manteniment'!D16</f>
        <v>276.67502537313436</v>
      </c>
      <c r="K16" s="446">
        <f>'Càlcul pressupost manteniment'!$I$18*'Perfils manteniment'!D16</f>
        <v>394.89300000000003</v>
      </c>
      <c r="L16" s="353">
        <f>'Càlcul pressupost manteniment'!$J$18*'Perfils manteniment'!D16</f>
        <v>195.8236343283582</v>
      </c>
      <c r="R16" s="454"/>
      <c r="S16" s="99"/>
      <c r="T16" s="99"/>
    </row>
    <row r="17" spans="2:12" x14ac:dyDescent="0.3">
      <c r="B17" s="576"/>
      <c r="C17" s="246" t="str">
        <f t="shared" si="3"/>
        <v>Analista programador sènior integracions</v>
      </c>
      <c r="D17" s="247">
        <v>0.12</v>
      </c>
      <c r="E17" s="248">
        <f t="shared" si="4"/>
        <v>71.77</v>
      </c>
      <c r="F17" s="248">
        <f t="shared" si="0"/>
        <v>59.31</v>
      </c>
      <c r="G17" s="248">
        <f t="shared" si="1"/>
        <v>8.6123999999999992</v>
      </c>
      <c r="H17" s="352">
        <f>('Càlcul pressupost manteniment'!$F$18-'Càlcul pressupost manteniment'!$X$38)*'Perfils manteniment'!D17</f>
        <v>19.860644776119415</v>
      </c>
      <c r="I17" s="446">
        <f>'Càlcul pressupost manteniment'!$G$18*'Perfils manteniment'!D17</f>
        <v>185.43601791044773</v>
      </c>
      <c r="J17" s="446">
        <f>'Càlcul pressupost manteniment'!$H$18*'Perfils manteniment'!D17</f>
        <v>195.30001791044774</v>
      </c>
      <c r="K17" s="446">
        <f>'Càlcul pressupost manteniment'!$I$18*'Perfils manteniment'!D17</f>
        <v>278.74799999999999</v>
      </c>
      <c r="L17" s="353">
        <f>'Càlcul pressupost manteniment'!$J$18*'Perfils manteniment'!D17</f>
        <v>138.22844776119402</v>
      </c>
    </row>
    <row r="18" spans="2:12" x14ac:dyDescent="0.3">
      <c r="B18" s="576"/>
      <c r="C18" s="577" t="s">
        <v>423</v>
      </c>
      <c r="D18" s="578"/>
      <c r="E18" s="579"/>
      <c r="F18" s="249"/>
      <c r="G18" s="250">
        <f>ROUND(SUM(G11:G17),2)</f>
        <v>67</v>
      </c>
      <c r="H18" s="259">
        <f>SUM(H11:H17)</f>
        <v>165.50537313432847</v>
      </c>
      <c r="I18" s="259">
        <f>SUM(I11:I17)</f>
        <v>1545.3001492537314</v>
      </c>
      <c r="J18" s="259">
        <f>SUM(J11:J17)</f>
        <v>1627.500149253731</v>
      </c>
      <c r="K18" s="259">
        <f>SUM(K11:K17)</f>
        <v>2322.9</v>
      </c>
      <c r="L18" s="259">
        <f>SUM(L11:L17)</f>
        <v>1151.9037313432834</v>
      </c>
    </row>
    <row r="19" spans="2:12" x14ac:dyDescent="0.3">
      <c r="B19" s="575" t="s">
        <v>317</v>
      </c>
      <c r="C19" s="246" t="str">
        <f t="shared" ref="C19:C25" si="5">C3</f>
        <v>Cap de projecte i Responsable del servei</v>
      </c>
      <c r="D19" s="247">
        <v>0.04</v>
      </c>
      <c r="E19" s="248">
        <f>E41</f>
        <v>106</v>
      </c>
      <c r="F19" s="248">
        <f t="shared" si="0"/>
        <v>87.6</v>
      </c>
      <c r="G19" s="248">
        <f t="shared" si="1"/>
        <v>4.24</v>
      </c>
      <c r="H19" s="352">
        <f>'Càlcul pressupost manteniment'!$F$19*'Perfils manteniment'!D19</f>
        <v>5.7375223880597011</v>
      </c>
      <c r="I19" s="446">
        <f>'Càlcul pressupost manteniment'!$G$19*'Perfils manteniment'!D19</f>
        <v>53.570399999999999</v>
      </c>
      <c r="J19" s="446">
        <f>'Càlcul pressupost manteniment'!$H$19*'Perfils manteniment'!D19</f>
        <v>56.420005970149248</v>
      </c>
      <c r="K19" s="446">
        <f>'Càlcul pressupost manteniment'!$I$19*'Perfils manteniment'!D19</f>
        <v>80.527205970149254</v>
      </c>
      <c r="L19" s="353">
        <f>'Càlcul pressupost manteniment'!$J$19*'Perfils manteniment'!D19</f>
        <v>39.93266268656717</v>
      </c>
    </row>
    <row r="20" spans="2:12" x14ac:dyDescent="0.3">
      <c r="B20" s="575"/>
      <c r="C20" s="246" t="str">
        <f t="shared" si="5"/>
        <v>Arquitecte/a Salesforce</v>
      </c>
      <c r="D20" s="247">
        <v>0.04</v>
      </c>
      <c r="E20" s="248">
        <f>E42</f>
        <v>110.27</v>
      </c>
      <c r="F20" s="248">
        <f t="shared" si="0"/>
        <v>91.13</v>
      </c>
      <c r="G20" s="248">
        <f t="shared" si="1"/>
        <v>4.4108000000000001</v>
      </c>
      <c r="H20" s="352">
        <f>'Càlcul pressupost manteniment'!$F$19*'Perfils manteniment'!D20</f>
        <v>5.7375223880597011</v>
      </c>
      <c r="I20" s="446">
        <f>'Càlcul pressupost manteniment'!$G$19*'Perfils manteniment'!D20</f>
        <v>53.570399999999999</v>
      </c>
      <c r="J20" s="446">
        <f>'Càlcul pressupost manteniment'!$H$19*'Perfils manteniment'!D20</f>
        <v>56.420005970149248</v>
      </c>
      <c r="K20" s="446">
        <f>'Càlcul pressupost manteniment'!$I$19*'Perfils manteniment'!D20</f>
        <v>80.527205970149254</v>
      </c>
      <c r="L20" s="353">
        <f>'Càlcul pressupost manteniment'!$J$19*'Perfils manteniment'!D20</f>
        <v>39.93266268656717</v>
      </c>
    </row>
    <row r="21" spans="2:12" x14ac:dyDescent="0.3">
      <c r="B21" s="575"/>
      <c r="C21" s="246" t="str">
        <f t="shared" si="5"/>
        <v>Consultor/a Salesforce</v>
      </c>
      <c r="D21" s="247">
        <v>0.25</v>
      </c>
      <c r="E21" s="248">
        <f t="shared" ref="E21:E25" si="6">E43</f>
        <v>54.01</v>
      </c>
      <c r="F21" s="248">
        <f t="shared" si="0"/>
        <v>44.64</v>
      </c>
      <c r="G21" s="248">
        <f t="shared" si="1"/>
        <v>13.5025</v>
      </c>
      <c r="H21" s="352">
        <f>'Càlcul pressupost manteniment'!$F$19*'Perfils manteniment'!D21</f>
        <v>35.859514925373134</v>
      </c>
      <c r="I21" s="446">
        <f>'Càlcul pressupost manteniment'!$G$19*'Perfils manteniment'!D21</f>
        <v>334.815</v>
      </c>
      <c r="J21" s="446">
        <f>'Càlcul pressupost manteniment'!$H$19*'Perfils manteniment'!D21</f>
        <v>352.62503731343281</v>
      </c>
      <c r="K21" s="446">
        <f>'Càlcul pressupost manteniment'!$I$19*'Perfils manteniment'!D21</f>
        <v>503.29503731343283</v>
      </c>
      <c r="L21" s="353">
        <f>'Càlcul pressupost manteniment'!$J$19*'Perfils manteniment'!D21</f>
        <v>249.5791417910448</v>
      </c>
    </row>
    <row r="22" spans="2:12" x14ac:dyDescent="0.3">
      <c r="B22" s="575"/>
      <c r="C22" s="246" t="str">
        <f t="shared" si="5"/>
        <v>Consultor/a BI</v>
      </c>
      <c r="D22" s="247">
        <v>0.06</v>
      </c>
      <c r="E22" s="248">
        <f t="shared" si="6"/>
        <v>70.459999999999994</v>
      </c>
      <c r="F22" s="248">
        <f t="shared" si="0"/>
        <v>58.23</v>
      </c>
      <c r="G22" s="248">
        <f t="shared" si="1"/>
        <v>4.2275999999999998</v>
      </c>
      <c r="H22" s="352">
        <f>'Càlcul pressupost manteniment'!$F$19*'Perfils manteniment'!D22</f>
        <v>8.6062835820895511</v>
      </c>
      <c r="I22" s="446">
        <f>'Càlcul pressupost manteniment'!$G$19*'Perfils manteniment'!D22</f>
        <v>80.355599999999995</v>
      </c>
      <c r="J22" s="446">
        <f>'Càlcul pressupost manteniment'!$H$19*'Perfils manteniment'!D22</f>
        <v>84.630008955223872</v>
      </c>
      <c r="K22" s="446">
        <f>'Càlcul pressupost manteniment'!$I$19*'Perfils manteniment'!D22</f>
        <v>120.79080895522388</v>
      </c>
      <c r="L22" s="353">
        <f>'Càlcul pressupost manteniment'!$J$19*'Perfils manteniment'!D22</f>
        <v>59.898994029850748</v>
      </c>
    </row>
    <row r="23" spans="2:12" x14ac:dyDescent="0.3">
      <c r="B23" s="575"/>
      <c r="C23" s="246" t="str">
        <f t="shared" si="5"/>
        <v>Analista programador sènior Salesforce</v>
      </c>
      <c r="D23" s="247">
        <v>0.32</v>
      </c>
      <c r="E23" s="248">
        <f t="shared" si="6"/>
        <v>71.77</v>
      </c>
      <c r="F23" s="248">
        <f t="shared" si="0"/>
        <v>59.31</v>
      </c>
      <c r="G23" s="248">
        <f t="shared" si="1"/>
        <v>22.9664</v>
      </c>
      <c r="H23" s="352">
        <f>'Càlcul pressupost manteniment'!$F$19*'Perfils manteniment'!D23</f>
        <v>45.900179104477608</v>
      </c>
      <c r="I23" s="446">
        <f>'Càlcul pressupost manteniment'!$G$19*'Perfils manteniment'!D23</f>
        <v>428.56319999999999</v>
      </c>
      <c r="J23" s="446">
        <f>'Càlcul pressupost manteniment'!$H$19*'Perfils manteniment'!D23</f>
        <v>451.36004776119398</v>
      </c>
      <c r="K23" s="446">
        <f>'Càlcul pressupost manteniment'!$I$19*'Perfils manteniment'!D23</f>
        <v>644.21764776119403</v>
      </c>
      <c r="L23" s="353">
        <f>'Càlcul pressupost manteniment'!$J$19*'Perfils manteniment'!D23</f>
        <v>319.46130149253736</v>
      </c>
    </row>
    <row r="24" spans="2:12" x14ac:dyDescent="0.3">
      <c r="B24" s="575"/>
      <c r="C24" s="246" t="str">
        <f t="shared" si="5"/>
        <v>Analista programador Salesforce</v>
      </c>
      <c r="D24" s="247">
        <v>0.17</v>
      </c>
      <c r="E24" s="248">
        <f t="shared" si="6"/>
        <v>53.2</v>
      </c>
      <c r="F24" s="248">
        <f t="shared" si="0"/>
        <v>43.97</v>
      </c>
      <c r="G24" s="248">
        <f t="shared" si="1"/>
        <v>9.0440000000000005</v>
      </c>
      <c r="H24" s="352">
        <f>'Càlcul pressupost manteniment'!$F$19*'Perfils manteniment'!D24</f>
        <v>24.384470149253733</v>
      </c>
      <c r="I24" s="446">
        <f>'Càlcul pressupost manteniment'!$G$19*'Perfils manteniment'!D24</f>
        <v>227.67420000000001</v>
      </c>
      <c r="J24" s="446">
        <f>'Càlcul pressupost manteniment'!$H$19*'Perfils manteniment'!D24</f>
        <v>239.78502537313432</v>
      </c>
      <c r="K24" s="446">
        <f>'Càlcul pressupost manteniment'!$I$19*'Perfils manteniment'!D24</f>
        <v>342.24062537313432</v>
      </c>
      <c r="L24" s="353">
        <f>'Càlcul pressupost manteniment'!$J$19*'Perfils manteniment'!D24</f>
        <v>169.71381641791049</v>
      </c>
    </row>
    <row r="25" spans="2:12" x14ac:dyDescent="0.3">
      <c r="B25" s="575"/>
      <c r="C25" s="246" t="str">
        <f t="shared" si="5"/>
        <v>Analista programador sènior integracions</v>
      </c>
      <c r="D25" s="247">
        <v>0.12</v>
      </c>
      <c r="E25" s="248">
        <f t="shared" si="6"/>
        <v>71.77</v>
      </c>
      <c r="F25" s="248">
        <f t="shared" si="0"/>
        <v>59.31</v>
      </c>
      <c r="G25" s="248">
        <f t="shared" si="1"/>
        <v>8.6123999999999992</v>
      </c>
      <c r="H25" s="352">
        <f>'Càlcul pressupost manteniment'!$F$19*'Perfils manteniment'!D25</f>
        <v>17.212567164179102</v>
      </c>
      <c r="I25" s="446">
        <f>'Càlcul pressupost manteniment'!$G$19*'Perfils manteniment'!D25</f>
        <v>160.71119999999999</v>
      </c>
      <c r="J25" s="446">
        <f>'Càlcul pressupost manteniment'!$H$19*'Perfils manteniment'!D25</f>
        <v>169.26001791044774</v>
      </c>
      <c r="K25" s="446">
        <f>'Càlcul pressupost manteniment'!$I$19*'Perfils manteniment'!D25</f>
        <v>241.58161791044776</v>
      </c>
      <c r="L25" s="353">
        <f>'Càlcul pressupost manteniment'!$J$19*'Perfils manteniment'!D25</f>
        <v>119.7979880597015</v>
      </c>
    </row>
    <row r="26" spans="2:12" x14ac:dyDescent="0.3">
      <c r="B26" s="575"/>
      <c r="C26" s="577" t="s">
        <v>423</v>
      </c>
      <c r="D26" s="578"/>
      <c r="E26" s="579"/>
      <c r="F26" s="249"/>
      <c r="G26" s="250">
        <f>ROUND(SUM(G19:G25),2)</f>
        <v>67</v>
      </c>
      <c r="H26" s="259">
        <f>SUM(H19:H25)</f>
        <v>143.43805970149253</v>
      </c>
      <c r="I26" s="259">
        <f>SUM(I19:I25)</f>
        <v>1339.26</v>
      </c>
      <c r="J26" s="259">
        <f>SUM(J19:J25)</f>
        <v>1410.500149253731</v>
      </c>
      <c r="K26" s="259">
        <f>SUM(K19:K25)</f>
        <v>2013.1801492537311</v>
      </c>
      <c r="L26" s="259">
        <f>SUM(L19:L25)</f>
        <v>998.31656716417933</v>
      </c>
    </row>
    <row r="27" spans="2:12" x14ac:dyDescent="0.3">
      <c r="B27" s="575" t="s">
        <v>424</v>
      </c>
      <c r="C27" s="246" t="str">
        <f t="shared" ref="C27:C33" si="7">C11</f>
        <v>Cap de projecte i Responsable del servei</v>
      </c>
      <c r="D27" s="247">
        <v>0.04</v>
      </c>
      <c r="E27" s="248">
        <f>E41</f>
        <v>106</v>
      </c>
      <c r="F27" s="248">
        <f t="shared" si="0"/>
        <v>87.6</v>
      </c>
      <c r="G27" s="248">
        <f t="shared" si="1"/>
        <v>4.24</v>
      </c>
      <c r="H27" s="352">
        <f>'Càlcul pressupost manteniment'!$F$21*'Perfils manteniment'!D27</f>
        <v>26.480859701492538</v>
      </c>
      <c r="I27" s="446">
        <f>'Càlcul pressupost manteniment'!$G$21*'Perfils manteniment'!D27</f>
        <v>247.24800597014925</v>
      </c>
      <c r="J27" s="446">
        <f>'Càlcul pressupost manteniment'!$H$21*'Perfils manteniment'!D27</f>
        <v>260.39999999999998</v>
      </c>
      <c r="K27" s="446">
        <f>'Càlcul pressupost manteniment'!$I$21*'Perfils manteniment'!D27</f>
        <v>371.66400000000004</v>
      </c>
      <c r="L27" s="353">
        <f>'Càlcul pressupost manteniment'!$J$21*'Perfils manteniment'!D27</f>
        <v>184.30459701492538</v>
      </c>
    </row>
    <row r="28" spans="2:12" x14ac:dyDescent="0.3">
      <c r="B28" s="575"/>
      <c r="C28" s="246" t="str">
        <f t="shared" si="7"/>
        <v>Arquitecte/a Salesforce</v>
      </c>
      <c r="D28" s="247">
        <v>0.04</v>
      </c>
      <c r="E28" s="248">
        <f>E42</f>
        <v>110.27</v>
      </c>
      <c r="F28" s="248">
        <f t="shared" si="0"/>
        <v>91.13</v>
      </c>
      <c r="G28" s="248">
        <f t="shared" si="1"/>
        <v>4.4108000000000001</v>
      </c>
      <c r="H28" s="352">
        <f>'Càlcul pressupost manteniment'!$F$21*'Perfils manteniment'!D28</f>
        <v>26.480859701492538</v>
      </c>
      <c r="I28" s="446">
        <f>'Càlcul pressupost manteniment'!$G$21*'Perfils manteniment'!D28</f>
        <v>247.24800597014925</v>
      </c>
      <c r="J28" s="446">
        <f>'Càlcul pressupost manteniment'!$H$21*'Perfils manteniment'!D28</f>
        <v>260.39999999999998</v>
      </c>
      <c r="K28" s="446">
        <f>'Càlcul pressupost manteniment'!$I$21*'Perfils manteniment'!D28</f>
        <v>371.66400000000004</v>
      </c>
      <c r="L28" s="353">
        <f>'Càlcul pressupost manteniment'!$J$21*'Perfils manteniment'!D28</f>
        <v>184.30459701492538</v>
      </c>
    </row>
    <row r="29" spans="2:12" x14ac:dyDescent="0.3">
      <c r="B29" s="575"/>
      <c r="C29" s="246" t="str">
        <f t="shared" si="7"/>
        <v>Consultor/a Salesforce</v>
      </c>
      <c r="D29" s="247">
        <v>0.25</v>
      </c>
      <c r="E29" s="248">
        <f t="shared" ref="E29:E33" si="8">E43</f>
        <v>54.01</v>
      </c>
      <c r="F29" s="248">
        <f t="shared" si="0"/>
        <v>44.64</v>
      </c>
      <c r="G29" s="248">
        <f t="shared" si="1"/>
        <v>13.5025</v>
      </c>
      <c r="H29" s="352">
        <f>'Càlcul pressupost manteniment'!$F$21*'Perfils manteniment'!D29</f>
        <v>165.50537313432835</v>
      </c>
      <c r="I29" s="446">
        <f>'Càlcul pressupost manteniment'!$G$21*'Perfils manteniment'!D29</f>
        <v>1545.3000373134328</v>
      </c>
      <c r="J29" s="446">
        <f>'Càlcul pressupost manteniment'!$H$21*'Perfils manteniment'!D29</f>
        <v>1627.5</v>
      </c>
      <c r="K29" s="446">
        <f>'Càlcul pressupost manteniment'!$I$21*'Perfils manteniment'!D29</f>
        <v>2322.9</v>
      </c>
      <c r="L29" s="353">
        <f>'Càlcul pressupost manteniment'!$J$21*'Perfils manteniment'!D29</f>
        <v>1151.9037313432837</v>
      </c>
    </row>
    <row r="30" spans="2:12" x14ac:dyDescent="0.3">
      <c r="B30" s="575"/>
      <c r="C30" s="246" t="str">
        <f t="shared" si="7"/>
        <v>Consultor/a BI</v>
      </c>
      <c r="D30" s="247">
        <v>0.06</v>
      </c>
      <c r="E30" s="248">
        <f t="shared" si="8"/>
        <v>70.459999999999994</v>
      </c>
      <c r="F30" s="248">
        <f t="shared" si="0"/>
        <v>58.23</v>
      </c>
      <c r="G30" s="248">
        <f t="shared" si="1"/>
        <v>4.2275999999999998</v>
      </c>
      <c r="H30" s="352">
        <f>'Càlcul pressupost manteniment'!$F$21*'Perfils manteniment'!D30</f>
        <v>39.721289552238801</v>
      </c>
      <c r="I30" s="446">
        <f>'Càlcul pressupost manteniment'!$G$21*'Perfils manteniment'!D30</f>
        <v>370.87200895522386</v>
      </c>
      <c r="J30" s="446">
        <f>'Càlcul pressupost manteniment'!$H$21*'Perfils manteniment'!D30</f>
        <v>390.59999999999997</v>
      </c>
      <c r="K30" s="446">
        <f>'Càlcul pressupost manteniment'!$I$21*'Perfils manteniment'!D30</f>
        <v>557.49599999999998</v>
      </c>
      <c r="L30" s="353">
        <f>'Càlcul pressupost manteniment'!$J$21*'Perfils manteniment'!D30</f>
        <v>276.45689552238809</v>
      </c>
    </row>
    <row r="31" spans="2:12" x14ac:dyDescent="0.3">
      <c r="B31" s="575"/>
      <c r="C31" s="246" t="str">
        <f t="shared" si="7"/>
        <v>Analista programador sènior Salesforce</v>
      </c>
      <c r="D31" s="247">
        <v>0.32</v>
      </c>
      <c r="E31" s="248">
        <f t="shared" si="8"/>
        <v>71.77</v>
      </c>
      <c r="F31" s="248">
        <f t="shared" si="0"/>
        <v>59.31</v>
      </c>
      <c r="G31" s="248">
        <f t="shared" si="1"/>
        <v>22.9664</v>
      </c>
      <c r="H31" s="352">
        <f>'Càlcul pressupost manteniment'!$F$21*'Perfils manteniment'!D31</f>
        <v>211.8468776119403</v>
      </c>
      <c r="I31" s="446">
        <f>'Càlcul pressupost manteniment'!$G$21*'Perfils manteniment'!D31</f>
        <v>1977.984047761194</v>
      </c>
      <c r="J31" s="446">
        <f>'Càlcul pressupost manteniment'!$H$21*'Perfils manteniment'!D31</f>
        <v>2083.1999999999998</v>
      </c>
      <c r="K31" s="446">
        <f>'Càlcul pressupost manteniment'!$I$21*'Perfils manteniment'!D31</f>
        <v>2973.3120000000004</v>
      </c>
      <c r="L31" s="353">
        <f>'Càlcul pressupost manteniment'!$J$21*'Perfils manteniment'!D31</f>
        <v>1474.436776119403</v>
      </c>
    </row>
    <row r="32" spans="2:12" x14ac:dyDescent="0.3">
      <c r="B32" s="575"/>
      <c r="C32" s="246" t="str">
        <f t="shared" si="7"/>
        <v>Analista programador Salesforce</v>
      </c>
      <c r="D32" s="247">
        <v>0.17</v>
      </c>
      <c r="E32" s="248">
        <f t="shared" si="8"/>
        <v>53.2</v>
      </c>
      <c r="F32" s="248">
        <f t="shared" si="0"/>
        <v>43.97</v>
      </c>
      <c r="G32" s="248">
        <f t="shared" si="1"/>
        <v>9.0440000000000005</v>
      </c>
      <c r="H32" s="352">
        <f>'Càlcul pressupost manteniment'!$F$21*'Perfils manteniment'!D32</f>
        <v>112.54365373134328</v>
      </c>
      <c r="I32" s="446">
        <f>'Càlcul pressupost manteniment'!$G$21*'Perfils manteniment'!D32</f>
        <v>1050.8040253731344</v>
      </c>
      <c r="J32" s="446">
        <f>'Càlcul pressupost manteniment'!$H$21*'Perfils manteniment'!D32</f>
        <v>1106.7</v>
      </c>
      <c r="K32" s="446">
        <f>'Càlcul pressupost manteniment'!$I$21*'Perfils manteniment'!D32</f>
        <v>1579.5720000000001</v>
      </c>
      <c r="L32" s="353">
        <f>'Càlcul pressupost manteniment'!$J$21*'Perfils manteniment'!D32</f>
        <v>783.2945373134329</v>
      </c>
    </row>
    <row r="33" spans="2:15" x14ac:dyDescent="0.3">
      <c r="B33" s="575"/>
      <c r="C33" s="246" t="str">
        <f t="shared" si="7"/>
        <v>Analista programador sènior integracions</v>
      </c>
      <c r="D33" s="247">
        <v>0.12</v>
      </c>
      <c r="E33" s="248">
        <f t="shared" si="8"/>
        <v>71.77</v>
      </c>
      <c r="F33" s="248">
        <f t="shared" si="0"/>
        <v>59.31</v>
      </c>
      <c r="G33" s="248">
        <f t="shared" si="1"/>
        <v>8.6123999999999992</v>
      </c>
      <c r="H33" s="352">
        <f>'Càlcul pressupost manteniment'!$F$21*'Perfils manteniment'!D33</f>
        <v>79.442579104477602</v>
      </c>
      <c r="I33" s="446">
        <f>'Càlcul pressupost manteniment'!$G$21*'Perfils manteniment'!D33</f>
        <v>741.74401791044772</v>
      </c>
      <c r="J33" s="446">
        <f>'Càlcul pressupost manteniment'!$H$21*'Perfils manteniment'!D33</f>
        <v>781.19999999999993</v>
      </c>
      <c r="K33" s="446">
        <f>'Càlcul pressupost manteniment'!$I$21*'Perfils manteniment'!D33</f>
        <v>1114.992</v>
      </c>
      <c r="L33" s="353">
        <f>'Càlcul pressupost manteniment'!$J$21*'Perfils manteniment'!D33</f>
        <v>552.91379104477619</v>
      </c>
    </row>
    <row r="34" spans="2:15" x14ac:dyDescent="0.3">
      <c r="B34" s="575"/>
      <c r="C34" s="577" t="s">
        <v>423</v>
      </c>
      <c r="D34" s="578"/>
      <c r="E34" s="579"/>
      <c r="F34" s="249"/>
      <c r="G34" s="250">
        <f>ROUND(SUM(G27:G33),2)</f>
        <v>67</v>
      </c>
      <c r="H34" s="259">
        <f>SUM(H27:H33)</f>
        <v>662.02149253731341</v>
      </c>
      <c r="I34" s="259">
        <f>SUM(I27:I33)</f>
        <v>6181.2001492537311</v>
      </c>
      <c r="J34" s="259">
        <f>SUM(J27:J33)</f>
        <v>6510</v>
      </c>
      <c r="K34" s="259">
        <f>SUM(K27:K33)</f>
        <v>9291.6</v>
      </c>
      <c r="L34" s="259">
        <f>SUM(L27:L33)</f>
        <v>4607.6149253731346</v>
      </c>
    </row>
    <row r="37" spans="2:15" ht="12.6" customHeight="1" x14ac:dyDescent="0.3">
      <c r="O37"/>
    </row>
    <row r="38" spans="2:15" ht="12.75" customHeight="1" x14ac:dyDescent="0.3">
      <c r="O38"/>
    </row>
    <row r="39" spans="2:15" ht="14.4" hidden="1" x14ac:dyDescent="0.3">
      <c r="G39" s="447"/>
      <c r="H39" s="447">
        <v>2026</v>
      </c>
      <c r="I39" s="447">
        <v>2027</v>
      </c>
      <c r="J39" s="447">
        <v>2028</v>
      </c>
      <c r="K39" s="447">
        <v>2029</v>
      </c>
      <c r="L39" s="447">
        <v>2030</v>
      </c>
      <c r="O39"/>
    </row>
    <row r="40" spans="2:15" ht="63.75" customHeight="1" thickBot="1" x14ac:dyDescent="0.35">
      <c r="E40" s="245" t="s">
        <v>425</v>
      </c>
      <c r="F40" s="245" t="s">
        <v>426</v>
      </c>
      <c r="G40" s="251"/>
      <c r="H40" s="251" t="s">
        <v>427</v>
      </c>
      <c r="I40" s="251" t="s">
        <v>427</v>
      </c>
      <c r="J40" s="251" t="s">
        <v>427</v>
      </c>
      <c r="K40" s="251" t="s">
        <v>427</v>
      </c>
      <c r="L40" s="449" t="s">
        <v>427</v>
      </c>
      <c r="M40" s="450"/>
      <c r="N40" s="450"/>
      <c r="O40"/>
    </row>
    <row r="41" spans="2:15" ht="14.4" x14ac:dyDescent="0.3">
      <c r="B41" s="580" t="s">
        <v>428</v>
      </c>
      <c r="C41" s="573" t="str">
        <f>'Dimensionament contracte'!O3</f>
        <v>Cap de projecte i Responsable del servei</v>
      </c>
      <c r="D41" s="574"/>
      <c r="E41" s="252">
        <f t="shared" ref="E41:E47" si="9">+ROUND(F41*1.21,2)</f>
        <v>106</v>
      </c>
      <c r="F41" s="253">
        <f>'Dimensionament contracte'!P3</f>
        <v>87.6</v>
      </c>
      <c r="G41" s="254"/>
      <c r="H41" s="448">
        <f t="shared" ref="H41:H47" si="10">((H3+H11+H19+H27)/160)/1.5</f>
        <v>0.18389487562189058</v>
      </c>
      <c r="I41" s="452">
        <f t="shared" ref="I41:K47" si="11">((I3+I11+I19+I27)/160)/12</f>
        <v>0.21462500621890546</v>
      </c>
      <c r="J41" s="452">
        <f t="shared" si="11"/>
        <v>0.22604167288557211</v>
      </c>
      <c r="K41" s="452">
        <f t="shared" si="11"/>
        <v>0.322625</v>
      </c>
      <c r="L41" s="452">
        <f t="shared" ref="L41:L47" si="12">((L3+L11+L19+L27)/160)/6</f>
        <v>0.3199732524875622</v>
      </c>
      <c r="O41"/>
    </row>
    <row r="42" spans="2:15" x14ac:dyDescent="0.3">
      <c r="B42" s="581"/>
      <c r="C42" s="573" t="str">
        <f>'Dimensionament contracte'!O6</f>
        <v>Arquitecte/a Salesforce</v>
      </c>
      <c r="D42" s="574"/>
      <c r="E42" s="252">
        <f t="shared" si="9"/>
        <v>110.27</v>
      </c>
      <c r="F42" s="253">
        <f>'Dimensionament contracte'!P6</f>
        <v>91.128839062500006</v>
      </c>
      <c r="G42" s="254"/>
      <c r="H42" s="448">
        <f t="shared" si="10"/>
        <v>0.18389487562189058</v>
      </c>
      <c r="I42" s="452">
        <f t="shared" si="11"/>
        <v>0.21462500621890546</v>
      </c>
      <c r="J42" s="452">
        <f t="shared" si="11"/>
        <v>0.22604167288557211</v>
      </c>
      <c r="K42" s="452">
        <f t="shared" si="11"/>
        <v>0.322625</v>
      </c>
      <c r="L42" s="452">
        <f t="shared" si="12"/>
        <v>0.3199732524875622</v>
      </c>
    </row>
    <row r="43" spans="2:15" x14ac:dyDescent="0.3">
      <c r="B43" s="581"/>
      <c r="C43" s="573" t="str">
        <f>'Dimensionament contracte'!O12</f>
        <v>Consultor/a Salesforce</v>
      </c>
      <c r="D43" s="574"/>
      <c r="E43" s="252">
        <f t="shared" si="9"/>
        <v>54.01</v>
      </c>
      <c r="F43" s="253">
        <f>'Dimensionament contracte'!P12</f>
        <v>44.634374999999991</v>
      </c>
      <c r="G43" s="254"/>
      <c r="H43" s="448">
        <f t="shared" si="10"/>
        <v>1.1493429726368161</v>
      </c>
      <c r="I43" s="452">
        <f t="shared" si="11"/>
        <v>1.341406288868159</v>
      </c>
      <c r="J43" s="452">
        <f t="shared" si="11"/>
        <v>1.4127604555348257</v>
      </c>
      <c r="K43" s="452">
        <f t="shared" si="11"/>
        <v>2.0164062499999997</v>
      </c>
      <c r="L43" s="452">
        <f t="shared" si="12"/>
        <v>1.9998328280472635</v>
      </c>
    </row>
    <row r="44" spans="2:15" x14ac:dyDescent="0.3">
      <c r="B44" s="581"/>
      <c r="C44" s="573" t="str">
        <f>'Dimensionament contracte'!O5</f>
        <v>Consultor/a BI</v>
      </c>
      <c r="D44" s="574"/>
      <c r="E44" s="252">
        <f t="shared" si="9"/>
        <v>70.459999999999994</v>
      </c>
      <c r="F44" s="253">
        <f>'Dimensionament contracte'!P5</f>
        <v>58.23</v>
      </c>
      <c r="G44" s="254"/>
      <c r="H44" s="448">
        <f t="shared" si="10"/>
        <v>0.27584231343283583</v>
      </c>
      <c r="I44" s="452">
        <f t="shared" si="11"/>
        <v>0.32193750932835818</v>
      </c>
      <c r="J44" s="452">
        <f t="shared" si="11"/>
        <v>0.33906250932835819</v>
      </c>
      <c r="K44" s="452">
        <f t="shared" si="11"/>
        <v>0.48393749999999996</v>
      </c>
      <c r="L44" s="452">
        <f t="shared" si="12"/>
        <v>0.47995987873134327</v>
      </c>
    </row>
    <row r="45" spans="2:15" x14ac:dyDescent="0.3">
      <c r="B45" s="581"/>
      <c r="C45" s="573" t="str">
        <f>'Dimensionament contracte'!O8</f>
        <v>Analista programador sènior Salesforce</v>
      </c>
      <c r="D45" s="574"/>
      <c r="E45" s="252">
        <f t="shared" si="9"/>
        <v>71.77</v>
      </c>
      <c r="F45" s="253">
        <f>'Dimensionament contracte'!P8</f>
        <v>59.310351562499989</v>
      </c>
      <c r="G45" s="254"/>
      <c r="H45" s="448">
        <f t="shared" si="10"/>
        <v>1.4711590049751246</v>
      </c>
      <c r="I45" s="452">
        <f t="shared" si="11"/>
        <v>1.7170000497512437</v>
      </c>
      <c r="J45" s="452">
        <f t="shared" si="11"/>
        <v>1.8083333830845769</v>
      </c>
      <c r="K45" s="452">
        <f t="shared" si="11"/>
        <v>2.581</v>
      </c>
      <c r="L45" s="452">
        <f t="shared" si="12"/>
        <v>2.5597860199004976</v>
      </c>
    </row>
    <row r="46" spans="2:15" x14ac:dyDescent="0.3">
      <c r="B46" s="581"/>
      <c r="C46" s="573" t="str">
        <f>'Dimensionament contracte'!O11</f>
        <v>Analista programador Salesforce</v>
      </c>
      <c r="D46" s="574"/>
      <c r="E46" s="252">
        <f t="shared" si="9"/>
        <v>53.2</v>
      </c>
      <c r="F46" s="253">
        <f>'Dimensionament contracte'!P11</f>
        <v>43.967770312500001</v>
      </c>
      <c r="G46" s="254"/>
      <c r="H46" s="448">
        <f t="shared" si="10"/>
        <v>0.78155322139303485</v>
      </c>
      <c r="I46" s="452">
        <f t="shared" si="11"/>
        <v>0.91215627643034836</v>
      </c>
      <c r="J46" s="452">
        <f t="shared" si="11"/>
        <v>0.96067710976368159</v>
      </c>
      <c r="K46" s="452">
        <f t="shared" si="11"/>
        <v>1.3711562500000001</v>
      </c>
      <c r="L46" s="452">
        <f t="shared" si="12"/>
        <v>1.3598863230721394</v>
      </c>
    </row>
    <row r="47" spans="2:15" ht="14.85" customHeight="1" thickBot="1" x14ac:dyDescent="0.35">
      <c r="B47" s="582"/>
      <c r="C47" s="573" t="str">
        <f>'Dimensionament contracte'!O9</f>
        <v>Analista programador sènior integracions</v>
      </c>
      <c r="D47" s="574"/>
      <c r="E47" s="252">
        <f t="shared" si="9"/>
        <v>71.77</v>
      </c>
      <c r="F47" s="253">
        <f>'Dimensionament contracte'!P9</f>
        <v>59.310351562499989</v>
      </c>
      <c r="G47" s="254"/>
      <c r="H47" s="448">
        <f t="shared" si="10"/>
        <v>0.55168462686567166</v>
      </c>
      <c r="I47" s="452">
        <f t="shared" si="11"/>
        <v>0.64387501865671637</v>
      </c>
      <c r="J47" s="452">
        <f t="shared" si="11"/>
        <v>0.67812501865671637</v>
      </c>
      <c r="K47" s="452">
        <f t="shared" si="11"/>
        <v>0.96787499999999993</v>
      </c>
      <c r="L47" s="452">
        <f t="shared" si="12"/>
        <v>0.95991975746268654</v>
      </c>
    </row>
    <row r="48" spans="2:15" s="255" customFormat="1" ht="14.85" customHeight="1" x14ac:dyDescent="0.3">
      <c r="C48" s="256"/>
      <c r="D48" s="256"/>
      <c r="E48" s="257"/>
      <c r="G48" s="451" t="s">
        <v>512</v>
      </c>
      <c r="H48" s="257">
        <f t="shared" ref="H48:L48" si="13">SUM(H41:H47)</f>
        <v>4.5973718905472651</v>
      </c>
      <c r="I48" s="257">
        <f t="shared" si="13"/>
        <v>5.3656251554726371</v>
      </c>
      <c r="J48" s="257">
        <f t="shared" si="13"/>
        <v>5.6510418221393026</v>
      </c>
      <c r="K48" s="257">
        <f t="shared" si="13"/>
        <v>8.0656249999999989</v>
      </c>
      <c r="L48" s="257">
        <f t="shared" si="13"/>
        <v>7.9993313121890539</v>
      </c>
    </row>
    <row r="49" spans="2:12" s="255" customFormat="1" ht="14.85" customHeight="1" x14ac:dyDescent="0.3">
      <c r="C49" s="256"/>
      <c r="D49" s="256"/>
      <c r="E49" s="257"/>
      <c r="G49" s="259"/>
      <c r="H49" s="260"/>
      <c r="J49" s="258"/>
      <c r="K49" s="98"/>
      <c r="L49" s="98"/>
    </row>
    <row r="50" spans="2:12" s="255" customFormat="1" ht="14.85" customHeight="1" x14ac:dyDescent="0.3">
      <c r="C50" s="256"/>
      <c r="D50" s="256"/>
      <c r="E50" s="257"/>
      <c r="G50" s="259"/>
      <c r="H50" s="260"/>
      <c r="J50" s="258"/>
      <c r="K50" s="98"/>
      <c r="L50" s="98"/>
    </row>
    <row r="54" spans="2:12" x14ac:dyDescent="0.3">
      <c r="B54" s="261"/>
      <c r="C54" s="262"/>
    </row>
    <row r="55" spans="2:12" x14ac:dyDescent="0.3">
      <c r="B55" s="261"/>
      <c r="C55" s="262"/>
    </row>
  </sheetData>
  <mergeCells count="16">
    <mergeCell ref="C47:D47"/>
    <mergeCell ref="C42:D42"/>
    <mergeCell ref="C43:D43"/>
    <mergeCell ref="C44:D44"/>
    <mergeCell ref="B3:B10"/>
    <mergeCell ref="C10:E10"/>
    <mergeCell ref="B11:B18"/>
    <mergeCell ref="C18:E18"/>
    <mergeCell ref="B41:B47"/>
    <mergeCell ref="C41:D41"/>
    <mergeCell ref="C45:D45"/>
    <mergeCell ref="C46:D46"/>
    <mergeCell ref="B19:B26"/>
    <mergeCell ref="C26:E26"/>
    <mergeCell ref="B27:B34"/>
    <mergeCell ref="C34:E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7E8E-56B9-4A09-B5EB-C6B3EF547095}">
  <dimension ref="A1:R60"/>
  <sheetViews>
    <sheetView workbookViewId="0"/>
  </sheetViews>
  <sheetFormatPr defaultColWidth="9.109375" defaultRowHeight="15" customHeight="1" x14ac:dyDescent="0.3"/>
  <cols>
    <col min="1" max="1" width="90.6640625" customWidth="1"/>
    <col min="2" max="2" width="8.6640625" customWidth="1"/>
    <col min="3" max="3" width="12.33203125" bestFit="1" customWidth="1"/>
    <col min="4" max="4" width="13.33203125" customWidth="1"/>
    <col min="5" max="5" width="12.6640625" customWidth="1"/>
    <col min="6" max="6" width="12.44140625" customWidth="1"/>
    <col min="7" max="7" width="12.5546875" bestFit="1" customWidth="1"/>
    <col min="8" max="9" width="16.44140625" bestFit="1" customWidth="1"/>
    <col min="10" max="10" width="12.6640625" hidden="1" customWidth="1"/>
    <col min="11" max="14" width="0" hidden="1" customWidth="1"/>
  </cols>
  <sheetData>
    <row r="1" spans="1:18" ht="15" customHeight="1" x14ac:dyDescent="0.3">
      <c r="A1" s="33"/>
      <c r="B1" s="583" t="s">
        <v>106</v>
      </c>
      <c r="C1" s="583"/>
      <c r="D1" s="583"/>
      <c r="E1" s="583"/>
      <c r="F1" s="583"/>
      <c r="G1" s="583"/>
    </row>
    <row r="2" spans="1:18" ht="14.4" x14ac:dyDescent="0.3">
      <c r="A2" s="34" t="s">
        <v>107</v>
      </c>
      <c r="B2" s="34">
        <v>0</v>
      </c>
      <c r="C2" s="34">
        <v>1</v>
      </c>
      <c r="D2" s="34">
        <v>2</v>
      </c>
      <c r="E2" s="34">
        <v>3</v>
      </c>
      <c r="F2" s="34">
        <v>4</v>
      </c>
      <c r="G2" s="34">
        <v>5</v>
      </c>
      <c r="O2" s="40"/>
      <c r="P2" s="40"/>
      <c r="Q2" s="40"/>
      <c r="R2" s="40"/>
    </row>
    <row r="3" spans="1:18" ht="14.4" x14ac:dyDescent="0.3">
      <c r="A3" s="36" t="s">
        <v>108</v>
      </c>
      <c r="B3" s="154"/>
      <c r="C3" s="37"/>
      <c r="D3" s="37"/>
      <c r="E3" s="37"/>
      <c r="F3" s="37"/>
      <c r="G3" s="37"/>
      <c r="O3" s="362"/>
      <c r="P3" s="362"/>
    </row>
    <row r="4" spans="1:18" ht="14.4" x14ac:dyDescent="0.3">
      <c r="A4" s="38" t="s">
        <v>110</v>
      </c>
      <c r="B4" s="39">
        <v>0</v>
      </c>
      <c r="C4" s="39">
        <v>1</v>
      </c>
      <c r="D4" s="39" t="s">
        <v>111</v>
      </c>
      <c r="E4" s="39" t="s">
        <v>112</v>
      </c>
      <c r="F4" s="39" t="s">
        <v>113</v>
      </c>
      <c r="G4" s="39" t="s">
        <v>113</v>
      </c>
      <c r="I4">
        <f>SUM(IF(I7&gt;=4,$G$2,IF(I7&gt;=2,$F$2,IF(I7=$D$4,$D$2,0))))</f>
        <v>0</v>
      </c>
      <c r="O4" s="362"/>
      <c r="P4" s="362"/>
    </row>
    <row r="5" spans="1:18" ht="14.4" x14ac:dyDescent="0.3">
      <c r="A5" s="38" t="s">
        <v>115</v>
      </c>
      <c r="B5" s="39" t="s">
        <v>116</v>
      </c>
      <c r="C5" s="39" t="s">
        <v>117</v>
      </c>
      <c r="D5" s="39" t="s">
        <v>113</v>
      </c>
      <c r="E5" s="39" t="s">
        <v>113</v>
      </c>
      <c r="F5" s="39" t="s">
        <v>113</v>
      </c>
      <c r="G5" s="39" t="s">
        <v>113</v>
      </c>
      <c r="O5" s="362"/>
    </row>
    <row r="6" spans="1:18" ht="14.4" x14ac:dyDescent="0.3">
      <c r="A6" s="38" t="s">
        <v>119</v>
      </c>
      <c r="B6" s="39" t="s">
        <v>120</v>
      </c>
      <c r="C6" s="39" t="s">
        <v>121</v>
      </c>
      <c r="D6" s="39" t="s">
        <v>122</v>
      </c>
      <c r="E6" s="39" t="s">
        <v>113</v>
      </c>
      <c r="F6" s="39" t="s">
        <v>113</v>
      </c>
      <c r="G6" s="39" t="s">
        <v>113</v>
      </c>
      <c r="O6" s="362"/>
    </row>
    <row r="7" spans="1:18" ht="14.4" x14ac:dyDescent="0.3">
      <c r="A7" s="36" t="s">
        <v>124</v>
      </c>
      <c r="B7" s="154"/>
      <c r="C7" s="37"/>
      <c r="D7" s="37"/>
      <c r="E7" s="37"/>
      <c r="F7" s="37"/>
      <c r="G7" s="37"/>
      <c r="O7" s="362"/>
    </row>
    <row r="8" spans="1:18" ht="14.4" x14ac:dyDescent="0.3">
      <c r="A8" s="38" t="s">
        <v>126</v>
      </c>
      <c r="B8" s="39">
        <v>0</v>
      </c>
      <c r="C8" s="39" t="s">
        <v>113</v>
      </c>
      <c r="D8" s="39">
        <v>1</v>
      </c>
      <c r="E8" s="39" t="s">
        <v>127</v>
      </c>
      <c r="F8" s="39" t="s">
        <v>128</v>
      </c>
      <c r="G8" s="39" t="s">
        <v>129</v>
      </c>
      <c r="O8" s="362"/>
    </row>
    <row r="9" spans="1:18" ht="14.4" x14ac:dyDescent="0.3">
      <c r="A9" s="38" t="s">
        <v>130</v>
      </c>
      <c r="B9" s="39">
        <v>0</v>
      </c>
      <c r="C9" s="39" t="s">
        <v>113</v>
      </c>
      <c r="D9" s="39">
        <v>1</v>
      </c>
      <c r="E9" s="39" t="s">
        <v>127</v>
      </c>
      <c r="F9" s="39" t="s">
        <v>128</v>
      </c>
      <c r="G9" s="39" t="s">
        <v>129</v>
      </c>
    </row>
    <row r="10" spans="1:18" ht="18" customHeight="1" x14ac:dyDescent="0.3">
      <c r="A10" s="38" t="s">
        <v>131</v>
      </c>
      <c r="B10" s="39">
        <v>0</v>
      </c>
      <c r="C10" s="39">
        <v>1</v>
      </c>
      <c r="D10" s="39">
        <v>2</v>
      </c>
      <c r="E10" s="39" t="s">
        <v>132</v>
      </c>
      <c r="F10" s="39" t="s">
        <v>112</v>
      </c>
      <c r="G10" s="39" t="s">
        <v>113</v>
      </c>
    </row>
    <row r="11" spans="1:18" ht="18" customHeight="1" x14ac:dyDescent="0.3">
      <c r="A11" s="38" t="s">
        <v>133</v>
      </c>
      <c r="B11" s="39">
        <v>0</v>
      </c>
      <c r="C11" s="39">
        <v>1</v>
      </c>
      <c r="D11" s="39">
        <v>2</v>
      </c>
      <c r="E11" s="39" t="s">
        <v>132</v>
      </c>
      <c r="F11" s="39" t="s">
        <v>112</v>
      </c>
      <c r="G11" s="39" t="s">
        <v>113</v>
      </c>
    </row>
    <row r="12" spans="1:18" ht="14.4" x14ac:dyDescent="0.3">
      <c r="A12" s="38" t="s">
        <v>134</v>
      </c>
      <c r="B12" s="39">
        <v>0</v>
      </c>
      <c r="C12" s="39">
        <v>1</v>
      </c>
      <c r="D12" s="39">
        <v>2</v>
      </c>
      <c r="E12" s="39">
        <v>3</v>
      </c>
      <c r="F12" s="39">
        <v>4</v>
      </c>
      <c r="G12" s="39" t="s">
        <v>112</v>
      </c>
    </row>
    <row r="13" spans="1:18" ht="14.4" x14ac:dyDescent="0.3">
      <c r="A13" s="38" t="s">
        <v>135</v>
      </c>
      <c r="B13" s="39">
        <v>0</v>
      </c>
      <c r="C13" s="39">
        <v>1</v>
      </c>
      <c r="D13" s="39" t="s">
        <v>127</v>
      </c>
      <c r="E13" s="39" t="s">
        <v>128</v>
      </c>
      <c r="F13" s="39" t="s">
        <v>129</v>
      </c>
      <c r="G13" s="39" t="s">
        <v>113</v>
      </c>
    </row>
    <row r="14" spans="1:18" ht="14.4" x14ac:dyDescent="0.3">
      <c r="A14" s="38" t="s">
        <v>136</v>
      </c>
      <c r="B14" s="39" t="s">
        <v>137</v>
      </c>
      <c r="C14" s="39" t="s">
        <v>138</v>
      </c>
      <c r="D14" s="39" t="s">
        <v>113</v>
      </c>
      <c r="E14" s="39" t="s">
        <v>139</v>
      </c>
      <c r="F14" s="39" t="s">
        <v>113</v>
      </c>
      <c r="G14" s="39" t="s">
        <v>140</v>
      </c>
    </row>
    <row r="15" spans="1:18" ht="14.4" x14ac:dyDescent="0.3">
      <c r="A15" s="38"/>
      <c r="B15" s="155"/>
      <c r="C15" s="39"/>
      <c r="D15" s="39"/>
      <c r="E15" s="39"/>
      <c r="F15" s="39"/>
      <c r="G15" s="39"/>
    </row>
    <row r="16" spans="1:18" ht="14.4" x14ac:dyDescent="0.3">
      <c r="A16" s="36" t="s">
        <v>141</v>
      </c>
      <c r="B16" s="154"/>
      <c r="C16" s="37"/>
      <c r="D16" s="37"/>
      <c r="E16" s="37"/>
      <c r="F16" s="37"/>
      <c r="G16" s="37"/>
    </row>
    <row r="17" spans="1:7" ht="14.4" x14ac:dyDescent="0.3">
      <c r="A17" s="38" t="s">
        <v>142</v>
      </c>
      <c r="B17" s="39">
        <v>0</v>
      </c>
      <c r="C17" s="39">
        <v>1</v>
      </c>
      <c r="D17" s="39" t="s">
        <v>127</v>
      </c>
      <c r="E17" s="39" t="s">
        <v>143</v>
      </c>
      <c r="F17" s="39" t="s">
        <v>144</v>
      </c>
      <c r="G17" s="39" t="s">
        <v>145</v>
      </c>
    </row>
    <row r="18" spans="1:7" ht="14.4" x14ac:dyDescent="0.3">
      <c r="A18" s="38" t="s">
        <v>146</v>
      </c>
      <c r="B18" s="39">
        <v>0</v>
      </c>
      <c r="C18" s="39">
        <v>1</v>
      </c>
      <c r="D18" s="39">
        <v>2</v>
      </c>
      <c r="E18" s="39" t="s">
        <v>147</v>
      </c>
      <c r="F18" s="39" t="s">
        <v>148</v>
      </c>
      <c r="G18" s="39" t="s">
        <v>149</v>
      </c>
    </row>
    <row r="19" spans="1:7" ht="14.4" x14ac:dyDescent="0.3">
      <c r="A19" s="38" t="s">
        <v>150</v>
      </c>
      <c r="B19" s="39" t="s">
        <v>116</v>
      </c>
      <c r="C19" s="39" t="s">
        <v>151</v>
      </c>
      <c r="D19" s="39" t="s">
        <v>152</v>
      </c>
      <c r="E19" s="39" t="s">
        <v>151</v>
      </c>
      <c r="F19" s="39" t="s">
        <v>113</v>
      </c>
      <c r="G19" s="39" t="s">
        <v>113</v>
      </c>
    </row>
    <row r="20" spans="1:7" ht="14.4" x14ac:dyDescent="0.3">
      <c r="A20" s="38" t="s">
        <v>153</v>
      </c>
      <c r="B20" s="39" t="s">
        <v>116</v>
      </c>
      <c r="C20" s="39" t="s">
        <v>151</v>
      </c>
      <c r="D20" s="39" t="s">
        <v>152</v>
      </c>
      <c r="E20" s="39" t="s">
        <v>151</v>
      </c>
      <c r="F20" s="39" t="s">
        <v>113</v>
      </c>
      <c r="G20" s="39" t="s">
        <v>113</v>
      </c>
    </row>
    <row r="21" spans="1:7" thickBot="1" x14ac:dyDescent="0.35">
      <c r="A21" s="38" t="s">
        <v>154</v>
      </c>
      <c r="B21" s="39" t="s">
        <v>116</v>
      </c>
      <c r="C21" s="39" t="s">
        <v>151</v>
      </c>
      <c r="D21" s="39" t="s">
        <v>152</v>
      </c>
      <c r="E21" s="39" t="s">
        <v>151</v>
      </c>
      <c r="F21" s="39" t="s">
        <v>113</v>
      </c>
      <c r="G21" s="39" t="s">
        <v>113</v>
      </c>
    </row>
    <row r="22" spans="1:7" thickBot="1" x14ac:dyDescent="0.35">
      <c r="A22" s="38"/>
      <c r="B22" s="155"/>
      <c r="C22" s="39"/>
      <c r="D22" s="39"/>
      <c r="E22" s="39"/>
      <c r="F22" s="39"/>
      <c r="G22" s="39"/>
    </row>
    <row r="23" spans="1:7" thickBot="1" x14ac:dyDescent="0.35">
      <c r="A23" s="38"/>
      <c r="B23" s="155"/>
      <c r="C23" s="39"/>
      <c r="D23" s="39"/>
      <c r="E23" s="39"/>
      <c r="F23" s="39"/>
      <c r="G23" s="39"/>
    </row>
    <row r="24" spans="1:7" ht="14.4" x14ac:dyDescent="0.3">
      <c r="A24" s="36" t="s">
        <v>155</v>
      </c>
      <c r="B24" s="154"/>
      <c r="C24" s="37"/>
      <c r="D24" s="37"/>
      <c r="E24" s="37"/>
      <c r="F24" s="37"/>
      <c r="G24" s="37"/>
    </row>
    <row r="25" spans="1:7" ht="14.4" x14ac:dyDescent="0.3">
      <c r="A25" s="38" t="s">
        <v>156</v>
      </c>
      <c r="B25" s="39">
        <v>0</v>
      </c>
      <c r="C25" s="39">
        <v>1</v>
      </c>
      <c r="D25" s="39" t="s">
        <v>111</v>
      </c>
      <c r="E25" s="39" t="s">
        <v>112</v>
      </c>
      <c r="F25" s="39" t="s">
        <v>113</v>
      </c>
      <c r="G25" s="39" t="s">
        <v>113</v>
      </c>
    </row>
    <row r="26" spans="1:7" ht="14.4" x14ac:dyDescent="0.3">
      <c r="A26" s="38" t="s">
        <v>157</v>
      </c>
      <c r="B26" s="39" t="s">
        <v>113</v>
      </c>
      <c r="C26" s="39" t="s">
        <v>122</v>
      </c>
      <c r="D26" s="39" t="s">
        <v>121</v>
      </c>
      <c r="E26" s="39" t="s">
        <v>120</v>
      </c>
      <c r="F26" s="39" t="s">
        <v>113</v>
      </c>
      <c r="G26" s="39" t="s">
        <v>113</v>
      </c>
    </row>
    <row r="27" spans="1:7" ht="14.4" x14ac:dyDescent="0.3">
      <c r="A27" s="38" t="s">
        <v>158</v>
      </c>
      <c r="B27" s="39" t="s">
        <v>113</v>
      </c>
      <c r="C27" s="39" t="s">
        <v>122</v>
      </c>
      <c r="D27" s="39" t="s">
        <v>121</v>
      </c>
      <c r="E27" s="39" t="s">
        <v>120</v>
      </c>
      <c r="F27" s="39" t="s">
        <v>113</v>
      </c>
      <c r="G27" s="39" t="s">
        <v>113</v>
      </c>
    </row>
    <row r="28" spans="1:7" ht="14.4" x14ac:dyDescent="0.3">
      <c r="A28" s="38"/>
      <c r="B28" s="155"/>
      <c r="C28" s="39"/>
      <c r="D28" s="39"/>
      <c r="E28" s="39"/>
      <c r="F28" s="39"/>
      <c r="G28" s="39"/>
    </row>
    <row r="37" spans="1:15" ht="14.4" x14ac:dyDescent="0.3"/>
    <row r="38" spans="1:15" ht="51" customHeight="1" x14ac:dyDescent="0.3">
      <c r="A38" s="34" t="s">
        <v>159</v>
      </c>
      <c r="B38" s="35" t="s">
        <v>160</v>
      </c>
      <c r="C38" s="35" t="s">
        <v>161</v>
      </c>
      <c r="D38" s="35"/>
      <c r="E38" s="35" t="s">
        <v>162</v>
      </c>
      <c r="F38" s="35" t="s">
        <v>163</v>
      </c>
      <c r="G38" s="35" t="s">
        <v>164</v>
      </c>
      <c r="H38" s="35" t="s">
        <v>165</v>
      </c>
      <c r="I38" s="34" t="s">
        <v>166</v>
      </c>
    </row>
    <row r="39" spans="1:15" ht="14.4" x14ac:dyDescent="0.3">
      <c r="A39" s="363" t="s">
        <v>109</v>
      </c>
      <c r="B39" s="364">
        <v>1</v>
      </c>
      <c r="C39">
        <v>6</v>
      </c>
      <c r="E39" s="362">
        <v>130</v>
      </c>
      <c r="F39">
        <v>550</v>
      </c>
      <c r="G39" s="157">
        <f>E39*('Dimensionament contracte'!$G$22/'Dimensionament contracte'!$D$22)</f>
        <v>12264.765841084591</v>
      </c>
      <c r="H39" s="157">
        <f>F39*('Dimensionament contracte'!$G$36/'Dimensionament contracte'!$D$36)</f>
        <v>36688.896804298631</v>
      </c>
      <c r="I39" s="101">
        <f t="shared" ref="I39:I44" si="0">SUM(G39:H39)</f>
        <v>48953.662645383221</v>
      </c>
      <c r="K39" s="322"/>
      <c r="L39" s="322"/>
      <c r="M39" s="322"/>
      <c r="N39" s="500">
        <f>E39/(E39+F39)</f>
        <v>0.19117647058823528</v>
      </c>
    </row>
    <row r="40" spans="1:15" ht="14.4" x14ac:dyDescent="0.3">
      <c r="A40" s="363" t="s">
        <v>114</v>
      </c>
      <c r="B40" s="364">
        <v>7</v>
      </c>
      <c r="C40">
        <v>10</v>
      </c>
      <c r="E40">
        <v>210</v>
      </c>
      <c r="F40">
        <v>920</v>
      </c>
      <c r="G40" s="157">
        <f>E40*('Dimensionament contracte'!$G$22/'Dimensionament contracte'!$D$22)</f>
        <v>19812.314050982801</v>
      </c>
      <c r="H40" s="157">
        <f>F40*('Dimensionament contracte'!$G$36/'Dimensionament contracte'!$D$36)</f>
        <v>61370.518290826803</v>
      </c>
      <c r="I40" s="101">
        <f t="shared" si="0"/>
        <v>81182.832341809612</v>
      </c>
      <c r="J40" s="322"/>
      <c r="K40" s="322">
        <f>(F40-F39)/F39</f>
        <v>0.67272727272727273</v>
      </c>
      <c r="L40" s="499">
        <f>(C40-C39)/C39</f>
        <v>0.66666666666666663</v>
      </c>
      <c r="M40" s="322">
        <f>(E40-E39)/E39</f>
        <v>0.61538461538461542</v>
      </c>
      <c r="N40" s="500">
        <f t="shared" ref="N40:N44" si="1">E40/(E40+F40)</f>
        <v>0.18584070796460178</v>
      </c>
    </row>
    <row r="41" spans="1:15" ht="14.4" x14ac:dyDescent="0.3">
      <c r="A41" s="363" t="s">
        <v>118</v>
      </c>
      <c r="B41" s="364">
        <v>11</v>
      </c>
      <c r="C41">
        <v>15</v>
      </c>
      <c r="E41">
        <v>320</v>
      </c>
      <c r="F41">
        <v>1350</v>
      </c>
      <c r="G41" s="157">
        <f>E41*('Dimensionament contracte'!$G$22/'Dimensionament contracte'!$D$22)</f>
        <v>30190.192839592837</v>
      </c>
      <c r="H41" s="157">
        <f>F41*('Dimensionament contracte'!$G$36/'Dimensionament contracte'!$D$36)</f>
        <v>90054.564883278465</v>
      </c>
      <c r="I41" s="101">
        <f t="shared" si="0"/>
        <v>120244.75772287131</v>
      </c>
      <c r="J41" s="322"/>
      <c r="K41" s="322">
        <f>(F41-F40)/F40</f>
        <v>0.46739130434782611</v>
      </c>
      <c r="L41" s="499">
        <f t="shared" ref="L41:L44" si="2">(C41-C40)/C40</f>
        <v>0.5</v>
      </c>
      <c r="M41" s="322">
        <f t="shared" ref="M41:M44" si="3">(E41-E40)/E40</f>
        <v>0.52380952380952384</v>
      </c>
      <c r="N41" s="500">
        <f t="shared" si="1"/>
        <v>0.19161676646706588</v>
      </c>
    </row>
    <row r="42" spans="1:15" ht="14.4" x14ac:dyDescent="0.3">
      <c r="A42" s="363" t="s">
        <v>123</v>
      </c>
      <c r="B42" s="364">
        <v>16</v>
      </c>
      <c r="C42">
        <v>20</v>
      </c>
      <c r="E42">
        <v>440</v>
      </c>
      <c r="F42">
        <v>1900</v>
      </c>
      <c r="G42" s="157">
        <f>E42*('Dimensionament contracte'!$G$22/'Dimensionament contracte'!$D$22)</f>
        <v>41511.515154440152</v>
      </c>
      <c r="H42" s="157">
        <f>F42*('Dimensionament contracte'!$G$36/'Dimensionament contracte'!$D$36)</f>
        <v>126743.4616875771</v>
      </c>
      <c r="I42" s="101">
        <f t="shared" si="0"/>
        <v>168254.97684201726</v>
      </c>
      <c r="J42" s="322"/>
      <c r="K42" s="322">
        <f>(F42-F41)/F41</f>
        <v>0.40740740740740738</v>
      </c>
      <c r="L42" s="499">
        <f t="shared" si="2"/>
        <v>0.33333333333333331</v>
      </c>
      <c r="M42" s="322">
        <f t="shared" si="3"/>
        <v>0.375</v>
      </c>
      <c r="N42" s="500">
        <f t="shared" si="1"/>
        <v>0.18803418803418803</v>
      </c>
    </row>
    <row r="43" spans="1:15" ht="14.4" x14ac:dyDescent="0.3">
      <c r="A43" s="363" t="s">
        <v>125</v>
      </c>
      <c r="B43" s="364">
        <v>21</v>
      </c>
      <c r="C43">
        <v>25</v>
      </c>
      <c r="E43">
        <v>562</v>
      </c>
      <c r="F43">
        <v>2400</v>
      </c>
      <c r="G43" s="157">
        <f>E43*('Dimensionament contracte'!$G$22/'Dimensionament contracte'!$D$22)</f>
        <v>53021.52617453492</v>
      </c>
      <c r="H43" s="157">
        <f>F43*('Dimensionament contracte'!$G$36/'Dimensionament contracte'!$D$36)</f>
        <v>160097.00423693951</v>
      </c>
      <c r="I43" s="101">
        <f t="shared" si="0"/>
        <v>213118.53041147444</v>
      </c>
      <c r="J43" s="322"/>
      <c r="K43" s="322">
        <f>(F43-F42)/F42</f>
        <v>0.26315789473684209</v>
      </c>
      <c r="L43" s="499">
        <f t="shared" si="2"/>
        <v>0.25</v>
      </c>
      <c r="M43" s="322">
        <f t="shared" si="3"/>
        <v>0.27727272727272728</v>
      </c>
      <c r="N43" s="500">
        <f t="shared" si="1"/>
        <v>0.18973666441593517</v>
      </c>
    </row>
    <row r="44" spans="1:15" ht="14.4" x14ac:dyDescent="0.3">
      <c r="A44" s="363" t="s">
        <v>167</v>
      </c>
      <c r="B44" s="364">
        <v>26</v>
      </c>
      <c r="E44">
        <v>690</v>
      </c>
      <c r="F44">
        <v>2826</v>
      </c>
      <c r="G44" s="157">
        <f>E44*('Dimensionament contracte'!$G$22/'Dimensionament contracte'!$D$22)</f>
        <v>65097.603310372055</v>
      </c>
      <c r="H44" s="157">
        <f>F44*('Dimensionament contracte'!$G$36/'Dimensionament contracte'!$D$36)</f>
        <v>188514.22248899625</v>
      </c>
      <c r="I44" s="101">
        <f t="shared" si="0"/>
        <v>253611.82579936832</v>
      </c>
      <c r="J44" s="322"/>
      <c r="K44" s="322">
        <f>(F44-F43)/F43</f>
        <v>0.17749999999999999</v>
      </c>
      <c r="L44" s="499">
        <f t="shared" si="2"/>
        <v>-1</v>
      </c>
      <c r="M44" s="322">
        <f t="shared" si="3"/>
        <v>0.22775800711743771</v>
      </c>
      <c r="N44" s="500">
        <f t="shared" si="1"/>
        <v>0.19624573378839591</v>
      </c>
    </row>
    <row r="45" spans="1:15" ht="15" customHeight="1" x14ac:dyDescent="0.3">
      <c r="E45" s="414"/>
      <c r="J45" s="101">
        <v>247313.57752255088</v>
      </c>
    </row>
    <row r="46" spans="1:15" ht="15" customHeight="1" x14ac:dyDescent="0.3">
      <c r="E46" s="414"/>
      <c r="J46" s="101">
        <f>J45-I44</f>
        <v>-6298.2482768174377</v>
      </c>
    </row>
    <row r="47" spans="1:15" ht="15" customHeight="1" x14ac:dyDescent="0.3">
      <c r="E47" s="414"/>
    </row>
    <row r="48" spans="1:15" ht="15" hidden="1" customHeight="1" x14ac:dyDescent="0.3">
      <c r="C48" t="s">
        <v>168</v>
      </c>
      <c r="D48" t="s">
        <v>169</v>
      </c>
      <c r="E48" s="414"/>
      <c r="F48" t="s">
        <v>170</v>
      </c>
      <c r="G48" t="s">
        <v>171</v>
      </c>
      <c r="O48" s="362"/>
    </row>
    <row r="49" spans="1:15" ht="15" hidden="1" customHeight="1" x14ac:dyDescent="0.3">
      <c r="A49" s="325" t="s">
        <v>109</v>
      </c>
      <c r="B49">
        <f>COUNTIF('Tallatge èpiques'!$B$27:$AM$27,A49)</f>
        <v>0</v>
      </c>
      <c r="C49">
        <v>120</v>
      </c>
      <c r="D49">
        <f t="shared" ref="D49:D54" si="4">B49*C49</f>
        <v>0</v>
      </c>
      <c r="E49" s="414"/>
      <c r="F49">
        <v>550</v>
      </c>
      <c r="G49">
        <f>B49*F49</f>
        <v>0</v>
      </c>
      <c r="H49">
        <f t="shared" ref="H49:H54" si="5">C49/F49</f>
        <v>0.21818181818181817</v>
      </c>
    </row>
    <row r="50" spans="1:15" ht="15" hidden="1" customHeight="1" x14ac:dyDescent="0.3">
      <c r="A50" s="325" t="s">
        <v>114</v>
      </c>
      <c r="B50">
        <f>COUNTIF('Tallatge èpiques'!$B$27:$AM$27,A50)</f>
        <v>4</v>
      </c>
      <c r="C50">
        <v>200</v>
      </c>
      <c r="D50">
        <f t="shared" si="4"/>
        <v>800</v>
      </c>
      <c r="E50" s="414"/>
      <c r="F50">
        <v>900</v>
      </c>
      <c r="G50">
        <f t="shared" ref="G50:G54" si="6">B50*F50</f>
        <v>3600</v>
      </c>
      <c r="H50">
        <f t="shared" si="5"/>
        <v>0.22222222222222221</v>
      </c>
    </row>
    <row r="51" spans="1:15" ht="15" hidden="1" customHeight="1" x14ac:dyDescent="0.3">
      <c r="A51" s="325" t="s">
        <v>118</v>
      </c>
      <c r="B51">
        <f>COUNTIF('Tallatge èpiques'!$B$27:$AM$27,A51)</f>
        <v>16</v>
      </c>
      <c r="C51">
        <v>300</v>
      </c>
      <c r="D51">
        <f t="shared" si="4"/>
        <v>4800</v>
      </c>
      <c r="E51" s="414"/>
      <c r="F51">
        <v>1350</v>
      </c>
      <c r="G51">
        <f t="shared" si="6"/>
        <v>21600</v>
      </c>
      <c r="H51">
        <f t="shared" si="5"/>
        <v>0.22222222222222221</v>
      </c>
    </row>
    <row r="52" spans="1:15" ht="15" hidden="1" customHeight="1" x14ac:dyDescent="0.3">
      <c r="A52" s="325" t="s">
        <v>123</v>
      </c>
      <c r="B52">
        <f>COUNTIF('Tallatge èpiques'!$B$27:$AM$27,A52)</f>
        <v>10</v>
      </c>
      <c r="C52">
        <v>420</v>
      </c>
      <c r="D52">
        <f t="shared" si="4"/>
        <v>4200</v>
      </c>
      <c r="E52" s="414"/>
      <c r="F52">
        <v>2000</v>
      </c>
      <c r="G52">
        <f t="shared" si="6"/>
        <v>20000</v>
      </c>
      <c r="H52">
        <f t="shared" si="5"/>
        <v>0.21</v>
      </c>
    </row>
    <row r="53" spans="1:15" ht="15" hidden="1" customHeight="1" x14ac:dyDescent="0.3">
      <c r="A53" s="325" t="s">
        <v>125</v>
      </c>
      <c r="B53">
        <f>COUNTIF('Tallatge èpiques'!$B$27:$AM$27,A53)</f>
        <v>7</v>
      </c>
      <c r="C53">
        <v>540</v>
      </c>
      <c r="D53">
        <f t="shared" si="4"/>
        <v>3780</v>
      </c>
      <c r="E53" s="414"/>
      <c r="F53">
        <v>2500</v>
      </c>
      <c r="G53">
        <f t="shared" si="6"/>
        <v>17500</v>
      </c>
      <c r="H53">
        <f t="shared" si="5"/>
        <v>0.216</v>
      </c>
    </row>
    <row r="54" spans="1:15" ht="15" hidden="1" customHeight="1" x14ac:dyDescent="0.3">
      <c r="A54" s="325" t="s">
        <v>167</v>
      </c>
      <c r="B54">
        <f>COUNTIF('Tallatge èpiques'!$B$27:$AM$27,A54)</f>
        <v>1</v>
      </c>
      <c r="C54">
        <v>625</v>
      </c>
      <c r="D54">
        <f t="shared" si="4"/>
        <v>625</v>
      </c>
      <c r="E54" s="414"/>
      <c r="F54">
        <v>2885</v>
      </c>
      <c r="G54">
        <f t="shared" si="6"/>
        <v>2885</v>
      </c>
      <c r="H54">
        <f t="shared" si="5"/>
        <v>0.21663778162911612</v>
      </c>
    </row>
    <row r="55" spans="1:15" ht="15" hidden="1" customHeight="1" x14ac:dyDescent="0.3">
      <c r="C55">
        <v>14109.33</v>
      </c>
      <c r="D55">
        <f>SUM(D49:D54)</f>
        <v>14205</v>
      </c>
      <c r="E55" s="414"/>
      <c r="F55">
        <v>65120</v>
      </c>
      <c r="G55">
        <f>SUM(G49:G54)</f>
        <v>65585</v>
      </c>
    </row>
    <row r="56" spans="1:15" ht="15" hidden="1" customHeight="1" x14ac:dyDescent="0.3">
      <c r="C56">
        <v>542</v>
      </c>
      <c r="E56" s="414"/>
    </row>
    <row r="57" spans="1:15" ht="15" hidden="1" customHeight="1" x14ac:dyDescent="0.3">
      <c r="E57" s="414"/>
      <c r="O57" s="362"/>
    </row>
    <row r="58" spans="1:15" ht="15" customHeight="1" x14ac:dyDescent="0.3">
      <c r="E58" s="414"/>
    </row>
    <row r="59" spans="1:15" ht="15" customHeight="1" x14ac:dyDescent="0.3">
      <c r="E59" s="414"/>
    </row>
    <row r="60" spans="1:15" ht="15" customHeight="1" x14ac:dyDescent="0.3">
      <c r="E60" s="414"/>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58ADA-75CD-41F0-BFEE-9C9291AF2B8E}">
  <sheetPr>
    <tabColor theme="6" tint="0.39997558519241921"/>
  </sheetPr>
  <dimension ref="A1:AP3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5" customHeight="1" x14ac:dyDescent="0.3"/>
  <cols>
    <col min="1" max="1" width="90.6640625" customWidth="1"/>
    <col min="2" max="2" width="13.33203125" bestFit="1" customWidth="1"/>
    <col min="3" max="3" width="13.109375" bestFit="1" customWidth="1"/>
    <col min="4" max="10" width="14.44140625" customWidth="1"/>
    <col min="11" max="11" width="12.6640625" bestFit="1" customWidth="1"/>
    <col min="12" max="31" width="14.44140625" customWidth="1"/>
    <col min="32" max="32" width="15.44140625" customWidth="1"/>
    <col min="33" max="39" width="14.44140625" customWidth="1"/>
    <col min="40" max="40" width="15.109375" customWidth="1"/>
    <col min="41" max="42" width="14.44140625" bestFit="1" customWidth="1"/>
  </cols>
  <sheetData>
    <row r="1" spans="1:41" ht="15" customHeight="1" x14ac:dyDescent="0.3">
      <c r="A1" s="33"/>
      <c r="B1" s="585" t="s">
        <v>76</v>
      </c>
      <c r="C1" s="585"/>
      <c r="D1" s="585"/>
      <c r="E1" s="585"/>
      <c r="F1" s="585"/>
      <c r="G1" s="585" t="s">
        <v>82</v>
      </c>
      <c r="H1" s="585"/>
      <c r="I1" s="585"/>
      <c r="J1" s="585"/>
      <c r="K1" s="586"/>
      <c r="L1" s="584" t="s">
        <v>77</v>
      </c>
      <c r="M1" s="585"/>
      <c r="N1" s="585"/>
      <c r="O1" s="585"/>
      <c r="P1" s="586"/>
      <c r="Q1" s="584" t="s">
        <v>172</v>
      </c>
      <c r="R1" s="585"/>
      <c r="S1" s="585"/>
      <c r="T1" s="585"/>
      <c r="U1" s="586"/>
      <c r="V1" s="584" t="s">
        <v>173</v>
      </c>
      <c r="W1" s="585"/>
      <c r="X1" s="585"/>
      <c r="Y1" s="585"/>
      <c r="Z1" s="586"/>
      <c r="AA1" s="584" t="s">
        <v>174</v>
      </c>
      <c r="AB1" s="585"/>
      <c r="AC1" s="585"/>
      <c r="AD1" s="585"/>
      <c r="AE1" s="586"/>
      <c r="AF1" s="584" t="s">
        <v>81</v>
      </c>
      <c r="AG1" s="585"/>
      <c r="AH1" s="586"/>
      <c r="AI1" s="584" t="s">
        <v>100</v>
      </c>
      <c r="AJ1" s="585"/>
      <c r="AK1" s="585"/>
      <c r="AL1" s="585"/>
      <c r="AM1" s="586"/>
      <c r="AN1" s="361" t="s">
        <v>493</v>
      </c>
    </row>
    <row r="2" spans="1:41" ht="91.8" x14ac:dyDescent="0.3">
      <c r="A2" s="34" t="s">
        <v>107</v>
      </c>
      <c r="B2" s="41" t="s">
        <v>175</v>
      </c>
      <c r="C2" s="41" t="s">
        <v>176</v>
      </c>
      <c r="D2" s="41" t="s">
        <v>177</v>
      </c>
      <c r="E2" s="41" t="s">
        <v>178</v>
      </c>
      <c r="F2" s="41" t="s">
        <v>179</v>
      </c>
      <c r="G2" s="41" t="s">
        <v>180</v>
      </c>
      <c r="H2" s="41" t="s">
        <v>181</v>
      </c>
      <c r="I2" s="41" t="s">
        <v>182</v>
      </c>
      <c r="J2" s="41" t="s">
        <v>183</v>
      </c>
      <c r="K2" s="41" t="s">
        <v>184</v>
      </c>
      <c r="L2" s="41" t="s">
        <v>185</v>
      </c>
      <c r="M2" s="41" t="s">
        <v>186</v>
      </c>
      <c r="N2" s="41" t="s">
        <v>187</v>
      </c>
      <c r="O2" s="41" t="s">
        <v>188</v>
      </c>
      <c r="P2" s="41" t="s">
        <v>189</v>
      </c>
      <c r="Q2" s="41" t="s">
        <v>190</v>
      </c>
      <c r="R2" s="41" t="s">
        <v>191</v>
      </c>
      <c r="S2" s="41" t="s">
        <v>192</v>
      </c>
      <c r="T2" s="41" t="s">
        <v>193</v>
      </c>
      <c r="U2" s="41" t="s">
        <v>194</v>
      </c>
      <c r="V2" s="41" t="s">
        <v>195</v>
      </c>
      <c r="W2" s="41" t="s">
        <v>196</v>
      </c>
      <c r="X2" s="41" t="s">
        <v>197</v>
      </c>
      <c r="Y2" s="41" t="s">
        <v>198</v>
      </c>
      <c r="Z2" s="41" t="s">
        <v>199</v>
      </c>
      <c r="AA2" s="41" t="s">
        <v>200</v>
      </c>
      <c r="AB2" s="41" t="s">
        <v>201</v>
      </c>
      <c r="AC2" s="41" t="s">
        <v>202</v>
      </c>
      <c r="AD2" s="41" t="s">
        <v>203</v>
      </c>
      <c r="AE2" s="41" t="s">
        <v>204</v>
      </c>
      <c r="AF2" s="41" t="s">
        <v>195</v>
      </c>
      <c r="AG2" s="41" t="s">
        <v>205</v>
      </c>
      <c r="AH2" s="41" t="s">
        <v>206</v>
      </c>
      <c r="AI2" s="41" t="s">
        <v>207</v>
      </c>
      <c r="AJ2" s="41" t="s">
        <v>208</v>
      </c>
      <c r="AK2" s="41" t="s">
        <v>209</v>
      </c>
      <c r="AL2" s="41" t="s">
        <v>210</v>
      </c>
      <c r="AM2" s="41" t="s">
        <v>211</v>
      </c>
      <c r="AN2" s="41" t="s">
        <v>212</v>
      </c>
    </row>
    <row r="3" spans="1:41" ht="14.4" x14ac:dyDescent="0.3">
      <c r="A3" s="36" t="s">
        <v>108</v>
      </c>
      <c r="B3" s="37">
        <f>SUM(IF(B4&gt;=5,'Model tallatge'!$E$2,IF(B4&gt;=2,'Model tallatge'!$D$2,IF(B4='Model tallatge'!$C$4,'Model tallatge'!$C$2,0))),IF(B5='Model tallatge'!$B$5,'Model tallatge'!$B$2,'Model tallatge'!C2),IF(B6='Model tallatge'!$B$6,'Model tallatge'!$B$2,IF(B6='Model tallatge'!$C$6,'Model tallatge'!$C$2,IF(B6='Model tallatge'!$D$6,'Model tallatge'!$D$2))))</f>
        <v>2</v>
      </c>
      <c r="C3" s="37">
        <f>SUM(IF(C4&gt;=5,'Model tallatge'!$E$2,IF(C4&gt;=2,'Model tallatge'!$D$2,IF(C4='Model tallatge'!$C$4,'Model tallatge'!$C$2,0))),IF(C5='Model tallatge'!$B$5,'Model tallatge'!$B$2,'Model tallatge'!D2),IF(C6='Model tallatge'!$B$6,'Model tallatge'!$B$2,IF(C6='Model tallatge'!$C$6,'Model tallatge'!$C$2,IF(C6='Model tallatge'!$D$6,'Model tallatge'!$D$2))))</f>
        <v>2</v>
      </c>
      <c r="D3" s="37">
        <f>SUM(IF(D4&gt;=5,'Model tallatge'!$E$2,IF(D4&gt;=2,'Model tallatge'!$D$2,IF(D4='Model tallatge'!$C$4,'Model tallatge'!$C$2,0))),IF(D5='Model tallatge'!$B$5,'Model tallatge'!$B$2,'Model tallatge'!E2),IF(D6='Model tallatge'!$B$6,'Model tallatge'!$B$2,IF(D6='Model tallatge'!$C$6,'Model tallatge'!$C$2,IF(D6='Model tallatge'!$D$6,'Model tallatge'!$D$2))))</f>
        <v>1</v>
      </c>
      <c r="E3" s="37">
        <f>SUM(IF(E4&gt;=5,'Model tallatge'!$E$2,IF(E4&gt;=2,'Model tallatge'!$D$2,IF(E4='Model tallatge'!$C$4,'Model tallatge'!$C$2,0))),IF(E5='Model tallatge'!$B$5,'Model tallatge'!$B$2,'Model tallatge'!F2),IF(E6='Model tallatge'!$B$6,'Model tallatge'!$B$2,IF(E6='Model tallatge'!$C$6,'Model tallatge'!$C$2,IF(E6='Model tallatge'!$D$6,'Model tallatge'!$D$2))))</f>
        <v>1</v>
      </c>
      <c r="F3" s="37">
        <f>SUM(IF(F4&gt;=5,'Model tallatge'!$E$2,IF(F4&gt;=2,'Model tallatge'!$D$2,IF(F4='Model tallatge'!$C$4,'Model tallatge'!$C$2,0))),IF(F5='Model tallatge'!$B$5,'Model tallatge'!$B$2,'Model tallatge'!G2),IF(F6='Model tallatge'!$B$6,'Model tallatge'!$B$2,IF(F6='Model tallatge'!$C$6,'Model tallatge'!$C$2,IF(F6='Model tallatge'!$D$6,'Model tallatge'!$D$2))))</f>
        <v>1</v>
      </c>
      <c r="G3" s="37">
        <f>SUM(IF(G4&gt;=5,'Model tallatge'!$E$2,IF(G4&gt;=2,'Model tallatge'!$D$2,IF(G4='Model tallatge'!$C$4,'Model tallatge'!$C$2,0))),IF(G5='Model tallatge'!$B$5,'Model tallatge'!$B$2,'Model tallatge'!H2),IF(G6='Model tallatge'!$B$6,'Model tallatge'!$B$2,IF(G6='Model tallatge'!$C$6,'Model tallatge'!$C$2,IF(G6='Model tallatge'!$D$6,'Model tallatge'!$D$2))))</f>
        <v>3</v>
      </c>
      <c r="H3" s="37">
        <f>SUM(IF(H4&gt;=5,'Model tallatge'!$E$2,IF(H4&gt;=2,'Model tallatge'!$D$2,IF(H4='Model tallatge'!$C$4,'Model tallatge'!$C$2,0))),IF(H5='Model tallatge'!$B$5,'Model tallatge'!$B$2,'Model tallatge'!I2),IF(H6='Model tallatge'!$B$6,'Model tallatge'!$B$2,IF(H6='Model tallatge'!$C$6,'Model tallatge'!$C$2,IF(H6='Model tallatge'!$D$6,'Model tallatge'!$D$2))))</f>
        <v>2</v>
      </c>
      <c r="I3" s="37">
        <f>SUM(IF(I4&gt;=5,'Model tallatge'!$E$2,IF(I4&gt;=2,'Model tallatge'!$D$2,IF(I4='Model tallatge'!$C$4,'Model tallatge'!$C$2,0))),IF(I5='Model tallatge'!$B$5,'Model tallatge'!$B$2,'Model tallatge'!J2),IF(I6='Model tallatge'!$B$6,'Model tallatge'!$B$2,IF(I6='Model tallatge'!$C$6,'Model tallatge'!$C$2,IF(I6='Model tallatge'!$D$6,'Model tallatge'!$D$2))))</f>
        <v>2</v>
      </c>
      <c r="J3" s="37">
        <f>SUM(IF(J4&gt;=5,'Model tallatge'!$E$2,IF(J4&gt;=2,'Model tallatge'!$D$2,IF(J4='Model tallatge'!$C$4,'Model tallatge'!$C$2,0))),IF(J5='Model tallatge'!$B$5,'Model tallatge'!$B$2,'Model tallatge'!K2),IF(J6='Model tallatge'!$B$6,'Model tallatge'!$B$2,IF(J6='Model tallatge'!$C$6,'Model tallatge'!$C$2,IF(J6='Model tallatge'!$D$6,'Model tallatge'!$D$2))))</f>
        <v>2</v>
      </c>
      <c r="K3" s="37">
        <f>SUM(IF(K4&gt;=5,'Model tallatge'!$E$2,IF(K4&gt;=2,'Model tallatge'!$D$2,IF(K4='Model tallatge'!$C$4,'Model tallatge'!$C$2,0))),IF(K5='Model tallatge'!$B$5,'Model tallatge'!$B$2,'Model tallatge'!L2),IF(K6='Model tallatge'!$B$6,'Model tallatge'!$B$2,IF(K6='Model tallatge'!$C$6,'Model tallatge'!$C$2,IF(K6='Model tallatge'!$D$6,'Model tallatge'!$D$2))))</f>
        <v>1</v>
      </c>
      <c r="L3" s="37">
        <f>SUM(IF(L4&gt;=5,'Model tallatge'!$E$2,IF(L4&gt;=2,'Model tallatge'!$D$2,IF(L4='Model tallatge'!$C$4,'Model tallatge'!$C$2,0))),IF(L5='Model tallatge'!$B$5,'Model tallatge'!$B$2,'Model tallatge'!N2),IF(L6='Model tallatge'!$B$6,'Model tallatge'!$B$2,IF(L6='Model tallatge'!$C$6,'Model tallatge'!$C$2,IF(L6='Model tallatge'!$D$6,'Model tallatge'!$D$2))))</f>
        <v>1</v>
      </c>
      <c r="M3" s="37">
        <f>SUM(IF(M4&gt;=5,'Model tallatge'!$E$2,IF(M4&gt;=2,'Model tallatge'!$D$2,IF(M4='Model tallatge'!$C$4,'Model tallatge'!$C$2,0))),IF(M5='Model tallatge'!$B$5,'Model tallatge'!$B$2,'Model tallatge'!O2),IF(M6='Model tallatge'!$B$6,'Model tallatge'!$B$2,IF(M6='Model tallatge'!$C$6,'Model tallatge'!$C$2,IF(M6='Model tallatge'!$D$6,'Model tallatge'!$D$2))))</f>
        <v>1</v>
      </c>
      <c r="N3" s="37">
        <f>SUM(IF(N4&gt;=5,'Model tallatge'!$E$2,IF(N4&gt;=2,'Model tallatge'!$D$2,IF(N4='Model tallatge'!$C$4,'Model tallatge'!$C$2,0))),IF(N5='Model tallatge'!$B$5,'Model tallatge'!$B$2,'Model tallatge'!P2),IF(N6='Model tallatge'!$B$6,'Model tallatge'!$B$2,IF(N6='Model tallatge'!$C$6,'Model tallatge'!$C$2,IF(N6='Model tallatge'!$D$6,'Model tallatge'!$D$2))))</f>
        <v>1</v>
      </c>
      <c r="O3" s="37">
        <f>SUM(IF(O4&gt;=5,'Model tallatge'!$E$2,IF(O4&gt;=2,'Model tallatge'!$D$2,IF(O4='Model tallatge'!$C$4,'Model tallatge'!$C$2,0))),IF(O5='Model tallatge'!$B$5,'Model tallatge'!$B$2,'Model tallatge'!Q2),IF(O6='Model tallatge'!$B$6,'Model tallatge'!$B$2,IF(O6='Model tallatge'!$C$6,'Model tallatge'!$C$2,IF(O6='Model tallatge'!$D$6,'Model tallatge'!$D$2))))</f>
        <v>2</v>
      </c>
      <c r="P3" s="37">
        <f>SUM(IF(P4&gt;=5,'Model tallatge'!$E$2,IF(P4&gt;=2,'Model tallatge'!$D$2,IF(P4='Model tallatge'!$C$4,'Model tallatge'!$C$2,0))),IF(P5='Model tallatge'!$B$5,'Model tallatge'!$B$2,'Model tallatge'!R2),IF(P6='Model tallatge'!$B$6,'Model tallatge'!$B$2,IF(P6='Model tallatge'!$C$6,'Model tallatge'!$C$2,IF(P6='Model tallatge'!$D$6,'Model tallatge'!$D$2))))</f>
        <v>2</v>
      </c>
      <c r="Q3" s="37">
        <f>SUM(IF(Q4&gt;=5,'Model tallatge'!$E$2,IF(Q4&gt;=2,'Model tallatge'!$D$2,IF(Q4='Model tallatge'!$C$4,'Model tallatge'!$C$2,0))),IF(Q5='Model tallatge'!$B$5,'Model tallatge'!$B$2,'Model tallatge'!S2),IF(Q6='Model tallatge'!$B$6,'Model tallatge'!$B$2,IF(Q6='Model tallatge'!$C$6,'Model tallatge'!$C$2,IF(Q6='Model tallatge'!$D$6,'Model tallatge'!$D$2))))</f>
        <v>2</v>
      </c>
      <c r="R3" s="37">
        <f>SUM(IF(R4&gt;=5,'Model tallatge'!$E$2,IF(R4&gt;=2,'Model tallatge'!$D$2,IF(R4='Model tallatge'!$C$4,'Model tallatge'!$C$2,0))),IF(R5='Model tallatge'!$B$5,'Model tallatge'!$B$2,'Model tallatge'!T2),IF(R6='Model tallatge'!$B$6,'Model tallatge'!$B$2,IF(R6='Model tallatge'!$C$6,'Model tallatge'!$C$2,IF(R6='Model tallatge'!$D$6,'Model tallatge'!$D$2))))</f>
        <v>1</v>
      </c>
      <c r="S3" s="37">
        <f>SUM(IF(S4&gt;=5,'Model tallatge'!$E$2,IF(S4&gt;=2,'Model tallatge'!$D$2,IF(S4='Model tallatge'!$C$4,'Model tallatge'!$C$2,0))),IF(S5='Model tallatge'!$B$5,'Model tallatge'!$B$2,'Model tallatge'!U2),IF(S6='Model tallatge'!$B$6,'Model tallatge'!$B$2,IF(S6='Model tallatge'!$C$6,'Model tallatge'!$C$2,IF(S6='Model tallatge'!$D$6,'Model tallatge'!$D$2))))</f>
        <v>0</v>
      </c>
      <c r="T3" s="37">
        <f>SUM(IF(T4&gt;=5,'Model tallatge'!$E$2,IF(T4&gt;=2,'Model tallatge'!$D$2,IF(T4='Model tallatge'!$C$4,'Model tallatge'!$C$2,0))),IF(T5='Model tallatge'!$B$5,'Model tallatge'!$B$2,'Model tallatge'!V2),IF(T6='Model tallatge'!$B$6,'Model tallatge'!$B$2,IF(T6='Model tallatge'!$C$6,'Model tallatge'!$C$2,IF(T6='Model tallatge'!$D$6,'Model tallatge'!$D$2))))</f>
        <v>1</v>
      </c>
      <c r="U3" s="37">
        <f>SUM(IF(U4&gt;=5,'Model tallatge'!$E$2,IF(U4&gt;=2,'Model tallatge'!$D$2,IF(U4='Model tallatge'!$C$4,'Model tallatge'!$C$2,0))),IF(U5='Model tallatge'!$B$5,'Model tallatge'!$B$2,'Model tallatge'!W2),IF(U6='Model tallatge'!$B$6,'Model tallatge'!$B$2,IF(U6='Model tallatge'!$C$6,'Model tallatge'!$C$2,IF(U6='Model tallatge'!$D$6,'Model tallatge'!$D$2))))</f>
        <v>1</v>
      </c>
      <c r="V3" s="37">
        <f>SUM(IF(V4&gt;=5,'Model tallatge'!$E$2,IF(V4&gt;=2,'Model tallatge'!$D$2,IF(V4='Model tallatge'!$C$4,'Model tallatge'!$C$2,0))),IF(V5='Model tallatge'!$B$5,'Model tallatge'!$B$2,'Model tallatge'!X2),IF(V6='Model tallatge'!$B$6,'Model tallatge'!$B$2,IF(V6='Model tallatge'!$C$6,'Model tallatge'!$C$2,IF(V6='Model tallatge'!$D$6,'Model tallatge'!$D$2))))</f>
        <v>0</v>
      </c>
      <c r="W3" s="37">
        <f>SUM(IF(W4&gt;=5,'Model tallatge'!$E$2,IF(W4&gt;=2,'Model tallatge'!$D$2,IF(W4='Model tallatge'!$C$4,'Model tallatge'!$C$2,0))),IF(W5='Model tallatge'!$B$5,'Model tallatge'!$B$2,'Model tallatge'!Y2),IF(W6='Model tallatge'!$B$6,'Model tallatge'!$B$2,IF(W6='Model tallatge'!$C$6,'Model tallatge'!$C$2,IF(W6='Model tallatge'!$D$6,'Model tallatge'!$D$2))))</f>
        <v>2</v>
      </c>
      <c r="X3" s="37">
        <f>SUM(IF(X4&gt;=5,'Model tallatge'!$E$2,IF(X4&gt;=2,'Model tallatge'!$D$2,IF(X4='Model tallatge'!$C$4,'Model tallatge'!$C$2,0))),IF(X5='Model tallatge'!$B$5,'Model tallatge'!$B$2,'Model tallatge'!Z2),IF(X6='Model tallatge'!$B$6,'Model tallatge'!$B$2,IF(X6='Model tallatge'!$C$6,'Model tallatge'!$C$2,IF(X6='Model tallatge'!$D$6,'Model tallatge'!$D$2))))</f>
        <v>1</v>
      </c>
      <c r="Y3" s="37">
        <f>SUM(IF(Y4&gt;=5,'Model tallatge'!$E$2,IF(Y4&gt;=2,'Model tallatge'!$D$2,IF(Y4='Model tallatge'!$C$4,'Model tallatge'!$C$2,0))),IF(Y5='Model tallatge'!$B$5,'Model tallatge'!$B$2,'Model tallatge'!AA2),IF(Y6='Model tallatge'!$B$6,'Model tallatge'!$B$2,IF(Y6='Model tallatge'!$C$6,'Model tallatge'!$C$2,IF(Y6='Model tallatge'!$D$6,'Model tallatge'!$D$2))))</f>
        <v>1</v>
      </c>
      <c r="Z3" s="37">
        <f>SUM(IF(Z4&gt;=5,'Model tallatge'!$E$2,IF(Z4&gt;=2,'Model tallatge'!$D$2,IF(Z4='Model tallatge'!$C$4,'Model tallatge'!$C$2,0))),IF(Z5='Model tallatge'!$B$5,'Model tallatge'!$B$2,'Model tallatge'!AB2),IF(Z6='Model tallatge'!$B$6,'Model tallatge'!$B$2,IF(Z6='Model tallatge'!$C$6,'Model tallatge'!$C$2,IF(Z6='Model tallatge'!$D$6,'Model tallatge'!$D$2))))</f>
        <v>4</v>
      </c>
      <c r="AA3" s="37">
        <f>SUM(IF(AA4&gt;=5,'Model tallatge'!$E$2,IF(AA4&gt;=2,'Model tallatge'!$D$2,IF(AA4='Model tallatge'!$C$4,'Model tallatge'!$C$2,0))),IF(AA5='Model tallatge'!$B$5,'Model tallatge'!$B$2,'Model tallatge'!AC2),IF(AA6='Model tallatge'!$B$6,'Model tallatge'!$B$2,IF(AA6='Model tallatge'!$C$6,'Model tallatge'!$C$2,IF(AA6='Model tallatge'!$D$6,'Model tallatge'!$D$2))))</f>
        <v>0</v>
      </c>
      <c r="AB3" s="37">
        <f>SUM(IF(AB4&gt;=5,'Model tallatge'!$E$2,IF(AB4&gt;=2,'Model tallatge'!$D$2,IF(AB4='Model tallatge'!$C$4,'Model tallatge'!$C$2,0))),IF(AB5='Model tallatge'!$B$5,'Model tallatge'!$B$2,'Model tallatge'!AD2),IF(AB6='Model tallatge'!$B$6,'Model tallatge'!$B$2,IF(AB6='Model tallatge'!$C$6,'Model tallatge'!$C$2,IF(AB6='Model tallatge'!$D$6,'Model tallatge'!$D$2))))</f>
        <v>2</v>
      </c>
      <c r="AC3" s="37">
        <f>SUM(IF(AC4&gt;=5,'Model tallatge'!$E$2,IF(AC4&gt;=2,'Model tallatge'!$D$2,IF(AC4='Model tallatge'!$C$4,'Model tallatge'!$C$2,0))),IF(AC5='Model tallatge'!$B$5,'Model tallatge'!$B$2,'Model tallatge'!AE2),IF(AC6='Model tallatge'!$B$6,'Model tallatge'!$B$2,IF(AC6='Model tallatge'!$C$6,'Model tallatge'!$C$2,IF(AC6='Model tallatge'!$D$6,'Model tallatge'!$D$2))))</f>
        <v>1</v>
      </c>
      <c r="AD3" s="37">
        <f>SUM(IF(AD4&gt;=5,'Model tallatge'!$E$2,IF(AD4&gt;=2,'Model tallatge'!$D$2,IF(AD4='Model tallatge'!$C$4,'Model tallatge'!$C$2,0))),IF(AD5='Model tallatge'!$B$5,'Model tallatge'!$B$2,'Model tallatge'!AF2),IF(AD6='Model tallatge'!$B$6,'Model tallatge'!$B$2,IF(AD6='Model tallatge'!$C$6,'Model tallatge'!$C$2,IF(AD6='Model tallatge'!$D$6,'Model tallatge'!$D$2))))</f>
        <v>3</v>
      </c>
      <c r="AE3" s="37">
        <f>SUM(IF(AE4&gt;=5,'Model tallatge'!$E$2,IF(AE4&gt;=2,'Model tallatge'!$D$2,IF(AE4='Model tallatge'!$C$4,'Model tallatge'!$C$2,0))),IF(AE5='Model tallatge'!$B$5,'Model tallatge'!$B$2,'Model tallatge'!AG2),IF(AE6='Model tallatge'!$B$6,'Model tallatge'!$B$2,IF(AE6='Model tallatge'!$C$6,'Model tallatge'!$C$2,IF(AE6='Model tallatge'!$D$6,'Model tallatge'!$D$2))))</f>
        <v>2</v>
      </c>
      <c r="AF3" s="37">
        <f>SUM(IF(AF4&gt;=5,'Model tallatge'!$E$2,IF(AF4&gt;=2,'Model tallatge'!$D$2,IF(AF4='Model tallatge'!$C$4,'Model tallatge'!$C$2,0))),IF(AF5='Model tallatge'!$B$5,'Model tallatge'!$B$2,'Model tallatge'!AH2),IF(AF6='Model tallatge'!$B$6,'Model tallatge'!$B$2,IF(AF6='Model tallatge'!$C$6,'Model tallatge'!$C$2,IF(AF6='Model tallatge'!$D$6,'Model tallatge'!$D$2))))</f>
        <v>0</v>
      </c>
      <c r="AG3" s="37">
        <f>SUM(IF(AG4&gt;=5,'Model tallatge'!$E$2,IF(AG4&gt;=2,'Model tallatge'!$D$2,IF(AG4='Model tallatge'!$C$4,'Model tallatge'!$C$2,0))),IF(AG5='Model tallatge'!$B$5,'Model tallatge'!$B$2,'Model tallatge'!AI2),IF(AG6='Model tallatge'!$B$6,'Model tallatge'!$B$2,IF(AG6='Model tallatge'!$C$6,'Model tallatge'!$C$2,IF(AG6='Model tallatge'!$D$6,'Model tallatge'!$D$2))))</f>
        <v>2</v>
      </c>
      <c r="AH3" s="37">
        <f>SUM(IF(AH4&gt;=5,'Model tallatge'!$E$2,IF(AH4&gt;=2,'Model tallatge'!$D$2,IF(AH4='Model tallatge'!$C$4,'Model tallatge'!$C$2,0))),IF(AH5='Model tallatge'!$B$5,'Model tallatge'!$B$2,'Model tallatge'!AJ2),IF(AH6='Model tallatge'!$B$6,'Model tallatge'!$B$2,IF(AH6='Model tallatge'!$C$6,'Model tallatge'!$C$2,IF(AH6='Model tallatge'!$D$6,'Model tallatge'!$D$2))))</f>
        <v>1</v>
      </c>
      <c r="AI3" s="37">
        <f>SUM(IF(AI4&gt;=5,'Model tallatge'!$E$2,IF(AI4&gt;=2,'Model tallatge'!$D$2,IF(AI4='Model tallatge'!$C$4,'Model tallatge'!$C$2,0))),IF(AI5='Model tallatge'!$B$5,'Model tallatge'!$B$2,'Model tallatge'!AK2),IF(AI6='Model tallatge'!$B$6,'Model tallatge'!$B$2,IF(AI6='Model tallatge'!$C$6,'Model tallatge'!$C$2,IF(AI6='Model tallatge'!$D$6,'Model tallatge'!$D$2))))</f>
        <v>3</v>
      </c>
      <c r="AJ3" s="37">
        <f>SUM(IF(AJ4&gt;=5,'Model tallatge'!$E$2,IF(AJ4&gt;=2,'Model tallatge'!$D$2,IF(AJ4='Model tallatge'!$C$4,'Model tallatge'!$C$2,0))),IF(AJ5='Model tallatge'!$B$5,'Model tallatge'!$B$2,'Model tallatge'!AL2),IF(AJ6='Model tallatge'!$B$6,'Model tallatge'!$B$2,IF(AJ6='Model tallatge'!$C$6,'Model tallatge'!$C$2,IF(AJ6='Model tallatge'!$D$6,'Model tallatge'!$D$2))))</f>
        <v>0</v>
      </c>
      <c r="AK3" s="37">
        <f>SUM(IF(AK4&gt;=5,'Model tallatge'!$E$2,IF(AK4&gt;=2,'Model tallatge'!$D$2,IF(AK4='Model tallatge'!$C$4,'Model tallatge'!$C$2,0))),IF(AK5='Model tallatge'!$B$5,'Model tallatge'!$B$2,'Model tallatge'!AM2),IF(AK6='Model tallatge'!$B$6,'Model tallatge'!$B$2,IF(AK6='Model tallatge'!$C$6,'Model tallatge'!$C$2,IF(AK6='Model tallatge'!$D$6,'Model tallatge'!$D$2))))</f>
        <v>3</v>
      </c>
      <c r="AL3" s="37">
        <f>SUM(IF(AL4&gt;=5,'Model tallatge'!$E$2,IF(AL4&gt;=2,'Model tallatge'!$D$2,IF(AL4='Model tallatge'!$C$4,'Model tallatge'!$C$2,0))),IF(AL5='Model tallatge'!$B$5,'Model tallatge'!$B$2,'Model tallatge'!AN2),IF(AL6='Model tallatge'!$B$6,'Model tallatge'!$B$2,IF(AL6='Model tallatge'!$C$6,'Model tallatge'!$C$2,IF(AL6='Model tallatge'!$D$6,'Model tallatge'!$D$2))))</f>
        <v>0</v>
      </c>
      <c r="AM3" s="37">
        <f>SUM(IF(AM4&gt;=5,'Model tallatge'!$E$2,IF(AM4&gt;=2,'Model tallatge'!$D$2,IF(AM4='Model tallatge'!$C$4,'Model tallatge'!$C$2,0))),IF(AM5='Model tallatge'!$B$5,'Model tallatge'!$B$2,'Model tallatge'!AO2),IF(AM6='Model tallatge'!$B$6,'Model tallatge'!$B$2,IF(AM6='Model tallatge'!$C$6,'Model tallatge'!$C$2,IF(AM6='Model tallatge'!$D$6,'Model tallatge'!$D$2))))</f>
        <v>1</v>
      </c>
      <c r="AN3" s="37">
        <f>SUM(IF(AN4&gt;=5,'Model tallatge'!$E$2,IF(AN4&gt;=2,'Model tallatge'!$D$2,IF(AN4='Model tallatge'!$C$4,'Model tallatge'!$C$2,0))),IF(AN5='Model tallatge'!$B$5,'Model tallatge'!$B$2,'Model tallatge'!AP2),IF(AN6='Model tallatge'!$B$6,'Model tallatge'!$B$2,IF(AN6='Model tallatge'!$C$6,'Model tallatge'!$C$2,IF(AN6='Model tallatge'!$D$6,'Model tallatge'!$D$2))))</f>
        <v>1</v>
      </c>
    </row>
    <row r="4" spans="1:41" ht="14.4" x14ac:dyDescent="0.3">
      <c r="A4" s="38" t="s">
        <v>110</v>
      </c>
      <c r="B4" s="39">
        <v>3</v>
      </c>
      <c r="C4" s="39">
        <v>2</v>
      </c>
      <c r="D4" s="39">
        <v>1</v>
      </c>
      <c r="E4" s="39">
        <v>1</v>
      </c>
      <c r="F4" s="39">
        <v>1</v>
      </c>
      <c r="G4" s="39">
        <v>3</v>
      </c>
      <c r="H4" s="39">
        <v>2</v>
      </c>
      <c r="I4" s="39">
        <v>1</v>
      </c>
      <c r="J4" s="39">
        <v>2</v>
      </c>
      <c r="K4" s="39">
        <v>1</v>
      </c>
      <c r="L4" s="39">
        <v>1</v>
      </c>
      <c r="M4" s="39">
        <v>1</v>
      </c>
      <c r="N4" s="39">
        <v>1</v>
      </c>
      <c r="O4" s="39">
        <v>1</v>
      </c>
      <c r="P4" s="39">
        <v>1</v>
      </c>
      <c r="Q4" s="39">
        <v>1</v>
      </c>
      <c r="R4" s="39">
        <v>1</v>
      </c>
      <c r="S4" s="39">
        <v>0</v>
      </c>
      <c r="T4" s="39">
        <v>1</v>
      </c>
      <c r="U4" s="39">
        <v>1</v>
      </c>
      <c r="V4" s="39">
        <v>0</v>
      </c>
      <c r="W4" s="39">
        <v>1</v>
      </c>
      <c r="X4" s="39">
        <v>1</v>
      </c>
      <c r="Y4" s="39">
        <v>1</v>
      </c>
      <c r="Z4" s="39">
        <v>2</v>
      </c>
      <c r="AA4" s="39">
        <v>0</v>
      </c>
      <c r="AB4" s="39">
        <v>2</v>
      </c>
      <c r="AC4" s="39">
        <v>1</v>
      </c>
      <c r="AD4" s="39">
        <v>2</v>
      </c>
      <c r="AE4" s="39">
        <v>1</v>
      </c>
      <c r="AF4" s="39">
        <v>0</v>
      </c>
      <c r="AG4" s="39">
        <v>1</v>
      </c>
      <c r="AH4" s="39">
        <v>1</v>
      </c>
      <c r="AI4" s="39">
        <v>2</v>
      </c>
      <c r="AJ4" s="39">
        <v>0</v>
      </c>
      <c r="AK4" s="39">
        <v>2</v>
      </c>
      <c r="AL4" s="39">
        <v>0</v>
      </c>
      <c r="AM4" s="39">
        <v>1</v>
      </c>
      <c r="AN4" s="39">
        <v>1</v>
      </c>
    </row>
    <row r="5" spans="1:41" ht="14.4" x14ac:dyDescent="0.3">
      <c r="A5" s="38" t="s">
        <v>115</v>
      </c>
      <c r="B5" s="39" t="s">
        <v>116</v>
      </c>
      <c r="C5" s="39" t="s">
        <v>116</v>
      </c>
      <c r="D5" s="39" t="s">
        <v>116</v>
      </c>
      <c r="E5" s="39" t="s">
        <v>116</v>
      </c>
      <c r="F5" s="39" t="s">
        <v>116</v>
      </c>
      <c r="G5" s="39" t="s">
        <v>116</v>
      </c>
      <c r="H5" s="39" t="s">
        <v>116</v>
      </c>
      <c r="I5" s="39" t="s">
        <v>152</v>
      </c>
      <c r="J5" s="39" t="s">
        <v>116</v>
      </c>
      <c r="K5" s="170" t="s">
        <v>116</v>
      </c>
      <c r="L5" s="39" t="s">
        <v>116</v>
      </c>
      <c r="M5" s="39" t="s">
        <v>116</v>
      </c>
      <c r="N5" s="39" t="s">
        <v>116</v>
      </c>
      <c r="O5" s="39" t="s">
        <v>152</v>
      </c>
      <c r="P5" s="39" t="s">
        <v>152</v>
      </c>
      <c r="Q5" s="39" t="s">
        <v>116</v>
      </c>
      <c r="R5" s="39" t="s">
        <v>116</v>
      </c>
      <c r="S5" s="39" t="s">
        <v>116</v>
      </c>
      <c r="T5" s="39" t="s">
        <v>116</v>
      </c>
      <c r="U5" s="39" t="s">
        <v>116</v>
      </c>
      <c r="V5" s="39" t="s">
        <v>116</v>
      </c>
      <c r="W5" s="39" t="s">
        <v>116</v>
      </c>
      <c r="X5" s="39" t="s">
        <v>116</v>
      </c>
      <c r="Y5" s="39" t="s">
        <v>116</v>
      </c>
      <c r="Z5" s="39" t="s">
        <v>117</v>
      </c>
      <c r="AA5" s="39" t="s">
        <v>116</v>
      </c>
      <c r="AB5" s="39" t="s">
        <v>116</v>
      </c>
      <c r="AC5" s="39" t="s">
        <v>116</v>
      </c>
      <c r="AD5" s="39" t="s">
        <v>117</v>
      </c>
      <c r="AE5" s="39" t="s">
        <v>152</v>
      </c>
      <c r="AF5" s="39">
        <v>0</v>
      </c>
      <c r="AG5" s="39" t="s">
        <v>152</v>
      </c>
      <c r="AH5" s="39" t="s">
        <v>116</v>
      </c>
      <c r="AI5" s="39" t="s">
        <v>117</v>
      </c>
      <c r="AJ5" s="39" t="s">
        <v>116</v>
      </c>
      <c r="AK5" s="39" t="s">
        <v>117</v>
      </c>
      <c r="AL5" s="39" t="s">
        <v>116</v>
      </c>
      <c r="AM5" s="39" t="s">
        <v>116</v>
      </c>
      <c r="AN5" s="39" t="s">
        <v>116</v>
      </c>
    </row>
    <row r="6" spans="1:41" ht="14.4" x14ac:dyDescent="0.3">
      <c r="A6" s="38" t="s">
        <v>119</v>
      </c>
      <c r="B6" s="39" t="s">
        <v>120</v>
      </c>
      <c r="C6" s="39" t="s">
        <v>120</v>
      </c>
      <c r="D6" s="39" t="s">
        <v>120</v>
      </c>
      <c r="E6" s="39" t="s">
        <v>120</v>
      </c>
      <c r="F6" s="39" t="s">
        <v>120</v>
      </c>
      <c r="G6" s="39" t="s">
        <v>121</v>
      </c>
      <c r="H6" s="39" t="s">
        <v>120</v>
      </c>
      <c r="I6" s="39" t="s">
        <v>121</v>
      </c>
      <c r="J6" s="39" t="s">
        <v>120</v>
      </c>
      <c r="K6" s="39" t="s">
        <v>120</v>
      </c>
      <c r="L6" s="39" t="s">
        <v>120</v>
      </c>
      <c r="M6" s="39" t="s">
        <v>120</v>
      </c>
      <c r="N6" s="39" t="s">
        <v>120</v>
      </c>
      <c r="O6" s="39" t="s">
        <v>121</v>
      </c>
      <c r="P6" s="39" t="s">
        <v>121</v>
      </c>
      <c r="Q6" s="39" t="s">
        <v>121</v>
      </c>
      <c r="R6" s="39" t="s">
        <v>120</v>
      </c>
      <c r="S6" s="39" t="s">
        <v>213</v>
      </c>
      <c r="T6" s="39" t="s">
        <v>120</v>
      </c>
      <c r="U6" s="39" t="s">
        <v>120</v>
      </c>
      <c r="V6" s="39">
        <v>0</v>
      </c>
      <c r="W6" s="39" t="s">
        <v>121</v>
      </c>
      <c r="X6" s="39" t="s">
        <v>120</v>
      </c>
      <c r="Y6" s="39" t="s">
        <v>120</v>
      </c>
      <c r="Z6" s="39" t="s">
        <v>122</v>
      </c>
      <c r="AA6" s="39" t="s">
        <v>113</v>
      </c>
      <c r="AB6" s="39" t="s">
        <v>120</v>
      </c>
      <c r="AC6" s="39" t="s">
        <v>120</v>
      </c>
      <c r="AD6" s="39" t="s">
        <v>121</v>
      </c>
      <c r="AE6" s="39" t="s">
        <v>121</v>
      </c>
      <c r="AF6" s="39" t="s">
        <v>120</v>
      </c>
      <c r="AG6" s="39" t="s">
        <v>121</v>
      </c>
      <c r="AH6" s="39" t="s">
        <v>120</v>
      </c>
      <c r="AI6" s="39" t="s">
        <v>121</v>
      </c>
      <c r="AJ6" s="39" t="s">
        <v>113</v>
      </c>
      <c r="AK6" s="39" t="s">
        <v>121</v>
      </c>
      <c r="AL6" s="39" t="s">
        <v>113</v>
      </c>
      <c r="AM6" s="39" t="s">
        <v>120</v>
      </c>
      <c r="AN6" s="39" t="s">
        <v>120</v>
      </c>
    </row>
    <row r="7" spans="1:41" ht="14.4" x14ac:dyDescent="0.3">
      <c r="A7" s="36" t="s">
        <v>124</v>
      </c>
      <c r="B7" s="37">
        <f>SUM(IF(B8&gt;5,'Model tallatge'!$G$2,IF(B8&gt;=4,'Model tallatge'!$F$2,IF(B8&gt;=2,'Model tallatge'!$E$2,IF(B8='Model tallatge'!$D$8,'Model tallatge'!$D$2,0)))),IF(B9&gt;5,'Model tallatge'!$G$2,IF(B9&gt;=4,'Model tallatge'!$F$2,IF(B9&gt;=2,'Model tallatge'!$E$2,IF(B9='Model tallatge'!$D$9,'Model tallatge'!$D$2,0)))), IF(B10&gt;=5,'Model tallatge'!$F$2,IF(B10&gt;=3,'Model tallatge'!$E$2,IF(B10='Model tallatge'!$D$10,'Model tallatge'!$D$2,IF(B10='Model tallatge'!$C$10,'Model tallatge'!$C$2,0)))),IF(B11&gt;=5,'Model tallatge'!$F$2,IF(B11&gt;=3,'Model tallatge'!$E$2,IF(B11='Model tallatge'!$D$11,'Model tallatge'!$D$2,IF(B11='Model tallatge'!$C$11,'Model tallatge'!$C$2,0)))), IF(B12&gt;=5,'Model tallatge'!$G$2,IF(B12='Model tallatge'!$F$12,'Model tallatge'!$F$2,IF(B12='Model tallatge'!$E$12,'Model tallatge'!$E$2,IF(B12='Model tallatge'!$D$12,'Model tallatge'!$D$2,IF(B12='Model tallatge'!$C$12,'Model tallatge'!$C$2,0))))),IF(B13&gt;5,'Model tallatge'!$F$2,IF(B13&gt;=4,'Model tallatge'!$E$2,IF(B13&gt;=2,'Model tallatge'!$D$2,IF(B13='Model tallatge'!$C$13,'Model tallatge'!$C$2,0)))), IF(B14='Model tallatge'!$G$14,'Model tallatge'!$G$2,IF(B14='Model tallatge'!$E$14,'Model tallatge'!$E$2,IF(B14='Model tallatge'!$C$14,'Model tallatge'!$C$2,0))))</f>
        <v>4</v>
      </c>
      <c r="C7" s="37">
        <f>SUM(IF(C8&gt;5,'Model tallatge'!$G$2,IF(C8&gt;=4,'Model tallatge'!$F$2,IF(C8&gt;=2,'Model tallatge'!$E$2,IF(C8='Model tallatge'!$D$8,'Model tallatge'!$D$2,0)))),IF(C9&gt;5,'Model tallatge'!$G$2,IF(C9&gt;=4,'Model tallatge'!$F$2,IF(C9&gt;=2,'Model tallatge'!$E$2,IF(C9='Model tallatge'!$D$9,'Model tallatge'!$D$2,0)))), IF(C10&gt;=5,'Model tallatge'!$F$2,IF(C10&gt;=3,'Model tallatge'!$E$2,IF(C10='Model tallatge'!$D$10,'Model tallatge'!$D$2,IF(C10='Model tallatge'!$C$10,'Model tallatge'!$C$2,0)))),IF(C11&gt;=5,'Model tallatge'!$F$2,IF(C11&gt;=3,'Model tallatge'!$E$2,IF(C11='Model tallatge'!$D$11,'Model tallatge'!$D$2,IF(C11='Model tallatge'!$C$11,'Model tallatge'!$C$2,0)))), IF(C12&gt;=5,'Model tallatge'!$G$2,IF(C12='Model tallatge'!$F$12,'Model tallatge'!$F$2,IF(C12='Model tallatge'!$E$12,'Model tallatge'!$E$2,IF(C12='Model tallatge'!$D$12,'Model tallatge'!$D$2,IF(C12='Model tallatge'!$C$12,'Model tallatge'!$C$2,0))))),IF(C13&gt;5,'Model tallatge'!$F$2,IF(C13&gt;=4,'Model tallatge'!$E$2,IF(C13&gt;=2,'Model tallatge'!$D$2,IF(C13='Model tallatge'!$C$13,'Model tallatge'!$C$2,0)))), IF(C14='Model tallatge'!$G$14,'Model tallatge'!$G$2,IF(C14='Model tallatge'!$E$14,'Model tallatge'!$E$2,IF(C14='Model tallatge'!$C$14,'Model tallatge'!$C$2,0))))</f>
        <v>4</v>
      </c>
      <c r="D7" s="37">
        <f>SUM(IF(D8&gt;5,'Model tallatge'!$G$2,IF(D8&gt;=4,'Model tallatge'!$F$2,IF(D8&gt;=2,'Model tallatge'!$E$2,IF(D8='Model tallatge'!$D$8,'Model tallatge'!$D$2,0)))),IF(D9&gt;5,'Model tallatge'!$G$2,IF(D9&gt;=4,'Model tallatge'!$F$2,IF(D9&gt;=2,'Model tallatge'!$E$2,IF(D9='Model tallatge'!$D$9,'Model tallatge'!$D$2,0)))), IF(D10&gt;=5,'Model tallatge'!$F$2,IF(D10&gt;=3,'Model tallatge'!$E$2,IF(D10='Model tallatge'!$D$10,'Model tallatge'!$D$2,IF(D10='Model tallatge'!$C$10,'Model tallatge'!$C$2,0)))),IF(D11&gt;=5,'Model tallatge'!$F$2,IF(D11&gt;=3,'Model tallatge'!$E$2,IF(D11='Model tallatge'!$D$11,'Model tallatge'!$D$2,IF(D11='Model tallatge'!$C$11,'Model tallatge'!$C$2,0)))), IF(D12&gt;=5,'Model tallatge'!$G$2,IF(D12='Model tallatge'!$F$12,'Model tallatge'!$F$2,IF(D12='Model tallatge'!$E$12,'Model tallatge'!$E$2,IF(D12='Model tallatge'!$D$12,'Model tallatge'!$D$2,IF(D12='Model tallatge'!$C$12,'Model tallatge'!$C$2,0))))),IF(D13&gt;5,'Model tallatge'!$F$2,IF(D13&gt;=4,'Model tallatge'!$E$2,IF(D13&gt;=2,'Model tallatge'!$D$2,IF(D13='Model tallatge'!$C$13,'Model tallatge'!$C$2,0)))), IF(D14='Model tallatge'!$G$14,'Model tallatge'!$G$2,IF(D14='Model tallatge'!$E$14,'Model tallatge'!$E$2,IF(D14='Model tallatge'!$C$14,'Model tallatge'!$C$2,0))))</f>
        <v>9</v>
      </c>
      <c r="E7" s="37">
        <f>SUM(IF(E8&gt;5,'Model tallatge'!$G$2,IF(E8&gt;=4,'Model tallatge'!$F$2,IF(E8&gt;=2,'Model tallatge'!$E$2,IF(E8='Model tallatge'!$D$8,'Model tallatge'!$D$2,0)))),IF(E9&gt;5,'Model tallatge'!$G$2,IF(E9&gt;=4,'Model tallatge'!$F$2,IF(E9&gt;=2,'Model tallatge'!$E$2,IF(E9='Model tallatge'!$D$9,'Model tallatge'!$D$2,0)))), IF(E10&gt;=5,'Model tallatge'!$F$2,IF(E10&gt;=3,'Model tallatge'!$E$2,IF(E10='Model tallatge'!$D$10,'Model tallatge'!$D$2,IF(E10='Model tallatge'!$C$10,'Model tallatge'!$C$2,0)))),IF(E11&gt;=5,'Model tallatge'!$F$2,IF(E11&gt;=3,'Model tallatge'!$E$2,IF(E11='Model tallatge'!$D$11,'Model tallatge'!$D$2,IF(E11='Model tallatge'!$C$11,'Model tallatge'!$C$2,0)))), IF(E12&gt;=5,'Model tallatge'!$G$2,IF(E12='Model tallatge'!$F$12,'Model tallatge'!$F$2,IF(E12='Model tallatge'!$E$12,'Model tallatge'!$E$2,IF(E12='Model tallatge'!$D$12,'Model tallatge'!$D$2,IF(E12='Model tallatge'!$C$12,'Model tallatge'!$C$2,0))))),IF(E13&gt;5,'Model tallatge'!$F$2,IF(E13&gt;=4,'Model tallatge'!$E$2,IF(E13&gt;=2,'Model tallatge'!$D$2,IF(E13='Model tallatge'!$C$13,'Model tallatge'!$C$2,0)))), IF(E14='Model tallatge'!$G$14,'Model tallatge'!$G$2,IF(E14='Model tallatge'!$E$14,'Model tallatge'!$E$2,IF(E14='Model tallatge'!$C$14,'Model tallatge'!$C$2,0))))</f>
        <v>5</v>
      </c>
      <c r="F7" s="37">
        <f>SUM(IF(F8&gt;5,'Model tallatge'!$G$2,IF(F8&gt;=4,'Model tallatge'!$F$2,IF(F8&gt;=2,'Model tallatge'!$E$2,IF(F8='Model tallatge'!$D$8,'Model tallatge'!$D$2,0)))),IF(F9&gt;5,'Model tallatge'!$G$2,IF(F9&gt;=4,'Model tallatge'!$F$2,IF(F9&gt;=2,'Model tallatge'!$E$2,IF(F9='Model tallatge'!$D$9,'Model tallatge'!$D$2,0)))), IF(F10&gt;=5,'Model tallatge'!$F$2,IF(F10&gt;=3,'Model tallatge'!$E$2,IF(F10='Model tallatge'!$D$10,'Model tallatge'!$D$2,IF(F10='Model tallatge'!$C$10,'Model tallatge'!$C$2,0)))),IF(F11&gt;=5,'Model tallatge'!$F$2,IF(F11&gt;=3,'Model tallatge'!$E$2,IF(F11='Model tallatge'!$D$11,'Model tallatge'!$D$2,IF(F11='Model tallatge'!$C$11,'Model tallatge'!$C$2,0)))), IF(F12&gt;=5,'Model tallatge'!$G$2,IF(F12='Model tallatge'!$F$12,'Model tallatge'!$F$2,IF(F12='Model tallatge'!$E$12,'Model tallatge'!$E$2,IF(F12='Model tallatge'!$D$12,'Model tallatge'!$D$2,IF(F12='Model tallatge'!$C$12,'Model tallatge'!$C$2,0))))),IF(F13&gt;5,'Model tallatge'!$F$2,IF(F13&gt;=4,'Model tallatge'!$E$2,IF(F13&gt;=2,'Model tallatge'!$D$2,IF(F13='Model tallatge'!$C$13,'Model tallatge'!$C$2,0)))), IF(F14='Model tallatge'!$G$14,'Model tallatge'!$G$2,IF(F14='Model tallatge'!$E$14,'Model tallatge'!$E$2,IF(F14='Model tallatge'!$C$14,'Model tallatge'!$C$2,0))))</f>
        <v>3</v>
      </c>
      <c r="G7" s="37">
        <f>SUM(IF(G8&gt;5,'Model tallatge'!$G$2,IF(G8&gt;=4,'Model tallatge'!$F$2,IF(G8&gt;=2,'Model tallatge'!$E$2,IF(G8='Model tallatge'!$D$8,'Model tallatge'!$D$2,0)))),IF(G9&gt;5,'Model tallatge'!$G$2,IF(G9&gt;=4,'Model tallatge'!$F$2,IF(G9&gt;=2,'Model tallatge'!$E$2,IF(G9='Model tallatge'!$D$9,'Model tallatge'!$D$2,0)))), IF(G10&gt;=5,'Model tallatge'!$F$2,IF(G10&gt;=3,'Model tallatge'!$E$2,IF(G10='Model tallatge'!$D$10,'Model tallatge'!$D$2,IF(G10='Model tallatge'!$C$10,'Model tallatge'!$C$2,0)))),IF(G11&gt;=5,'Model tallatge'!$F$2,IF(G11&gt;=3,'Model tallatge'!$E$2,IF(G11='Model tallatge'!$D$11,'Model tallatge'!$D$2,IF(G11='Model tallatge'!$C$11,'Model tallatge'!$C$2,0)))), IF(G12&gt;=5,'Model tallatge'!$G$2,IF(G12='Model tallatge'!$F$12,'Model tallatge'!$F$2,IF(G12='Model tallatge'!$E$12,'Model tallatge'!$E$2,IF(G12='Model tallatge'!$D$12,'Model tallatge'!$D$2,IF(G12='Model tallatge'!$C$12,'Model tallatge'!$C$2,0))))),IF(G13&gt;5,'Model tallatge'!$F$2,IF(G13&gt;=4,'Model tallatge'!$E$2,IF(G13&gt;=2,'Model tallatge'!$D$2,IF(G13='Model tallatge'!$C$13,'Model tallatge'!$C$2,0)))), IF(G14='Model tallatge'!$G$14,'Model tallatge'!$G$2,IF(G14='Model tallatge'!$E$14,'Model tallatge'!$E$2,IF(G14='Model tallatge'!$C$14,'Model tallatge'!$C$2,0))))</f>
        <v>4</v>
      </c>
      <c r="H7" s="37">
        <f>SUM(IF(H8&gt;5,'Model tallatge'!$G$2,IF(H8&gt;=4,'Model tallatge'!$F$2,IF(H8&gt;=2,'Model tallatge'!$E$2,IF(H8='Model tallatge'!$D$8,'Model tallatge'!$D$2,0)))),IF(H9&gt;5,'Model tallatge'!$G$2,IF(H9&gt;=4,'Model tallatge'!$F$2,IF(H9&gt;=2,'Model tallatge'!$E$2,IF(H9='Model tallatge'!$D$9,'Model tallatge'!$D$2,0)))), IF(H10&gt;=5,'Model tallatge'!$F$2,IF(H10&gt;=3,'Model tallatge'!$E$2,IF(H10='Model tallatge'!$D$10,'Model tallatge'!$D$2,IF(H10='Model tallatge'!$C$10,'Model tallatge'!$C$2,0)))),IF(H11&gt;=5,'Model tallatge'!$F$2,IF(H11&gt;=3,'Model tallatge'!$E$2,IF(H11='Model tallatge'!$D$11,'Model tallatge'!$D$2,IF(H11='Model tallatge'!$C$11,'Model tallatge'!$C$2,0)))), IF(H12&gt;=5,'Model tallatge'!$G$2,IF(H12='Model tallatge'!$F$12,'Model tallatge'!$F$2,IF(H12='Model tallatge'!$E$12,'Model tallatge'!$E$2,IF(H12='Model tallatge'!$D$12,'Model tallatge'!$D$2,IF(H12='Model tallatge'!$C$12,'Model tallatge'!$C$2,0))))),IF(H13&gt;5,'Model tallatge'!$F$2,IF(H13&gt;=4,'Model tallatge'!$E$2,IF(H13&gt;=2,'Model tallatge'!$D$2,IF(H13='Model tallatge'!$C$13,'Model tallatge'!$C$2,0)))), IF(H14='Model tallatge'!$G$14,'Model tallatge'!$G$2,IF(H14='Model tallatge'!$E$14,'Model tallatge'!$E$2,IF(H14='Model tallatge'!$C$14,'Model tallatge'!$C$2,0))))</f>
        <v>4</v>
      </c>
      <c r="I7" s="37">
        <f>SUM(IF(I8&gt;5,'Model tallatge'!$G$2,IF(I8&gt;=4,'Model tallatge'!$F$2,IF(I8&gt;=2,'Model tallatge'!$E$2,IF(I8='Model tallatge'!$D$8,'Model tallatge'!$D$2,0)))),IF(I9&gt;5,'Model tallatge'!$G$2,IF(I9&gt;=4,'Model tallatge'!$F$2,IF(I9&gt;=2,'Model tallatge'!$E$2,IF(I9='Model tallatge'!$D$9,'Model tallatge'!$D$2,0)))), IF(I10&gt;=5,'Model tallatge'!$F$2,IF(I10&gt;=3,'Model tallatge'!$E$2,IF(I10='Model tallatge'!$D$10,'Model tallatge'!$D$2,IF(I10='Model tallatge'!$C$10,'Model tallatge'!$C$2,0)))),IF(I11&gt;=5,'Model tallatge'!$F$2,IF(I11&gt;=3,'Model tallatge'!$E$2,IF(I11='Model tallatge'!$D$11,'Model tallatge'!$D$2,IF(I11='Model tallatge'!$C$11,'Model tallatge'!$C$2,0)))), IF(I12&gt;=5,'Model tallatge'!$G$2,IF(I12='Model tallatge'!$F$12,'Model tallatge'!$F$2,IF(I12='Model tallatge'!$E$12,'Model tallatge'!$E$2,IF(I12='Model tallatge'!$D$12,'Model tallatge'!$D$2,IF(I12='Model tallatge'!$C$12,'Model tallatge'!$C$2,0))))),IF(I13&gt;5,'Model tallatge'!$F$2,IF(I13&gt;=4,'Model tallatge'!$E$2,IF(I13&gt;=2,'Model tallatge'!$D$2,IF(I13='Model tallatge'!$C$13,'Model tallatge'!$C$2,0)))), IF(I14='Model tallatge'!$G$14,'Model tallatge'!$G$2,IF(I14='Model tallatge'!$E$14,'Model tallatge'!$E$2,IF(I14='Model tallatge'!$C$14,'Model tallatge'!$C$2,0))))</f>
        <v>3</v>
      </c>
      <c r="J7" s="37">
        <f>SUM(IF(J8&gt;5,'Model tallatge'!$G$2,IF(J8&gt;=4,'Model tallatge'!$F$2,IF(J8&gt;=2,'Model tallatge'!$E$2,IF(J8='Model tallatge'!$D$8,'Model tallatge'!$D$2,0)))),IF(J9&gt;5,'Model tallatge'!$G$2,IF(J9&gt;=4,'Model tallatge'!$F$2,IF(J9&gt;=2,'Model tallatge'!$E$2,IF(J9='Model tallatge'!$D$9,'Model tallatge'!$D$2,0)))), IF(J10&gt;=5,'Model tallatge'!$F$2,IF(J10&gt;=3,'Model tallatge'!$E$2,IF(J10='Model tallatge'!$D$10,'Model tallatge'!$D$2,IF(J10='Model tallatge'!$C$10,'Model tallatge'!$C$2,0)))),IF(J11&gt;=5,'Model tallatge'!$F$2,IF(J11&gt;=3,'Model tallatge'!$E$2,IF(J11='Model tallatge'!$D$11,'Model tallatge'!$D$2,IF(J11='Model tallatge'!$C$11,'Model tallatge'!$C$2,0)))), IF(J12&gt;=5,'Model tallatge'!$G$2,IF(J12='Model tallatge'!$F$12,'Model tallatge'!$F$2,IF(J12='Model tallatge'!$E$12,'Model tallatge'!$E$2,IF(J12='Model tallatge'!$D$12,'Model tallatge'!$D$2,IF(J12='Model tallatge'!$C$12,'Model tallatge'!$C$2,0))))),IF(J13&gt;5,'Model tallatge'!$F$2,IF(J13&gt;=4,'Model tallatge'!$E$2,IF(J13&gt;=2,'Model tallatge'!$D$2,IF(J13='Model tallatge'!$C$13,'Model tallatge'!$C$2,0)))), IF(J14='Model tallatge'!$G$14,'Model tallatge'!$G$2,IF(J14='Model tallatge'!$E$14,'Model tallatge'!$E$2,IF(J14='Model tallatge'!$C$14,'Model tallatge'!$C$2,0))))</f>
        <v>5</v>
      </c>
      <c r="K7" s="37">
        <f>SUM(IF(K8&gt;5,'Model tallatge'!$G$2,IF(K8&gt;=4,'Model tallatge'!$F$2,IF(K8&gt;=2,'Model tallatge'!$E$2,IF(K8='Model tallatge'!$D$8,'Model tallatge'!$D$2,0)))),IF(K9&gt;5,'Model tallatge'!$G$2,IF(K9&gt;=4,'Model tallatge'!$F$2,IF(K9&gt;=2,'Model tallatge'!$E$2,IF(K9='Model tallatge'!$D$9,'Model tallatge'!$D$2,0)))), IF(K10&gt;=5,'Model tallatge'!$F$2,IF(K10&gt;=3,'Model tallatge'!$E$2,IF(K10='Model tallatge'!$D$10,'Model tallatge'!$D$2,IF(K10='Model tallatge'!$C$10,'Model tallatge'!$C$2,0)))),IF(K11&gt;=5,'Model tallatge'!$F$2,IF(K11&gt;=3,'Model tallatge'!$E$2,IF(K11='Model tallatge'!$D$11,'Model tallatge'!$D$2,IF(K11='Model tallatge'!$C$11,'Model tallatge'!$C$2,0)))), IF(K12&gt;=5,'Model tallatge'!$G$2,IF(K12='Model tallatge'!$F$12,'Model tallatge'!$F$2,IF(K12='Model tallatge'!$E$12,'Model tallatge'!$E$2,IF(K12='Model tallatge'!$D$12,'Model tallatge'!$D$2,IF(K12='Model tallatge'!$C$12,'Model tallatge'!$C$2,0))))),IF(K13&gt;5,'Model tallatge'!$F$2,IF(K13&gt;=4,'Model tallatge'!$E$2,IF(K13&gt;=2,'Model tallatge'!$D$2,IF(K13='Model tallatge'!$C$13,'Model tallatge'!$C$2,0)))), IF(K14='Model tallatge'!$G$14,'Model tallatge'!$G$2,IF(K14='Model tallatge'!$E$14,'Model tallatge'!$E$2,IF(K14='Model tallatge'!$C$14,'Model tallatge'!$C$2,0))))</f>
        <v>10</v>
      </c>
      <c r="L7" s="37">
        <f>SUM(IF(L8&gt;5,'Model tallatge'!$G$2,IF(L8&gt;=4,'Model tallatge'!$F$2,IF(L8&gt;=2,'Model tallatge'!$E$2,IF(L8='Model tallatge'!$D$8,'Model tallatge'!$D$2,0)))),IF(L9&gt;5,'Model tallatge'!$G$2,IF(L9&gt;=4,'Model tallatge'!$F$2,IF(L9&gt;=2,'Model tallatge'!$E$2,IF(L9='Model tallatge'!$D$9,'Model tallatge'!$D$2,0)))), IF(L10&gt;=5,'Model tallatge'!$F$2,IF(L10&gt;=3,'Model tallatge'!$E$2,IF(L10='Model tallatge'!$D$10,'Model tallatge'!$D$2,IF(L10='Model tallatge'!$C$10,'Model tallatge'!$C$2,0)))),IF(L11&gt;=5,'Model tallatge'!$F$2,IF(L11&gt;=3,'Model tallatge'!$E$2,IF(L11='Model tallatge'!$D$11,'Model tallatge'!$D$2,IF(L11='Model tallatge'!$C$11,'Model tallatge'!$C$2,0)))), IF(L12&gt;=5,'Model tallatge'!$G$2,IF(L12='Model tallatge'!$F$12,'Model tallatge'!$F$2,IF(L12='Model tallatge'!$E$12,'Model tallatge'!$E$2,IF(L12='Model tallatge'!$D$12,'Model tallatge'!$D$2,IF(L12='Model tallatge'!$C$12,'Model tallatge'!$C$2,0))))),IF(L13&gt;5,'Model tallatge'!$F$2,IF(L13&gt;=4,'Model tallatge'!$E$2,IF(L13&gt;=2,'Model tallatge'!$D$2,IF(L13='Model tallatge'!$C$13,'Model tallatge'!$C$2,0)))), IF(L14='Model tallatge'!$G$14,'Model tallatge'!$G$2,IF(L14='Model tallatge'!$E$14,'Model tallatge'!$E$2,IF(L14='Model tallatge'!$C$14,'Model tallatge'!$C$2,0))))</f>
        <v>5</v>
      </c>
      <c r="M7" s="37">
        <f>SUM(IF(M8&gt;5,'Model tallatge'!$G$2,IF(M8&gt;=4,'Model tallatge'!$F$2,IF(M8&gt;=2,'Model tallatge'!$E$2,IF(M8='Model tallatge'!$D$8,'Model tallatge'!$D$2,0)))),IF(M9&gt;5,'Model tallatge'!$G$2,IF(M9&gt;=4,'Model tallatge'!$F$2,IF(M9&gt;=2,'Model tallatge'!$E$2,IF(M9='Model tallatge'!$D$9,'Model tallatge'!$D$2,0)))), IF(M10&gt;=5,'Model tallatge'!$F$2,IF(M10&gt;=3,'Model tallatge'!$E$2,IF(M10='Model tallatge'!$D$10,'Model tallatge'!$D$2,IF(M10='Model tallatge'!$C$10,'Model tallatge'!$C$2,0)))),IF(M11&gt;=5,'Model tallatge'!$F$2,IF(M11&gt;=3,'Model tallatge'!$E$2,IF(M11='Model tallatge'!$D$11,'Model tallatge'!$D$2,IF(M11='Model tallatge'!$C$11,'Model tallatge'!$C$2,0)))), IF(M12&gt;=5,'Model tallatge'!$G$2,IF(M12='Model tallatge'!$F$12,'Model tallatge'!$F$2,IF(M12='Model tallatge'!$E$12,'Model tallatge'!$E$2,IF(M12='Model tallatge'!$D$12,'Model tallatge'!$D$2,IF(M12='Model tallatge'!$C$12,'Model tallatge'!$C$2,0))))),IF(M13&gt;5,'Model tallatge'!$F$2,IF(M13&gt;=4,'Model tallatge'!$E$2,IF(M13&gt;=2,'Model tallatge'!$D$2,IF(M13='Model tallatge'!$C$13,'Model tallatge'!$C$2,0)))), IF(M14='Model tallatge'!$G$14,'Model tallatge'!$G$2,IF(M14='Model tallatge'!$E$14,'Model tallatge'!$E$2,IF(M14='Model tallatge'!$C$14,'Model tallatge'!$C$2,0))))</f>
        <v>7</v>
      </c>
      <c r="N7" s="37">
        <f>SUM(IF(N8&gt;5,'Model tallatge'!$G$2,IF(N8&gt;=4,'Model tallatge'!$F$2,IF(N8&gt;=2,'Model tallatge'!$E$2,IF(N8='Model tallatge'!$D$8,'Model tallatge'!$D$2,0)))),IF(N9&gt;5,'Model tallatge'!$G$2,IF(N9&gt;=4,'Model tallatge'!$F$2,IF(N9&gt;=2,'Model tallatge'!$E$2,IF(N9='Model tallatge'!$D$9,'Model tallatge'!$D$2,0)))), IF(N10&gt;=5,'Model tallatge'!$F$2,IF(N10&gt;=3,'Model tallatge'!$E$2,IF(N10='Model tallatge'!$D$10,'Model tallatge'!$D$2,IF(N10='Model tallatge'!$C$10,'Model tallatge'!$C$2,0)))),IF(N11&gt;=5,'Model tallatge'!$F$2,IF(N11&gt;=3,'Model tallatge'!$E$2,IF(N11='Model tallatge'!$D$11,'Model tallatge'!$D$2,IF(N11='Model tallatge'!$C$11,'Model tallatge'!$C$2,0)))), IF(N12&gt;=5,'Model tallatge'!$G$2,IF(N12='Model tallatge'!$F$12,'Model tallatge'!$F$2,IF(N12='Model tallatge'!$E$12,'Model tallatge'!$E$2,IF(N12='Model tallatge'!$D$12,'Model tallatge'!$D$2,IF(N12='Model tallatge'!$C$12,'Model tallatge'!$C$2,0))))),IF(N13&gt;5,'Model tallatge'!$F$2,IF(N13&gt;=4,'Model tallatge'!$E$2,IF(N13&gt;=2,'Model tallatge'!$D$2,IF(N13='Model tallatge'!$C$13,'Model tallatge'!$C$2,0)))), IF(N14='Model tallatge'!$G$14,'Model tallatge'!$G$2,IF(N14='Model tallatge'!$E$14,'Model tallatge'!$E$2,IF(N14='Model tallatge'!$C$14,'Model tallatge'!$C$2,0))))</f>
        <v>12</v>
      </c>
      <c r="O7" s="37">
        <f>SUM(IF(O8&gt;5,'Model tallatge'!$G$2,IF(O8&gt;=4,'Model tallatge'!$F$2,IF(O8&gt;=2,'Model tallatge'!$E$2,IF(O8='Model tallatge'!$D$8,'Model tallatge'!$D$2,0)))),IF(O9&gt;5,'Model tallatge'!$G$2,IF(O9&gt;=4,'Model tallatge'!$F$2,IF(O9&gt;=2,'Model tallatge'!$E$2,IF(O9='Model tallatge'!$D$9,'Model tallatge'!$D$2,0)))), IF(O10&gt;=5,'Model tallatge'!$F$2,IF(O10&gt;=3,'Model tallatge'!$E$2,IF(O10='Model tallatge'!$D$10,'Model tallatge'!$D$2,IF(O10='Model tallatge'!$C$10,'Model tallatge'!$C$2,0)))),IF(O11&gt;=5,'Model tallatge'!$F$2,IF(O11&gt;=3,'Model tallatge'!$E$2,IF(O11='Model tallatge'!$D$11,'Model tallatge'!$D$2,IF(O11='Model tallatge'!$C$11,'Model tallatge'!$C$2,0)))), IF(O12&gt;=5,'Model tallatge'!$G$2,IF(O12='Model tallatge'!$F$12,'Model tallatge'!$F$2,IF(O12='Model tallatge'!$E$12,'Model tallatge'!$E$2,IF(O12='Model tallatge'!$D$12,'Model tallatge'!$D$2,IF(O12='Model tallatge'!$C$12,'Model tallatge'!$C$2,0))))),IF(O13&gt;5,'Model tallatge'!$F$2,IF(O13&gt;=4,'Model tallatge'!$E$2,IF(O13&gt;=2,'Model tallatge'!$D$2,IF(O13='Model tallatge'!$C$13,'Model tallatge'!$C$2,0)))), IF(O14='Model tallatge'!$G$14,'Model tallatge'!$G$2,IF(O14='Model tallatge'!$E$14,'Model tallatge'!$E$2,IF(O14='Model tallatge'!$C$14,'Model tallatge'!$C$2,0))))</f>
        <v>7</v>
      </c>
      <c r="P7" s="37">
        <f>SUM(IF(P8&gt;5,'Model tallatge'!$G$2,IF(P8&gt;=4,'Model tallatge'!$F$2,IF(P8&gt;=2,'Model tallatge'!$E$2,IF(P8='Model tallatge'!$D$8,'Model tallatge'!$D$2,0)))),IF(P9&gt;5,'Model tallatge'!$G$2,IF(P9&gt;=4,'Model tallatge'!$F$2,IF(P9&gt;=2,'Model tallatge'!$E$2,IF(P9='Model tallatge'!$D$9,'Model tallatge'!$D$2,0)))), IF(P10&gt;=5,'Model tallatge'!$F$2,IF(P10&gt;=3,'Model tallatge'!$E$2,IF(P10='Model tallatge'!$D$10,'Model tallatge'!$D$2,IF(P10='Model tallatge'!$C$10,'Model tallatge'!$C$2,0)))),IF(P11&gt;=5,'Model tallatge'!$F$2,IF(P11&gt;=3,'Model tallatge'!$E$2,IF(P11='Model tallatge'!$D$11,'Model tallatge'!$D$2,IF(P11='Model tallatge'!$C$11,'Model tallatge'!$C$2,0)))), IF(P12&gt;=5,'Model tallatge'!$G$2,IF(P12='Model tallatge'!$F$12,'Model tallatge'!$F$2,IF(P12='Model tallatge'!$E$12,'Model tallatge'!$E$2,IF(P12='Model tallatge'!$D$12,'Model tallatge'!$D$2,IF(P12='Model tallatge'!$C$12,'Model tallatge'!$C$2,0))))),IF(P13&gt;5,'Model tallatge'!$F$2,IF(P13&gt;=4,'Model tallatge'!$E$2,IF(P13&gt;=2,'Model tallatge'!$D$2,IF(P13='Model tallatge'!$C$13,'Model tallatge'!$C$2,0)))), IF(P14='Model tallatge'!$G$14,'Model tallatge'!$G$2,IF(P14='Model tallatge'!$E$14,'Model tallatge'!$E$2,IF(P14='Model tallatge'!$C$14,'Model tallatge'!$C$2,0))))</f>
        <v>8</v>
      </c>
      <c r="Q7" s="37">
        <f>SUM(IF(Q8&gt;5,'Model tallatge'!$G$2,IF(Q8&gt;=4,'Model tallatge'!$F$2,IF(Q8&gt;=2,'Model tallatge'!$E$2,IF(Q8='Model tallatge'!$D$8,'Model tallatge'!$D$2,0)))),IF(Q9&gt;5,'Model tallatge'!$G$2,IF(Q9&gt;=4,'Model tallatge'!$F$2,IF(Q9&gt;=2,'Model tallatge'!$E$2,IF(Q9='Model tallatge'!$D$9,'Model tallatge'!$D$2,0)))), IF(Q10&gt;=5,'Model tallatge'!$F$2,IF(Q10&gt;=3,'Model tallatge'!$E$2,IF(Q10='Model tallatge'!$D$10,'Model tallatge'!$D$2,IF(Q10='Model tallatge'!$C$10,'Model tallatge'!$C$2,0)))),IF(Q11&gt;=5,'Model tallatge'!$F$2,IF(Q11&gt;=3,'Model tallatge'!$E$2,IF(Q11='Model tallatge'!$D$11,'Model tallatge'!$D$2,IF(Q11='Model tallatge'!$C$11,'Model tallatge'!$C$2,0)))), IF(Q12&gt;=5,'Model tallatge'!$G$2,IF(Q12='Model tallatge'!$F$12,'Model tallatge'!$F$2,IF(Q12='Model tallatge'!$E$12,'Model tallatge'!$E$2,IF(Q12='Model tallatge'!$D$12,'Model tallatge'!$D$2,IF(Q12='Model tallatge'!$C$12,'Model tallatge'!$C$2,0))))),IF(Q13&gt;5,'Model tallatge'!$F$2,IF(Q13&gt;=4,'Model tallatge'!$E$2,IF(Q13&gt;=2,'Model tallatge'!$D$2,IF(Q13='Model tallatge'!$C$13,'Model tallatge'!$C$2,0)))), IF(Q14='Model tallatge'!$G$14,'Model tallatge'!$G$2,IF(Q14='Model tallatge'!$E$14,'Model tallatge'!$E$2,IF(Q14='Model tallatge'!$C$14,'Model tallatge'!$C$2,0))))</f>
        <v>8</v>
      </c>
      <c r="R7" s="37">
        <f>SUM(IF(R8&gt;5,'Model tallatge'!$G$2,IF(R8&gt;=4,'Model tallatge'!$F$2,IF(R8&gt;=2,'Model tallatge'!$E$2,IF(R8='Model tallatge'!$D$8,'Model tallatge'!$D$2,0)))),IF(R9&gt;5,'Model tallatge'!$G$2,IF(R9&gt;=4,'Model tallatge'!$F$2,IF(R9&gt;=2,'Model tallatge'!$E$2,IF(R9='Model tallatge'!$D$9,'Model tallatge'!$D$2,0)))), IF(R10&gt;=5,'Model tallatge'!$F$2,IF(R10&gt;=3,'Model tallatge'!$E$2,IF(R10='Model tallatge'!$D$10,'Model tallatge'!$D$2,IF(R10='Model tallatge'!$C$10,'Model tallatge'!$C$2,0)))),IF(R11&gt;=5,'Model tallatge'!$F$2,IF(R11&gt;=3,'Model tallatge'!$E$2,IF(R11='Model tallatge'!$D$11,'Model tallatge'!$D$2,IF(R11='Model tallatge'!$C$11,'Model tallatge'!$C$2,0)))), IF(R12&gt;=5,'Model tallatge'!$G$2,IF(R12='Model tallatge'!$F$12,'Model tallatge'!$F$2,IF(R12='Model tallatge'!$E$12,'Model tallatge'!$E$2,IF(R12='Model tallatge'!$D$12,'Model tallatge'!$D$2,IF(R12='Model tallatge'!$C$12,'Model tallatge'!$C$2,0))))),IF(R13&gt;5,'Model tallatge'!$F$2,IF(R13&gt;=4,'Model tallatge'!$E$2,IF(R13&gt;=2,'Model tallatge'!$D$2,IF(R13='Model tallatge'!$C$13,'Model tallatge'!$C$2,0)))), IF(R14='Model tallatge'!$G$14,'Model tallatge'!$G$2,IF(R14='Model tallatge'!$E$14,'Model tallatge'!$E$2,IF(R14='Model tallatge'!$C$14,'Model tallatge'!$C$2,0))))</f>
        <v>6</v>
      </c>
      <c r="S7" s="37">
        <f>SUM(IF(S8&gt;5,'Model tallatge'!$G$2,IF(S8&gt;=4,'Model tallatge'!$F$2,IF(S8&gt;=2,'Model tallatge'!$E$2,IF(S8='Model tallatge'!$D$8,'Model tallatge'!$D$2,0)))),IF(S9&gt;5,'Model tallatge'!$G$2,IF(S9&gt;=4,'Model tallatge'!$F$2,IF(S9&gt;=2,'Model tallatge'!$E$2,IF(S9='Model tallatge'!$D$9,'Model tallatge'!$D$2,0)))), IF(S10&gt;=5,'Model tallatge'!$F$2,IF(S10&gt;=3,'Model tallatge'!$E$2,IF(S10='Model tallatge'!$D$10,'Model tallatge'!$D$2,IF(S10='Model tallatge'!$C$10,'Model tallatge'!$C$2,0)))),IF(S11&gt;=5,'Model tallatge'!$F$2,IF(S11&gt;=3,'Model tallatge'!$E$2,IF(S11='Model tallatge'!$D$11,'Model tallatge'!$D$2,IF(S11='Model tallatge'!$C$11,'Model tallatge'!$C$2,0)))), IF(S12&gt;=5,'Model tallatge'!$G$2,IF(S12='Model tallatge'!$F$12,'Model tallatge'!$F$2,IF(S12='Model tallatge'!$E$12,'Model tallatge'!$E$2,IF(S12='Model tallatge'!$D$12,'Model tallatge'!$D$2,IF(S12='Model tallatge'!$C$12,'Model tallatge'!$C$2,0))))),IF(S13&gt;5,'Model tallatge'!$F$2,IF(S13&gt;=4,'Model tallatge'!$E$2,IF(S13&gt;=2,'Model tallatge'!$D$2,IF(S13='Model tallatge'!$C$13,'Model tallatge'!$C$2,0)))), IF(S14='Model tallatge'!$G$14,'Model tallatge'!$G$2,IF(S14='Model tallatge'!$E$14,'Model tallatge'!$E$2,IF(S14='Model tallatge'!$C$14,'Model tallatge'!$C$2,0))))</f>
        <v>6</v>
      </c>
      <c r="T7" s="37">
        <f>SUM(IF(T8&gt;5,'Model tallatge'!$G$2,IF(T8&gt;=4,'Model tallatge'!$F$2,IF(T8&gt;=2,'Model tallatge'!$E$2,IF(T8='Model tallatge'!$D$8,'Model tallatge'!$D$2,0)))),IF(T9&gt;5,'Model tallatge'!$G$2,IF(T9&gt;=4,'Model tallatge'!$F$2,IF(T9&gt;=2,'Model tallatge'!$E$2,IF(T9='Model tallatge'!$D$9,'Model tallatge'!$D$2,0)))), IF(T10&gt;=5,'Model tallatge'!$F$2,IF(T10&gt;=3,'Model tallatge'!$E$2,IF(T10='Model tallatge'!$D$10,'Model tallatge'!$D$2,IF(T10='Model tallatge'!$C$10,'Model tallatge'!$C$2,0)))),IF(T11&gt;=5,'Model tallatge'!$F$2,IF(T11&gt;=3,'Model tallatge'!$E$2,IF(T11='Model tallatge'!$D$11,'Model tallatge'!$D$2,IF(T11='Model tallatge'!$C$11,'Model tallatge'!$C$2,0)))), IF(T12&gt;=5,'Model tallatge'!$G$2,IF(T12='Model tallatge'!$F$12,'Model tallatge'!$F$2,IF(T12='Model tallatge'!$E$12,'Model tallatge'!$E$2,IF(T12='Model tallatge'!$D$12,'Model tallatge'!$D$2,IF(T12='Model tallatge'!$C$12,'Model tallatge'!$C$2,0))))),IF(T13&gt;5,'Model tallatge'!$F$2,IF(T13&gt;=4,'Model tallatge'!$E$2,IF(T13&gt;=2,'Model tallatge'!$D$2,IF(T13='Model tallatge'!$C$13,'Model tallatge'!$C$2,0)))), IF(T14='Model tallatge'!$G$14,'Model tallatge'!$G$2,IF(T14='Model tallatge'!$E$14,'Model tallatge'!$E$2,IF(T14='Model tallatge'!$C$14,'Model tallatge'!$C$2,0))))</f>
        <v>8</v>
      </c>
      <c r="U7" s="37">
        <f>SUM(IF(U8&gt;5,'Model tallatge'!$G$2,IF(U8&gt;=4,'Model tallatge'!$F$2,IF(U8&gt;=2,'Model tallatge'!$E$2,IF(U8='Model tallatge'!$D$8,'Model tallatge'!$D$2,0)))),IF(U9&gt;5,'Model tallatge'!$G$2,IF(U9&gt;=4,'Model tallatge'!$F$2,IF(U9&gt;=2,'Model tallatge'!$E$2,IF(U9='Model tallatge'!$D$9,'Model tallatge'!$D$2,0)))), IF(U10&gt;=5,'Model tallatge'!$F$2,IF(U10&gt;=3,'Model tallatge'!$E$2,IF(U10='Model tallatge'!$D$10,'Model tallatge'!$D$2,IF(U10='Model tallatge'!$C$10,'Model tallatge'!$C$2,0)))),IF(U11&gt;=5,'Model tallatge'!$F$2,IF(U11&gt;=3,'Model tallatge'!$E$2,IF(U11='Model tallatge'!$D$11,'Model tallatge'!$D$2,IF(U11='Model tallatge'!$C$11,'Model tallatge'!$C$2,0)))), IF(U12&gt;=5,'Model tallatge'!$G$2,IF(U12='Model tallatge'!$F$12,'Model tallatge'!$F$2,IF(U12='Model tallatge'!$E$12,'Model tallatge'!$E$2,IF(U12='Model tallatge'!$D$12,'Model tallatge'!$D$2,IF(U12='Model tallatge'!$C$12,'Model tallatge'!$C$2,0))))),IF(U13&gt;5,'Model tallatge'!$F$2,IF(U13&gt;=4,'Model tallatge'!$E$2,IF(U13&gt;=2,'Model tallatge'!$D$2,IF(U13='Model tallatge'!$C$13,'Model tallatge'!$C$2,0)))), IF(U14='Model tallatge'!$G$14,'Model tallatge'!$G$2,IF(U14='Model tallatge'!$E$14,'Model tallatge'!$E$2,IF(U14='Model tallatge'!$C$14,'Model tallatge'!$C$2,0))))</f>
        <v>6</v>
      </c>
      <c r="V7" s="37">
        <f>SUM(IF(V8&gt;5,'Model tallatge'!$G$2,IF(V8&gt;=4,'Model tallatge'!$F$2,IF(V8&gt;=2,'Model tallatge'!$E$2,IF(V8='Model tallatge'!$D$8,'Model tallatge'!$D$2,0)))),IF(V9&gt;5,'Model tallatge'!$G$2,IF(V9&gt;=4,'Model tallatge'!$F$2,IF(V9&gt;=2,'Model tallatge'!$E$2,IF(V9='Model tallatge'!$D$9,'Model tallatge'!$D$2,0)))), IF(V10&gt;=5,'Model tallatge'!$F$2,IF(V10&gt;=3,'Model tallatge'!$E$2,IF(V10='Model tallatge'!$D$10,'Model tallatge'!$D$2,IF(V10='Model tallatge'!$C$10,'Model tallatge'!$C$2,0)))),IF(V11&gt;=5,'Model tallatge'!$F$2,IF(V11&gt;=3,'Model tallatge'!$E$2,IF(V11='Model tallatge'!$D$11,'Model tallatge'!$D$2,IF(V11='Model tallatge'!$C$11,'Model tallatge'!$C$2,0)))), IF(V12&gt;=5,'Model tallatge'!$G$2,IF(V12='Model tallatge'!$F$12,'Model tallatge'!$F$2,IF(V12='Model tallatge'!$E$12,'Model tallatge'!$E$2,IF(V12='Model tallatge'!$D$12,'Model tallatge'!$D$2,IF(V12='Model tallatge'!$C$12,'Model tallatge'!$C$2,0))))),IF(V13&gt;5,'Model tallatge'!$F$2,IF(V13&gt;=4,'Model tallatge'!$E$2,IF(V13&gt;=2,'Model tallatge'!$D$2,IF(V13='Model tallatge'!$C$13,'Model tallatge'!$C$2,0)))), IF(V14='Model tallatge'!$G$14,'Model tallatge'!$G$2,IF(V14='Model tallatge'!$E$14,'Model tallatge'!$E$2,IF(V14='Model tallatge'!$C$14,'Model tallatge'!$C$2,0))))</f>
        <v>0</v>
      </c>
      <c r="W7" s="37">
        <f>SUM(IF(W8&gt;5,'Model tallatge'!$G$2,IF(W8&gt;=4,'Model tallatge'!$F$2,IF(W8&gt;=2,'Model tallatge'!$E$2,IF(W8='Model tallatge'!$D$8,'Model tallatge'!$D$2,0)))),IF(W9&gt;5,'Model tallatge'!$G$2,IF(W9&gt;=4,'Model tallatge'!$F$2,IF(W9&gt;=2,'Model tallatge'!$E$2,IF(W9='Model tallatge'!$D$9,'Model tallatge'!$D$2,0)))), IF(W10&gt;=5,'Model tallatge'!$F$2,IF(W10&gt;=3,'Model tallatge'!$E$2,IF(W10='Model tallatge'!$D$10,'Model tallatge'!$D$2,IF(W10='Model tallatge'!$C$10,'Model tallatge'!$C$2,0)))),IF(W11&gt;=5,'Model tallatge'!$F$2,IF(W11&gt;=3,'Model tallatge'!$E$2,IF(W11='Model tallatge'!$D$11,'Model tallatge'!$D$2,IF(W11='Model tallatge'!$C$11,'Model tallatge'!$C$2,0)))), IF(W12&gt;=5,'Model tallatge'!$G$2,IF(W12='Model tallatge'!$F$12,'Model tallatge'!$F$2,IF(W12='Model tallatge'!$E$12,'Model tallatge'!$E$2,IF(W12='Model tallatge'!$D$12,'Model tallatge'!$D$2,IF(W12='Model tallatge'!$C$12,'Model tallatge'!$C$2,0))))),IF(W13&gt;5,'Model tallatge'!$F$2,IF(W13&gt;=4,'Model tallatge'!$E$2,IF(W13&gt;=2,'Model tallatge'!$D$2,IF(W13='Model tallatge'!$C$13,'Model tallatge'!$C$2,0)))), IF(W14='Model tallatge'!$G$14,'Model tallatge'!$G$2,IF(W14='Model tallatge'!$E$14,'Model tallatge'!$E$2,IF(W14='Model tallatge'!$C$14,'Model tallatge'!$C$2,0))))</f>
        <v>7</v>
      </c>
      <c r="X7" s="37">
        <f>SUM(IF(X8&gt;5,'Model tallatge'!$G$2,IF(X8&gt;=4,'Model tallatge'!$F$2,IF(X8&gt;=2,'Model tallatge'!$E$2,IF(X8='Model tallatge'!$D$8,'Model tallatge'!$D$2,0)))),IF(X9&gt;5,'Model tallatge'!$G$2,IF(X9&gt;=4,'Model tallatge'!$F$2,IF(X9&gt;=2,'Model tallatge'!$E$2,IF(X9='Model tallatge'!$D$9,'Model tallatge'!$D$2,0)))), IF(X10&gt;=5,'Model tallatge'!$F$2,IF(X10&gt;=3,'Model tallatge'!$E$2,IF(X10='Model tallatge'!$D$10,'Model tallatge'!$D$2,IF(X10='Model tallatge'!$C$10,'Model tallatge'!$C$2,0)))),IF(X11&gt;=5,'Model tallatge'!$F$2,IF(X11&gt;=3,'Model tallatge'!$E$2,IF(X11='Model tallatge'!$D$11,'Model tallatge'!$D$2,IF(X11='Model tallatge'!$C$11,'Model tallatge'!$C$2,0)))), IF(X12&gt;=5,'Model tallatge'!$G$2,IF(X12='Model tallatge'!$F$12,'Model tallatge'!$F$2,IF(X12='Model tallatge'!$E$12,'Model tallatge'!$E$2,IF(X12='Model tallatge'!$D$12,'Model tallatge'!$D$2,IF(X12='Model tallatge'!$C$12,'Model tallatge'!$C$2,0))))),IF(X13&gt;5,'Model tallatge'!$F$2,IF(X13&gt;=4,'Model tallatge'!$E$2,IF(X13&gt;=2,'Model tallatge'!$D$2,IF(X13='Model tallatge'!$C$13,'Model tallatge'!$C$2,0)))), IF(X14='Model tallatge'!$G$14,'Model tallatge'!$G$2,IF(X14='Model tallatge'!$E$14,'Model tallatge'!$E$2,IF(X14='Model tallatge'!$C$14,'Model tallatge'!$C$2,0))))</f>
        <v>6</v>
      </c>
      <c r="Y7" s="37">
        <f>SUM(IF(Y8&gt;5,'Model tallatge'!$G$2,IF(Y8&gt;=4,'Model tallatge'!$F$2,IF(Y8&gt;=2,'Model tallatge'!$E$2,IF(Y8='Model tallatge'!$D$8,'Model tallatge'!$D$2,0)))),IF(Y9&gt;5,'Model tallatge'!$G$2,IF(Y9&gt;=4,'Model tallatge'!$F$2,IF(Y9&gt;=2,'Model tallatge'!$E$2,IF(Y9='Model tallatge'!$D$9,'Model tallatge'!$D$2,0)))), IF(Y10&gt;=5,'Model tallatge'!$F$2,IF(Y10&gt;=3,'Model tallatge'!$E$2,IF(Y10='Model tallatge'!$D$10,'Model tallatge'!$D$2,IF(Y10='Model tallatge'!$C$10,'Model tallatge'!$C$2,0)))),IF(Y11&gt;=5,'Model tallatge'!$F$2,IF(Y11&gt;=3,'Model tallatge'!$E$2,IF(Y11='Model tallatge'!$D$11,'Model tallatge'!$D$2,IF(Y11='Model tallatge'!$C$11,'Model tallatge'!$C$2,0)))), IF(Y12&gt;=5,'Model tallatge'!$G$2,IF(Y12='Model tallatge'!$F$12,'Model tallatge'!$F$2,IF(Y12='Model tallatge'!$E$12,'Model tallatge'!$E$2,IF(Y12='Model tallatge'!$D$12,'Model tallatge'!$D$2,IF(Y12='Model tallatge'!$C$12,'Model tallatge'!$C$2,0))))),IF(Y13&gt;5,'Model tallatge'!$F$2,IF(Y13&gt;=4,'Model tallatge'!$E$2,IF(Y13&gt;=2,'Model tallatge'!$D$2,IF(Y13='Model tallatge'!$C$13,'Model tallatge'!$C$2,0)))), IF(Y14='Model tallatge'!$G$14,'Model tallatge'!$G$2,IF(Y14='Model tallatge'!$E$14,'Model tallatge'!$E$2,IF(Y14='Model tallatge'!$C$14,'Model tallatge'!$C$2,0))))</f>
        <v>6</v>
      </c>
      <c r="Z7" s="37">
        <f>SUM(IF(Z8&gt;5,'Model tallatge'!$G$2,IF(Z8&gt;=4,'Model tallatge'!$F$2,IF(Z8&gt;=2,'Model tallatge'!$E$2,IF(Z8='Model tallatge'!$D$8,'Model tallatge'!$D$2,0)))),IF(Z9&gt;5,'Model tallatge'!$G$2,IF(Z9&gt;=4,'Model tallatge'!$F$2,IF(Z9&gt;=2,'Model tallatge'!$E$2,IF(Z9='Model tallatge'!$D$9,'Model tallatge'!$D$2,0)))), IF(Z10&gt;=5,'Model tallatge'!$F$2,IF(Z10&gt;=3,'Model tallatge'!$E$2,IF(Z10='Model tallatge'!$D$10,'Model tallatge'!$D$2,IF(Z10='Model tallatge'!$C$10,'Model tallatge'!$C$2,0)))),IF(Z11&gt;=5,'Model tallatge'!$F$2,IF(Z11&gt;=3,'Model tallatge'!$E$2,IF(Z11='Model tallatge'!$D$11,'Model tallatge'!$D$2,IF(Z11='Model tallatge'!$C$11,'Model tallatge'!$C$2,0)))), IF(Z12&gt;=5,'Model tallatge'!$G$2,IF(Z12='Model tallatge'!$F$12,'Model tallatge'!$F$2,IF(Z12='Model tallatge'!$E$12,'Model tallatge'!$E$2,IF(Z12='Model tallatge'!$D$12,'Model tallatge'!$D$2,IF(Z12='Model tallatge'!$C$12,'Model tallatge'!$C$2,0))))),IF(Z13&gt;5,'Model tallatge'!$F$2,IF(Z13&gt;=4,'Model tallatge'!$E$2,IF(Z13&gt;=2,'Model tallatge'!$D$2,IF(Z13='Model tallatge'!$C$13,'Model tallatge'!$C$2,0)))), IF(Z14='Model tallatge'!$G$14,'Model tallatge'!$G$2,IF(Z14='Model tallatge'!$E$14,'Model tallatge'!$E$2,IF(Z14='Model tallatge'!$C$14,'Model tallatge'!$C$2,0))))</f>
        <v>7</v>
      </c>
      <c r="AA7" s="37">
        <f>SUM(IF(AA8&gt;5,'Model tallatge'!$G$2,IF(AA8&gt;=4,'Model tallatge'!$F$2,IF(AA8&gt;=2,'Model tallatge'!$E$2,IF(AA8='Model tallatge'!$D$8,'Model tallatge'!$D$2,0)))),IF(AA9&gt;5,'Model tallatge'!$G$2,IF(AA9&gt;=4,'Model tallatge'!$F$2,IF(AA9&gt;=2,'Model tallatge'!$E$2,IF(AA9='Model tallatge'!$D$9,'Model tallatge'!$D$2,0)))), IF(AA10&gt;=5,'Model tallatge'!$F$2,IF(AA10&gt;=3,'Model tallatge'!$E$2,IF(AA10='Model tallatge'!$D$10,'Model tallatge'!$D$2,IF(AA10='Model tallatge'!$C$10,'Model tallatge'!$C$2,0)))),IF(AA11&gt;=5,'Model tallatge'!$F$2,IF(AA11&gt;=3,'Model tallatge'!$E$2,IF(AA11='Model tallatge'!$D$11,'Model tallatge'!$D$2,IF(AA11='Model tallatge'!$C$11,'Model tallatge'!$C$2,0)))), IF(AA12&gt;=5,'Model tallatge'!$G$2,IF(AA12='Model tallatge'!$F$12,'Model tallatge'!$F$2,IF(AA12='Model tallatge'!$E$12,'Model tallatge'!$E$2,IF(AA12='Model tallatge'!$D$12,'Model tallatge'!$D$2,IF(AA12='Model tallatge'!$C$12,'Model tallatge'!$C$2,0))))),IF(AA13&gt;5,'Model tallatge'!$F$2,IF(AA13&gt;=4,'Model tallatge'!$E$2,IF(AA13&gt;=2,'Model tallatge'!$D$2,IF(AA13='Model tallatge'!$C$13,'Model tallatge'!$C$2,0)))), IF(AA14='Model tallatge'!$G$14,'Model tallatge'!$G$2,IF(AA14='Model tallatge'!$E$14,'Model tallatge'!$E$2,IF(AA14='Model tallatge'!$C$14,'Model tallatge'!$C$2,0))))</f>
        <v>5</v>
      </c>
      <c r="AB7" s="37">
        <f>SUM(IF(AB8&gt;5,'Model tallatge'!$G$2,IF(AB8&gt;=4,'Model tallatge'!$F$2,IF(AB8&gt;=2,'Model tallatge'!$E$2,IF(AB8='Model tallatge'!$D$8,'Model tallatge'!$D$2,0)))),IF(AB9&gt;5,'Model tallatge'!$G$2,IF(AB9&gt;=4,'Model tallatge'!$F$2,IF(AB9&gt;=2,'Model tallatge'!$E$2,IF(AB9='Model tallatge'!$D$9,'Model tallatge'!$D$2,0)))), IF(AB10&gt;=5,'Model tallatge'!$F$2,IF(AB10&gt;=3,'Model tallatge'!$E$2,IF(AB10='Model tallatge'!$D$10,'Model tallatge'!$D$2,IF(AB10='Model tallatge'!$C$10,'Model tallatge'!$C$2,0)))),IF(AB11&gt;=5,'Model tallatge'!$F$2,IF(AB11&gt;=3,'Model tallatge'!$E$2,IF(AB11='Model tallatge'!$D$11,'Model tallatge'!$D$2,IF(AB11='Model tallatge'!$C$11,'Model tallatge'!$C$2,0)))), IF(AB12&gt;=5,'Model tallatge'!$G$2,IF(AB12='Model tallatge'!$F$12,'Model tallatge'!$F$2,IF(AB12='Model tallatge'!$E$12,'Model tallatge'!$E$2,IF(AB12='Model tallatge'!$D$12,'Model tallatge'!$D$2,IF(AB12='Model tallatge'!$C$12,'Model tallatge'!$C$2,0))))),IF(AB13&gt;5,'Model tallatge'!$F$2,IF(AB13&gt;=4,'Model tallatge'!$E$2,IF(AB13&gt;=2,'Model tallatge'!$D$2,IF(AB13='Model tallatge'!$C$13,'Model tallatge'!$C$2,0)))), IF(AB14='Model tallatge'!$G$14,'Model tallatge'!$G$2,IF(AB14='Model tallatge'!$E$14,'Model tallatge'!$E$2,IF(AB14='Model tallatge'!$C$14,'Model tallatge'!$C$2,0))))</f>
        <v>8</v>
      </c>
      <c r="AC7" s="37">
        <f>SUM(IF(AC8&gt;5,'Model tallatge'!$G$2,IF(AC8&gt;=4,'Model tallatge'!$F$2,IF(AC8&gt;=2,'Model tallatge'!$E$2,IF(AC8='Model tallatge'!$D$8,'Model tallatge'!$D$2,0)))),IF(AC9&gt;5,'Model tallatge'!$G$2,IF(AC9&gt;=4,'Model tallatge'!$F$2,IF(AC9&gt;=2,'Model tallatge'!$E$2,IF(AC9='Model tallatge'!$D$9,'Model tallatge'!$D$2,0)))), IF(AC10&gt;=5,'Model tallatge'!$F$2,IF(AC10&gt;=3,'Model tallatge'!$E$2,IF(AC10='Model tallatge'!$D$10,'Model tallatge'!$D$2,IF(AC10='Model tallatge'!$C$10,'Model tallatge'!$C$2,0)))),IF(AC11&gt;=5,'Model tallatge'!$F$2,IF(AC11&gt;=3,'Model tallatge'!$E$2,IF(AC11='Model tallatge'!$D$11,'Model tallatge'!$D$2,IF(AC11='Model tallatge'!$C$11,'Model tallatge'!$C$2,0)))), IF(AC12&gt;=5,'Model tallatge'!$G$2,IF(AC12='Model tallatge'!$F$12,'Model tallatge'!$F$2,IF(AC12='Model tallatge'!$E$12,'Model tallatge'!$E$2,IF(AC12='Model tallatge'!$D$12,'Model tallatge'!$D$2,IF(AC12='Model tallatge'!$C$12,'Model tallatge'!$C$2,0))))),IF(AC13&gt;5,'Model tallatge'!$F$2,IF(AC13&gt;=4,'Model tallatge'!$E$2,IF(AC13&gt;=2,'Model tallatge'!$D$2,IF(AC13='Model tallatge'!$C$13,'Model tallatge'!$C$2,0)))), IF(AC14='Model tallatge'!$G$14,'Model tallatge'!$G$2,IF(AC14='Model tallatge'!$E$14,'Model tallatge'!$E$2,IF(AC14='Model tallatge'!$C$14,'Model tallatge'!$C$2,0))))</f>
        <v>10</v>
      </c>
      <c r="AD7" s="37">
        <f>SUM(IF(AD8&gt;5,'Model tallatge'!$G$2,IF(AD8&gt;=4,'Model tallatge'!$F$2,IF(AD8&gt;=2,'Model tallatge'!$E$2,IF(AD8='Model tallatge'!$D$8,'Model tallatge'!$D$2,0)))),IF(AD9&gt;5,'Model tallatge'!$G$2,IF(AD9&gt;=4,'Model tallatge'!$F$2,IF(AD9&gt;=2,'Model tallatge'!$E$2,IF(AD9='Model tallatge'!$D$9,'Model tallatge'!$D$2,0)))), IF(AD10&gt;=5,'Model tallatge'!$F$2,IF(AD10&gt;=3,'Model tallatge'!$E$2,IF(AD10='Model tallatge'!$D$10,'Model tallatge'!$D$2,IF(AD10='Model tallatge'!$C$10,'Model tallatge'!$C$2,0)))),IF(AD11&gt;=5,'Model tallatge'!$F$2,IF(AD11&gt;=3,'Model tallatge'!$E$2,IF(AD11='Model tallatge'!$D$11,'Model tallatge'!$D$2,IF(AD11='Model tallatge'!$C$11,'Model tallatge'!$C$2,0)))), IF(AD12&gt;=5,'Model tallatge'!$G$2,IF(AD12='Model tallatge'!$F$12,'Model tallatge'!$F$2,IF(AD12='Model tallatge'!$E$12,'Model tallatge'!$E$2,IF(AD12='Model tallatge'!$D$12,'Model tallatge'!$D$2,IF(AD12='Model tallatge'!$C$12,'Model tallatge'!$C$2,0))))),IF(AD13&gt;5,'Model tallatge'!$F$2,IF(AD13&gt;=4,'Model tallatge'!$E$2,IF(AD13&gt;=2,'Model tallatge'!$D$2,IF(AD13='Model tallatge'!$C$13,'Model tallatge'!$C$2,0)))), IF(AD14='Model tallatge'!$G$14,'Model tallatge'!$G$2,IF(AD14='Model tallatge'!$E$14,'Model tallatge'!$E$2,IF(AD14='Model tallatge'!$C$14,'Model tallatge'!$C$2,0))))</f>
        <v>9</v>
      </c>
      <c r="AE7" s="37">
        <f>SUM(IF(AE8&gt;5,'Model tallatge'!$G$2,IF(AE8&gt;=4,'Model tallatge'!$F$2,IF(AE8&gt;=2,'Model tallatge'!$E$2,IF(AE8='Model tallatge'!$D$8,'Model tallatge'!$D$2,0)))),IF(AE9&gt;5,'Model tallatge'!$G$2,IF(AE9&gt;=4,'Model tallatge'!$F$2,IF(AE9&gt;=2,'Model tallatge'!$E$2,IF(AE9='Model tallatge'!$D$9,'Model tallatge'!$D$2,0)))), IF(AE10&gt;=5,'Model tallatge'!$F$2,IF(AE10&gt;=3,'Model tallatge'!$E$2,IF(AE10='Model tallatge'!$D$10,'Model tallatge'!$D$2,IF(AE10='Model tallatge'!$C$10,'Model tallatge'!$C$2,0)))),IF(AE11&gt;=5,'Model tallatge'!$F$2,IF(AE11&gt;=3,'Model tallatge'!$E$2,IF(AE11='Model tallatge'!$D$11,'Model tallatge'!$D$2,IF(AE11='Model tallatge'!$C$11,'Model tallatge'!$C$2,0)))), IF(AE12&gt;=5,'Model tallatge'!$G$2,IF(AE12='Model tallatge'!$F$12,'Model tallatge'!$F$2,IF(AE12='Model tallatge'!$E$12,'Model tallatge'!$E$2,IF(AE12='Model tallatge'!$D$12,'Model tallatge'!$D$2,IF(AE12='Model tallatge'!$C$12,'Model tallatge'!$C$2,0))))),IF(AE13&gt;5,'Model tallatge'!$F$2,IF(AE13&gt;=4,'Model tallatge'!$E$2,IF(AE13&gt;=2,'Model tallatge'!$D$2,IF(AE13='Model tallatge'!$C$13,'Model tallatge'!$C$2,0)))), IF(AE14='Model tallatge'!$G$14,'Model tallatge'!$G$2,IF(AE14='Model tallatge'!$E$14,'Model tallatge'!$E$2,IF(AE14='Model tallatge'!$C$14,'Model tallatge'!$C$2,0))))</f>
        <v>7</v>
      </c>
      <c r="AF7" s="37">
        <f>SUM(IF(AF8&gt;5,'Model tallatge'!$G$2,IF(AF8&gt;=4,'Model tallatge'!$F$2,IF(AF8&gt;=2,'Model tallatge'!$E$2,IF(AF8='Model tallatge'!$D$8,'Model tallatge'!$D$2,0)))),IF(AF9&gt;5,'Model tallatge'!$G$2,IF(AF9&gt;=4,'Model tallatge'!$F$2,IF(AF9&gt;=2,'Model tallatge'!$E$2,IF(AF9='Model tallatge'!$D$9,'Model tallatge'!$D$2,0)))), IF(AF10&gt;=5,'Model tallatge'!$F$2,IF(AF10&gt;=3,'Model tallatge'!$E$2,IF(AF10='Model tallatge'!$D$10,'Model tallatge'!$D$2,IF(AF10='Model tallatge'!$C$10,'Model tallatge'!$C$2,0)))),IF(AF11&gt;=5,'Model tallatge'!$F$2,IF(AF11&gt;=3,'Model tallatge'!$E$2,IF(AF11='Model tallatge'!$D$11,'Model tallatge'!$D$2,IF(AF11='Model tallatge'!$C$11,'Model tallatge'!$C$2,0)))), IF(AF12&gt;=5,'Model tallatge'!$G$2,IF(AF12='Model tallatge'!$F$12,'Model tallatge'!$F$2,IF(AF12='Model tallatge'!$E$12,'Model tallatge'!$E$2,IF(AF12='Model tallatge'!$D$12,'Model tallatge'!$D$2,IF(AF12='Model tallatge'!$C$12,'Model tallatge'!$C$2,0))))),IF(AF13&gt;5,'Model tallatge'!$F$2,IF(AF13&gt;=4,'Model tallatge'!$E$2,IF(AF13&gt;=2,'Model tallatge'!$D$2,IF(AF13='Model tallatge'!$C$13,'Model tallatge'!$C$2,0)))), IF(AF14='Model tallatge'!$G$14,'Model tallatge'!$G$2,IF(AF14='Model tallatge'!$E$14,'Model tallatge'!$E$2,IF(AF14='Model tallatge'!$C$14,'Model tallatge'!$C$2,0))))</f>
        <v>1</v>
      </c>
      <c r="AG7" s="37">
        <f>SUM(IF(AG8&gt;5,'Model tallatge'!$G$2,IF(AG8&gt;=4,'Model tallatge'!$F$2,IF(AG8&gt;=2,'Model tallatge'!$E$2,IF(AG8='Model tallatge'!$D$8,'Model tallatge'!$D$2,0)))),IF(AG9&gt;5,'Model tallatge'!$G$2,IF(AG9&gt;=4,'Model tallatge'!$F$2,IF(AG9&gt;=2,'Model tallatge'!$E$2,IF(AG9='Model tallatge'!$D$9,'Model tallatge'!$D$2,0)))), IF(AG10&gt;=5,'Model tallatge'!$F$2,IF(AG10&gt;=3,'Model tallatge'!$E$2,IF(AG10='Model tallatge'!$D$10,'Model tallatge'!$D$2,IF(AG10='Model tallatge'!$C$10,'Model tallatge'!$C$2,0)))),IF(AG11&gt;=5,'Model tallatge'!$F$2,IF(AG11&gt;=3,'Model tallatge'!$E$2,IF(AG11='Model tallatge'!$D$11,'Model tallatge'!$D$2,IF(AG11='Model tallatge'!$C$11,'Model tallatge'!$C$2,0)))), IF(AG12&gt;=5,'Model tallatge'!$G$2,IF(AG12='Model tallatge'!$F$12,'Model tallatge'!$F$2,IF(AG12='Model tallatge'!$E$12,'Model tallatge'!$E$2,IF(AG12='Model tallatge'!$D$12,'Model tallatge'!$D$2,IF(AG12='Model tallatge'!$C$12,'Model tallatge'!$C$2,0))))),IF(AG13&gt;5,'Model tallatge'!$F$2,IF(AG13&gt;=4,'Model tallatge'!$E$2,IF(AG13&gt;=2,'Model tallatge'!$D$2,IF(AG13='Model tallatge'!$C$13,'Model tallatge'!$C$2,0)))), IF(AG14='Model tallatge'!$G$14,'Model tallatge'!$G$2,IF(AG14='Model tallatge'!$E$14,'Model tallatge'!$E$2,IF(AG14='Model tallatge'!$C$14,'Model tallatge'!$C$2,0))))</f>
        <v>9</v>
      </c>
      <c r="AH7" s="37">
        <f>SUM(IF(AH8&gt;5,'Model tallatge'!$G$2,IF(AH8&gt;=4,'Model tallatge'!$F$2,IF(AH8&gt;=2,'Model tallatge'!$E$2,IF(AH8='Model tallatge'!$D$8,'Model tallatge'!$D$2,0)))),IF(AH9&gt;5,'Model tallatge'!$G$2,IF(AH9&gt;=4,'Model tallatge'!$F$2,IF(AH9&gt;=2,'Model tallatge'!$E$2,IF(AH9='Model tallatge'!$D$9,'Model tallatge'!$D$2,0)))), IF(AH10&gt;=5,'Model tallatge'!$F$2,IF(AH10&gt;=3,'Model tallatge'!$E$2,IF(AH10='Model tallatge'!$D$10,'Model tallatge'!$D$2,IF(AH10='Model tallatge'!$C$10,'Model tallatge'!$C$2,0)))),IF(AH11&gt;=5,'Model tallatge'!$F$2,IF(AH11&gt;=3,'Model tallatge'!$E$2,IF(AH11='Model tallatge'!$D$11,'Model tallatge'!$D$2,IF(AH11='Model tallatge'!$C$11,'Model tallatge'!$C$2,0)))), IF(AH12&gt;=5,'Model tallatge'!$G$2,IF(AH12='Model tallatge'!$F$12,'Model tallatge'!$F$2,IF(AH12='Model tallatge'!$E$12,'Model tallatge'!$E$2,IF(AH12='Model tallatge'!$D$12,'Model tallatge'!$D$2,IF(AH12='Model tallatge'!$C$12,'Model tallatge'!$C$2,0))))),IF(AH13&gt;5,'Model tallatge'!$F$2,IF(AH13&gt;=4,'Model tallatge'!$E$2,IF(AH13&gt;=2,'Model tallatge'!$D$2,IF(AH13='Model tallatge'!$C$13,'Model tallatge'!$C$2,0)))), IF(AH14='Model tallatge'!$G$14,'Model tallatge'!$G$2,IF(AH14='Model tallatge'!$E$14,'Model tallatge'!$E$2,IF(AH14='Model tallatge'!$C$14,'Model tallatge'!$C$2,0))))</f>
        <v>8</v>
      </c>
      <c r="AI7" s="37">
        <f>SUM(IF(AI8&gt;5,'Model tallatge'!$G$2,IF(AI8&gt;=4,'Model tallatge'!$F$2,IF(AI8&gt;=2,'Model tallatge'!$E$2,IF(AI8='Model tallatge'!$D$8,'Model tallatge'!$D$2,0)))),IF(AI9&gt;5,'Model tallatge'!$G$2,IF(AI9&gt;=4,'Model tallatge'!$F$2,IF(AI9&gt;=2,'Model tallatge'!$E$2,IF(AI9='Model tallatge'!$D$9,'Model tallatge'!$D$2,0)))), IF(AI10&gt;=5,'Model tallatge'!$F$2,IF(AI10&gt;=3,'Model tallatge'!$E$2,IF(AI10='Model tallatge'!$D$10,'Model tallatge'!$D$2,IF(AI10='Model tallatge'!$C$10,'Model tallatge'!$C$2,0)))),IF(AI11&gt;=5,'Model tallatge'!$F$2,IF(AI11&gt;=3,'Model tallatge'!$E$2,IF(AI11='Model tallatge'!$D$11,'Model tallatge'!$D$2,IF(AI11='Model tallatge'!$C$11,'Model tallatge'!$C$2,0)))), IF(AI12&gt;=5,'Model tallatge'!$G$2,IF(AI12='Model tallatge'!$F$12,'Model tallatge'!$F$2,IF(AI12='Model tallatge'!$E$12,'Model tallatge'!$E$2,IF(AI12='Model tallatge'!$D$12,'Model tallatge'!$D$2,IF(AI12='Model tallatge'!$C$12,'Model tallatge'!$C$2,0))))),IF(AI13&gt;5,'Model tallatge'!$F$2,IF(AI13&gt;=4,'Model tallatge'!$E$2,IF(AI13&gt;=2,'Model tallatge'!$D$2,IF(AI13='Model tallatge'!$C$13,'Model tallatge'!$C$2,0)))), IF(AI14='Model tallatge'!$G$14,'Model tallatge'!$G$2,IF(AI14='Model tallatge'!$E$14,'Model tallatge'!$E$2,IF(AI14='Model tallatge'!$C$14,'Model tallatge'!$C$2,0))))</f>
        <v>9</v>
      </c>
      <c r="AJ7" s="37">
        <f>SUM(IF(AJ8&gt;5,'Model tallatge'!$G$2,IF(AJ8&gt;=4,'Model tallatge'!$F$2,IF(AJ8&gt;=2,'Model tallatge'!$E$2,IF(AJ8='Model tallatge'!$D$8,'Model tallatge'!$D$2,0)))),IF(AJ9&gt;5,'Model tallatge'!$G$2,IF(AJ9&gt;=4,'Model tallatge'!$F$2,IF(AJ9&gt;=2,'Model tallatge'!$E$2,IF(AJ9='Model tallatge'!$D$9,'Model tallatge'!$D$2,0)))), IF(AJ10&gt;=5,'Model tallatge'!$F$2,IF(AJ10&gt;=3,'Model tallatge'!$E$2,IF(AJ10='Model tallatge'!$D$10,'Model tallatge'!$D$2,IF(AJ10='Model tallatge'!$C$10,'Model tallatge'!$C$2,0)))),IF(AJ11&gt;=5,'Model tallatge'!$F$2,IF(AJ11&gt;=3,'Model tallatge'!$E$2,IF(AJ11='Model tallatge'!$D$11,'Model tallatge'!$D$2,IF(AJ11='Model tallatge'!$C$11,'Model tallatge'!$C$2,0)))), IF(AJ12&gt;=5,'Model tallatge'!$G$2,IF(AJ12='Model tallatge'!$F$12,'Model tallatge'!$F$2,IF(AJ12='Model tallatge'!$E$12,'Model tallatge'!$E$2,IF(AJ12='Model tallatge'!$D$12,'Model tallatge'!$D$2,IF(AJ12='Model tallatge'!$C$12,'Model tallatge'!$C$2,0))))),IF(AJ13&gt;5,'Model tallatge'!$F$2,IF(AJ13&gt;=4,'Model tallatge'!$E$2,IF(AJ13&gt;=2,'Model tallatge'!$D$2,IF(AJ13='Model tallatge'!$C$13,'Model tallatge'!$C$2,0)))), IF(AJ14='Model tallatge'!$G$14,'Model tallatge'!$G$2,IF(AJ14='Model tallatge'!$E$14,'Model tallatge'!$E$2,IF(AJ14='Model tallatge'!$C$14,'Model tallatge'!$C$2,0))))</f>
        <v>11</v>
      </c>
      <c r="AK7" s="37">
        <f>SUM(IF(AK8&gt;5,'Model tallatge'!$G$2,IF(AK8&gt;=4,'Model tallatge'!$F$2,IF(AK8&gt;=2,'Model tallatge'!$E$2,IF(AK8='Model tallatge'!$D$8,'Model tallatge'!$D$2,0)))),IF(AK9&gt;5,'Model tallatge'!$G$2,IF(AK9&gt;=4,'Model tallatge'!$F$2,IF(AK9&gt;=2,'Model tallatge'!$E$2,IF(AK9='Model tallatge'!$D$9,'Model tallatge'!$D$2,0)))), IF(AK10&gt;=5,'Model tallatge'!$F$2,IF(AK10&gt;=3,'Model tallatge'!$E$2,IF(AK10='Model tallatge'!$D$10,'Model tallatge'!$D$2,IF(AK10='Model tallatge'!$C$10,'Model tallatge'!$C$2,0)))),IF(AK11&gt;=5,'Model tallatge'!$F$2,IF(AK11&gt;=3,'Model tallatge'!$E$2,IF(AK11='Model tallatge'!$D$11,'Model tallatge'!$D$2,IF(AK11='Model tallatge'!$C$11,'Model tallatge'!$C$2,0)))), IF(AK12&gt;=5,'Model tallatge'!$G$2,IF(AK12='Model tallatge'!$F$12,'Model tallatge'!$F$2,IF(AK12='Model tallatge'!$E$12,'Model tallatge'!$E$2,IF(AK12='Model tallatge'!$D$12,'Model tallatge'!$D$2,IF(AK12='Model tallatge'!$C$12,'Model tallatge'!$C$2,0))))),IF(AK13&gt;5,'Model tallatge'!$F$2,IF(AK13&gt;=4,'Model tallatge'!$E$2,IF(AK13&gt;=2,'Model tallatge'!$D$2,IF(AK13='Model tallatge'!$C$13,'Model tallatge'!$C$2,0)))), IF(AK14='Model tallatge'!$G$14,'Model tallatge'!$G$2,IF(AK14='Model tallatge'!$E$14,'Model tallatge'!$E$2,IF(AK14='Model tallatge'!$C$14,'Model tallatge'!$C$2,0))))</f>
        <v>8</v>
      </c>
      <c r="AL7" s="37">
        <f>SUM(IF(AL8&gt;5,'Model tallatge'!$G$2,IF(AL8&gt;=4,'Model tallatge'!$F$2,IF(AL8&gt;=2,'Model tallatge'!$E$2,IF(AL8='Model tallatge'!$D$8,'Model tallatge'!$D$2,0)))),IF(AL9&gt;5,'Model tallatge'!$G$2,IF(AL9&gt;=4,'Model tallatge'!$F$2,IF(AL9&gt;=2,'Model tallatge'!$E$2,IF(AL9='Model tallatge'!$D$9,'Model tallatge'!$D$2,0)))), IF(AL10&gt;=5,'Model tallatge'!$F$2,IF(AL10&gt;=3,'Model tallatge'!$E$2,IF(AL10='Model tallatge'!$D$10,'Model tallatge'!$D$2,IF(AL10='Model tallatge'!$C$10,'Model tallatge'!$C$2,0)))),IF(AL11&gt;=5,'Model tallatge'!$F$2,IF(AL11&gt;=3,'Model tallatge'!$E$2,IF(AL11='Model tallatge'!$D$11,'Model tallatge'!$D$2,IF(AL11='Model tallatge'!$C$11,'Model tallatge'!$C$2,0)))), IF(AL12&gt;=5,'Model tallatge'!$G$2,IF(AL12='Model tallatge'!$F$12,'Model tallatge'!$F$2,IF(AL12='Model tallatge'!$E$12,'Model tallatge'!$E$2,IF(AL12='Model tallatge'!$D$12,'Model tallatge'!$D$2,IF(AL12='Model tallatge'!$C$12,'Model tallatge'!$C$2,0))))),IF(AL13&gt;5,'Model tallatge'!$F$2,IF(AL13&gt;=4,'Model tallatge'!$E$2,IF(AL13&gt;=2,'Model tallatge'!$D$2,IF(AL13='Model tallatge'!$C$13,'Model tallatge'!$C$2,0)))), IF(AL14='Model tallatge'!$G$14,'Model tallatge'!$G$2,IF(AL14='Model tallatge'!$E$14,'Model tallatge'!$E$2,IF(AL14='Model tallatge'!$C$14,'Model tallatge'!$C$2,0))))</f>
        <v>8</v>
      </c>
      <c r="AM7" s="37">
        <f>SUM(IF(AM8&gt;5,'Model tallatge'!$G$2,IF(AM8&gt;=4,'Model tallatge'!$F$2,IF(AM8&gt;=2,'Model tallatge'!$E$2,IF(AM8='Model tallatge'!$D$8,'Model tallatge'!$D$2,0)))),IF(AM9&gt;5,'Model tallatge'!$G$2,IF(AM9&gt;=4,'Model tallatge'!$F$2,IF(AM9&gt;=2,'Model tallatge'!$E$2,IF(AM9='Model tallatge'!$D$9,'Model tallatge'!$D$2,0)))), IF(AM10&gt;=5,'Model tallatge'!$F$2,IF(AM10&gt;=3,'Model tallatge'!$E$2,IF(AM10='Model tallatge'!$D$10,'Model tallatge'!$D$2,IF(AM10='Model tallatge'!$C$10,'Model tallatge'!$C$2,0)))),IF(AM11&gt;=5,'Model tallatge'!$F$2,IF(AM11&gt;=3,'Model tallatge'!$E$2,IF(AM11='Model tallatge'!$D$11,'Model tallatge'!$D$2,IF(AM11='Model tallatge'!$C$11,'Model tallatge'!$C$2,0)))), IF(AM12&gt;=5,'Model tallatge'!$G$2,IF(AM12='Model tallatge'!$F$12,'Model tallatge'!$F$2,IF(AM12='Model tallatge'!$E$12,'Model tallatge'!$E$2,IF(AM12='Model tallatge'!$D$12,'Model tallatge'!$D$2,IF(AM12='Model tallatge'!$C$12,'Model tallatge'!$C$2,0))))),IF(AM13&gt;5,'Model tallatge'!$F$2,IF(AM13&gt;=4,'Model tallatge'!$E$2,IF(AM13&gt;=2,'Model tallatge'!$D$2,IF(AM13='Model tallatge'!$C$13,'Model tallatge'!$C$2,0)))), IF(AM14='Model tallatge'!$G$14,'Model tallatge'!$G$2,IF(AM14='Model tallatge'!$E$14,'Model tallatge'!$E$2,IF(AM14='Model tallatge'!$C$14,'Model tallatge'!$C$2,0))))</f>
        <v>5</v>
      </c>
      <c r="AN7" s="37">
        <f>SUM(IF(AN8&gt;5,'Model tallatge'!$G$2,IF(AN8&gt;=4,'Model tallatge'!$F$2,IF(AN8&gt;=2,'Model tallatge'!$E$2,IF(AN8='Model tallatge'!$D$8,'Model tallatge'!$D$2,0)))),IF(AN9&gt;5,'Model tallatge'!$G$2,IF(AN9&gt;=4,'Model tallatge'!$F$2,IF(AN9&gt;=2,'Model tallatge'!$E$2,IF(AN9='Model tallatge'!$D$9,'Model tallatge'!$D$2,0)))), IF(AN10&gt;=5,'Model tallatge'!$F$2,IF(AN10&gt;=3,'Model tallatge'!$E$2,IF(AN10='Model tallatge'!$D$10,'Model tallatge'!$D$2,IF(AN10='Model tallatge'!$C$10,'Model tallatge'!$C$2,0)))),IF(AN11&gt;=5,'Model tallatge'!$F$2,IF(AN11&gt;=3,'Model tallatge'!$E$2,IF(AN11='Model tallatge'!$D$11,'Model tallatge'!$D$2,IF(AN11='Model tallatge'!$C$11,'Model tallatge'!$C$2,0)))), IF(AN12&gt;=5,'Model tallatge'!$G$2,IF(AN12='Model tallatge'!$F$12,'Model tallatge'!$F$2,IF(AN12='Model tallatge'!$E$12,'Model tallatge'!$E$2,IF(AN12='Model tallatge'!$D$12,'Model tallatge'!$D$2,IF(AN12='Model tallatge'!$C$12,'Model tallatge'!$C$2,0))))),IF(AN13&gt;5,'Model tallatge'!$F$2,IF(AN13&gt;=4,'Model tallatge'!$E$2,IF(AN13&gt;=2,'Model tallatge'!$D$2,IF(AN13='Model tallatge'!$C$13,'Model tallatge'!$C$2,0)))), IF(AN14='Model tallatge'!$G$14,'Model tallatge'!$G$2,IF(AN14='Model tallatge'!$E$14,'Model tallatge'!$E$2,IF(AN14='Model tallatge'!$C$14,'Model tallatge'!$C$2,0))))</f>
        <v>3</v>
      </c>
    </row>
    <row r="8" spans="1:41" ht="14.4" x14ac:dyDescent="0.3">
      <c r="A8" s="38" t="s">
        <v>214</v>
      </c>
      <c r="B8" s="39">
        <v>0</v>
      </c>
      <c r="C8" s="39">
        <v>0</v>
      </c>
      <c r="D8" s="39">
        <v>0</v>
      </c>
      <c r="E8" s="39">
        <v>0</v>
      </c>
      <c r="F8" s="39">
        <v>0</v>
      </c>
      <c r="G8" s="39">
        <v>0</v>
      </c>
      <c r="H8" s="39">
        <v>0</v>
      </c>
      <c r="I8" s="39">
        <v>0</v>
      </c>
      <c r="J8" s="39">
        <v>0</v>
      </c>
      <c r="K8" s="39">
        <v>0</v>
      </c>
      <c r="L8" s="39">
        <v>0</v>
      </c>
      <c r="M8" s="39">
        <v>0</v>
      </c>
      <c r="N8" s="39">
        <v>0</v>
      </c>
      <c r="O8" s="39">
        <v>0</v>
      </c>
      <c r="P8" s="39">
        <v>3</v>
      </c>
      <c r="Q8" s="39">
        <v>0</v>
      </c>
      <c r="R8" s="39">
        <v>1</v>
      </c>
      <c r="S8" s="39">
        <v>1</v>
      </c>
      <c r="T8" s="39">
        <v>1</v>
      </c>
      <c r="U8" s="39">
        <v>0</v>
      </c>
      <c r="V8" s="39">
        <v>0</v>
      </c>
      <c r="W8" s="39">
        <v>0</v>
      </c>
      <c r="X8" s="39">
        <v>0</v>
      </c>
      <c r="Y8" s="39">
        <v>0</v>
      </c>
      <c r="Z8" s="39">
        <v>0</v>
      </c>
      <c r="AA8" s="39">
        <v>0</v>
      </c>
      <c r="AB8" s="39">
        <v>0</v>
      </c>
      <c r="AC8" s="39">
        <v>0</v>
      </c>
      <c r="AD8" s="39">
        <v>0</v>
      </c>
      <c r="AE8" s="39">
        <v>0</v>
      </c>
      <c r="AF8" s="39">
        <v>0</v>
      </c>
      <c r="AG8" s="39">
        <v>1</v>
      </c>
      <c r="AH8" s="39">
        <v>0</v>
      </c>
      <c r="AI8" s="39">
        <v>0</v>
      </c>
      <c r="AJ8" s="39">
        <v>0</v>
      </c>
      <c r="AK8" s="39">
        <v>0</v>
      </c>
      <c r="AL8" s="39">
        <v>0</v>
      </c>
      <c r="AM8" s="39">
        <v>0</v>
      </c>
      <c r="AN8" s="39">
        <v>0</v>
      </c>
      <c r="AO8" s="362"/>
    </row>
    <row r="9" spans="1:41" ht="14.4" x14ac:dyDescent="0.3">
      <c r="A9" s="38" t="s">
        <v>130</v>
      </c>
      <c r="B9" s="39">
        <v>0</v>
      </c>
      <c r="C9" s="39">
        <v>0</v>
      </c>
      <c r="D9" s="39">
        <v>0</v>
      </c>
      <c r="E9" s="39">
        <v>0</v>
      </c>
      <c r="F9" s="39">
        <v>0</v>
      </c>
      <c r="G9" s="39">
        <v>0</v>
      </c>
      <c r="H9" s="39">
        <v>0</v>
      </c>
      <c r="I9" s="39">
        <v>0</v>
      </c>
      <c r="J9" s="39">
        <v>0</v>
      </c>
      <c r="K9" s="39">
        <v>0</v>
      </c>
      <c r="L9" s="39">
        <v>0</v>
      </c>
      <c r="M9" s="39">
        <v>1</v>
      </c>
      <c r="N9" s="39">
        <v>5</v>
      </c>
      <c r="O9" s="39">
        <v>1</v>
      </c>
      <c r="P9" s="39">
        <v>0</v>
      </c>
      <c r="Q9" s="39">
        <v>0</v>
      </c>
      <c r="R9" s="39">
        <v>2</v>
      </c>
      <c r="S9" s="39">
        <v>0</v>
      </c>
      <c r="T9" s="39">
        <v>1</v>
      </c>
      <c r="U9" s="39">
        <v>0</v>
      </c>
      <c r="V9" s="39">
        <v>0</v>
      </c>
      <c r="W9" s="39">
        <v>1</v>
      </c>
      <c r="X9" s="39">
        <v>1</v>
      </c>
      <c r="Y9" s="39">
        <v>1</v>
      </c>
      <c r="Z9" s="39">
        <v>1</v>
      </c>
      <c r="AA9" s="39">
        <v>0</v>
      </c>
      <c r="AB9" s="39">
        <v>2</v>
      </c>
      <c r="AC9" s="39">
        <v>3</v>
      </c>
      <c r="AD9" s="39">
        <v>5</v>
      </c>
      <c r="AE9" s="39">
        <v>1</v>
      </c>
      <c r="AF9" s="39">
        <v>0</v>
      </c>
      <c r="AG9" s="39">
        <v>0</v>
      </c>
      <c r="AH9" s="39">
        <v>1</v>
      </c>
      <c r="AI9" s="39">
        <v>0</v>
      </c>
      <c r="AJ9" s="39">
        <v>0</v>
      </c>
      <c r="AK9" s="39">
        <v>0</v>
      </c>
      <c r="AL9" s="39">
        <v>0</v>
      </c>
      <c r="AM9" s="39">
        <v>0</v>
      </c>
      <c r="AN9" s="39">
        <v>0</v>
      </c>
    </row>
    <row r="10" spans="1:41" ht="18" customHeight="1" x14ac:dyDescent="0.3">
      <c r="A10" s="38" t="s">
        <v>215</v>
      </c>
      <c r="B10" s="39">
        <v>0</v>
      </c>
      <c r="C10" s="39">
        <v>0</v>
      </c>
      <c r="D10" s="39">
        <v>0</v>
      </c>
      <c r="E10" s="39">
        <v>0</v>
      </c>
      <c r="F10" s="39">
        <v>0</v>
      </c>
      <c r="G10" s="39">
        <v>0</v>
      </c>
      <c r="H10" s="39">
        <v>0</v>
      </c>
      <c r="I10" s="39">
        <v>0</v>
      </c>
      <c r="J10" s="39">
        <v>0</v>
      </c>
      <c r="K10" s="39">
        <v>4</v>
      </c>
      <c r="L10" s="39">
        <v>0</v>
      </c>
      <c r="M10" s="39">
        <v>2</v>
      </c>
      <c r="N10" s="39">
        <v>3</v>
      </c>
      <c r="O10" s="39">
        <v>2</v>
      </c>
      <c r="P10" s="39">
        <v>0</v>
      </c>
      <c r="Q10" s="39">
        <v>2</v>
      </c>
      <c r="R10" s="39">
        <v>0</v>
      </c>
      <c r="S10" s="39">
        <v>5</v>
      </c>
      <c r="T10" s="39">
        <v>0</v>
      </c>
      <c r="U10" s="39">
        <v>0</v>
      </c>
      <c r="V10" s="39">
        <v>0</v>
      </c>
      <c r="W10" s="39">
        <v>4</v>
      </c>
      <c r="X10" s="39">
        <v>3</v>
      </c>
      <c r="Y10" s="39">
        <v>3</v>
      </c>
      <c r="Z10" s="39">
        <v>6</v>
      </c>
      <c r="AA10" s="39">
        <v>0</v>
      </c>
      <c r="AB10" s="39">
        <v>4</v>
      </c>
      <c r="AC10" s="39">
        <v>4</v>
      </c>
      <c r="AD10" s="39">
        <v>4</v>
      </c>
      <c r="AE10" s="39">
        <v>4</v>
      </c>
      <c r="AF10" s="39">
        <v>0</v>
      </c>
      <c r="AG10" s="39">
        <v>2</v>
      </c>
      <c r="AH10" s="39">
        <v>2</v>
      </c>
      <c r="AI10" s="39">
        <v>3</v>
      </c>
      <c r="AJ10" s="39">
        <v>2</v>
      </c>
      <c r="AK10" s="39">
        <v>2</v>
      </c>
      <c r="AL10" s="39">
        <v>2</v>
      </c>
      <c r="AM10" s="39">
        <v>1</v>
      </c>
      <c r="AN10" s="39">
        <v>1</v>
      </c>
    </row>
    <row r="11" spans="1:41" ht="18" customHeight="1" x14ac:dyDescent="0.3">
      <c r="A11" s="38" t="s">
        <v>133</v>
      </c>
      <c r="B11" s="39">
        <v>1</v>
      </c>
      <c r="C11" s="39">
        <v>1</v>
      </c>
      <c r="D11" s="39">
        <v>5</v>
      </c>
      <c r="E11" s="39">
        <v>3</v>
      </c>
      <c r="F11" s="39">
        <v>0</v>
      </c>
      <c r="G11" s="39">
        <v>0</v>
      </c>
      <c r="H11" s="39">
        <v>2</v>
      </c>
      <c r="I11" s="39">
        <v>3</v>
      </c>
      <c r="J11" s="39">
        <v>0</v>
      </c>
      <c r="K11" s="39">
        <v>1</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1</v>
      </c>
      <c r="AI11" s="39">
        <v>0</v>
      </c>
      <c r="AJ11" s="39">
        <v>0</v>
      </c>
      <c r="AK11" s="39">
        <v>0</v>
      </c>
      <c r="AL11" s="39">
        <v>0</v>
      </c>
      <c r="AM11" s="39">
        <v>0</v>
      </c>
      <c r="AN11" s="39">
        <v>0</v>
      </c>
    </row>
    <row r="12" spans="1:41" ht="14.4" x14ac:dyDescent="0.3">
      <c r="A12" s="38" t="s">
        <v>134</v>
      </c>
      <c r="B12" s="39">
        <v>3</v>
      </c>
      <c r="C12" s="39">
        <v>3</v>
      </c>
      <c r="D12" s="39">
        <v>3</v>
      </c>
      <c r="E12" s="39">
        <v>0</v>
      </c>
      <c r="F12" s="39">
        <v>3</v>
      </c>
      <c r="G12" s="39">
        <v>4</v>
      </c>
      <c r="H12" s="39">
        <v>0</v>
      </c>
      <c r="I12" s="39">
        <v>0</v>
      </c>
      <c r="J12" s="39">
        <v>2</v>
      </c>
      <c r="K12" s="39">
        <v>3</v>
      </c>
      <c r="L12" s="39">
        <v>2</v>
      </c>
      <c r="M12" s="39">
        <v>2</v>
      </c>
      <c r="N12" s="39">
        <v>2</v>
      </c>
      <c r="O12" s="39">
        <v>2</v>
      </c>
      <c r="P12" s="39">
        <v>5</v>
      </c>
      <c r="Q12" s="39">
        <v>4</v>
      </c>
      <c r="R12" s="39">
        <v>1</v>
      </c>
      <c r="S12" s="39">
        <v>0</v>
      </c>
      <c r="T12" s="39">
        <v>1</v>
      </c>
      <c r="U12" s="39">
        <v>3</v>
      </c>
      <c r="V12" s="39">
        <v>0</v>
      </c>
      <c r="W12" s="39">
        <v>2</v>
      </c>
      <c r="X12" s="39">
        <v>0</v>
      </c>
      <c r="Y12" s="39">
        <v>0</v>
      </c>
      <c r="Z12" s="39">
        <v>0</v>
      </c>
      <c r="AA12" s="39">
        <v>2</v>
      </c>
      <c r="AB12" s="39">
        <v>0</v>
      </c>
      <c r="AC12" s="39">
        <v>2</v>
      </c>
      <c r="AD12" s="39">
        <v>0</v>
      </c>
      <c r="AE12" s="39">
        <v>0</v>
      </c>
      <c r="AF12" s="39">
        <v>0</v>
      </c>
      <c r="AG12" s="39">
        <v>3</v>
      </c>
      <c r="AH12" s="39">
        <v>1</v>
      </c>
      <c r="AI12" s="39">
        <v>5</v>
      </c>
      <c r="AJ12" s="39">
        <v>4</v>
      </c>
      <c r="AK12" s="39">
        <v>3</v>
      </c>
      <c r="AL12" s="39">
        <v>2</v>
      </c>
      <c r="AM12" s="39">
        <v>1</v>
      </c>
      <c r="AN12" s="39">
        <v>1</v>
      </c>
    </row>
    <row r="13" spans="1:41" ht="14.4" x14ac:dyDescent="0.3">
      <c r="A13" s="38" t="s">
        <v>135</v>
      </c>
      <c r="B13" s="39">
        <v>0</v>
      </c>
      <c r="C13" s="39">
        <v>0</v>
      </c>
      <c r="D13" s="39">
        <v>2</v>
      </c>
      <c r="E13" s="39">
        <v>2</v>
      </c>
      <c r="F13" s="39">
        <v>0</v>
      </c>
      <c r="G13" s="39">
        <v>0</v>
      </c>
      <c r="H13" s="39">
        <v>2</v>
      </c>
      <c r="I13" s="39">
        <v>0</v>
      </c>
      <c r="J13" s="39">
        <v>4</v>
      </c>
      <c r="K13" s="39">
        <v>0</v>
      </c>
      <c r="L13" s="39">
        <v>0</v>
      </c>
      <c r="M13" s="39">
        <v>0</v>
      </c>
      <c r="N13" s="39">
        <v>3</v>
      </c>
      <c r="O13" s="39">
        <v>0</v>
      </c>
      <c r="P13" s="39">
        <v>0</v>
      </c>
      <c r="Q13" s="39">
        <v>1</v>
      </c>
      <c r="R13" s="39">
        <v>0</v>
      </c>
      <c r="S13" s="39">
        <v>0</v>
      </c>
      <c r="T13" s="39">
        <v>5</v>
      </c>
      <c r="U13" s="39">
        <v>0</v>
      </c>
      <c r="V13" s="39">
        <v>0</v>
      </c>
      <c r="W13" s="39">
        <v>0</v>
      </c>
      <c r="X13" s="39">
        <v>1</v>
      </c>
      <c r="Y13" s="39">
        <v>1</v>
      </c>
      <c r="Z13" s="39">
        <v>0</v>
      </c>
      <c r="AA13" s="39">
        <v>0</v>
      </c>
      <c r="AB13" s="39">
        <v>1</v>
      </c>
      <c r="AC13" s="39">
        <v>1</v>
      </c>
      <c r="AD13" s="39">
        <v>1</v>
      </c>
      <c r="AE13" s="39">
        <v>1</v>
      </c>
      <c r="AF13" s="39">
        <v>0</v>
      </c>
      <c r="AG13" s="39">
        <v>1</v>
      </c>
      <c r="AH13" s="39">
        <v>1</v>
      </c>
      <c r="AI13" s="39">
        <v>0</v>
      </c>
      <c r="AJ13" s="39">
        <v>2</v>
      </c>
      <c r="AK13" s="39">
        <v>2</v>
      </c>
      <c r="AL13" s="39">
        <v>1</v>
      </c>
      <c r="AM13" s="39">
        <v>2</v>
      </c>
      <c r="AN13" s="39">
        <v>0</v>
      </c>
    </row>
    <row r="14" spans="1:41" ht="14.4" x14ac:dyDescent="0.3">
      <c r="A14" s="38" t="s">
        <v>216</v>
      </c>
      <c r="B14" s="39" t="s">
        <v>137</v>
      </c>
      <c r="C14" s="39" t="s">
        <v>137</v>
      </c>
      <c r="D14" s="39" t="s">
        <v>137</v>
      </c>
      <c r="E14" s="39" t="s">
        <v>137</v>
      </c>
      <c r="F14" s="39" t="s">
        <v>137</v>
      </c>
      <c r="G14" s="39" t="s">
        <v>137</v>
      </c>
      <c r="H14" s="39" t="s">
        <v>137</v>
      </c>
      <c r="I14" s="39" t="s">
        <v>137</v>
      </c>
      <c r="J14" s="39" t="s">
        <v>137</v>
      </c>
      <c r="K14" s="170" t="s">
        <v>139</v>
      </c>
      <c r="L14" s="39" t="s">
        <v>139</v>
      </c>
      <c r="M14" s="39" t="s">
        <v>138</v>
      </c>
      <c r="N14" s="39" t="s">
        <v>138</v>
      </c>
      <c r="O14" s="39" t="s">
        <v>138</v>
      </c>
      <c r="P14" s="39" t="s">
        <v>137</v>
      </c>
      <c r="Q14" s="39" t="s">
        <v>138</v>
      </c>
      <c r="R14" s="39" t="s">
        <v>137</v>
      </c>
      <c r="S14" s="39" t="s">
        <v>137</v>
      </c>
      <c r="T14" s="39" t="s">
        <v>137</v>
      </c>
      <c r="U14" s="39" t="s">
        <v>139</v>
      </c>
      <c r="V14" s="39" t="s">
        <v>217</v>
      </c>
      <c r="W14" s="39" t="s">
        <v>137</v>
      </c>
      <c r="X14" s="39" t="s">
        <v>137</v>
      </c>
      <c r="Y14" s="39" t="s">
        <v>137</v>
      </c>
      <c r="Z14" s="39" t="s">
        <v>138</v>
      </c>
      <c r="AA14" s="39" t="s">
        <v>139</v>
      </c>
      <c r="AB14" s="39" t="s">
        <v>138</v>
      </c>
      <c r="AC14" s="39" t="s">
        <v>138</v>
      </c>
      <c r="AD14" s="39" t="s">
        <v>138</v>
      </c>
      <c r="AE14" s="39" t="s">
        <v>138</v>
      </c>
      <c r="AF14" s="39" t="s">
        <v>138</v>
      </c>
      <c r="AG14" s="39" t="s">
        <v>138</v>
      </c>
      <c r="AH14" s="39" t="s">
        <v>138</v>
      </c>
      <c r="AI14" s="39" t="s">
        <v>138</v>
      </c>
      <c r="AJ14" s="39" t="s">
        <v>139</v>
      </c>
      <c r="AK14" s="39" t="s">
        <v>138</v>
      </c>
      <c r="AL14" s="39" t="s">
        <v>139</v>
      </c>
      <c r="AM14" s="39" t="s">
        <v>138</v>
      </c>
      <c r="AN14" s="39" t="s">
        <v>138</v>
      </c>
    </row>
    <row r="15" spans="1:41" ht="14.4" x14ac:dyDescent="0.3">
      <c r="A15" s="38"/>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t="s">
        <v>218</v>
      </c>
      <c r="AJ15" s="39"/>
      <c r="AK15" s="39"/>
      <c r="AL15" s="39" t="s">
        <v>218</v>
      </c>
      <c r="AM15" s="39" t="s">
        <v>218</v>
      </c>
      <c r="AN15" s="39" t="s">
        <v>218</v>
      </c>
    </row>
    <row r="16" spans="1:41" ht="14.4" x14ac:dyDescent="0.3">
      <c r="A16" s="36" t="s">
        <v>141</v>
      </c>
      <c r="B16" s="37">
        <f>SUM(IF(B17&gt;=10,'Model tallatge'!$G$2,IF(B17&gt;=7,'Model tallatge'!$F$2,IF(B17&gt;=4,'Model tallatge'!$E$2,IF(B17&gt;=2,'Model tallatge'!$D$2,IF(B17='Model tallatge'!$C$17,'Model tallatge'!$C$2,0))))),IF(B18&gt;=7,'Model tallatge'!$G$2,IF(B18&gt;=5,'Model tallatge'!$F$2,IF(B18&gt;=3,'Model tallatge'!$E$2,IF(B18='Model tallatge'!$D$18,'Model tallatge'!$D$2,IF(B18='Model tallatge'!$C$18,'Model tallatge'!$C$2,0))))),IF(B19='Model tallatge'!$D$19,'Model tallatge'!$D$2,0),IF(B20='Model tallatge'!$D$20,'Model tallatge'!$D$2,0), IF(B21='Model tallatge'!$D$21,'Model tallatge'!$D$2,0))</f>
        <v>5</v>
      </c>
      <c r="C16" s="37">
        <f>SUM(IF(C17&gt;=10,'Model tallatge'!$G$2,IF(C17&gt;=7,'Model tallatge'!$F$2,IF(C17&gt;=4,'Model tallatge'!$E$2,IF(C17&gt;=2,'Model tallatge'!$D$2,IF(C17='Model tallatge'!$C$17,'Model tallatge'!$C$2,0))))),IF(C18&gt;=7,'Model tallatge'!$G$2,IF(C18&gt;=5,'Model tallatge'!$F$2,IF(C18&gt;=3,'Model tallatge'!$E$2,IF(C18='Model tallatge'!$D$18,'Model tallatge'!$D$2,IF(C18='Model tallatge'!$C$18,'Model tallatge'!$C$2,0))))),IF(C19='Model tallatge'!$D$19,'Model tallatge'!$D$2,0),IF(C20='Model tallatge'!$D$20,'Model tallatge'!$D$2,0), IF(C21='Model tallatge'!$D$21,'Model tallatge'!$D$2,0))</f>
        <v>11</v>
      </c>
      <c r="D16" s="37">
        <f>SUM(IF(D17&gt;=10,'Model tallatge'!$G$2,IF(D17&gt;=7,'Model tallatge'!$F$2,IF(D17&gt;=4,'Model tallatge'!$E$2,IF(D17&gt;=2,'Model tallatge'!$D$2,IF(D17='Model tallatge'!$C$17,'Model tallatge'!$C$2,0))))),IF(D18&gt;=7,'Model tallatge'!$G$2,IF(D18&gt;=5,'Model tallatge'!$F$2,IF(D18&gt;=3,'Model tallatge'!$E$2,IF(D18='Model tallatge'!$D$18,'Model tallatge'!$D$2,IF(D18='Model tallatge'!$C$18,'Model tallatge'!$C$2,0))))),IF(D19='Model tallatge'!$D$19,'Model tallatge'!$D$2,0),IF(D20='Model tallatge'!$D$20,'Model tallatge'!$D$2,0), IF(D21='Model tallatge'!$D$21,'Model tallatge'!$D$2,0))</f>
        <v>6</v>
      </c>
      <c r="E16" s="37">
        <f>SUM(IF(E17&gt;=10,'Model tallatge'!$G$2,IF(E17&gt;=7,'Model tallatge'!$F$2,IF(E17&gt;=4,'Model tallatge'!$E$2,IF(E17&gt;=2,'Model tallatge'!$D$2,IF(E17='Model tallatge'!$C$17,'Model tallatge'!$C$2,0))))),IF(E18&gt;=7,'Model tallatge'!$G$2,IF(E18&gt;=5,'Model tallatge'!$F$2,IF(E18&gt;=3,'Model tallatge'!$E$2,IF(E18='Model tallatge'!$D$18,'Model tallatge'!$D$2,IF(E18='Model tallatge'!$C$18,'Model tallatge'!$C$2,0))))),IF(E19='Model tallatge'!$D$19,'Model tallatge'!$D$2,0),IF(E20='Model tallatge'!$D$20,'Model tallatge'!$D$2,0), IF(E21='Model tallatge'!$D$21,'Model tallatge'!$D$2,0))</f>
        <v>3</v>
      </c>
      <c r="F16" s="37">
        <f>SUM(IF(F17&gt;=10,'Model tallatge'!$G$2,IF(F17&gt;=7,'Model tallatge'!$F$2,IF(F17&gt;=4,'Model tallatge'!$E$2,IF(F17&gt;=2,'Model tallatge'!$D$2,IF(F17='Model tallatge'!$C$17,'Model tallatge'!$C$2,0))))),IF(F18&gt;=7,'Model tallatge'!$G$2,IF(F18&gt;=5,'Model tallatge'!$F$2,IF(F18&gt;=3,'Model tallatge'!$E$2,IF(F18='Model tallatge'!$D$18,'Model tallatge'!$D$2,IF(F18='Model tallatge'!$C$18,'Model tallatge'!$C$2,0))))),IF(F19='Model tallatge'!$D$19,'Model tallatge'!$D$2,0),IF(F20='Model tallatge'!$D$20,'Model tallatge'!$D$2,0), IF(F21='Model tallatge'!$D$21,'Model tallatge'!$D$2,0))</f>
        <v>4</v>
      </c>
      <c r="G16" s="37">
        <f>SUM(IF(G17&gt;=10,'Model tallatge'!$G$2,IF(G17&gt;=7,'Model tallatge'!$F$2,IF(G17&gt;=4,'Model tallatge'!$E$2,IF(G17&gt;=2,'Model tallatge'!$D$2,IF(G17='Model tallatge'!$C$17,'Model tallatge'!$C$2,0))))),IF(G18&gt;=7,'Model tallatge'!$G$2,IF(G18&gt;=5,'Model tallatge'!$F$2,IF(G18&gt;=3,'Model tallatge'!$E$2,IF(G18='Model tallatge'!$D$18,'Model tallatge'!$D$2,IF(G18='Model tallatge'!$C$18,'Model tallatge'!$C$2,0))))),IF(G19='Model tallatge'!$D$19,'Model tallatge'!$D$2,0),IF(G20='Model tallatge'!$D$20,'Model tallatge'!$D$2,0), IF(G21='Model tallatge'!$D$21,'Model tallatge'!$D$2,0))</f>
        <v>0</v>
      </c>
      <c r="H16" s="37">
        <f>SUM(IF(H17&gt;=10,'Model tallatge'!$G$2,IF(H17&gt;=7,'Model tallatge'!$F$2,IF(H17&gt;=4,'Model tallatge'!$E$2,IF(H17&gt;=2,'Model tallatge'!$D$2,IF(H17='Model tallatge'!$C$17,'Model tallatge'!$C$2,0))))),IF(H18&gt;=7,'Model tallatge'!$G$2,IF(H18&gt;=5,'Model tallatge'!$F$2,IF(H18&gt;=3,'Model tallatge'!$E$2,IF(H18='Model tallatge'!$D$18,'Model tallatge'!$D$2,IF(H18='Model tallatge'!$C$18,'Model tallatge'!$C$2,0))))),IF(H19='Model tallatge'!$D$19,'Model tallatge'!$D$2,0),IF(H20='Model tallatge'!$D$20,'Model tallatge'!$D$2,0), IF(H21='Model tallatge'!$D$21,'Model tallatge'!$D$2,0))</f>
        <v>2</v>
      </c>
      <c r="I16" s="37">
        <f>SUM(IF(I17&gt;=10,'Model tallatge'!$G$2,IF(I17&gt;=7,'Model tallatge'!$F$2,IF(I17&gt;=4,'Model tallatge'!$E$2,IF(I17&gt;=2,'Model tallatge'!$D$2,IF(I17='Model tallatge'!$C$17,'Model tallatge'!$C$2,0))))),IF(I18&gt;=7,'Model tallatge'!$G$2,IF(I18&gt;=5,'Model tallatge'!$F$2,IF(I18&gt;=3,'Model tallatge'!$E$2,IF(I18='Model tallatge'!$D$18,'Model tallatge'!$D$2,IF(I18='Model tallatge'!$C$18,'Model tallatge'!$C$2,0))))),IF(I19='Model tallatge'!$D$19,'Model tallatge'!$D$2,0),IF(I20='Model tallatge'!$D$20,'Model tallatge'!$D$2,0), IF(I21='Model tallatge'!$D$21,'Model tallatge'!$D$2,0))</f>
        <v>2</v>
      </c>
      <c r="J16" s="37">
        <f>SUM(IF(J17&gt;=10,'Model tallatge'!$G$2,IF(J17&gt;=7,'Model tallatge'!$F$2,IF(J17&gt;=4,'Model tallatge'!$E$2,IF(J17&gt;=2,'Model tallatge'!$D$2,IF(J17='Model tallatge'!$C$17,'Model tallatge'!$C$2,0))))),IF(J18&gt;=7,'Model tallatge'!$G$2,IF(J18&gt;=5,'Model tallatge'!$F$2,IF(J18&gt;=3,'Model tallatge'!$E$2,IF(J18='Model tallatge'!$D$18,'Model tallatge'!$D$2,IF(J18='Model tallatge'!$C$18,'Model tallatge'!$C$2,0))))),IF(J19='Model tallatge'!$D$19,'Model tallatge'!$D$2,0),IF(J20='Model tallatge'!$D$20,'Model tallatge'!$D$2,0), IF(J21='Model tallatge'!$D$21,'Model tallatge'!$D$2,0))</f>
        <v>1</v>
      </c>
      <c r="K16" s="37">
        <f>SUM(IF(K17&gt;=10,'Model tallatge'!$G$2,IF(K17&gt;=7,'Model tallatge'!$F$2,IF(K17&gt;=4,'Model tallatge'!$E$2,IF(K17&gt;=2,'Model tallatge'!$D$2,IF(K17='Model tallatge'!$C$17,'Model tallatge'!$C$2,0))))),IF(K18&gt;=7,'Model tallatge'!$G$2,IF(K18&gt;=5,'Model tallatge'!$F$2,IF(K18&gt;=3,'Model tallatge'!$E$2,IF(K18='Model tallatge'!$D$18,'Model tallatge'!$D$2,IF(K18='Model tallatge'!$C$18,'Model tallatge'!$C$2,0))))),IF(K19='Model tallatge'!$D$19,'Model tallatge'!$D$2,0),IF(K20='Model tallatge'!$D$20,'Model tallatge'!$D$2,0), IF(K21='Model tallatge'!$D$21,'Model tallatge'!$D$2,0))</f>
        <v>0</v>
      </c>
      <c r="L16" s="37">
        <f>SUM(IF(L17&gt;=10,'Model tallatge'!$G$2,IF(L17&gt;=7,'Model tallatge'!$F$2,IF(L17&gt;=4,'Model tallatge'!$E$2,IF(L17&gt;=2,'Model tallatge'!$D$2,IF(L17='Model tallatge'!$C$17,'Model tallatge'!$C$2,0))))),IF(L18&gt;=7,'Model tallatge'!$G$2,IF(L18&gt;=5,'Model tallatge'!$F$2,IF(L18&gt;=3,'Model tallatge'!$E$2,IF(L18='Model tallatge'!$D$18,'Model tallatge'!$D$2,IF(L18='Model tallatge'!$C$18,'Model tallatge'!$C$2,0))))),IF(L19='Model tallatge'!$D$19,'Model tallatge'!$D$2,0),IF(L20='Model tallatge'!$D$20,'Model tallatge'!$D$2,0), IF(L21='Model tallatge'!$D$21,'Model tallatge'!$D$2,0))</f>
        <v>10</v>
      </c>
      <c r="M16" s="37">
        <f>SUM(IF(M17&gt;=10,'Model tallatge'!$G$2,IF(M17&gt;=7,'Model tallatge'!$F$2,IF(M17&gt;=4,'Model tallatge'!$E$2,IF(M17&gt;=2,'Model tallatge'!$D$2,IF(M17='Model tallatge'!$C$17,'Model tallatge'!$C$2,0))))),IF(M18&gt;=7,'Model tallatge'!$G$2,IF(M18&gt;=5,'Model tallatge'!$F$2,IF(M18&gt;=3,'Model tallatge'!$E$2,IF(M18='Model tallatge'!$D$18,'Model tallatge'!$D$2,IF(M18='Model tallatge'!$C$18,'Model tallatge'!$C$2,0))))),IF(M19='Model tallatge'!$D$19,'Model tallatge'!$D$2,0),IF(M20='Model tallatge'!$D$20,'Model tallatge'!$D$2,0), IF(M21='Model tallatge'!$D$21,'Model tallatge'!$D$2,0))</f>
        <v>6</v>
      </c>
      <c r="N16" s="37">
        <f>SUM(IF(N17&gt;=10,'Model tallatge'!$G$2,IF(N17&gt;=7,'Model tallatge'!$F$2,IF(N17&gt;=4,'Model tallatge'!$E$2,IF(N17&gt;=2,'Model tallatge'!$D$2,IF(N17='Model tallatge'!$C$17,'Model tallatge'!$C$2,0))))),IF(N18&gt;=7,'Model tallatge'!$G$2,IF(N18&gt;=5,'Model tallatge'!$F$2,IF(N18&gt;=3,'Model tallatge'!$E$2,IF(N18='Model tallatge'!$D$18,'Model tallatge'!$D$2,IF(N18='Model tallatge'!$C$18,'Model tallatge'!$C$2,0))))),IF(N19='Model tallatge'!$D$19,'Model tallatge'!$D$2,0),IF(N20='Model tallatge'!$D$20,'Model tallatge'!$D$2,0), IF(N21='Model tallatge'!$D$21,'Model tallatge'!$D$2,0))</f>
        <v>4</v>
      </c>
      <c r="O16" s="37">
        <f>SUM(IF(O17&gt;=10,'Model tallatge'!$G$2,IF(O17&gt;=7,'Model tallatge'!$F$2,IF(O17&gt;=4,'Model tallatge'!$E$2,IF(O17&gt;=2,'Model tallatge'!$D$2,IF(O17='Model tallatge'!$C$17,'Model tallatge'!$C$2,0))))),IF(O18&gt;=7,'Model tallatge'!$G$2,IF(O18&gt;=5,'Model tallatge'!$F$2,IF(O18&gt;=3,'Model tallatge'!$E$2,IF(O18='Model tallatge'!$D$18,'Model tallatge'!$D$2,IF(O18='Model tallatge'!$C$18,'Model tallatge'!$C$2,0))))),IF(O19='Model tallatge'!$D$19,'Model tallatge'!$D$2,0),IF(O20='Model tallatge'!$D$20,'Model tallatge'!$D$2,0), IF(O21='Model tallatge'!$D$21,'Model tallatge'!$D$2,0))</f>
        <v>5</v>
      </c>
      <c r="P16" s="37">
        <f>SUM(IF(P17&gt;=10,'Model tallatge'!$G$2,IF(P17&gt;=7,'Model tallatge'!$F$2,IF(P17&gt;=4,'Model tallatge'!$E$2,IF(P17&gt;=2,'Model tallatge'!$D$2,IF(P17='Model tallatge'!$C$17,'Model tallatge'!$C$2,0))))),IF(P18&gt;=7,'Model tallatge'!$G$2,IF(P18&gt;=5,'Model tallatge'!$F$2,IF(P18&gt;=3,'Model tallatge'!$E$2,IF(P18='Model tallatge'!$D$18,'Model tallatge'!$D$2,IF(P18='Model tallatge'!$C$18,'Model tallatge'!$C$2,0))))),IF(P19='Model tallatge'!$D$19,'Model tallatge'!$D$2,0),IF(P20='Model tallatge'!$D$20,'Model tallatge'!$D$2,0), IF(P21='Model tallatge'!$D$21,'Model tallatge'!$D$2,0))</f>
        <v>5</v>
      </c>
      <c r="Q16" s="37">
        <f>SUM(IF(Q17&gt;=10,'Model tallatge'!$G$2,IF(Q17&gt;=7,'Model tallatge'!$F$2,IF(Q17&gt;=4,'Model tallatge'!$E$2,IF(Q17&gt;=2,'Model tallatge'!$D$2,IF(Q17='Model tallatge'!$C$17,'Model tallatge'!$C$2,0))))),IF(Q18&gt;=7,'Model tallatge'!$G$2,IF(Q18&gt;=5,'Model tallatge'!$F$2,IF(Q18&gt;=3,'Model tallatge'!$E$2,IF(Q18='Model tallatge'!$D$18,'Model tallatge'!$D$2,IF(Q18='Model tallatge'!$C$18,'Model tallatge'!$C$2,0))))),IF(Q19='Model tallatge'!$D$19,'Model tallatge'!$D$2,0),IF(Q20='Model tallatge'!$D$20,'Model tallatge'!$D$2,0), IF(Q21='Model tallatge'!$D$21,'Model tallatge'!$D$2,0))</f>
        <v>11</v>
      </c>
      <c r="R16" s="37">
        <f>SUM(IF(R17&gt;=10,'Model tallatge'!$G$2,IF(R17&gt;=7,'Model tallatge'!$F$2,IF(R17&gt;=4,'Model tallatge'!$E$2,IF(R17&gt;=2,'Model tallatge'!$D$2,IF(R17='Model tallatge'!$C$17,'Model tallatge'!$C$2,0))))),IF(R18&gt;=7,'Model tallatge'!$G$2,IF(R18&gt;=5,'Model tallatge'!$F$2,IF(R18&gt;=3,'Model tallatge'!$E$2,IF(R18='Model tallatge'!$D$18,'Model tallatge'!$D$2,IF(R18='Model tallatge'!$C$18,'Model tallatge'!$C$2,0))))),IF(R19='Model tallatge'!$D$19,'Model tallatge'!$D$2,0),IF(R20='Model tallatge'!$D$20,'Model tallatge'!$D$2,0), IF(R21='Model tallatge'!$D$21,'Model tallatge'!$D$2,0))</f>
        <v>0</v>
      </c>
      <c r="S16" s="37">
        <f>SUM(IF(S17&gt;=10,'Model tallatge'!$G$2,IF(S17&gt;=7,'Model tallatge'!$F$2,IF(S17&gt;=4,'Model tallatge'!$E$2,IF(S17&gt;=2,'Model tallatge'!$D$2,IF(S17='Model tallatge'!$C$17,'Model tallatge'!$C$2,0))))),IF(S18&gt;=7,'Model tallatge'!$G$2,IF(S18&gt;=5,'Model tallatge'!$F$2,IF(S18&gt;=3,'Model tallatge'!$E$2,IF(S18='Model tallatge'!$D$18,'Model tallatge'!$D$2,IF(S18='Model tallatge'!$C$18,'Model tallatge'!$C$2,0))))),IF(S19='Model tallatge'!$D$19,'Model tallatge'!$D$2,0),IF(S20='Model tallatge'!$D$20,'Model tallatge'!$D$2,0), IF(S21='Model tallatge'!$D$21,'Model tallatge'!$D$2,0))</f>
        <v>0</v>
      </c>
      <c r="T16" s="37">
        <f>SUM(IF(T17&gt;=10,'Model tallatge'!$G$2,IF(T17&gt;=7,'Model tallatge'!$F$2,IF(T17&gt;=4,'Model tallatge'!$E$2,IF(T17&gt;=2,'Model tallatge'!$D$2,IF(T17='Model tallatge'!$C$17,'Model tallatge'!$C$2,0))))),IF(T18&gt;=7,'Model tallatge'!$G$2,IF(T18&gt;=5,'Model tallatge'!$F$2,IF(T18&gt;=3,'Model tallatge'!$E$2,IF(T18='Model tallatge'!$D$18,'Model tallatge'!$D$2,IF(T18='Model tallatge'!$C$18,'Model tallatge'!$C$2,0))))),IF(T19='Model tallatge'!$D$19,'Model tallatge'!$D$2,0),IF(T20='Model tallatge'!$D$20,'Model tallatge'!$D$2,0), IF(T21='Model tallatge'!$D$21,'Model tallatge'!$D$2,0))</f>
        <v>0</v>
      </c>
      <c r="U16" s="37">
        <f>SUM(IF(U17&gt;=10,'Model tallatge'!$G$2,IF(U17&gt;=7,'Model tallatge'!$F$2,IF(U17&gt;=4,'Model tallatge'!$E$2,IF(U17&gt;=2,'Model tallatge'!$D$2,IF(U17='Model tallatge'!$C$17,'Model tallatge'!$C$2,0))))),IF(U18&gt;=7,'Model tallatge'!$G$2,IF(U18&gt;=5,'Model tallatge'!$F$2,IF(U18&gt;=3,'Model tallatge'!$E$2,IF(U18='Model tallatge'!$D$18,'Model tallatge'!$D$2,IF(U18='Model tallatge'!$C$18,'Model tallatge'!$C$2,0))))),IF(U19='Model tallatge'!$D$19,'Model tallatge'!$D$2,0),IF(U20='Model tallatge'!$D$20,'Model tallatge'!$D$2,0), IF(U21='Model tallatge'!$D$21,'Model tallatge'!$D$2,0))</f>
        <v>2</v>
      </c>
      <c r="V16" s="37">
        <f>SUM(IF(V17&gt;=10,'Model tallatge'!$G$2,IF(V17&gt;=7,'Model tallatge'!$F$2,IF(V17&gt;=4,'Model tallatge'!$E$2,IF(V17&gt;=2,'Model tallatge'!$D$2,IF(V17='Model tallatge'!$C$17,'Model tallatge'!$C$2,0))))),IF(V18&gt;=7,'Model tallatge'!$G$2,IF(V18&gt;=5,'Model tallatge'!$F$2,IF(V18&gt;=3,'Model tallatge'!$E$2,IF(V18='Model tallatge'!$D$18,'Model tallatge'!$D$2,IF(V18='Model tallatge'!$C$18,'Model tallatge'!$C$2,0))))),IF(V19='Model tallatge'!$D$19,'Model tallatge'!$D$2,0),IF(V20='Model tallatge'!$D$20,'Model tallatge'!$D$2,0), IF(V21='Model tallatge'!$D$21,'Model tallatge'!$D$2,0))</f>
        <v>7</v>
      </c>
      <c r="W16" s="37">
        <f>SUM(IF(W17&gt;=10,'Model tallatge'!$G$2,IF(W17&gt;=7,'Model tallatge'!$F$2,IF(W17&gt;=4,'Model tallatge'!$E$2,IF(W17&gt;=2,'Model tallatge'!$D$2,IF(W17='Model tallatge'!$C$17,'Model tallatge'!$C$2,0))))),IF(W18&gt;=7,'Model tallatge'!$G$2,IF(W18&gt;=5,'Model tallatge'!$F$2,IF(W18&gt;=3,'Model tallatge'!$E$2,IF(W18='Model tallatge'!$D$18,'Model tallatge'!$D$2,IF(W18='Model tallatge'!$C$18,'Model tallatge'!$C$2,0))))),IF(W19='Model tallatge'!$D$19,'Model tallatge'!$D$2,0),IF(W20='Model tallatge'!$D$20,'Model tallatge'!$D$2,0), IF(W21='Model tallatge'!$D$21,'Model tallatge'!$D$2,0))</f>
        <v>2</v>
      </c>
      <c r="X16" s="37">
        <f>SUM(IF(X17&gt;=10,'Model tallatge'!$G$2,IF(X17&gt;=7,'Model tallatge'!$F$2,IF(X17&gt;=4,'Model tallatge'!$E$2,IF(X17&gt;=2,'Model tallatge'!$D$2,IF(X17='Model tallatge'!$C$17,'Model tallatge'!$C$2,0))))),IF(X18&gt;=7,'Model tallatge'!$G$2,IF(X18&gt;=5,'Model tallatge'!$F$2,IF(X18&gt;=3,'Model tallatge'!$E$2,IF(X18='Model tallatge'!$D$18,'Model tallatge'!$D$2,IF(X18='Model tallatge'!$C$18,'Model tallatge'!$C$2,0))))),IF(X19='Model tallatge'!$D$19,'Model tallatge'!$D$2,0),IF(X20='Model tallatge'!$D$20,'Model tallatge'!$D$2,0), IF(X21='Model tallatge'!$D$21,'Model tallatge'!$D$2,0))</f>
        <v>3</v>
      </c>
      <c r="Y16" s="37">
        <f>SUM(IF(Y17&gt;=10,'Model tallatge'!$G$2,IF(Y17&gt;=7,'Model tallatge'!$F$2,IF(Y17&gt;=4,'Model tallatge'!$E$2,IF(Y17&gt;=2,'Model tallatge'!$D$2,IF(Y17='Model tallatge'!$C$17,'Model tallatge'!$C$2,0))))),IF(Y18&gt;=7,'Model tallatge'!$G$2,IF(Y18&gt;=5,'Model tallatge'!$F$2,IF(Y18&gt;=3,'Model tallatge'!$E$2,IF(Y18='Model tallatge'!$D$18,'Model tallatge'!$D$2,IF(Y18='Model tallatge'!$C$18,'Model tallatge'!$C$2,0))))),IF(Y19='Model tallatge'!$D$19,'Model tallatge'!$D$2,0),IF(Y20='Model tallatge'!$D$20,'Model tallatge'!$D$2,0), IF(Y21='Model tallatge'!$D$21,'Model tallatge'!$D$2,0))</f>
        <v>3</v>
      </c>
      <c r="Z16" s="37">
        <f>SUM(IF(Z17&gt;=10,'Model tallatge'!$G$2,IF(Z17&gt;=7,'Model tallatge'!$F$2,IF(Z17&gt;=4,'Model tallatge'!$E$2,IF(Z17&gt;=2,'Model tallatge'!$D$2,IF(Z17='Model tallatge'!$C$17,'Model tallatge'!$C$2,0))))),IF(Z18&gt;=7,'Model tallatge'!$G$2,IF(Z18&gt;=5,'Model tallatge'!$F$2,IF(Z18&gt;=3,'Model tallatge'!$E$2,IF(Z18='Model tallatge'!$D$18,'Model tallatge'!$D$2,IF(Z18='Model tallatge'!$C$18,'Model tallatge'!$C$2,0))))),IF(Z19='Model tallatge'!$D$19,'Model tallatge'!$D$2,0),IF(Z20='Model tallatge'!$D$20,'Model tallatge'!$D$2,0), IF(Z21='Model tallatge'!$D$21,'Model tallatge'!$D$2,0))</f>
        <v>0</v>
      </c>
      <c r="AA16" s="37">
        <f>SUM(IF(AA17&gt;=10,'Model tallatge'!$G$2,IF(AA17&gt;=7,'Model tallatge'!$F$2,IF(AA17&gt;=4,'Model tallatge'!$E$2,IF(AA17&gt;=2,'Model tallatge'!$D$2,IF(AA17='Model tallatge'!$C$17,'Model tallatge'!$C$2,0))))),IF(AA18&gt;=7,'Model tallatge'!$G$2,IF(AA18&gt;=5,'Model tallatge'!$F$2,IF(AA18&gt;=3,'Model tallatge'!$E$2,IF(AA18='Model tallatge'!$D$18,'Model tallatge'!$D$2,IF(AA18='Model tallatge'!$C$18,'Model tallatge'!$C$2,0))))),IF(AA19='Model tallatge'!$D$19,'Model tallatge'!$D$2,0),IF(AA20='Model tallatge'!$D$20,'Model tallatge'!$D$2,0), IF(AA21='Model tallatge'!$D$21,'Model tallatge'!$D$2,0))</f>
        <v>1</v>
      </c>
      <c r="AB16" s="37">
        <f>SUM(IF(AB17&gt;=10,'Model tallatge'!$G$2,IF(AB17&gt;=7,'Model tallatge'!$F$2,IF(AB17&gt;=4,'Model tallatge'!$E$2,IF(AB17&gt;=2,'Model tallatge'!$D$2,IF(AB17='Model tallatge'!$C$17,'Model tallatge'!$C$2,0))))),IF(AB18&gt;=7,'Model tallatge'!$G$2,IF(AB18&gt;=5,'Model tallatge'!$F$2,IF(AB18&gt;=3,'Model tallatge'!$E$2,IF(AB18='Model tallatge'!$D$18,'Model tallatge'!$D$2,IF(AB18='Model tallatge'!$C$18,'Model tallatge'!$C$2,0))))),IF(AB19='Model tallatge'!$D$19,'Model tallatge'!$D$2,0),IF(AB20='Model tallatge'!$D$20,'Model tallatge'!$D$2,0), IF(AB21='Model tallatge'!$D$21,'Model tallatge'!$D$2,0))</f>
        <v>0</v>
      </c>
      <c r="AC16" s="37">
        <f>SUM(IF(AC17&gt;=10,'Model tallatge'!$G$2,IF(AC17&gt;=7,'Model tallatge'!$F$2,IF(AC17&gt;=4,'Model tallatge'!$E$2,IF(AC17&gt;=2,'Model tallatge'!$D$2,IF(AC17='Model tallatge'!$C$17,'Model tallatge'!$C$2,0))))),IF(AC18&gt;=7,'Model tallatge'!$G$2,IF(AC18&gt;=5,'Model tallatge'!$F$2,IF(AC18&gt;=3,'Model tallatge'!$E$2,IF(AC18='Model tallatge'!$D$18,'Model tallatge'!$D$2,IF(AC18='Model tallatge'!$C$18,'Model tallatge'!$C$2,0))))),IF(AC19='Model tallatge'!$D$19,'Model tallatge'!$D$2,0),IF(AC20='Model tallatge'!$D$20,'Model tallatge'!$D$2,0), IF(AC21='Model tallatge'!$D$21,'Model tallatge'!$D$2,0))</f>
        <v>0</v>
      </c>
      <c r="AD16" s="37">
        <f>SUM(IF(AD17&gt;=10,'Model tallatge'!$G$2,IF(AD17&gt;=7,'Model tallatge'!$F$2,IF(AD17&gt;=4,'Model tallatge'!$E$2,IF(AD17&gt;=2,'Model tallatge'!$D$2,IF(AD17='Model tallatge'!$C$17,'Model tallatge'!$C$2,0))))),IF(AD18&gt;=7,'Model tallatge'!$G$2,IF(AD18&gt;=5,'Model tallatge'!$F$2,IF(AD18&gt;=3,'Model tallatge'!$E$2,IF(AD18='Model tallatge'!$D$18,'Model tallatge'!$D$2,IF(AD18='Model tallatge'!$C$18,'Model tallatge'!$C$2,0))))),IF(AD19='Model tallatge'!$D$19,'Model tallatge'!$D$2,0),IF(AD20='Model tallatge'!$D$20,'Model tallatge'!$D$2,0), IF(AD21='Model tallatge'!$D$21,'Model tallatge'!$D$2,0))</f>
        <v>0</v>
      </c>
      <c r="AE16" s="37">
        <f>SUM(IF(AE17&gt;=10,'Model tallatge'!$G$2,IF(AE17&gt;=7,'Model tallatge'!$F$2,IF(AE17&gt;=4,'Model tallatge'!$E$2,IF(AE17&gt;=2,'Model tallatge'!$D$2,IF(AE17='Model tallatge'!$C$17,'Model tallatge'!$C$2,0))))),IF(AE18&gt;=7,'Model tallatge'!$G$2,IF(AE18&gt;=5,'Model tallatge'!$F$2,IF(AE18&gt;=3,'Model tallatge'!$E$2,IF(AE18='Model tallatge'!$D$18,'Model tallatge'!$D$2,IF(AE18='Model tallatge'!$C$18,'Model tallatge'!$C$2,0))))),IF(AE19='Model tallatge'!$D$19,'Model tallatge'!$D$2,0),IF(AE20='Model tallatge'!$D$20,'Model tallatge'!$D$2,0), IF(AE21='Model tallatge'!$D$21,'Model tallatge'!$D$2,0))</f>
        <v>0</v>
      </c>
      <c r="AF16" s="37">
        <f>SUM(IF(AF17&gt;=10,'Model tallatge'!$G$2,IF(AF17&gt;=7,'Model tallatge'!$F$2,IF(AF17&gt;=4,'Model tallatge'!$E$2,IF(AF17&gt;=2,'Model tallatge'!$D$2,IF(AF17='Model tallatge'!$C$17,'Model tallatge'!$C$2,0))))),IF(AF18&gt;=7,'Model tallatge'!$G$2,IF(AF18&gt;=5,'Model tallatge'!$F$2,IF(AF18&gt;=3,'Model tallatge'!$E$2,IF(AF18='Model tallatge'!$D$18,'Model tallatge'!$D$2,IF(AF18='Model tallatge'!$C$18,'Model tallatge'!$C$2,0))))),IF(AF19='Model tallatge'!$D$19,'Model tallatge'!$D$2,0),IF(AF20='Model tallatge'!$D$20,'Model tallatge'!$D$2,0), IF(AF21='Model tallatge'!$D$21,'Model tallatge'!$D$2,0))</f>
        <v>3</v>
      </c>
      <c r="AG16" s="37">
        <f>SUM(IF(AG17&gt;=10,'Model tallatge'!$G$2,IF(AG17&gt;=7,'Model tallatge'!$F$2,IF(AG17&gt;=4,'Model tallatge'!$E$2,IF(AG17&gt;=2,'Model tallatge'!$D$2,IF(AG17='Model tallatge'!$C$17,'Model tallatge'!$C$2,0))))),IF(AG18&gt;=7,'Model tallatge'!$G$2,IF(AG18&gt;=5,'Model tallatge'!$F$2,IF(AG18&gt;=3,'Model tallatge'!$E$2,IF(AG18='Model tallatge'!$D$18,'Model tallatge'!$D$2,IF(AG18='Model tallatge'!$C$18,'Model tallatge'!$C$2,0))))),IF(AG19='Model tallatge'!$D$19,'Model tallatge'!$D$2,0),IF(AG20='Model tallatge'!$D$20,'Model tallatge'!$D$2,0), IF(AG21='Model tallatge'!$D$21,'Model tallatge'!$D$2,0))</f>
        <v>6</v>
      </c>
      <c r="AH16" s="37">
        <f>SUM(IF(AH17&gt;=10,'Model tallatge'!$G$2,IF(AH17&gt;=7,'Model tallatge'!$F$2,IF(AH17&gt;=4,'Model tallatge'!$E$2,IF(AH17&gt;=2,'Model tallatge'!$D$2,IF(AH17='Model tallatge'!$C$17,'Model tallatge'!$C$2,0))))),IF(AH18&gt;=7,'Model tallatge'!$G$2,IF(AH18&gt;=5,'Model tallatge'!$F$2,IF(AH18&gt;=3,'Model tallatge'!$E$2,IF(AH18='Model tallatge'!$D$18,'Model tallatge'!$D$2,IF(AH18='Model tallatge'!$C$18,'Model tallatge'!$C$2,0))))),IF(AH19='Model tallatge'!$D$19,'Model tallatge'!$D$2,0),IF(AH20='Model tallatge'!$D$20,'Model tallatge'!$D$2,0), IF(AH21='Model tallatge'!$D$21,'Model tallatge'!$D$2,0))</f>
        <v>6</v>
      </c>
      <c r="AI16" s="37">
        <f>SUM(IF(AI17&gt;=10,'Model tallatge'!$G$2,IF(AI17&gt;=7,'Model tallatge'!$F$2,IF(AI17&gt;=4,'Model tallatge'!$E$2,IF(AI17&gt;=2,'Model tallatge'!$D$2,IF(AI17='Model tallatge'!$C$17,'Model tallatge'!$C$2,0))))),IF(AI18&gt;=7,'Model tallatge'!$G$2,IF(AI18&gt;=5,'Model tallatge'!$F$2,IF(AI18&gt;=3,'Model tallatge'!$E$2,IF(AI18='Model tallatge'!$D$18,'Model tallatge'!$D$2,IF(AI18='Model tallatge'!$C$18,'Model tallatge'!$C$2,0))))),IF(AI19='Model tallatge'!$D$19,'Model tallatge'!$D$2,0),IF(AI20='Model tallatge'!$D$20,'Model tallatge'!$D$2,0), IF(AI21='Model tallatge'!$D$21,'Model tallatge'!$D$2,0))</f>
        <v>0</v>
      </c>
      <c r="AJ16" s="37">
        <f>SUM(IF(AJ17&gt;=10,'Model tallatge'!$G$2,IF(AJ17&gt;=7,'Model tallatge'!$F$2,IF(AJ17&gt;=4,'Model tallatge'!$E$2,IF(AJ17&gt;=2,'Model tallatge'!$D$2,IF(AJ17='Model tallatge'!$C$17,'Model tallatge'!$C$2,0))))),IF(AJ18&gt;=7,'Model tallatge'!$G$2,IF(AJ18&gt;=5,'Model tallatge'!$F$2,IF(AJ18&gt;=3,'Model tallatge'!$E$2,IF(AJ18='Model tallatge'!$D$18,'Model tallatge'!$D$2,IF(AJ18='Model tallatge'!$C$18,'Model tallatge'!$C$2,0))))),IF(AJ19='Model tallatge'!$D$19,'Model tallatge'!$D$2,0),IF(AJ20='Model tallatge'!$D$20,'Model tallatge'!$D$2,0), IF(AJ21='Model tallatge'!$D$21,'Model tallatge'!$D$2,0))</f>
        <v>0</v>
      </c>
      <c r="AK16" s="37">
        <f>SUM(IF(AK17&gt;=10,'Model tallatge'!$G$2,IF(AK17&gt;=7,'Model tallatge'!$F$2,IF(AK17&gt;=4,'Model tallatge'!$E$2,IF(AK17&gt;=2,'Model tallatge'!$D$2,IF(AK17='Model tallatge'!$C$17,'Model tallatge'!$C$2,0))))),IF(AK18&gt;=7,'Model tallatge'!$G$2,IF(AK18&gt;=5,'Model tallatge'!$F$2,IF(AK18&gt;=3,'Model tallatge'!$E$2,IF(AK18='Model tallatge'!$D$18,'Model tallatge'!$D$2,IF(AK18='Model tallatge'!$C$18,'Model tallatge'!$C$2,0))))),IF(AK19='Model tallatge'!$D$19,'Model tallatge'!$D$2,0),IF(AK20='Model tallatge'!$D$20,'Model tallatge'!$D$2,0), IF(AK21='Model tallatge'!$D$21,'Model tallatge'!$D$2,0))</f>
        <v>5</v>
      </c>
      <c r="AL16" s="37">
        <f>SUM(IF(AL17&gt;=10,'Model tallatge'!$G$2,IF(AL17&gt;=7,'Model tallatge'!$F$2,IF(AL17&gt;=4,'Model tallatge'!$E$2,IF(AL17&gt;=2,'Model tallatge'!$D$2,IF(AL17='Model tallatge'!$C$17,'Model tallatge'!$C$2,0))))),IF(AL18&gt;=7,'Model tallatge'!$G$2,IF(AL18&gt;=5,'Model tallatge'!$F$2,IF(AL18&gt;=3,'Model tallatge'!$E$2,IF(AL18='Model tallatge'!$D$18,'Model tallatge'!$D$2,IF(AL18='Model tallatge'!$C$18,'Model tallatge'!$C$2,0))))),IF(AL19='Model tallatge'!$D$19,'Model tallatge'!$D$2,0),IF(AL20='Model tallatge'!$D$20,'Model tallatge'!$D$2,0), IF(AL21='Model tallatge'!$D$21,'Model tallatge'!$D$2,0))</f>
        <v>1</v>
      </c>
      <c r="AM16" s="37">
        <f>SUM(IF(AM17&gt;=10,'Model tallatge'!$G$2,IF(AM17&gt;=7,'Model tallatge'!$F$2,IF(AM17&gt;=4,'Model tallatge'!$E$2,IF(AM17&gt;=2,'Model tallatge'!$D$2,IF(AM17='Model tallatge'!$C$17,'Model tallatge'!$C$2,0))))),IF(AM18&gt;=7,'Model tallatge'!$G$2,IF(AM18&gt;=5,'Model tallatge'!$F$2,IF(AM18&gt;=3,'Model tallatge'!$E$2,IF(AM18='Model tallatge'!$D$18,'Model tallatge'!$D$2,IF(AM18='Model tallatge'!$C$18,'Model tallatge'!$C$2,0))))),IF(AM19='Model tallatge'!$D$19,'Model tallatge'!$D$2,0),IF(AM20='Model tallatge'!$D$20,'Model tallatge'!$D$2,0), IF(AM21='Model tallatge'!$D$21,'Model tallatge'!$D$2,0))</f>
        <v>2</v>
      </c>
      <c r="AN16" s="37">
        <f>SUM(IF(AN17&gt;=10,'Model tallatge'!$G$2,IF(AN17&gt;=7,'Model tallatge'!$F$2,IF(AN17&gt;=4,'Model tallatge'!$E$2,IF(AN17&gt;=2,'Model tallatge'!$D$2,IF(AN17='Model tallatge'!$C$17,'Model tallatge'!$C$2,0))))),IF(AN18&gt;=7,'Model tallatge'!$G$2,IF(AN18&gt;=5,'Model tallatge'!$F$2,IF(AN18&gt;=3,'Model tallatge'!$E$2,IF(AN18='Model tallatge'!$D$18,'Model tallatge'!$D$2,IF(AN18='Model tallatge'!$C$18,'Model tallatge'!$C$2,0))))),IF(AN19='Model tallatge'!$D$19,'Model tallatge'!$D$2,0),IF(AN20='Model tallatge'!$D$20,'Model tallatge'!$D$2,0), IF(AN21='Model tallatge'!$D$21,'Model tallatge'!$D$2,0))</f>
        <v>1</v>
      </c>
    </row>
    <row r="17" spans="1:42" ht="14.4" x14ac:dyDescent="0.3">
      <c r="A17" s="38" t="s">
        <v>142</v>
      </c>
      <c r="B17" s="39">
        <v>2</v>
      </c>
      <c r="C17" s="39">
        <v>13</v>
      </c>
      <c r="D17" s="39">
        <v>2</v>
      </c>
      <c r="E17" s="39">
        <v>1</v>
      </c>
      <c r="F17" s="39">
        <v>0</v>
      </c>
      <c r="G17" s="39">
        <v>0</v>
      </c>
      <c r="H17" s="39">
        <v>0</v>
      </c>
      <c r="I17" s="39">
        <v>0</v>
      </c>
      <c r="J17" s="39">
        <v>1</v>
      </c>
      <c r="K17" s="39">
        <v>0</v>
      </c>
      <c r="L17" s="39">
        <v>5</v>
      </c>
      <c r="M17" s="39">
        <v>0</v>
      </c>
      <c r="N17" s="39">
        <v>0</v>
      </c>
      <c r="O17" s="39">
        <v>1</v>
      </c>
      <c r="P17" s="39">
        <v>1</v>
      </c>
      <c r="Q17" s="39">
        <v>2</v>
      </c>
      <c r="R17" s="39">
        <v>0</v>
      </c>
      <c r="S17" s="39">
        <v>0</v>
      </c>
      <c r="T17" s="39">
        <v>0</v>
      </c>
      <c r="U17" s="39">
        <v>0</v>
      </c>
      <c r="V17" s="39">
        <v>0</v>
      </c>
      <c r="W17" s="39">
        <v>0</v>
      </c>
      <c r="X17" s="39">
        <v>0</v>
      </c>
      <c r="Y17" s="39">
        <v>0</v>
      </c>
      <c r="Z17" s="39">
        <v>0</v>
      </c>
      <c r="AA17" s="39">
        <v>1</v>
      </c>
      <c r="AB17" s="39">
        <v>0</v>
      </c>
      <c r="AC17" s="39">
        <v>0</v>
      </c>
      <c r="AD17" s="39">
        <v>0</v>
      </c>
      <c r="AE17" s="39">
        <v>0</v>
      </c>
      <c r="AF17" s="39">
        <v>4</v>
      </c>
      <c r="AG17" s="39">
        <v>0</v>
      </c>
      <c r="AH17" s="39">
        <v>0</v>
      </c>
      <c r="AI17" s="39">
        <v>0</v>
      </c>
      <c r="AJ17" s="39">
        <v>0</v>
      </c>
      <c r="AK17" s="39">
        <v>2</v>
      </c>
      <c r="AL17" s="39">
        <v>1</v>
      </c>
      <c r="AM17" s="39">
        <v>2</v>
      </c>
      <c r="AN17" s="39">
        <v>1</v>
      </c>
    </row>
    <row r="18" spans="1:42" ht="14.4" x14ac:dyDescent="0.3">
      <c r="A18" s="38" t="s">
        <v>219</v>
      </c>
      <c r="B18" s="39">
        <v>1</v>
      </c>
      <c r="C18" s="39">
        <v>6</v>
      </c>
      <c r="D18" s="39">
        <v>0</v>
      </c>
      <c r="E18" s="39">
        <v>0</v>
      </c>
      <c r="F18" s="39">
        <v>0</v>
      </c>
      <c r="G18" s="39">
        <v>0</v>
      </c>
      <c r="H18" s="39">
        <v>0</v>
      </c>
      <c r="I18" s="39">
        <v>0</v>
      </c>
      <c r="J18" s="39">
        <v>0</v>
      </c>
      <c r="K18" s="39">
        <v>0</v>
      </c>
      <c r="L18" s="39">
        <v>1</v>
      </c>
      <c r="M18" s="39">
        <v>0</v>
      </c>
      <c r="N18" s="39">
        <v>0</v>
      </c>
      <c r="O18" s="39">
        <v>0</v>
      </c>
      <c r="P18" s="39">
        <v>0</v>
      </c>
      <c r="Q18" s="39">
        <v>14</v>
      </c>
      <c r="R18" s="39">
        <v>0</v>
      </c>
      <c r="S18" s="39">
        <v>0</v>
      </c>
      <c r="T18" s="39">
        <v>0</v>
      </c>
      <c r="U18" s="39">
        <v>2</v>
      </c>
      <c r="V18" s="39">
        <v>9</v>
      </c>
      <c r="W18" s="39">
        <v>0</v>
      </c>
      <c r="X18" s="39">
        <v>1</v>
      </c>
      <c r="Y18" s="39">
        <v>1</v>
      </c>
      <c r="Z18" s="39">
        <v>0</v>
      </c>
      <c r="AA18" s="39">
        <v>0</v>
      </c>
      <c r="AB18" s="39">
        <v>0</v>
      </c>
      <c r="AC18" s="39">
        <v>0</v>
      </c>
      <c r="AD18" s="39">
        <v>0</v>
      </c>
      <c r="AE18" s="39">
        <v>0</v>
      </c>
      <c r="AF18" s="39">
        <v>0</v>
      </c>
      <c r="AG18" s="39">
        <v>0</v>
      </c>
      <c r="AH18" s="39">
        <v>0</v>
      </c>
      <c r="AI18" s="39">
        <v>0</v>
      </c>
      <c r="AJ18" s="39">
        <v>0</v>
      </c>
      <c r="AK18" s="39">
        <v>3</v>
      </c>
      <c r="AL18" s="39">
        <v>0</v>
      </c>
      <c r="AM18" s="39">
        <v>0</v>
      </c>
      <c r="AN18" s="39">
        <v>0</v>
      </c>
    </row>
    <row r="19" spans="1:42" ht="14.4" x14ac:dyDescent="0.3">
      <c r="A19" s="38" t="s">
        <v>150</v>
      </c>
      <c r="B19" s="39" t="s">
        <v>116</v>
      </c>
      <c r="C19" s="39" t="s">
        <v>116</v>
      </c>
      <c r="D19" s="39" t="s">
        <v>152</v>
      </c>
      <c r="E19" s="39" t="s">
        <v>152</v>
      </c>
      <c r="F19" s="39" t="s">
        <v>152</v>
      </c>
      <c r="G19" s="39" t="s">
        <v>116</v>
      </c>
      <c r="H19" s="39" t="s">
        <v>152</v>
      </c>
      <c r="I19" s="39" t="s">
        <v>152</v>
      </c>
      <c r="J19" s="39" t="s">
        <v>116</v>
      </c>
      <c r="K19" s="39" t="s">
        <v>116</v>
      </c>
      <c r="L19" s="39" t="s">
        <v>152</v>
      </c>
      <c r="M19" s="39" t="s">
        <v>152</v>
      </c>
      <c r="N19" s="39" t="s">
        <v>152</v>
      </c>
      <c r="O19" s="39" t="s">
        <v>152</v>
      </c>
      <c r="P19" s="39" t="s">
        <v>152</v>
      </c>
      <c r="Q19" s="39" t="s">
        <v>152</v>
      </c>
      <c r="R19" s="39" t="s">
        <v>116</v>
      </c>
      <c r="S19" s="39" t="s">
        <v>116</v>
      </c>
      <c r="T19" s="39" t="s">
        <v>116</v>
      </c>
      <c r="U19" s="39" t="s">
        <v>116</v>
      </c>
      <c r="V19" s="39" t="s">
        <v>116</v>
      </c>
      <c r="W19" s="39" t="s">
        <v>152</v>
      </c>
      <c r="X19" s="39" t="s">
        <v>116</v>
      </c>
      <c r="Y19" s="39" t="s">
        <v>116</v>
      </c>
      <c r="Z19" s="39" t="s">
        <v>116</v>
      </c>
      <c r="AA19" s="39" t="s">
        <v>116</v>
      </c>
      <c r="AB19" s="39" t="s">
        <v>116</v>
      </c>
      <c r="AC19" s="39" t="s">
        <v>116</v>
      </c>
      <c r="AD19" s="39" t="s">
        <v>116</v>
      </c>
      <c r="AE19" s="39" t="s">
        <v>116</v>
      </c>
      <c r="AF19" s="39" t="s">
        <v>116</v>
      </c>
      <c r="AG19" s="39" t="s">
        <v>152</v>
      </c>
      <c r="AH19" s="39" t="s">
        <v>152</v>
      </c>
      <c r="AI19" s="39" t="s">
        <v>116</v>
      </c>
      <c r="AJ19" s="39" t="s">
        <v>116</v>
      </c>
      <c r="AK19" s="39" t="s">
        <v>117</v>
      </c>
      <c r="AL19" s="39" t="s">
        <v>117</v>
      </c>
      <c r="AM19" s="39" t="s">
        <v>117</v>
      </c>
      <c r="AN19" s="39" t="s">
        <v>116</v>
      </c>
    </row>
    <row r="20" spans="1:42" ht="14.4" x14ac:dyDescent="0.3">
      <c r="A20" s="38" t="s">
        <v>220</v>
      </c>
      <c r="B20" s="39" t="s">
        <v>116</v>
      </c>
      <c r="C20" s="39" t="s">
        <v>116</v>
      </c>
      <c r="D20" s="39" t="s">
        <v>116</v>
      </c>
      <c r="E20" s="39" t="s">
        <v>116</v>
      </c>
      <c r="F20" s="39" t="s">
        <v>116</v>
      </c>
      <c r="G20" s="39" t="s">
        <v>116</v>
      </c>
      <c r="H20" s="39" t="s">
        <v>116</v>
      </c>
      <c r="I20" s="39" t="s">
        <v>116</v>
      </c>
      <c r="J20" s="39" t="s">
        <v>116</v>
      </c>
      <c r="K20" s="39" t="s">
        <v>116</v>
      </c>
      <c r="L20" s="39" t="s">
        <v>152</v>
      </c>
      <c r="M20" s="39" t="s">
        <v>152</v>
      </c>
      <c r="N20" s="39" t="s">
        <v>116</v>
      </c>
      <c r="O20" s="39" t="s">
        <v>116</v>
      </c>
      <c r="P20" s="39" t="s">
        <v>152</v>
      </c>
      <c r="Q20" s="39" t="s">
        <v>116</v>
      </c>
      <c r="R20" s="39" t="s">
        <v>116</v>
      </c>
      <c r="S20" s="39" t="s">
        <v>116</v>
      </c>
      <c r="T20" s="39" t="s">
        <v>116</v>
      </c>
      <c r="U20" s="39" t="s">
        <v>116</v>
      </c>
      <c r="V20" s="39" t="s">
        <v>116</v>
      </c>
      <c r="W20" s="39" t="s">
        <v>116</v>
      </c>
      <c r="X20" s="39" t="s">
        <v>116</v>
      </c>
      <c r="Y20" s="39" t="s">
        <v>116</v>
      </c>
      <c r="Z20" s="39" t="s">
        <v>116</v>
      </c>
      <c r="AA20" s="39" t="s">
        <v>116</v>
      </c>
      <c r="AB20" s="39" t="s">
        <v>116</v>
      </c>
      <c r="AC20" s="39" t="s">
        <v>116</v>
      </c>
      <c r="AD20" s="39" t="s">
        <v>116</v>
      </c>
      <c r="AE20" s="39" t="s">
        <v>116</v>
      </c>
      <c r="AF20" s="39" t="s">
        <v>116</v>
      </c>
      <c r="AG20" s="39" t="s">
        <v>152</v>
      </c>
      <c r="AH20" s="39" t="s">
        <v>152</v>
      </c>
      <c r="AI20" s="39" t="s">
        <v>116</v>
      </c>
      <c r="AJ20" s="39" t="s">
        <v>116</v>
      </c>
      <c r="AK20" s="39" t="s">
        <v>117</v>
      </c>
      <c r="AL20" s="39" t="s">
        <v>116</v>
      </c>
      <c r="AM20" s="39" t="s">
        <v>117</v>
      </c>
      <c r="AN20" s="39" t="s">
        <v>116</v>
      </c>
    </row>
    <row r="21" spans="1:42" ht="14.4" x14ac:dyDescent="0.3">
      <c r="A21" s="38" t="s">
        <v>154</v>
      </c>
      <c r="B21" s="39" t="s">
        <v>152</v>
      </c>
      <c r="C21" s="39" t="s">
        <v>152</v>
      </c>
      <c r="D21" s="39" t="s">
        <v>152</v>
      </c>
      <c r="E21" s="39" t="s">
        <v>116</v>
      </c>
      <c r="F21" s="39" t="s">
        <v>152</v>
      </c>
      <c r="G21" s="39" t="s">
        <v>116</v>
      </c>
      <c r="H21" s="39" t="s">
        <v>116</v>
      </c>
      <c r="I21" s="39" t="s">
        <v>116</v>
      </c>
      <c r="J21" s="39" t="s">
        <v>116</v>
      </c>
      <c r="K21" s="39" t="s">
        <v>116</v>
      </c>
      <c r="L21" s="39" t="s">
        <v>152</v>
      </c>
      <c r="M21" s="39" t="s">
        <v>152</v>
      </c>
      <c r="N21" s="39" t="s">
        <v>152</v>
      </c>
      <c r="O21" s="39" t="s">
        <v>152</v>
      </c>
      <c r="P21" s="39" t="s">
        <v>116</v>
      </c>
      <c r="Q21" s="39" t="s">
        <v>152</v>
      </c>
      <c r="R21" s="39" t="s">
        <v>116</v>
      </c>
      <c r="S21" s="39" t="s">
        <v>116</v>
      </c>
      <c r="T21" s="39" t="s">
        <v>116</v>
      </c>
      <c r="U21" s="39" t="s">
        <v>116</v>
      </c>
      <c r="V21" s="39" t="s">
        <v>152</v>
      </c>
      <c r="W21" s="39" t="s">
        <v>116</v>
      </c>
      <c r="X21" s="39" t="s">
        <v>152</v>
      </c>
      <c r="Y21" s="39" t="s">
        <v>152</v>
      </c>
      <c r="Z21" s="39" t="s">
        <v>116</v>
      </c>
      <c r="AA21" s="39" t="s">
        <v>116</v>
      </c>
      <c r="AB21" s="39" t="s">
        <v>116</v>
      </c>
      <c r="AC21" s="39" t="s">
        <v>116</v>
      </c>
      <c r="AD21" s="39" t="s">
        <v>116</v>
      </c>
      <c r="AE21" s="39" t="s">
        <v>116</v>
      </c>
      <c r="AF21" s="39" t="s">
        <v>116</v>
      </c>
      <c r="AG21" s="39" t="s">
        <v>152</v>
      </c>
      <c r="AH21" s="39" t="s">
        <v>152</v>
      </c>
      <c r="AI21" s="39" t="s">
        <v>116</v>
      </c>
      <c r="AJ21" s="39" t="s">
        <v>116</v>
      </c>
      <c r="AK21" s="39" t="s">
        <v>117</v>
      </c>
      <c r="AL21" s="39" t="s">
        <v>117</v>
      </c>
      <c r="AM21" s="39" t="s">
        <v>117</v>
      </c>
      <c r="AN21" s="39" t="s">
        <v>116</v>
      </c>
    </row>
    <row r="22" spans="1:42" ht="14.4" x14ac:dyDescent="0.3">
      <c r="A22" s="36" t="s">
        <v>155</v>
      </c>
      <c r="B22" s="37">
        <f>SUM(IF(B23&gt;=5,'Model tallatge'!$E$2,IF(B23&gt;=2,'Model tallatge'!$D$2,IF(B23=1,'Model tallatge'!$C$2,'Model tallatge'!$B$2))),IF(B24='Model tallatge'!$C$26,'Model tallatge'!$C$2,IF(B24='Model tallatge'!$D$26,'Model tallatge'!$D$2,IF(B24='Model tallatge'!$E$26,'Model tallatge'!$E$2))),IF(B25='Model tallatge'!$C$27,'Model tallatge'!$C$2,IF(B25='Model tallatge'!$D$27,'Model tallatge'!$D$2,IF(B25='Model tallatge'!$E$27,'Model tallatge'!$E$2))))</f>
        <v>4</v>
      </c>
      <c r="C22" s="37">
        <f>SUM(IF(C23&gt;=5,'Model tallatge'!$E$2,IF(C23&gt;=2,'Model tallatge'!$D$2,IF(C23=1,'Model tallatge'!$C$2,'Model tallatge'!$B$2))),IF(C24='Model tallatge'!$C$26,'Model tallatge'!$C$2,IF(C24='Model tallatge'!$D$26,'Model tallatge'!$D$2,IF(C24='Model tallatge'!$E$26,'Model tallatge'!$E$2))),IF(C25='Model tallatge'!$C$27,'Model tallatge'!$C$2,IF(C25='Model tallatge'!$D$27,'Model tallatge'!$D$2,IF(C25='Model tallatge'!$E$27,'Model tallatge'!$E$2))))</f>
        <v>2</v>
      </c>
      <c r="D22" s="37">
        <f>SUM(IF(D23&gt;=5,'Model tallatge'!$E$2,IF(D23&gt;=2,'Model tallatge'!$D$2,IF(D23=1,'Model tallatge'!$C$2,'Model tallatge'!$B$2))),IF(D24='Model tallatge'!$C$26,'Model tallatge'!$C$2,IF(D24='Model tallatge'!$D$26,'Model tallatge'!$D$2,IF(D24='Model tallatge'!$E$26,'Model tallatge'!$E$2))),IF(D25='Model tallatge'!$C$27,'Model tallatge'!$C$2,IF(D25='Model tallatge'!$D$27,'Model tallatge'!$D$2,IF(D25='Model tallatge'!$E$27,'Model tallatge'!$E$2))))</f>
        <v>9</v>
      </c>
      <c r="E22" s="37">
        <f>SUM(IF(E23&gt;=5,'Model tallatge'!$E$2,IF(E23&gt;=2,'Model tallatge'!$D$2,IF(E23=1,'Model tallatge'!$C$2,'Model tallatge'!$B$2))),IF(E24='Model tallatge'!$C$26,'Model tallatge'!$C$2,IF(E24='Model tallatge'!$D$26,'Model tallatge'!$D$2,IF(E24='Model tallatge'!$E$26,'Model tallatge'!$E$2))),IF(E25='Model tallatge'!$C$27,'Model tallatge'!$C$2,IF(E25='Model tallatge'!$D$27,'Model tallatge'!$D$2,IF(E25='Model tallatge'!$E$27,'Model tallatge'!$E$2))))</f>
        <v>7</v>
      </c>
      <c r="F22" s="37">
        <f>SUM(IF(F23&gt;=5,'Model tallatge'!$E$2,IF(F23&gt;=2,'Model tallatge'!$D$2,IF(F23=1,'Model tallatge'!$C$2,'Model tallatge'!$B$2))),IF(F24='Model tallatge'!$C$26,'Model tallatge'!$C$2,IF(F24='Model tallatge'!$D$26,'Model tallatge'!$D$2,IF(F24='Model tallatge'!$E$26,'Model tallatge'!$E$2))),IF(F25='Model tallatge'!$C$27,'Model tallatge'!$C$2,IF(F25='Model tallatge'!$D$27,'Model tallatge'!$D$2,IF(F25='Model tallatge'!$E$27,'Model tallatge'!$E$2))))</f>
        <v>2</v>
      </c>
      <c r="G22" s="37">
        <f>SUM(IF(G23&gt;=5,'Model tallatge'!$E$2,IF(G23&gt;=2,'Model tallatge'!$D$2,IF(G23=1,'Model tallatge'!$C$2,'Model tallatge'!$B$2))),IF(G24='Model tallatge'!$C$26,'Model tallatge'!$C$2,IF(G24='Model tallatge'!$D$26,'Model tallatge'!$D$2,IF(G24='Model tallatge'!$E$26,'Model tallatge'!$E$2))),IF(G25='Model tallatge'!$C$27,'Model tallatge'!$C$2,IF(G25='Model tallatge'!$D$27,'Model tallatge'!$D$2,IF(G25='Model tallatge'!$E$27,'Model tallatge'!$E$2))))</f>
        <v>7</v>
      </c>
      <c r="H22" s="37">
        <f>SUM(IF(H23&gt;=5,'Model tallatge'!$E$2,IF(H23&gt;=2,'Model tallatge'!$D$2,IF(H23=1,'Model tallatge'!$C$2,'Model tallatge'!$B$2))),IF(H24='Model tallatge'!$C$26,'Model tallatge'!$C$2,IF(H24='Model tallatge'!$D$26,'Model tallatge'!$D$2,IF(H24='Model tallatge'!$E$26,'Model tallatge'!$E$2))),IF(H25='Model tallatge'!$C$27,'Model tallatge'!$C$2,IF(H25='Model tallatge'!$D$27,'Model tallatge'!$D$2,IF(H25='Model tallatge'!$E$27,'Model tallatge'!$E$2))))</f>
        <v>6</v>
      </c>
      <c r="I22" s="37">
        <f>SUM(IF(I23&gt;=5,'Model tallatge'!$E$2,IF(I23&gt;=2,'Model tallatge'!$D$2,IF(I23=1,'Model tallatge'!$C$2,'Model tallatge'!$B$2))),IF(I24='Model tallatge'!$C$26,'Model tallatge'!$C$2,IF(I24='Model tallatge'!$D$26,'Model tallatge'!$D$2,IF(I24='Model tallatge'!$E$26,'Model tallatge'!$E$2))),IF(I25='Model tallatge'!$C$27,'Model tallatge'!$C$2,IF(I25='Model tallatge'!$D$27,'Model tallatge'!$D$2,IF(I25='Model tallatge'!$E$27,'Model tallatge'!$E$2))))</f>
        <v>6</v>
      </c>
      <c r="J22" s="37">
        <f>SUM(IF(J23&gt;=5,'Model tallatge'!$E$2,IF(J23&gt;=2,'Model tallatge'!$D$2,IF(J23=1,'Model tallatge'!$C$2,'Model tallatge'!$B$2))),IF(J24='Model tallatge'!$C$26,'Model tallatge'!$C$2,IF(J24='Model tallatge'!$D$26,'Model tallatge'!$D$2,IF(J24='Model tallatge'!$E$26,'Model tallatge'!$E$2))),IF(J25='Model tallatge'!$C$27,'Model tallatge'!$C$2,IF(J25='Model tallatge'!$D$27,'Model tallatge'!$D$2,IF(J25='Model tallatge'!$E$27,'Model tallatge'!$E$2))))</f>
        <v>2</v>
      </c>
      <c r="K22" s="37">
        <f>SUM(IF(K23&gt;=5,'Model tallatge'!$E$2,IF(K23&gt;=2,'Model tallatge'!$D$2,IF(K23=1,'Model tallatge'!$C$2,'Model tallatge'!$B$2))),IF(K24='Model tallatge'!$C$26,'Model tallatge'!$C$2,IF(K24='Model tallatge'!$D$26,'Model tallatge'!$D$2,IF(K24='Model tallatge'!$E$26,'Model tallatge'!$E$2))),IF(K25='Model tallatge'!$C$27,'Model tallatge'!$C$2,IF(K25='Model tallatge'!$D$27,'Model tallatge'!$D$2,IF(K25='Model tallatge'!$E$27,'Model tallatge'!$E$2))))</f>
        <v>2</v>
      </c>
      <c r="L22" s="37">
        <f>SUM(IF(L23&gt;=5,'Model tallatge'!$E$2,IF(L23&gt;=2,'Model tallatge'!$D$2,IF(L23=1,'Model tallatge'!$C$2,'Model tallatge'!$B$2))),IF(L24='Model tallatge'!$C$26,'Model tallatge'!$C$2,IF(L24='Model tallatge'!$D$26,'Model tallatge'!$D$2,IF(L24='Model tallatge'!$E$26,'Model tallatge'!$E$2))),IF(L25='Model tallatge'!$C$27,'Model tallatge'!$C$2,IF(L25='Model tallatge'!$D$27,'Model tallatge'!$D$2,IF(L25='Model tallatge'!$E$27,'Model tallatge'!$E$2))))</f>
        <v>3</v>
      </c>
      <c r="M22" s="37">
        <f>SUM(IF(M23&gt;=5,'Model tallatge'!$E$2,IF(M23&gt;=2,'Model tallatge'!$D$2,IF(M23=1,'Model tallatge'!$C$2,'Model tallatge'!$B$2))),IF(M24='Model tallatge'!$C$26,'Model tallatge'!$C$2,IF(M24='Model tallatge'!$D$26,'Model tallatge'!$D$2,IF(M24='Model tallatge'!$E$26,'Model tallatge'!$E$2))),IF(M25='Model tallatge'!$C$27,'Model tallatge'!$C$2,IF(M25='Model tallatge'!$D$27,'Model tallatge'!$D$2,IF(M25='Model tallatge'!$E$27,'Model tallatge'!$E$2))))</f>
        <v>7</v>
      </c>
      <c r="N22" s="37">
        <f>SUM(IF(N23&gt;=5,'Model tallatge'!$E$2,IF(N23&gt;=2,'Model tallatge'!$D$2,IF(N23=1,'Model tallatge'!$C$2,'Model tallatge'!$B$2))),IF(N24='Model tallatge'!$C$26,'Model tallatge'!$C$2,IF(N24='Model tallatge'!$D$26,'Model tallatge'!$D$2,IF(N24='Model tallatge'!$E$26,'Model tallatge'!$E$2))),IF(N25='Model tallatge'!$C$27,'Model tallatge'!$C$2,IF(N25='Model tallatge'!$D$27,'Model tallatge'!$D$2,IF(N25='Model tallatge'!$E$27,'Model tallatge'!$E$2))))</f>
        <v>8</v>
      </c>
      <c r="O22" s="37">
        <f>SUM(IF(O23&gt;=5,'Model tallatge'!$E$2,IF(O23&gt;=2,'Model tallatge'!$D$2,IF(O23=1,'Model tallatge'!$C$2,'Model tallatge'!$B$2))),IF(O24='Model tallatge'!$C$26,'Model tallatge'!$C$2,IF(O24='Model tallatge'!$D$26,'Model tallatge'!$D$2,IF(O24='Model tallatge'!$E$26,'Model tallatge'!$E$2))),IF(O25='Model tallatge'!$C$27,'Model tallatge'!$C$2,IF(O25='Model tallatge'!$D$27,'Model tallatge'!$D$2,IF(O25='Model tallatge'!$E$27,'Model tallatge'!$E$2))))</f>
        <v>5</v>
      </c>
      <c r="P22" s="37">
        <f>SUM(IF(P23&gt;=5,'Model tallatge'!$E$2,IF(P23&gt;=2,'Model tallatge'!$D$2,IF(P23=1,'Model tallatge'!$C$2,'Model tallatge'!$B$2))),IF(P24='Model tallatge'!$C$26,'Model tallatge'!$C$2,IF(P24='Model tallatge'!$D$26,'Model tallatge'!$D$2,IF(P24='Model tallatge'!$E$26,'Model tallatge'!$E$2))),IF(P25='Model tallatge'!$C$27,'Model tallatge'!$C$2,IF(P25='Model tallatge'!$D$27,'Model tallatge'!$D$2,IF(P25='Model tallatge'!$E$27,'Model tallatge'!$E$2))))</f>
        <v>6</v>
      </c>
      <c r="Q22" s="37">
        <f>SUM(IF(Q23&gt;=5,'Model tallatge'!$E$2,IF(Q23&gt;=2,'Model tallatge'!$D$2,IF(Q23=1,'Model tallatge'!$C$2,'Model tallatge'!$B$2))),IF(Q24='Model tallatge'!$C$26,'Model tallatge'!$C$2,IF(Q24='Model tallatge'!$D$26,'Model tallatge'!$D$2,IF(Q24='Model tallatge'!$E$26,'Model tallatge'!$E$2))),IF(Q25='Model tallatge'!$C$27,'Model tallatge'!$C$2,IF(Q25='Model tallatge'!$D$27,'Model tallatge'!$D$2,IF(Q25='Model tallatge'!$E$27,'Model tallatge'!$E$2))))</f>
        <v>5</v>
      </c>
      <c r="R22" s="37">
        <f>SUM(IF(R23&gt;=5,'Model tallatge'!$E$2,IF(R23&gt;=2,'Model tallatge'!$D$2,IF(R23=1,'Model tallatge'!$C$2,'Model tallatge'!$B$2))),IF(R24='Model tallatge'!$C$26,'Model tallatge'!$C$2,IF(R24='Model tallatge'!$D$26,'Model tallatge'!$D$2,IF(R24='Model tallatge'!$E$26,'Model tallatge'!$E$2))),IF(R25='Model tallatge'!$C$27,'Model tallatge'!$C$2,IF(R25='Model tallatge'!$D$27,'Model tallatge'!$D$2,IF(R25='Model tallatge'!$E$27,'Model tallatge'!$E$2))))</f>
        <v>8</v>
      </c>
      <c r="S22" s="37">
        <f>SUM(IF(S23&gt;=5,'Model tallatge'!$E$2,IF(S23&gt;=2,'Model tallatge'!$D$2,IF(S23=1,'Model tallatge'!$C$2,'Model tallatge'!$B$2))),IF(S24='Model tallatge'!$C$26,'Model tallatge'!$C$2,IF(S24='Model tallatge'!$D$26,'Model tallatge'!$D$2,IF(S24='Model tallatge'!$E$26,'Model tallatge'!$E$2))),IF(S25='Model tallatge'!$C$27,'Model tallatge'!$C$2,IF(S25='Model tallatge'!$D$27,'Model tallatge'!$D$2,IF(S25='Model tallatge'!$E$27,'Model tallatge'!$E$2))))</f>
        <v>5</v>
      </c>
      <c r="T22" s="37">
        <f>SUM(IF(T23&gt;=5,'Model tallatge'!$E$2,IF(T23&gt;=2,'Model tallatge'!$D$2,IF(T23=1,'Model tallatge'!$C$2,'Model tallatge'!$B$2))),IF(T24='Model tallatge'!$C$26,'Model tallatge'!$C$2,IF(T24='Model tallatge'!$D$26,'Model tallatge'!$D$2,IF(T24='Model tallatge'!$E$26,'Model tallatge'!$E$2))),IF(T25='Model tallatge'!$C$27,'Model tallatge'!$C$2,IF(T25='Model tallatge'!$D$27,'Model tallatge'!$D$2,IF(T25='Model tallatge'!$E$27,'Model tallatge'!$E$2))))</f>
        <v>5</v>
      </c>
      <c r="U22" s="37">
        <f>SUM(IF(U23&gt;=5,'Model tallatge'!$E$2,IF(U23&gt;=2,'Model tallatge'!$D$2,IF(U23=1,'Model tallatge'!$C$2,'Model tallatge'!$B$2))),IF(U24='Model tallatge'!$C$26,'Model tallatge'!$C$2,IF(U24='Model tallatge'!$D$26,'Model tallatge'!$D$2,IF(U24='Model tallatge'!$E$26,'Model tallatge'!$E$2))),IF(U25='Model tallatge'!$C$27,'Model tallatge'!$C$2,IF(U25='Model tallatge'!$D$27,'Model tallatge'!$D$2,IF(U25='Model tallatge'!$E$27,'Model tallatge'!$E$2))))</f>
        <v>5</v>
      </c>
      <c r="V22" s="37">
        <f>SUM(IF(V23&gt;=5,'Model tallatge'!$E$2,IF(V23&gt;=2,'Model tallatge'!$D$2,IF(V23=1,'Model tallatge'!$C$2,'Model tallatge'!$B$2))),IF(V24='Model tallatge'!$C$26,'Model tallatge'!$C$2,IF(V24='Model tallatge'!$D$26,'Model tallatge'!$D$2,IF(V24='Model tallatge'!$E$26,'Model tallatge'!$E$2))),IF(V25='Model tallatge'!$C$27,'Model tallatge'!$C$2,IF(V25='Model tallatge'!$D$27,'Model tallatge'!$D$2,IF(V25='Model tallatge'!$E$27,'Model tallatge'!$E$2))))</f>
        <v>4</v>
      </c>
      <c r="W22" s="37">
        <f>SUM(IF(W23&gt;=5,'Model tallatge'!$E$2,IF(W23&gt;=2,'Model tallatge'!$D$2,IF(W23=1,'Model tallatge'!$C$2,'Model tallatge'!$B$2))),IF(W24='Model tallatge'!$C$26,'Model tallatge'!$C$2,IF(W24='Model tallatge'!$D$26,'Model tallatge'!$D$2,IF(W24='Model tallatge'!$E$26,'Model tallatge'!$E$2))),IF(W25='Model tallatge'!$C$27,'Model tallatge'!$C$2,IF(W25='Model tallatge'!$D$27,'Model tallatge'!$D$2,IF(W25='Model tallatge'!$E$27,'Model tallatge'!$E$2))))</f>
        <v>5</v>
      </c>
      <c r="X22" s="37">
        <f>SUM(IF(X23&gt;=5,'Model tallatge'!$E$2,IF(X23&gt;=2,'Model tallatge'!$D$2,IF(X23=1,'Model tallatge'!$C$2,'Model tallatge'!$B$2))),IF(X24='Model tallatge'!$C$26,'Model tallatge'!$C$2,IF(X24='Model tallatge'!$D$26,'Model tallatge'!$D$2,IF(X24='Model tallatge'!$E$26,'Model tallatge'!$E$2))),IF(X25='Model tallatge'!$C$27,'Model tallatge'!$C$2,IF(X25='Model tallatge'!$D$27,'Model tallatge'!$D$2,IF(X25='Model tallatge'!$E$27,'Model tallatge'!$E$2))))</f>
        <v>3</v>
      </c>
      <c r="Y22" s="37">
        <f>SUM(IF(Y23&gt;=5,'Model tallatge'!$E$2,IF(Y23&gt;=2,'Model tallatge'!$D$2,IF(Y23=1,'Model tallatge'!$C$2,'Model tallatge'!$B$2))),IF(Y24='Model tallatge'!$C$26,'Model tallatge'!$C$2,IF(Y24='Model tallatge'!$D$26,'Model tallatge'!$D$2,IF(Y24='Model tallatge'!$E$26,'Model tallatge'!$E$2))),IF(Y25='Model tallatge'!$C$27,'Model tallatge'!$C$2,IF(Y25='Model tallatge'!$D$27,'Model tallatge'!$D$2,IF(Y25='Model tallatge'!$E$27,'Model tallatge'!$E$2))))</f>
        <v>3</v>
      </c>
      <c r="Z22" s="37">
        <f>SUM(IF(Z23&gt;=5,'Model tallatge'!$E$2,IF(Z23&gt;=2,'Model tallatge'!$D$2,IF(Z23=1,'Model tallatge'!$C$2,'Model tallatge'!$B$2))),IF(Z24='Model tallatge'!$C$26,'Model tallatge'!$C$2,IF(Z24='Model tallatge'!$D$26,'Model tallatge'!$D$2,IF(Z24='Model tallatge'!$E$26,'Model tallatge'!$E$2))),IF(Z25='Model tallatge'!$C$27,'Model tallatge'!$C$2,IF(Z25='Model tallatge'!$D$27,'Model tallatge'!$D$2,IF(Z25='Model tallatge'!$E$27,'Model tallatge'!$E$2))))</f>
        <v>3</v>
      </c>
      <c r="AA22" s="37">
        <f>SUM(IF(AA23&gt;=5,'Model tallatge'!$E$2,IF(AA23&gt;=2,'Model tallatge'!$D$2,IF(AA23=1,'Model tallatge'!$C$2,'Model tallatge'!$B$2))),IF(AA24='Model tallatge'!$C$26,'Model tallatge'!$C$2,IF(AA24='Model tallatge'!$D$26,'Model tallatge'!$D$2,IF(AA24='Model tallatge'!$E$26,'Model tallatge'!$E$2))),IF(AA25='Model tallatge'!$C$27,'Model tallatge'!$C$2,IF(AA25='Model tallatge'!$D$27,'Model tallatge'!$D$2,IF(AA25='Model tallatge'!$E$27,'Model tallatge'!$E$2))))</f>
        <v>3</v>
      </c>
      <c r="AB22" s="37">
        <f>SUM(IF(AB23&gt;=5,'Model tallatge'!$E$2,IF(AB23&gt;=2,'Model tallatge'!$D$2,IF(AB23=1,'Model tallatge'!$C$2,'Model tallatge'!$B$2))),IF(AB24='Model tallatge'!$C$26,'Model tallatge'!$C$2,IF(AB24='Model tallatge'!$D$26,'Model tallatge'!$D$2,IF(AB24='Model tallatge'!$E$26,'Model tallatge'!$E$2))),IF(AB25='Model tallatge'!$C$27,'Model tallatge'!$C$2,IF(AB25='Model tallatge'!$D$27,'Model tallatge'!$D$2,IF(AB25='Model tallatge'!$E$27,'Model tallatge'!$E$2))))</f>
        <v>6</v>
      </c>
      <c r="AC22" s="37">
        <f>SUM(IF(AC23&gt;=5,'Model tallatge'!$E$2,IF(AC23&gt;=2,'Model tallatge'!$D$2,IF(AC23=1,'Model tallatge'!$C$2,'Model tallatge'!$B$2))),IF(AC24='Model tallatge'!$C$26,'Model tallatge'!$C$2,IF(AC24='Model tallatge'!$D$26,'Model tallatge'!$D$2,IF(AC24='Model tallatge'!$E$26,'Model tallatge'!$E$2))),IF(AC25='Model tallatge'!$C$27,'Model tallatge'!$C$2,IF(AC25='Model tallatge'!$D$27,'Model tallatge'!$D$2,IF(AC25='Model tallatge'!$E$27,'Model tallatge'!$E$2))))</f>
        <v>7</v>
      </c>
      <c r="AD22" s="37">
        <f>SUM(IF(AD23&gt;=5,'Model tallatge'!$E$2,IF(AD23&gt;=2,'Model tallatge'!$D$2,IF(AD23=1,'Model tallatge'!$C$2,'Model tallatge'!$B$2))),IF(AD24='Model tallatge'!$C$26,'Model tallatge'!$C$2,IF(AD24='Model tallatge'!$D$26,'Model tallatge'!$D$2,IF(AD24='Model tallatge'!$E$26,'Model tallatge'!$E$2))),IF(AD25='Model tallatge'!$C$27,'Model tallatge'!$C$2,IF(AD25='Model tallatge'!$D$27,'Model tallatge'!$D$2,IF(AD25='Model tallatge'!$E$27,'Model tallatge'!$E$2))))</f>
        <v>7</v>
      </c>
      <c r="AE22" s="37">
        <f>SUM(IF(AE23&gt;=5,'Model tallatge'!$E$2,IF(AE23&gt;=2,'Model tallatge'!$D$2,IF(AE23=1,'Model tallatge'!$C$2,'Model tallatge'!$B$2))),IF(AE24='Model tallatge'!$C$26,'Model tallatge'!$C$2,IF(AE24='Model tallatge'!$D$26,'Model tallatge'!$D$2,IF(AE24='Model tallatge'!$E$26,'Model tallatge'!$E$2))),IF(AE25='Model tallatge'!$C$27,'Model tallatge'!$C$2,IF(AE25='Model tallatge'!$D$27,'Model tallatge'!$D$2,IF(AE25='Model tallatge'!$E$27,'Model tallatge'!$E$2))))</f>
        <v>3</v>
      </c>
      <c r="AF22" s="37">
        <f>SUM(IF(AF23&gt;=5,'Model tallatge'!$E$2,IF(AF23&gt;=2,'Model tallatge'!$D$2,IF(AF23=1,'Model tallatge'!$C$2,'Model tallatge'!$B$2))),IF(AF24='Model tallatge'!$C$26,'Model tallatge'!$C$2,IF(AF24='Model tallatge'!$D$26,'Model tallatge'!$D$2,IF(AF24='Model tallatge'!$E$26,'Model tallatge'!$E$2))),IF(AF25='Model tallatge'!$C$27,'Model tallatge'!$C$2,IF(AF25='Model tallatge'!$D$27,'Model tallatge'!$D$2,IF(AF25='Model tallatge'!$E$27,'Model tallatge'!$E$2))))</f>
        <v>3</v>
      </c>
      <c r="AG22" s="37">
        <f>SUM(IF(AG23&gt;=5,'Model tallatge'!$E$2,IF(AG23&gt;=2,'Model tallatge'!$D$2,IF(AG23=1,'Model tallatge'!$C$2,'Model tallatge'!$B$2))),IF(AG24='Model tallatge'!$C$26,'Model tallatge'!$C$2,IF(AG24='Model tallatge'!$D$26,'Model tallatge'!$D$2,IF(AG24='Model tallatge'!$E$26,'Model tallatge'!$E$2))),IF(AG25='Model tallatge'!$C$27,'Model tallatge'!$C$2,IF(AG25='Model tallatge'!$D$27,'Model tallatge'!$D$2,IF(AG25='Model tallatge'!$E$27,'Model tallatge'!$E$2))))</f>
        <v>5</v>
      </c>
      <c r="AH22" s="37">
        <f>SUM(IF(AH23&gt;=5,'Model tallatge'!$E$2,IF(AH23&gt;=2,'Model tallatge'!$D$2,IF(AH23=1,'Model tallatge'!$C$2,'Model tallatge'!$B$2))),IF(AH24='Model tallatge'!$C$26,'Model tallatge'!$C$2,IF(AH24='Model tallatge'!$D$26,'Model tallatge'!$D$2,IF(AH24='Model tallatge'!$E$26,'Model tallatge'!$E$2))),IF(AH25='Model tallatge'!$C$27,'Model tallatge'!$C$2,IF(AH25='Model tallatge'!$D$27,'Model tallatge'!$D$2,IF(AH25='Model tallatge'!$E$27,'Model tallatge'!$E$2))))</f>
        <v>6</v>
      </c>
      <c r="AI22" s="37">
        <f>SUM(IF(AI23&gt;=5,'Model tallatge'!$E$2,IF(AI23&gt;=2,'Model tallatge'!$D$2,IF(AI23=1,'Model tallatge'!$C$2,'Model tallatge'!$B$2))),IF(AI24='Model tallatge'!$C$26,'Model tallatge'!$C$2,IF(AI24='Model tallatge'!$D$26,'Model tallatge'!$D$2,IF(AI24='Model tallatge'!$E$26,'Model tallatge'!$E$2))),IF(AI25='Model tallatge'!$C$27,'Model tallatge'!$C$2,IF(AI25='Model tallatge'!$D$27,'Model tallatge'!$D$2,IF(AI25='Model tallatge'!$E$27,'Model tallatge'!$E$2))))</f>
        <v>5</v>
      </c>
      <c r="AJ22" s="37">
        <f>SUM(IF(AJ23&gt;=5,'Model tallatge'!$E$2,IF(AJ23&gt;=2,'Model tallatge'!$D$2,IF(AJ23=1,'Model tallatge'!$C$2,'Model tallatge'!$B$2))),IF(AJ24='Model tallatge'!$C$26,'Model tallatge'!$C$2,IF(AJ24='Model tallatge'!$D$26,'Model tallatge'!$D$2,IF(AJ24='Model tallatge'!$E$26,'Model tallatge'!$E$2))),IF(AJ25='Model tallatge'!$C$27,'Model tallatge'!$C$2,IF(AJ25='Model tallatge'!$D$27,'Model tallatge'!$D$2,IF(AJ25='Model tallatge'!$E$27,'Model tallatge'!$E$2))))</f>
        <v>5</v>
      </c>
      <c r="AK22" s="37">
        <f>SUM(IF(AK23&gt;=5,'Model tallatge'!$E$2,IF(AK23&gt;=2,'Model tallatge'!$D$2,IF(AK23=1,'Model tallatge'!$C$2,'Model tallatge'!$B$2))),IF(AK24='Model tallatge'!$C$26,'Model tallatge'!$C$2,IF(AK24='Model tallatge'!$D$26,'Model tallatge'!$D$2,IF(AK24='Model tallatge'!$E$26,'Model tallatge'!$E$2))),IF(AK25='Model tallatge'!$C$27,'Model tallatge'!$C$2,IF(AK25='Model tallatge'!$D$27,'Model tallatge'!$D$2,IF(AK25='Model tallatge'!$E$27,'Model tallatge'!$E$2))))</f>
        <v>5</v>
      </c>
      <c r="AL22" s="37">
        <f>SUM(IF(AL23&gt;=5,'Model tallatge'!$E$2,IF(AL23&gt;=2,'Model tallatge'!$D$2,IF(AL23=1,'Model tallatge'!$C$2,'Model tallatge'!$B$2))),IF(AL24='Model tallatge'!$C$26,'Model tallatge'!$C$2,IF(AL24='Model tallatge'!$D$26,'Model tallatge'!$D$2,IF(AL24='Model tallatge'!$E$26,'Model tallatge'!$E$2))),IF(AL25='Model tallatge'!$C$27,'Model tallatge'!$C$2,IF(AL25='Model tallatge'!$D$27,'Model tallatge'!$D$2,IF(AL25='Model tallatge'!$E$27,'Model tallatge'!$E$2))))</f>
        <v>5</v>
      </c>
      <c r="AM22" s="37">
        <f>SUM(IF(AM23&gt;=5,'Model tallatge'!$E$2,IF(AM23&gt;=2,'Model tallatge'!$D$2,IF(AM23=1,'Model tallatge'!$C$2,'Model tallatge'!$B$2))),IF(AM24='Model tallatge'!$C$26,'Model tallatge'!$C$2,IF(AM24='Model tallatge'!$D$26,'Model tallatge'!$D$2,IF(AM24='Model tallatge'!$E$26,'Model tallatge'!$E$2))),IF(AM25='Model tallatge'!$C$27,'Model tallatge'!$C$2,IF(AM25='Model tallatge'!$D$27,'Model tallatge'!$D$2,IF(AM25='Model tallatge'!$E$27,'Model tallatge'!$E$2))))</f>
        <v>5</v>
      </c>
      <c r="AN22" s="37">
        <f>SUM(IF(AN23&gt;=5,'Model tallatge'!$E$2,IF(AN23&gt;=2,'Model tallatge'!$D$2,IF(AN23=1,'Model tallatge'!$C$2,'Model tallatge'!$B$2))),IF(AN24='Model tallatge'!$C$26,'Model tallatge'!$C$2,IF(AN24='Model tallatge'!$D$26,'Model tallatge'!$D$2,IF(AN24='Model tallatge'!$E$26,'Model tallatge'!$E$2))),IF(AN25='Model tallatge'!$C$27,'Model tallatge'!$C$2,IF(AN25='Model tallatge'!$D$27,'Model tallatge'!$D$2,IF(AN25='Model tallatge'!$E$27,'Model tallatge'!$E$2))))</f>
        <v>5</v>
      </c>
    </row>
    <row r="23" spans="1:42" ht="14.4" x14ac:dyDescent="0.3">
      <c r="A23" s="38" t="s">
        <v>156</v>
      </c>
      <c r="B23" s="39">
        <v>3</v>
      </c>
      <c r="C23" s="39">
        <v>0</v>
      </c>
      <c r="D23" s="39">
        <v>9</v>
      </c>
      <c r="E23" s="39">
        <v>5</v>
      </c>
      <c r="F23" s="39">
        <v>0</v>
      </c>
      <c r="G23" s="39">
        <v>5</v>
      </c>
      <c r="H23" s="39">
        <v>2</v>
      </c>
      <c r="I23" s="39">
        <v>3</v>
      </c>
      <c r="J23" s="39">
        <v>0</v>
      </c>
      <c r="K23" s="39">
        <v>0</v>
      </c>
      <c r="L23" s="39">
        <v>0</v>
      </c>
      <c r="M23" s="39">
        <v>2</v>
      </c>
      <c r="N23" s="39">
        <v>2</v>
      </c>
      <c r="O23" s="39">
        <v>2</v>
      </c>
      <c r="P23" s="39">
        <v>2</v>
      </c>
      <c r="Q23" s="39">
        <v>0</v>
      </c>
      <c r="R23" s="39">
        <v>2</v>
      </c>
      <c r="S23" s="39">
        <v>2</v>
      </c>
      <c r="T23" s="39">
        <v>2</v>
      </c>
      <c r="U23" s="39">
        <v>0</v>
      </c>
      <c r="V23" s="39">
        <v>2</v>
      </c>
      <c r="W23" s="39">
        <v>1</v>
      </c>
      <c r="X23" s="39">
        <v>1</v>
      </c>
      <c r="Y23" s="39">
        <v>1</v>
      </c>
      <c r="Z23" s="39">
        <v>1</v>
      </c>
      <c r="AA23" s="39">
        <v>0</v>
      </c>
      <c r="AB23" s="39">
        <v>4</v>
      </c>
      <c r="AC23" s="39">
        <v>2</v>
      </c>
      <c r="AD23" s="39">
        <v>2</v>
      </c>
      <c r="AE23" s="39">
        <v>1</v>
      </c>
      <c r="AF23" s="39">
        <v>0</v>
      </c>
      <c r="AG23" s="39">
        <v>1</v>
      </c>
      <c r="AH23" s="39">
        <v>2</v>
      </c>
      <c r="AI23" s="39">
        <v>0</v>
      </c>
      <c r="AJ23" s="39">
        <v>0</v>
      </c>
      <c r="AK23" s="39">
        <v>0</v>
      </c>
      <c r="AL23" s="39">
        <v>0</v>
      </c>
      <c r="AM23" s="39">
        <v>0</v>
      </c>
      <c r="AN23" s="39">
        <v>0</v>
      </c>
    </row>
    <row r="24" spans="1:42" ht="14.4" x14ac:dyDescent="0.3">
      <c r="A24" s="38" t="s">
        <v>157</v>
      </c>
      <c r="B24" s="39" t="s">
        <v>122</v>
      </c>
      <c r="C24" s="39" t="s">
        <v>122</v>
      </c>
      <c r="D24" s="39" t="s">
        <v>120</v>
      </c>
      <c r="E24" s="39" t="s">
        <v>121</v>
      </c>
      <c r="F24" s="39" t="s">
        <v>122</v>
      </c>
      <c r="G24" s="39" t="s">
        <v>121</v>
      </c>
      <c r="H24" s="39" t="s">
        <v>121</v>
      </c>
      <c r="I24" s="39" t="s">
        <v>121</v>
      </c>
      <c r="J24" s="39" t="s">
        <v>122</v>
      </c>
      <c r="K24" s="39" t="s">
        <v>122</v>
      </c>
      <c r="L24" s="39" t="s">
        <v>122</v>
      </c>
      <c r="M24" s="39" t="s">
        <v>121</v>
      </c>
      <c r="N24" s="39" t="s">
        <v>120</v>
      </c>
      <c r="O24" s="39" t="s">
        <v>122</v>
      </c>
      <c r="P24" s="39" t="s">
        <v>121</v>
      </c>
      <c r="Q24" s="39" t="s">
        <v>121</v>
      </c>
      <c r="R24" s="39" t="s">
        <v>120</v>
      </c>
      <c r="S24" s="39" t="s">
        <v>122</v>
      </c>
      <c r="T24" s="39" t="s">
        <v>122</v>
      </c>
      <c r="U24" s="39" t="s">
        <v>121</v>
      </c>
      <c r="V24" s="39" t="s">
        <v>122</v>
      </c>
      <c r="W24" s="39" t="s">
        <v>121</v>
      </c>
      <c r="X24" s="39" t="s">
        <v>122</v>
      </c>
      <c r="Y24" s="39" t="s">
        <v>122</v>
      </c>
      <c r="Z24" s="39" t="s">
        <v>122</v>
      </c>
      <c r="AA24" s="39" t="s">
        <v>122</v>
      </c>
      <c r="AB24" s="39" t="s">
        <v>121</v>
      </c>
      <c r="AC24" s="39" t="s">
        <v>121</v>
      </c>
      <c r="AD24" s="39" t="s">
        <v>121</v>
      </c>
      <c r="AE24" s="39" t="s">
        <v>122</v>
      </c>
      <c r="AF24" s="39" t="s">
        <v>122</v>
      </c>
      <c r="AG24" s="39" t="s">
        <v>121</v>
      </c>
      <c r="AH24" s="39" t="s">
        <v>121</v>
      </c>
      <c r="AI24" s="39" t="s">
        <v>121</v>
      </c>
      <c r="AJ24" s="39" t="s">
        <v>121</v>
      </c>
      <c r="AK24" s="39" t="s">
        <v>121</v>
      </c>
      <c r="AL24" s="39" t="s">
        <v>121</v>
      </c>
      <c r="AM24" s="39" t="s">
        <v>121</v>
      </c>
      <c r="AN24" s="39" t="s">
        <v>121</v>
      </c>
    </row>
    <row r="25" spans="1:42" ht="14.4" x14ac:dyDescent="0.3">
      <c r="A25" s="38" t="s">
        <v>158</v>
      </c>
      <c r="B25" s="39" t="s">
        <v>122</v>
      </c>
      <c r="C25" s="39" t="s">
        <v>122</v>
      </c>
      <c r="D25" s="39" t="s">
        <v>120</v>
      </c>
      <c r="E25" s="39" t="s">
        <v>121</v>
      </c>
      <c r="F25" s="39" t="s">
        <v>122</v>
      </c>
      <c r="G25" s="39" t="s">
        <v>121</v>
      </c>
      <c r="H25" s="39" t="s">
        <v>121</v>
      </c>
      <c r="I25" s="39" t="s">
        <v>121</v>
      </c>
      <c r="J25" s="39" t="s">
        <v>122</v>
      </c>
      <c r="K25" s="39" t="s">
        <v>122</v>
      </c>
      <c r="L25" s="39" t="s">
        <v>121</v>
      </c>
      <c r="M25" s="39" t="s">
        <v>120</v>
      </c>
      <c r="N25" s="39" t="s">
        <v>120</v>
      </c>
      <c r="O25" s="39" t="s">
        <v>121</v>
      </c>
      <c r="P25" s="39" t="s">
        <v>121</v>
      </c>
      <c r="Q25" s="39" t="s">
        <v>120</v>
      </c>
      <c r="R25" s="39" t="s">
        <v>120</v>
      </c>
      <c r="S25" s="39" t="s">
        <v>121</v>
      </c>
      <c r="T25" s="39" t="s">
        <v>121</v>
      </c>
      <c r="U25" s="39" t="s">
        <v>120</v>
      </c>
      <c r="V25" s="39" t="s">
        <v>122</v>
      </c>
      <c r="W25" s="39" t="s">
        <v>121</v>
      </c>
      <c r="X25" s="39" t="s">
        <v>122</v>
      </c>
      <c r="Y25" s="39" t="s">
        <v>122</v>
      </c>
      <c r="Z25" s="39" t="s">
        <v>122</v>
      </c>
      <c r="AA25" s="39" t="s">
        <v>121</v>
      </c>
      <c r="AB25" s="39" t="s">
        <v>121</v>
      </c>
      <c r="AC25" s="39" t="s">
        <v>120</v>
      </c>
      <c r="AD25" s="39" t="s">
        <v>120</v>
      </c>
      <c r="AE25" s="39" t="s">
        <v>122</v>
      </c>
      <c r="AF25" s="39" t="s">
        <v>121</v>
      </c>
      <c r="AG25" s="39" t="s">
        <v>121</v>
      </c>
      <c r="AH25" s="39" t="s">
        <v>121</v>
      </c>
      <c r="AI25" s="39" t="s">
        <v>120</v>
      </c>
      <c r="AJ25" s="39" t="s">
        <v>120</v>
      </c>
      <c r="AK25" s="39" t="s">
        <v>120</v>
      </c>
      <c r="AL25" s="39" t="s">
        <v>120</v>
      </c>
      <c r="AM25" s="39" t="s">
        <v>120</v>
      </c>
      <c r="AN25" s="39" t="s">
        <v>120</v>
      </c>
    </row>
    <row r="26" spans="1:42" ht="15" customHeight="1" x14ac:dyDescent="0.3">
      <c r="A26" s="164" t="s">
        <v>221</v>
      </c>
      <c r="B26" s="1">
        <f>B3+B7+B16+B22</f>
        <v>15</v>
      </c>
      <c r="C26" s="1">
        <f t="shared" ref="C26:AM26" si="0">C3+C7+C16+C22</f>
        <v>19</v>
      </c>
      <c r="D26" s="1">
        <f t="shared" si="0"/>
        <v>25</v>
      </c>
      <c r="E26" s="1">
        <f t="shared" si="0"/>
        <v>16</v>
      </c>
      <c r="F26" s="1">
        <f t="shared" si="0"/>
        <v>10</v>
      </c>
      <c r="G26" s="1">
        <f t="shared" si="0"/>
        <v>14</v>
      </c>
      <c r="H26" s="1">
        <f t="shared" si="0"/>
        <v>14</v>
      </c>
      <c r="I26" s="1">
        <f t="shared" si="0"/>
        <v>13</v>
      </c>
      <c r="J26" s="1">
        <f t="shared" si="0"/>
        <v>10</v>
      </c>
      <c r="K26" s="1">
        <f t="shared" si="0"/>
        <v>13</v>
      </c>
      <c r="L26" s="1">
        <f t="shared" si="0"/>
        <v>19</v>
      </c>
      <c r="M26" s="1">
        <f t="shared" si="0"/>
        <v>21</v>
      </c>
      <c r="N26" s="1">
        <f t="shared" si="0"/>
        <v>25</v>
      </c>
      <c r="O26" s="1">
        <f t="shared" si="0"/>
        <v>19</v>
      </c>
      <c r="P26" s="1">
        <f t="shared" si="0"/>
        <v>21</v>
      </c>
      <c r="Q26" s="1">
        <f t="shared" si="0"/>
        <v>26</v>
      </c>
      <c r="R26" s="1">
        <f t="shared" si="0"/>
        <v>15</v>
      </c>
      <c r="S26" s="1">
        <f t="shared" si="0"/>
        <v>11</v>
      </c>
      <c r="T26" s="1">
        <f t="shared" si="0"/>
        <v>14</v>
      </c>
      <c r="U26" s="1">
        <f t="shared" si="0"/>
        <v>14</v>
      </c>
      <c r="V26" s="1">
        <f t="shared" si="0"/>
        <v>11</v>
      </c>
      <c r="W26" s="1">
        <f t="shared" si="0"/>
        <v>16</v>
      </c>
      <c r="X26" s="1">
        <f t="shared" si="0"/>
        <v>13</v>
      </c>
      <c r="Y26" s="1">
        <f t="shared" si="0"/>
        <v>13</v>
      </c>
      <c r="Z26" s="1">
        <f t="shared" si="0"/>
        <v>14</v>
      </c>
      <c r="AA26" s="1">
        <f t="shared" si="0"/>
        <v>9</v>
      </c>
      <c r="AB26" s="1">
        <f t="shared" si="0"/>
        <v>16</v>
      </c>
      <c r="AC26" s="1">
        <f t="shared" si="0"/>
        <v>18</v>
      </c>
      <c r="AD26" s="1">
        <f t="shared" si="0"/>
        <v>19</v>
      </c>
      <c r="AE26" s="1">
        <f t="shared" si="0"/>
        <v>12</v>
      </c>
      <c r="AF26" s="1">
        <f t="shared" si="0"/>
        <v>7</v>
      </c>
      <c r="AG26" s="1">
        <f t="shared" si="0"/>
        <v>22</v>
      </c>
      <c r="AH26" s="1">
        <f t="shared" si="0"/>
        <v>21</v>
      </c>
      <c r="AI26" s="1">
        <f t="shared" si="0"/>
        <v>17</v>
      </c>
      <c r="AJ26" s="1">
        <f t="shared" si="0"/>
        <v>16</v>
      </c>
      <c r="AK26" s="1">
        <f t="shared" si="0"/>
        <v>21</v>
      </c>
      <c r="AL26" s="1">
        <f>AL3+AL7+AL16+AL22</f>
        <v>14</v>
      </c>
      <c r="AM26" s="1">
        <f t="shared" si="0"/>
        <v>13</v>
      </c>
      <c r="AN26" s="1">
        <f t="shared" ref="AN26" si="1">AN3+AN7+AN16+AN22</f>
        <v>10</v>
      </c>
    </row>
    <row r="27" spans="1:42" ht="15" customHeight="1" x14ac:dyDescent="0.3">
      <c r="A27" s="164" t="s">
        <v>222</v>
      </c>
      <c r="B27" s="1" t="str">
        <f>IF(B26&gt;='Model tallatge'!$B$44,'Model tallatge'!$A$44,IF(B26&gt;='Model tallatge'!$B$43,'Model tallatge'!$A$43,IF(B26&gt;='Model tallatge'!$B$42,'Model tallatge'!$A$42,IF(B26&gt;='Model tallatge'!$B$41,'Model tallatge'!$A$41,IF(B26&gt;='Model tallatge'!$B$40,'Model tallatge'!$A$40,'Model tallatge'!$A$39)))))</f>
        <v>M</v>
      </c>
      <c r="C27" s="1" t="str">
        <f>IF(C26&gt;='Model tallatge'!$B$44,'Model tallatge'!$A$44,IF(C26&gt;='Model tallatge'!$B$43,'Model tallatge'!$A$43,IF(C26&gt;='Model tallatge'!$B$42,'Model tallatge'!$A$42,IF(C26&gt;='Model tallatge'!$B$41,'Model tallatge'!$A$41,IF(C26&gt;='Model tallatge'!$B$40,'Model tallatge'!$A$40,'Model tallatge'!$A$39)))))</f>
        <v>L</v>
      </c>
      <c r="D27" s="1" t="str">
        <f>IF(D26&gt;='Model tallatge'!$B$44,'Model tallatge'!$A$44,IF(D26&gt;='Model tallatge'!$B$43,'Model tallatge'!$A$43,IF(D26&gt;='Model tallatge'!$B$42,'Model tallatge'!$A$42,IF(D26&gt;='Model tallatge'!$B$41,'Model tallatge'!$A$41,IF(D26&gt;='Model tallatge'!$B$40,'Model tallatge'!$A$40,'Model tallatge'!$A$39)))))</f>
        <v>XL</v>
      </c>
      <c r="E27" s="1" t="str">
        <f>IF(E26&gt;='Model tallatge'!$B$44,'Model tallatge'!$A$44,IF(E26&gt;='Model tallatge'!$B$43,'Model tallatge'!$A$43,IF(E26&gt;='Model tallatge'!$B$42,'Model tallatge'!$A$42,IF(E26&gt;='Model tallatge'!$B$41,'Model tallatge'!$A$41,IF(E26&gt;='Model tallatge'!$B$40,'Model tallatge'!$A$40,'Model tallatge'!$A$39)))))</f>
        <v>L</v>
      </c>
      <c r="F27" s="1" t="str">
        <f>IF(F26&gt;='Model tallatge'!$B$44,'Model tallatge'!$A$44,IF(F26&gt;='Model tallatge'!$B$43,'Model tallatge'!$A$43,IF(F26&gt;='Model tallatge'!$B$42,'Model tallatge'!$A$42,IF(F26&gt;='Model tallatge'!$B$41,'Model tallatge'!$A$41,IF(F26&gt;='Model tallatge'!$B$40,'Model tallatge'!$A$40,'Model tallatge'!$A$39)))))</f>
        <v>S</v>
      </c>
      <c r="G27" s="1" t="str">
        <f>IF(G26&gt;='Model tallatge'!$B$44,'Model tallatge'!$A$44,IF(G26&gt;='Model tallatge'!$B$43,'Model tallatge'!$A$43,IF(G26&gt;='Model tallatge'!$B$42,'Model tallatge'!$A$42,IF(G26&gt;='Model tallatge'!$B$41,'Model tallatge'!$A$41,IF(G26&gt;='Model tallatge'!$B$40,'Model tallatge'!$A$40,'Model tallatge'!$A$39)))))</f>
        <v>M</v>
      </c>
      <c r="H27" s="1" t="str">
        <f>IF(H26&gt;='Model tallatge'!$B$44,'Model tallatge'!$A$44,IF(H26&gt;='Model tallatge'!$B$43,'Model tallatge'!$A$43,IF(H26&gt;='Model tallatge'!$B$42,'Model tallatge'!$A$42,IF(H26&gt;='Model tallatge'!$B$41,'Model tallatge'!$A$41,IF(H26&gt;='Model tallatge'!$B$40,'Model tallatge'!$A$40,'Model tallatge'!$A$39)))))</f>
        <v>M</v>
      </c>
      <c r="I27" s="1" t="str">
        <f>IF(I26&gt;='Model tallatge'!$B$44,'Model tallatge'!$A$44,IF(I26&gt;='Model tallatge'!$B$43,'Model tallatge'!$A$43,IF(I26&gt;='Model tallatge'!$B$42,'Model tallatge'!$A$42,IF(I26&gt;='Model tallatge'!$B$41,'Model tallatge'!$A$41,IF(I26&gt;='Model tallatge'!$B$40,'Model tallatge'!$A$40,'Model tallatge'!$A$39)))))</f>
        <v>M</v>
      </c>
      <c r="J27" s="1" t="str">
        <f>IF(J26&gt;='Model tallatge'!$B$44,'Model tallatge'!$A$44,IF(J26&gt;='Model tallatge'!$B$43,'Model tallatge'!$A$43,IF(J26&gt;='Model tallatge'!$B$42,'Model tallatge'!$A$42,IF(J26&gt;='Model tallatge'!$B$41,'Model tallatge'!$A$41,IF(J26&gt;='Model tallatge'!$B$40,'Model tallatge'!$A$40,'Model tallatge'!$A$39)))))</f>
        <v>S</v>
      </c>
      <c r="K27" s="1" t="str">
        <f>IF(K26&gt;='Model tallatge'!$B$44,'Model tallatge'!$A$44,IF(K26&gt;='Model tallatge'!$B$43,'Model tallatge'!$A$43,IF(K26&gt;='Model tallatge'!$B$42,'Model tallatge'!$A$42,IF(K26&gt;='Model tallatge'!$B$41,'Model tallatge'!$A$41,IF(K26&gt;='Model tallatge'!$B$40,'Model tallatge'!$A$40,'Model tallatge'!$A$39)))))</f>
        <v>M</v>
      </c>
      <c r="L27" s="1" t="str">
        <f>IF(L26&gt;='Model tallatge'!$B$44,'Model tallatge'!$A$44,IF(L26&gt;='Model tallatge'!$B$43,'Model tallatge'!$A$43,IF(L26&gt;='Model tallatge'!$B$42,'Model tallatge'!$A$42,IF(L26&gt;='Model tallatge'!$B$41,'Model tallatge'!$A$41,IF(L26&gt;='Model tallatge'!$B$40,'Model tallatge'!$A$40,'Model tallatge'!$A$39)))))</f>
        <v>L</v>
      </c>
      <c r="M27" s="1" t="str">
        <f>IF(M26&gt;='Model tallatge'!$B$44,'Model tallatge'!$A$44,IF(M26&gt;='Model tallatge'!$B$43,'Model tallatge'!$A$43,IF(M26&gt;='Model tallatge'!$B$42,'Model tallatge'!$A$42,IF(M26&gt;='Model tallatge'!$B$41,'Model tallatge'!$A$41,IF(M26&gt;='Model tallatge'!$B$40,'Model tallatge'!$A$40,'Model tallatge'!$A$39)))))</f>
        <v>XL</v>
      </c>
      <c r="N27" s="1" t="str">
        <f>IF(N26&gt;='Model tallatge'!$B$44,'Model tallatge'!$A$44,IF(N26&gt;='Model tallatge'!$B$43,'Model tallatge'!$A$43,IF(N26&gt;='Model tallatge'!$B$42,'Model tallatge'!$A$42,IF(N26&gt;='Model tallatge'!$B$41,'Model tallatge'!$A$41,IF(N26&gt;='Model tallatge'!$B$40,'Model tallatge'!$A$40,'Model tallatge'!$A$39)))))</f>
        <v>XL</v>
      </c>
      <c r="O27" s="1" t="str">
        <f>IF(O26&gt;='Model tallatge'!$B$44,'Model tallatge'!$A$44,IF(O26&gt;='Model tallatge'!$B$43,'Model tallatge'!$A$43,IF(O26&gt;='Model tallatge'!$B$42,'Model tallatge'!$A$42,IF(O26&gt;='Model tallatge'!$B$41,'Model tallatge'!$A$41,IF(O26&gt;='Model tallatge'!$B$40,'Model tallatge'!$A$40,'Model tallatge'!$A$39)))))</f>
        <v>L</v>
      </c>
      <c r="P27" s="1" t="str">
        <f>IF(P26&gt;='Model tallatge'!$B$44,'Model tallatge'!$A$44,IF(P26&gt;='Model tallatge'!$B$43,'Model tallatge'!$A$43,IF(P26&gt;='Model tallatge'!$B$42,'Model tallatge'!$A$42,IF(P26&gt;='Model tallatge'!$B$41,'Model tallatge'!$A$41,IF(P26&gt;='Model tallatge'!$B$40,'Model tallatge'!$A$40,'Model tallatge'!$A$39)))))</f>
        <v>XL</v>
      </c>
      <c r="Q27" s="1" t="str">
        <f>IF(Q26&gt;='Model tallatge'!$B$44,'Model tallatge'!$A$44,IF(Q26&gt;='Model tallatge'!$B$43,'Model tallatge'!$A$43,IF(Q26&gt;='Model tallatge'!$B$42,'Model tallatge'!$A$42,IF(Q26&gt;='Model tallatge'!$B$41,'Model tallatge'!$A$41,IF(Q26&gt;='Model tallatge'!$B$40,'Model tallatge'!$A$40,'Model tallatge'!$A$39)))))</f>
        <v>XXL</v>
      </c>
      <c r="R27" s="1" t="str">
        <f>IF(R26&gt;='Model tallatge'!$B$44,'Model tallatge'!$A$44,IF(R26&gt;='Model tallatge'!$B$43,'Model tallatge'!$A$43,IF(R26&gt;='Model tallatge'!$B$42,'Model tallatge'!$A$42,IF(R26&gt;='Model tallatge'!$B$41,'Model tallatge'!$A$41,IF(R26&gt;='Model tallatge'!$B$40,'Model tallatge'!$A$40,'Model tallatge'!$A$39)))))</f>
        <v>M</v>
      </c>
      <c r="S27" s="1" t="str">
        <f>IF(S26&gt;='Model tallatge'!$B$44,'Model tallatge'!$A$44,IF(S26&gt;='Model tallatge'!$B$43,'Model tallatge'!$A$43,IF(S26&gt;='Model tallatge'!$B$42,'Model tallatge'!$A$42,IF(S26&gt;='Model tallatge'!$B$41,'Model tallatge'!$A$41,IF(S26&gt;='Model tallatge'!$B$40,'Model tallatge'!$A$40,'Model tallatge'!$A$39)))))</f>
        <v>M</v>
      </c>
      <c r="T27" s="1" t="str">
        <f>IF(T26&gt;='Model tallatge'!$B$44,'Model tallatge'!$A$44,IF(T26&gt;='Model tallatge'!$B$43,'Model tallatge'!$A$43,IF(T26&gt;='Model tallatge'!$B$42,'Model tallatge'!$A$42,IF(T26&gt;='Model tallatge'!$B$41,'Model tallatge'!$A$41,IF(T26&gt;='Model tallatge'!$B$40,'Model tallatge'!$A$40,'Model tallatge'!$A$39)))))</f>
        <v>M</v>
      </c>
      <c r="U27" s="1" t="str">
        <f>IF(U26&gt;='Model tallatge'!$B$44,'Model tallatge'!$A$44,IF(U26&gt;='Model tallatge'!$B$43,'Model tallatge'!$A$43,IF(U26&gt;='Model tallatge'!$B$42,'Model tallatge'!$A$42,IF(U26&gt;='Model tallatge'!$B$41,'Model tallatge'!$A$41,IF(U26&gt;='Model tallatge'!$B$40,'Model tallatge'!$A$40,'Model tallatge'!$A$39)))))</f>
        <v>M</v>
      </c>
      <c r="V27" s="1" t="str">
        <f>IF(V26&gt;='Model tallatge'!$B$44,'Model tallatge'!$A$44,IF(V26&gt;='Model tallatge'!$B$43,'Model tallatge'!$A$43,IF(V26&gt;='Model tallatge'!$B$42,'Model tallatge'!$A$42,IF(V26&gt;='Model tallatge'!$B$41,'Model tallatge'!$A$41,IF(V26&gt;='Model tallatge'!$B$40,'Model tallatge'!$A$40,'Model tallatge'!$A$39)))))</f>
        <v>M</v>
      </c>
      <c r="W27" s="1" t="str">
        <f>IF(W26&gt;='Model tallatge'!$B$44,'Model tallatge'!$A$44,IF(W26&gt;='Model tallatge'!$B$43,'Model tallatge'!$A$43,IF(W26&gt;='Model tallatge'!$B$42,'Model tallatge'!$A$42,IF(W26&gt;='Model tallatge'!$B$41,'Model tallatge'!$A$41,IF(W26&gt;='Model tallatge'!$B$40,'Model tallatge'!$A$40,'Model tallatge'!$A$39)))))</f>
        <v>L</v>
      </c>
      <c r="X27" s="1" t="str">
        <f>IF(X26&gt;='Model tallatge'!$B$44,'Model tallatge'!$A$44,IF(X26&gt;='Model tallatge'!$B$43,'Model tallatge'!$A$43,IF(X26&gt;='Model tallatge'!$B$42,'Model tallatge'!$A$42,IF(X26&gt;='Model tallatge'!$B$41,'Model tallatge'!$A$41,IF(X26&gt;='Model tallatge'!$B$40,'Model tallatge'!$A$40,'Model tallatge'!$A$39)))))</f>
        <v>M</v>
      </c>
      <c r="Y27" s="1" t="str">
        <f>IF(Y26&gt;='Model tallatge'!$B$44,'Model tallatge'!$A$44,IF(Y26&gt;='Model tallatge'!$B$43,'Model tallatge'!$A$43,IF(Y26&gt;='Model tallatge'!$B$42,'Model tallatge'!$A$42,IF(Y26&gt;='Model tallatge'!$B$41,'Model tallatge'!$A$41,IF(Y26&gt;='Model tallatge'!$B$40,'Model tallatge'!$A$40,'Model tallatge'!$A$39)))))</f>
        <v>M</v>
      </c>
      <c r="Z27" s="1" t="str">
        <f>IF(Z26&gt;='Model tallatge'!$B$44,'Model tallatge'!$A$44,IF(Z26&gt;='Model tallatge'!$B$43,'Model tallatge'!$A$43,IF(Z26&gt;='Model tallatge'!$B$42,'Model tallatge'!$A$42,IF(Z26&gt;='Model tallatge'!$B$41,'Model tallatge'!$A$41,IF(Z26&gt;='Model tallatge'!$B$40,'Model tallatge'!$A$40,'Model tallatge'!$A$39)))))</f>
        <v>M</v>
      </c>
      <c r="AA27" s="1" t="str">
        <f>IF(AA26&gt;='Model tallatge'!$B$44,'Model tallatge'!$A$44,IF(AA26&gt;='Model tallatge'!$B$43,'Model tallatge'!$A$43,IF(AA26&gt;='Model tallatge'!$B$42,'Model tallatge'!$A$42,IF(AA26&gt;='Model tallatge'!$B$41,'Model tallatge'!$A$41,IF(AA26&gt;='Model tallatge'!$B$40,'Model tallatge'!$A$40,'Model tallatge'!$A$39)))))</f>
        <v>S</v>
      </c>
      <c r="AB27" s="1" t="str">
        <f>IF(AB26&gt;='Model tallatge'!$B$44,'Model tallatge'!$A$44,IF(AB26&gt;='Model tallatge'!$B$43,'Model tallatge'!$A$43,IF(AB26&gt;='Model tallatge'!$B$42,'Model tallatge'!$A$42,IF(AB26&gt;='Model tallatge'!$B$41,'Model tallatge'!$A$41,IF(AB26&gt;='Model tallatge'!$B$40,'Model tallatge'!$A$40,'Model tallatge'!$A$39)))))</f>
        <v>L</v>
      </c>
      <c r="AC27" s="1" t="str">
        <f>IF(AC26&gt;='Model tallatge'!$B$44,'Model tallatge'!$A$44,IF(AC26&gt;='Model tallatge'!$B$43,'Model tallatge'!$A$43,IF(AC26&gt;='Model tallatge'!$B$42,'Model tallatge'!$A$42,IF(AC26&gt;='Model tallatge'!$B$41,'Model tallatge'!$A$41,IF(AC26&gt;='Model tallatge'!$B$40,'Model tallatge'!$A$40,'Model tallatge'!$A$39)))))</f>
        <v>L</v>
      </c>
      <c r="AD27" s="1" t="str">
        <f>IF(AD26&gt;='Model tallatge'!$B$44,'Model tallatge'!$A$44,IF(AD26&gt;='Model tallatge'!$B$43,'Model tallatge'!$A$43,IF(AD26&gt;='Model tallatge'!$B$42,'Model tallatge'!$A$42,IF(AD26&gt;='Model tallatge'!$B$41,'Model tallatge'!$A$41,IF(AD26&gt;='Model tallatge'!$B$40,'Model tallatge'!$A$40,'Model tallatge'!$A$39)))))</f>
        <v>L</v>
      </c>
      <c r="AE27" s="1" t="str">
        <f>IF(AE26&gt;='Model tallatge'!$B$44,'Model tallatge'!$A$44,IF(AE26&gt;='Model tallatge'!$B$43,'Model tallatge'!$A$43,IF(AE26&gt;='Model tallatge'!$B$42,'Model tallatge'!$A$42,IF(AE26&gt;='Model tallatge'!$B$41,'Model tallatge'!$A$41,IF(AE26&gt;='Model tallatge'!$B$40,'Model tallatge'!$A$40,'Model tallatge'!$A$39)))))</f>
        <v>M</v>
      </c>
      <c r="AF27" s="1" t="str">
        <f>IF(AF26&gt;='Model tallatge'!$B$44,'Model tallatge'!$A$44,IF(AF26&gt;='Model tallatge'!$B$43,'Model tallatge'!$A$43,IF(AF26&gt;='Model tallatge'!$B$42,'Model tallatge'!$A$42,IF(AF26&gt;='Model tallatge'!$B$41,'Model tallatge'!$A$41,IF(AF26&gt;='Model tallatge'!$B$40,'Model tallatge'!$A$40,'Model tallatge'!$A$39)))))</f>
        <v>S</v>
      </c>
      <c r="AG27" s="1" t="str">
        <f>IF(AG26&gt;='Model tallatge'!$B$44,'Model tallatge'!$A$44,IF(AG26&gt;='Model tallatge'!$B$43,'Model tallatge'!$A$43,IF(AG26&gt;='Model tallatge'!$B$42,'Model tallatge'!$A$42,IF(AG26&gt;='Model tallatge'!$B$41,'Model tallatge'!$A$41,IF(AG26&gt;='Model tallatge'!$B$40,'Model tallatge'!$A$40,'Model tallatge'!$A$39)))))</f>
        <v>XL</v>
      </c>
      <c r="AH27" s="1" t="str">
        <f>IF(AH26&gt;='Model tallatge'!$B$44,'Model tallatge'!$A$44,IF(AH26&gt;='Model tallatge'!$B$43,'Model tallatge'!$A$43,IF(AH26&gt;='Model tallatge'!$B$42,'Model tallatge'!$A$42,IF(AH26&gt;='Model tallatge'!$B$41,'Model tallatge'!$A$41,IF(AH26&gt;='Model tallatge'!$B$40,'Model tallatge'!$A$40,'Model tallatge'!$A$39)))))</f>
        <v>XL</v>
      </c>
      <c r="AI27" s="1" t="str">
        <f>IF(AI26&gt;='Model tallatge'!$B$44,'Model tallatge'!$A$44,IF(AI26&gt;='Model tallatge'!$B$43,'Model tallatge'!$A$43,IF(AI26&gt;='Model tallatge'!$B$42,'Model tallatge'!$A$42,IF(AI26&gt;='Model tallatge'!$B$41,'Model tallatge'!$A$41,IF(AI26&gt;='Model tallatge'!$B$40,'Model tallatge'!$A$40,'Model tallatge'!$A$39)))))</f>
        <v>L</v>
      </c>
      <c r="AJ27" s="1" t="str">
        <f>IF(AJ26&gt;='Model tallatge'!$B$44,'Model tallatge'!$A$44,IF(AJ26&gt;='Model tallatge'!$B$43,'Model tallatge'!$A$43,IF(AJ26&gt;='Model tallatge'!$B$42,'Model tallatge'!$A$42,IF(AJ26&gt;='Model tallatge'!$B$41,'Model tallatge'!$A$41,IF(AJ26&gt;='Model tallatge'!$B$40,'Model tallatge'!$A$40,'Model tallatge'!$A$39)))))</f>
        <v>L</v>
      </c>
      <c r="AK27" s="1" t="str">
        <f>IF(AK26&gt;='Model tallatge'!$B$44,'Model tallatge'!$A$44,IF(AK26&gt;='Model tallatge'!$B$43,'Model tallatge'!$A$43,IF(AK26&gt;='Model tallatge'!$B$42,'Model tallatge'!$A$42,IF(AK26&gt;='Model tallatge'!$B$41,'Model tallatge'!$A$41,IF(AK26&gt;='Model tallatge'!$B$40,'Model tallatge'!$A$40,'Model tallatge'!$A$39)))))</f>
        <v>XL</v>
      </c>
      <c r="AL27" s="1" t="str">
        <f>IF(AL26&gt;='Model tallatge'!$B$44,'Model tallatge'!$A$44,IF(AL26&gt;='Model tallatge'!$B$43,'Model tallatge'!$A$43,IF(AL26&gt;='Model tallatge'!$B$42,'Model tallatge'!$A$42,IF(AL26&gt;='Model tallatge'!$B$41,'Model tallatge'!$A$41,IF(AL26&gt;='Model tallatge'!$B$40,'Model tallatge'!$A$40,'Model tallatge'!$A$39)))))</f>
        <v>M</v>
      </c>
      <c r="AM27" s="1" t="str">
        <f>IF(AM26&gt;='Model tallatge'!$B$44,'Model tallatge'!$A$44,IF(AM26&gt;='Model tallatge'!$B$43,'Model tallatge'!$A$43,IF(AM26&gt;='Model tallatge'!$B$42,'Model tallatge'!$A$42,IF(AM26&gt;='Model tallatge'!$B$41,'Model tallatge'!$A$41,IF(AM26&gt;='Model tallatge'!$B$40,'Model tallatge'!$A$40,'Model tallatge'!$A$39)))))</f>
        <v>M</v>
      </c>
      <c r="AN27" s="1" t="str">
        <f>IF(AN26&gt;='Model tallatge'!$B$44,'Model tallatge'!$A$44,IF(AN26&gt;='Model tallatge'!$B$43,'Model tallatge'!$A$43,IF(AN26&gt;='Model tallatge'!$B$42,'Model tallatge'!$A$42,IF(AN26&gt;='Model tallatge'!$B$41,'Model tallatge'!$A$41,IF(AN26&gt;='Model tallatge'!$B$40,'Model tallatge'!$A$40,'Model tallatge'!$A$39)))))</f>
        <v>S</v>
      </c>
    </row>
    <row r="28" spans="1:42" ht="15" customHeight="1" x14ac:dyDescent="0.3">
      <c r="A28" s="164" t="s">
        <v>223</v>
      </c>
      <c r="B28" s="6">
        <f>SUMIF('Model tallatge'!$A$39:$A$44,'Tallatge èpiques'!B27,'Model tallatge'!$G$39:$G$44)</f>
        <v>30190.192839592837</v>
      </c>
      <c r="C28" s="6">
        <f>SUMIF('Model tallatge'!$A$39:$A$44,'Tallatge èpiques'!C27,'Model tallatge'!$G$39:$G$44)</f>
        <v>41511.515154440152</v>
      </c>
      <c r="D28" s="6">
        <f>SUMIF('Model tallatge'!$A$39:$A$44,'Tallatge èpiques'!D27,'Model tallatge'!$G$39:$G$44)</f>
        <v>53021.52617453492</v>
      </c>
      <c r="E28" s="6">
        <f>SUMIF('Model tallatge'!$A$39:$A$44,'Tallatge èpiques'!E27,'Model tallatge'!$G$39:$G$44)</f>
        <v>41511.515154440152</v>
      </c>
      <c r="F28" s="6">
        <f>SUMIF('Model tallatge'!$A$39:$A$44,'Tallatge èpiques'!F27,'Model tallatge'!$G$39:$G$44)</f>
        <v>19812.314050982801</v>
      </c>
      <c r="G28" s="6">
        <f>SUMIF('Model tallatge'!$A$39:$A$44,'Tallatge èpiques'!G27,'Model tallatge'!$G$39:$G$44)</f>
        <v>30190.192839592837</v>
      </c>
      <c r="H28" s="6">
        <f>SUMIF('Model tallatge'!$A$39:$A$44,'Tallatge èpiques'!H27,'Model tallatge'!$G$39:$G$44)</f>
        <v>30190.192839592837</v>
      </c>
      <c r="I28" s="6">
        <f>SUMIF('Model tallatge'!$A$39:$A$44,'Tallatge èpiques'!I27,'Model tallatge'!$G$39:$G$44)</f>
        <v>30190.192839592837</v>
      </c>
      <c r="J28" s="6">
        <f>SUMIF('Model tallatge'!$A$39:$A$44,'Tallatge èpiques'!J27,'Model tallatge'!$G$39:$G$44)</f>
        <v>19812.314050982801</v>
      </c>
      <c r="K28" s="6">
        <f>SUMIF('Model tallatge'!$A$39:$A$44,'Tallatge èpiques'!K27,'Model tallatge'!$G$39:$G$44)</f>
        <v>30190.192839592837</v>
      </c>
      <c r="L28" s="6">
        <f>SUMIF('Model tallatge'!$A$39:$A$44,'Tallatge èpiques'!L27,'Model tallatge'!$G$39:$G$44)</f>
        <v>41511.515154440152</v>
      </c>
      <c r="M28" s="6">
        <f>SUMIF('Model tallatge'!$A$39:$A$44,'Tallatge èpiques'!M27,'Model tallatge'!$G$39:$G$44)</f>
        <v>53021.52617453492</v>
      </c>
      <c r="N28" s="6">
        <f>SUMIF('Model tallatge'!$A$39:$A$44,'Tallatge èpiques'!N27,'Model tallatge'!$G$39:$G$44)</f>
        <v>53021.52617453492</v>
      </c>
      <c r="O28" s="6">
        <f>SUMIF('Model tallatge'!$A$39:$A$44,'Tallatge èpiques'!O27,'Model tallatge'!$G$39:$G$44)</f>
        <v>41511.515154440152</v>
      </c>
      <c r="P28" s="6">
        <f>SUMIF('Model tallatge'!$A$39:$A$44,'Tallatge èpiques'!P27,'Model tallatge'!$G$39:$G$44)</f>
        <v>53021.52617453492</v>
      </c>
      <c r="Q28" s="6">
        <f>SUMIF('Model tallatge'!$A$39:$A$44,'Tallatge èpiques'!Q27,'Model tallatge'!$G$39:$G$44)</f>
        <v>65097.603310372055</v>
      </c>
      <c r="R28" s="6">
        <f>SUMIF('Model tallatge'!$A$39:$A$44,'Tallatge èpiques'!R27,'Model tallatge'!$G$39:$G$44)</f>
        <v>30190.192839592837</v>
      </c>
      <c r="S28" s="6">
        <f>SUMIF('Model tallatge'!$A$39:$A$44,'Tallatge èpiques'!S27,'Model tallatge'!$G$39:$G$44)</f>
        <v>30190.192839592837</v>
      </c>
      <c r="T28" s="6">
        <f>SUMIF('Model tallatge'!$A$39:$A$44,'Tallatge èpiques'!T27,'Model tallatge'!$G$39:$G$44)</f>
        <v>30190.192839592837</v>
      </c>
      <c r="U28" s="6">
        <f>SUMIF('Model tallatge'!$A$39:$A$44,'Tallatge èpiques'!U27,'Model tallatge'!$G$39:$G$44)</f>
        <v>30190.192839592837</v>
      </c>
      <c r="V28" s="6">
        <f>SUMIF('Model tallatge'!$A$39:$A$44,'Tallatge èpiques'!V27,'Model tallatge'!$G$39:$G$44)</f>
        <v>30190.192839592837</v>
      </c>
      <c r="W28" s="6">
        <f>SUMIF('Model tallatge'!$A$39:$A$44,'Tallatge èpiques'!W27,'Model tallatge'!$G$39:$G$44)</f>
        <v>41511.515154440152</v>
      </c>
      <c r="X28" s="6">
        <f>SUMIF('Model tallatge'!$A$39:$A$44,'Tallatge èpiques'!X27,'Model tallatge'!$G$39:$G$44)</f>
        <v>30190.192839592837</v>
      </c>
      <c r="Y28" s="6">
        <f>SUMIF('Model tallatge'!$A$39:$A$44,'Tallatge èpiques'!Y27,'Model tallatge'!$G$39:$G$44)</f>
        <v>30190.192839592837</v>
      </c>
      <c r="Z28" s="6">
        <f>SUMIF('Model tallatge'!$A$39:$A$44,'Tallatge èpiques'!Z27,'Model tallatge'!$G$39:$G$44)</f>
        <v>30190.192839592837</v>
      </c>
      <c r="AA28" s="6">
        <f>SUMIF('Model tallatge'!$A$39:$A$44,'Tallatge èpiques'!AA27,'Model tallatge'!$G$39:$G$44)</f>
        <v>19812.314050982801</v>
      </c>
      <c r="AB28" s="6">
        <f>SUMIF('Model tallatge'!$A$39:$A$44,'Tallatge èpiques'!AB27,'Model tallatge'!$G$39:$G$44)</f>
        <v>41511.515154440152</v>
      </c>
      <c r="AC28" s="6">
        <f>SUMIF('Model tallatge'!$A$39:$A$44,'Tallatge èpiques'!AC27,'Model tallatge'!$G$39:$G$44)</f>
        <v>41511.515154440152</v>
      </c>
      <c r="AD28" s="6">
        <f>SUMIF('Model tallatge'!$A$39:$A$44,'Tallatge èpiques'!AD27,'Model tallatge'!$G$39:$G$44)</f>
        <v>41511.515154440152</v>
      </c>
      <c r="AE28" s="6">
        <f>SUMIF('Model tallatge'!$A$39:$A$44,'Tallatge èpiques'!AE27,'Model tallatge'!$G$39:$G$44)</f>
        <v>30190.192839592837</v>
      </c>
      <c r="AF28" s="6">
        <f>SUMIF('Model tallatge'!$A$39:$A$44,'Tallatge èpiques'!AF27,'Model tallatge'!$G$39:$G$44)</f>
        <v>19812.314050982801</v>
      </c>
      <c r="AG28" s="6">
        <f>SUMIF('Model tallatge'!$A$39:$A$44,'Tallatge èpiques'!AG27,'Model tallatge'!$G$39:$G$44)</f>
        <v>53021.52617453492</v>
      </c>
      <c r="AH28" s="6">
        <f>SUMIF('Model tallatge'!$A$39:$A$44,'Tallatge èpiques'!AH27,'Model tallatge'!$G$39:$G$44)</f>
        <v>53021.52617453492</v>
      </c>
      <c r="AI28" s="6">
        <f>SUMIF('Model tallatge'!$A$39:$A$44,'Tallatge èpiques'!AI27,'Model tallatge'!$G$39:$G$44)</f>
        <v>41511.515154440152</v>
      </c>
      <c r="AJ28" s="6">
        <f>SUMIF('Model tallatge'!$A$39:$A$44,'Tallatge èpiques'!AJ27,'Model tallatge'!$G$39:$G$44)</f>
        <v>41511.515154440152</v>
      </c>
      <c r="AK28" s="6">
        <f>SUMIF('Model tallatge'!$A$39:$A$44,'Tallatge èpiques'!AK27,'Model tallatge'!$G$39:$G$44)</f>
        <v>53021.52617453492</v>
      </c>
      <c r="AL28" s="6">
        <f>SUMIF('Model tallatge'!$A$39:$A$44,'Tallatge èpiques'!AL27,'Model tallatge'!$G$39:$G$44)</f>
        <v>30190.192839592837</v>
      </c>
      <c r="AM28" s="6">
        <f>SUMIF('Model tallatge'!$A$39:$A$44,'Tallatge èpiques'!AM27,'Model tallatge'!$G$39:$G$44)</f>
        <v>30190.192839592837</v>
      </c>
      <c r="AN28" s="6">
        <f>SUMIF('Model tallatge'!$A$39:$A$44,'Tallatge èpiques'!AN27,'Model tallatge'!$G$39:$G$44)</f>
        <v>19812.314050982801</v>
      </c>
      <c r="AO28" s="324">
        <f>SUM(B28:AN28)</f>
        <v>1433468.0937649172</v>
      </c>
      <c r="AP28" s="101">
        <f>AO28-'Fites facturació'!AK8</f>
        <v>-62.826235082698986</v>
      </c>
    </row>
    <row r="29" spans="1:42" ht="15" customHeight="1" x14ac:dyDescent="0.3">
      <c r="A29" s="164" t="s">
        <v>224</v>
      </c>
      <c r="B29" s="6">
        <f>SUMIF('Model tallatge'!$A$39:$A$44,'Tallatge èpiques'!B27,'Model tallatge'!$H$39:$H$44)</f>
        <v>90054.564883278465</v>
      </c>
      <c r="C29" s="6">
        <f>SUMIF('Model tallatge'!$A$39:$A$44,'Tallatge èpiques'!C27,'Model tallatge'!$H$39:$H$44)</f>
        <v>126743.4616875771</v>
      </c>
      <c r="D29" s="6">
        <f>SUMIF('Model tallatge'!$A$39:$A$44,'Tallatge èpiques'!D27,'Model tallatge'!$H$39:$H$44)</f>
        <v>160097.00423693951</v>
      </c>
      <c r="E29" s="6">
        <f>SUMIF('Model tallatge'!$A$39:$A$44,'Tallatge èpiques'!E27,'Model tallatge'!$H$39:$H$44)</f>
        <v>126743.4616875771</v>
      </c>
      <c r="F29" s="6">
        <f>SUMIF('Model tallatge'!$A$39:$A$44,'Tallatge èpiques'!F27,'Model tallatge'!$H$39:$H$44)</f>
        <v>61370.518290826803</v>
      </c>
      <c r="G29" s="6">
        <f>SUMIF('Model tallatge'!$A$39:$A$44,'Tallatge èpiques'!G27,'Model tallatge'!$H$39:$H$44)</f>
        <v>90054.564883278465</v>
      </c>
      <c r="H29" s="6">
        <f>SUMIF('Model tallatge'!$A$39:$A$44,'Tallatge èpiques'!H27,'Model tallatge'!$H$39:$H$44)</f>
        <v>90054.564883278465</v>
      </c>
      <c r="I29" s="6">
        <f>SUMIF('Model tallatge'!$A$39:$A$44,'Tallatge èpiques'!I27,'Model tallatge'!$H$39:$H$44)</f>
        <v>90054.564883278465</v>
      </c>
      <c r="J29" s="6">
        <f>SUMIF('Model tallatge'!$A$39:$A$44,'Tallatge èpiques'!J27,'Model tallatge'!$H$39:$H$44)</f>
        <v>61370.518290826803</v>
      </c>
      <c r="K29" s="6">
        <f>SUMIF('Model tallatge'!$A$39:$A$44,'Tallatge èpiques'!K27,'Model tallatge'!$H$39:$H$44)</f>
        <v>90054.564883278465</v>
      </c>
      <c r="L29" s="6">
        <f>SUMIF('Model tallatge'!$A$39:$A$44,'Tallatge èpiques'!L27,'Model tallatge'!$H$39:$H$44)</f>
        <v>126743.4616875771</v>
      </c>
      <c r="M29" s="6">
        <f>SUMIF('Model tallatge'!$A$39:$A$44,'Tallatge èpiques'!M27,'Model tallatge'!$H$39:$H$44)</f>
        <v>160097.00423693951</v>
      </c>
      <c r="N29" s="6">
        <f>SUMIF('Model tallatge'!$A$39:$A$44,'Tallatge èpiques'!N27,'Model tallatge'!$H$39:$H$44)</f>
        <v>160097.00423693951</v>
      </c>
      <c r="O29" s="6">
        <f>SUMIF('Model tallatge'!$A$39:$A$44,'Tallatge èpiques'!O27,'Model tallatge'!$H$39:$H$44)</f>
        <v>126743.4616875771</v>
      </c>
      <c r="P29" s="6">
        <f>SUMIF('Model tallatge'!$A$39:$A$44,'Tallatge èpiques'!P27,'Model tallatge'!$H$39:$H$44)</f>
        <v>160097.00423693951</v>
      </c>
      <c r="Q29" s="6">
        <f>SUMIF('Model tallatge'!$A$39:$A$44,'Tallatge èpiques'!Q27,'Model tallatge'!$H$39:$H$44)</f>
        <v>188514.22248899625</v>
      </c>
      <c r="R29" s="6">
        <f>SUMIF('Model tallatge'!$A$39:$A$44,'Tallatge èpiques'!R27,'Model tallatge'!$H$39:$H$44)</f>
        <v>90054.564883278465</v>
      </c>
      <c r="S29" s="6">
        <f>SUMIF('Model tallatge'!$A$39:$A$44,'Tallatge èpiques'!S27,'Model tallatge'!$H$39:$H$44)</f>
        <v>90054.564883278465</v>
      </c>
      <c r="T29" s="6">
        <f>SUMIF('Model tallatge'!$A$39:$A$44,'Tallatge èpiques'!T27,'Model tallatge'!$H$39:$H$44)</f>
        <v>90054.564883278465</v>
      </c>
      <c r="U29" s="6">
        <f>SUMIF('Model tallatge'!$A$39:$A$44,'Tallatge èpiques'!U27,'Model tallatge'!$H$39:$H$44)</f>
        <v>90054.564883278465</v>
      </c>
      <c r="V29" s="6">
        <f>SUMIF('Model tallatge'!$A$39:$A$44,'Tallatge èpiques'!V27,'Model tallatge'!$H$39:$H$44)</f>
        <v>90054.564883278465</v>
      </c>
      <c r="W29" s="6">
        <f>SUMIF('Model tallatge'!$A$39:$A$44,'Tallatge èpiques'!W27,'Model tallatge'!$H$39:$H$44)</f>
        <v>126743.4616875771</v>
      </c>
      <c r="X29" s="6">
        <f>SUMIF('Model tallatge'!$A$39:$A$44,'Tallatge èpiques'!X27,'Model tallatge'!$H$39:$H$44)</f>
        <v>90054.564883278465</v>
      </c>
      <c r="Y29" s="6">
        <f>SUMIF('Model tallatge'!$A$39:$A$44,'Tallatge èpiques'!Y27,'Model tallatge'!$H$39:$H$44)</f>
        <v>90054.564883278465</v>
      </c>
      <c r="Z29" s="6">
        <f>SUMIF('Model tallatge'!$A$39:$A$44,'Tallatge èpiques'!Z27,'Model tallatge'!$H$39:$H$44)</f>
        <v>90054.564883278465</v>
      </c>
      <c r="AA29" s="6">
        <f>SUMIF('Model tallatge'!$A$39:$A$44,'Tallatge èpiques'!AA27,'Model tallatge'!$H$39:$H$44)</f>
        <v>61370.518290826803</v>
      </c>
      <c r="AB29" s="6">
        <f>SUMIF('Model tallatge'!$A$39:$A$44,'Tallatge èpiques'!AB27,'Model tallatge'!$H$39:$H$44)</f>
        <v>126743.4616875771</v>
      </c>
      <c r="AC29" s="6">
        <f>SUMIF('Model tallatge'!$A$39:$A$44,'Tallatge èpiques'!AC27,'Model tallatge'!$H$39:$H$44)</f>
        <v>126743.4616875771</v>
      </c>
      <c r="AD29" s="6">
        <f>SUMIF('Model tallatge'!$A$39:$A$44,'Tallatge èpiques'!AD27,'Model tallatge'!$H$39:$H$44)</f>
        <v>126743.4616875771</v>
      </c>
      <c r="AE29" s="6">
        <f>SUMIF('Model tallatge'!$A$39:$A$44,'Tallatge èpiques'!AE27,'Model tallatge'!$H$39:$H$44)</f>
        <v>90054.564883278465</v>
      </c>
      <c r="AF29" s="6">
        <f>SUMIF('Model tallatge'!$A$39:$A$44,'Tallatge èpiques'!AF27,'Model tallatge'!$H$39:$H$44)</f>
        <v>61370.518290826803</v>
      </c>
      <c r="AG29" s="6">
        <f>SUMIF('Model tallatge'!$A$39:$A$44,'Tallatge èpiques'!AG27,'Model tallatge'!$H$39:$H$44)</f>
        <v>160097.00423693951</v>
      </c>
      <c r="AH29" s="6">
        <f>SUMIF('Model tallatge'!$A$39:$A$44,'Tallatge èpiques'!AH27,'Model tallatge'!$H$39:$H$44)</f>
        <v>160097.00423693951</v>
      </c>
      <c r="AI29" s="6">
        <f>SUMIF('Model tallatge'!$A$39:$A$44,'Tallatge èpiques'!AI27,'Model tallatge'!$H$39:$H$44)</f>
        <v>126743.4616875771</v>
      </c>
      <c r="AJ29" s="6">
        <f>SUMIF('Model tallatge'!$A$39:$A$44,'Tallatge èpiques'!AJ27,'Model tallatge'!$H$39:$H$44)</f>
        <v>126743.4616875771</v>
      </c>
      <c r="AK29" s="6">
        <f>SUMIF('Model tallatge'!$A$39:$A$44,'Tallatge èpiques'!AK27,'Model tallatge'!$H$39:$H$44)</f>
        <v>160097.00423693951</v>
      </c>
      <c r="AL29" s="6">
        <f>SUMIF('Model tallatge'!$A$39:$A$44,'Tallatge èpiques'!AL27,'Model tallatge'!$H$39:$H$44)</f>
        <v>90054.564883278465</v>
      </c>
      <c r="AM29" s="6">
        <f>SUMIF('Model tallatge'!$A$39:$A$44,'Tallatge èpiques'!AM27,'Model tallatge'!$H$39:$H$44)</f>
        <v>90054.564883278465</v>
      </c>
      <c r="AN29" s="6">
        <f>SUMIF('Model tallatge'!$A$39:$A$44,'Tallatge èpiques'!AN27,'Model tallatge'!$H$39:$H$44)</f>
        <v>61370.518290826803</v>
      </c>
      <c r="AO29" s="324">
        <f>SUM(B29:AN29)</f>
        <v>4324353.498609934</v>
      </c>
      <c r="AP29" s="101">
        <f>AO29-'Fites facturació'!AK9</f>
        <v>-44.231390066444874</v>
      </c>
    </row>
    <row r="30" spans="1:42" ht="15" customHeight="1" x14ac:dyDescent="0.3">
      <c r="A30" s="164" t="s">
        <v>225</v>
      </c>
      <c r="B30" s="6">
        <f>SUMIF('Model tallatge'!$A$39:$A$44,'Tallatge èpiques'!B27,'Model tallatge'!$I$39:$I$44)</f>
        <v>120244.75772287131</v>
      </c>
      <c r="C30" s="6">
        <f>SUMIF('Model tallatge'!$A$39:$A$44,'Tallatge èpiques'!C27,'Model tallatge'!$I$39:$I$44)</f>
        <v>168254.97684201726</v>
      </c>
      <c r="D30" s="6">
        <f>SUMIF('Model tallatge'!$A$39:$A$44,'Tallatge èpiques'!D27,'Model tallatge'!$I$39:$I$44)</f>
        <v>213118.53041147444</v>
      </c>
      <c r="E30" s="6">
        <f>SUMIF('Model tallatge'!$A$39:$A$44,'Tallatge èpiques'!E27,'Model tallatge'!$I$39:$I$44)</f>
        <v>168254.97684201726</v>
      </c>
      <c r="F30" s="6">
        <f>SUMIF('Model tallatge'!$A$39:$A$44,'Tallatge èpiques'!F27,'Model tallatge'!$I$39:$I$44)</f>
        <v>81182.832341809612</v>
      </c>
      <c r="G30" s="6">
        <f>SUMIF('Model tallatge'!$A$39:$A$44,'Tallatge èpiques'!G27,'Model tallatge'!$I$39:$I$44)</f>
        <v>120244.75772287131</v>
      </c>
      <c r="H30" s="6">
        <f>SUMIF('Model tallatge'!$A$39:$A$44,'Tallatge èpiques'!H27,'Model tallatge'!$I$39:$I$44)</f>
        <v>120244.75772287131</v>
      </c>
      <c r="I30" s="6">
        <f>SUMIF('Model tallatge'!$A$39:$A$44,'Tallatge èpiques'!I27,'Model tallatge'!$I$39:$I$44)</f>
        <v>120244.75772287131</v>
      </c>
      <c r="J30" s="6">
        <f>SUMIF('Model tallatge'!$A$39:$A$44,'Tallatge èpiques'!J27,'Model tallatge'!$I$39:$I$44)</f>
        <v>81182.832341809612</v>
      </c>
      <c r="K30" s="6">
        <f>SUMIF('Model tallatge'!$A$39:$A$44,'Tallatge èpiques'!K27,'Model tallatge'!$I$39:$I$44)</f>
        <v>120244.75772287131</v>
      </c>
      <c r="L30" s="6">
        <f>SUMIF('Model tallatge'!$A$39:$A$44,'Tallatge èpiques'!L27,'Model tallatge'!$I$39:$I$44)</f>
        <v>168254.97684201726</v>
      </c>
      <c r="M30" s="6">
        <f>SUMIF('Model tallatge'!$A$39:$A$44,'Tallatge èpiques'!M27,'Model tallatge'!$I$39:$I$44)</f>
        <v>213118.53041147444</v>
      </c>
      <c r="N30" s="6">
        <f>SUMIF('Model tallatge'!$A$39:$A$44,'Tallatge èpiques'!N27,'Model tallatge'!$I$39:$I$44)</f>
        <v>213118.53041147444</v>
      </c>
      <c r="O30" s="6">
        <f>SUMIF('Model tallatge'!$A$39:$A$44,'Tallatge èpiques'!O27,'Model tallatge'!$I$39:$I$44)</f>
        <v>168254.97684201726</v>
      </c>
      <c r="P30" s="6">
        <f>SUMIF('Model tallatge'!$A$39:$A$44,'Tallatge èpiques'!P27,'Model tallatge'!$I$39:$I$44)</f>
        <v>213118.53041147444</v>
      </c>
      <c r="Q30" s="6">
        <f>SUMIF('Model tallatge'!$A$39:$A$44,'Tallatge èpiques'!Q27,'Model tallatge'!$I$39:$I$44)</f>
        <v>253611.82579936832</v>
      </c>
      <c r="R30" s="6">
        <f>SUMIF('Model tallatge'!$A$39:$A$44,'Tallatge èpiques'!R27,'Model tallatge'!$I$39:$I$44)</f>
        <v>120244.75772287131</v>
      </c>
      <c r="S30" s="6">
        <f>SUMIF('Model tallatge'!$A$39:$A$44,'Tallatge èpiques'!S27,'Model tallatge'!$I$39:$I$44)</f>
        <v>120244.75772287131</v>
      </c>
      <c r="T30" s="6">
        <f>SUMIF('Model tallatge'!$A$39:$A$44,'Tallatge èpiques'!T27,'Model tallatge'!$I$39:$I$44)</f>
        <v>120244.75772287131</v>
      </c>
      <c r="U30" s="6">
        <f>SUMIF('Model tallatge'!$A$39:$A$44,'Tallatge èpiques'!U27,'Model tallatge'!$I$39:$I$44)</f>
        <v>120244.75772287131</v>
      </c>
      <c r="V30" s="6">
        <f>SUMIF('Model tallatge'!$A$39:$A$44,'Tallatge èpiques'!V27,'Model tallatge'!$I$39:$I$44)</f>
        <v>120244.75772287131</v>
      </c>
      <c r="W30" s="6">
        <f>SUMIF('Model tallatge'!$A$39:$A$44,'Tallatge èpiques'!W27,'Model tallatge'!$I$39:$I$44)</f>
        <v>168254.97684201726</v>
      </c>
      <c r="X30" s="6">
        <f>SUMIF('Model tallatge'!$A$39:$A$44,'Tallatge èpiques'!X27,'Model tallatge'!$I$39:$I$44)</f>
        <v>120244.75772287131</v>
      </c>
      <c r="Y30" s="6">
        <f>SUMIF('Model tallatge'!$A$39:$A$44,'Tallatge èpiques'!Y27,'Model tallatge'!$I$39:$I$44)</f>
        <v>120244.75772287131</v>
      </c>
      <c r="Z30" s="6">
        <f>SUMIF('Model tallatge'!$A$39:$A$44,'Tallatge èpiques'!Z27,'Model tallatge'!$I$39:$I$44)</f>
        <v>120244.75772287131</v>
      </c>
      <c r="AA30" s="6">
        <f>SUMIF('Model tallatge'!$A$39:$A$44,'Tallatge èpiques'!AA27,'Model tallatge'!$I$39:$I$44)</f>
        <v>81182.832341809612</v>
      </c>
      <c r="AB30" s="6">
        <f>SUMIF('Model tallatge'!$A$39:$A$44,'Tallatge èpiques'!AB27,'Model tallatge'!$I$39:$I$44)</f>
        <v>168254.97684201726</v>
      </c>
      <c r="AC30" s="6">
        <f>SUMIF('Model tallatge'!$A$39:$A$44,'Tallatge èpiques'!AC27,'Model tallatge'!$I$39:$I$44)</f>
        <v>168254.97684201726</v>
      </c>
      <c r="AD30" s="6">
        <f>SUMIF('Model tallatge'!$A$39:$A$44,'Tallatge èpiques'!AD27,'Model tallatge'!$I$39:$I$44)</f>
        <v>168254.97684201726</v>
      </c>
      <c r="AE30" s="6">
        <f>SUMIF('Model tallatge'!$A$39:$A$44,'Tallatge èpiques'!AE27,'Model tallatge'!$I$39:$I$44)</f>
        <v>120244.75772287131</v>
      </c>
      <c r="AF30" s="6">
        <f>SUMIF('Model tallatge'!$A$39:$A$44,'Tallatge èpiques'!AF27,'Model tallatge'!$I$39:$I$44)</f>
        <v>81182.832341809612</v>
      </c>
      <c r="AG30" s="6">
        <f>SUMIF('Model tallatge'!$A$39:$A$44,'Tallatge èpiques'!AG27,'Model tallatge'!$I$39:$I$44)</f>
        <v>213118.53041147444</v>
      </c>
      <c r="AH30" s="6">
        <f>SUMIF('Model tallatge'!$A$39:$A$44,'Tallatge èpiques'!AH27,'Model tallatge'!$I$39:$I$44)</f>
        <v>213118.53041147444</v>
      </c>
      <c r="AI30" s="6">
        <f>SUMIF('Model tallatge'!$A$39:$A$44,'Tallatge èpiques'!AI27,'Model tallatge'!$I$39:$I$44)</f>
        <v>168254.97684201726</v>
      </c>
      <c r="AJ30" s="6">
        <f>SUMIF('Model tallatge'!$A$39:$A$44,'Tallatge èpiques'!AJ27,'Model tallatge'!$I$39:$I$44)</f>
        <v>168254.97684201726</v>
      </c>
      <c r="AK30" s="6">
        <f>SUMIF('Model tallatge'!$A$39:$A$44,'Tallatge èpiques'!AK27,'Model tallatge'!$I$39:$I$44)</f>
        <v>213118.53041147444</v>
      </c>
      <c r="AL30" s="6">
        <f>SUMIF('Model tallatge'!$A$39:$A$44,'Tallatge èpiques'!AL27,'Model tallatge'!$I$39:$I$44)</f>
        <v>120244.75772287131</v>
      </c>
      <c r="AM30" s="6">
        <f>SUMIF('Model tallatge'!$A$39:$A$44,'Tallatge èpiques'!AM27,'Model tallatge'!$I$39:$I$44)</f>
        <v>120244.75772287131</v>
      </c>
      <c r="AN30" s="6">
        <f>SUMIF('Model tallatge'!$A$39:$A$44,'Tallatge èpiques'!AN27,'Model tallatge'!$I$39:$I$44)</f>
        <v>81182.832341809612</v>
      </c>
      <c r="AO30" s="324">
        <f>SUM(B30:AN30)</f>
        <v>5757821.5923748519</v>
      </c>
      <c r="AP30" s="101">
        <f>AO30-'Fites facturació'!AK14</f>
        <v>-107.05762514937669</v>
      </c>
    </row>
    <row r="31" spans="1:42" ht="15" customHeight="1" x14ac:dyDescent="0.3">
      <c r="A31" s="164" t="s">
        <v>226</v>
      </c>
      <c r="B31" s="6"/>
      <c r="C31" s="6"/>
      <c r="D31" s="6"/>
      <c r="E31" s="6"/>
      <c r="F31" s="323">
        <f>SUM(B30:F30)</f>
        <v>751056.07416018995</v>
      </c>
      <c r="G31" s="6"/>
      <c r="H31" s="6"/>
      <c r="I31" s="6"/>
      <c r="J31" s="6"/>
      <c r="K31" s="323">
        <f>SUM(G30:K30)</f>
        <v>562161.8632332948</v>
      </c>
      <c r="L31" s="6"/>
      <c r="M31" s="6"/>
      <c r="N31" s="6"/>
      <c r="O31" s="6"/>
      <c r="P31" s="323">
        <f>SUM(L30:P30)</f>
        <v>975865.54491845774</v>
      </c>
      <c r="Q31" s="6"/>
      <c r="R31" s="6"/>
      <c r="S31" s="6"/>
      <c r="T31" s="6"/>
      <c r="U31" s="323">
        <f>SUM(Q30:U30)</f>
        <v>734590.85669085348</v>
      </c>
      <c r="V31" s="6"/>
      <c r="W31" s="6"/>
      <c r="X31" s="6"/>
      <c r="Y31" s="6"/>
      <c r="Z31" s="323">
        <f>SUM(V30:Z30)</f>
        <v>649234.00773350243</v>
      </c>
      <c r="AA31" s="6"/>
      <c r="AB31" s="6"/>
      <c r="AC31" s="6"/>
      <c r="AD31" s="6"/>
      <c r="AE31" s="323">
        <f>SUM(AA30:AE30)</f>
        <v>706192.52059073269</v>
      </c>
      <c r="AF31" s="6"/>
      <c r="AG31" s="6"/>
      <c r="AH31" s="323">
        <f>SUM(AF30:AH30)</f>
        <v>507419.89316475845</v>
      </c>
      <c r="AI31" s="6"/>
      <c r="AJ31" s="6"/>
      <c r="AK31" s="6"/>
      <c r="AL31" s="6"/>
      <c r="AM31" s="323">
        <f>SUM(AI30:AM30)</f>
        <v>790117.99954125145</v>
      </c>
      <c r="AN31" s="323">
        <f>AN30</f>
        <v>81182.832341809612</v>
      </c>
    </row>
  </sheetData>
  <mergeCells count="8">
    <mergeCell ref="AA1:AE1"/>
    <mergeCell ref="AF1:AH1"/>
    <mergeCell ref="AI1:AM1"/>
    <mergeCell ref="B1:F1"/>
    <mergeCell ref="G1:K1"/>
    <mergeCell ref="L1:P1"/>
    <mergeCell ref="Q1:U1"/>
    <mergeCell ref="V1:Z1"/>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C622-DD7F-484C-879A-EA35AE3402CA}">
  <dimension ref="A2:S85"/>
  <sheetViews>
    <sheetView zoomScaleNormal="100" workbookViewId="0"/>
  </sheetViews>
  <sheetFormatPr defaultColWidth="10.6640625" defaultRowHeight="13.8" x14ac:dyDescent="0.3"/>
  <cols>
    <col min="1" max="1" width="54.33203125" style="43" customWidth="1"/>
    <col min="2" max="2" width="31.33203125" style="43" bestFit="1" customWidth="1"/>
    <col min="3" max="3" width="21.6640625" style="43" bestFit="1" customWidth="1"/>
    <col min="4" max="4" width="31.33203125" style="43" bestFit="1" customWidth="1"/>
    <col min="5" max="5" width="21.6640625" style="43" bestFit="1" customWidth="1"/>
    <col min="6" max="6" width="18.6640625" style="43" bestFit="1" customWidth="1"/>
    <col min="7" max="7" width="15" style="43" bestFit="1" customWidth="1"/>
    <col min="8" max="8" width="14.33203125" style="43" bestFit="1" customWidth="1"/>
    <col min="9" max="9" width="13.6640625" style="43" bestFit="1" customWidth="1"/>
    <col min="10" max="10" width="16" style="43" customWidth="1"/>
    <col min="11" max="11" width="14.5546875" style="43" bestFit="1" customWidth="1"/>
    <col min="12" max="12" width="14" style="43" customWidth="1"/>
    <col min="13" max="13" width="15" style="43" customWidth="1"/>
    <col min="14" max="14" width="15" style="43" bestFit="1" customWidth="1"/>
    <col min="15" max="15" width="13.6640625" style="43" bestFit="1" customWidth="1"/>
    <col min="16" max="16" width="15.33203125" style="43" customWidth="1"/>
    <col min="17" max="17" width="14.33203125" style="43" bestFit="1" customWidth="1"/>
    <col min="18" max="18" width="14" style="43" bestFit="1" customWidth="1"/>
    <col min="19" max="19" width="14.33203125" style="43" bestFit="1" customWidth="1"/>
    <col min="20" max="16384" width="10.6640625" style="43"/>
  </cols>
  <sheetData>
    <row r="2" spans="1:19" x14ac:dyDescent="0.3">
      <c r="A2" s="42" t="s">
        <v>429</v>
      </c>
    </row>
    <row r="4" spans="1:19" ht="12.75" customHeight="1" x14ac:dyDescent="0.3">
      <c r="B4" s="587">
        <v>2026</v>
      </c>
      <c r="C4" s="588"/>
      <c r="D4" s="589"/>
      <c r="E4" s="587">
        <v>2027</v>
      </c>
      <c r="F4" s="588"/>
      <c r="G4" s="589"/>
      <c r="H4" s="587">
        <v>2028</v>
      </c>
      <c r="I4" s="588"/>
      <c r="J4" s="589"/>
      <c r="K4" s="587">
        <v>2029</v>
      </c>
      <c r="L4" s="588"/>
      <c r="M4" s="589"/>
      <c r="N4" s="587">
        <v>2030</v>
      </c>
      <c r="O4" s="588"/>
      <c r="P4" s="589"/>
    </row>
    <row r="5" spans="1:19" s="47" customFormat="1" ht="27.6" x14ac:dyDescent="0.3">
      <c r="A5" s="44" t="s">
        <v>229</v>
      </c>
      <c r="B5" s="45" t="s">
        <v>230</v>
      </c>
      <c r="C5" s="46" t="s">
        <v>231</v>
      </c>
      <c r="D5" s="46" t="s">
        <v>225</v>
      </c>
      <c r="E5" s="46" t="s">
        <v>230</v>
      </c>
      <c r="F5" s="46" t="s">
        <v>231</v>
      </c>
      <c r="G5" s="46" t="s">
        <v>225</v>
      </c>
      <c r="H5" s="46" t="s">
        <v>230</v>
      </c>
      <c r="I5" s="46" t="s">
        <v>231</v>
      </c>
      <c r="J5" s="46" t="s">
        <v>225</v>
      </c>
      <c r="K5" s="46" t="s">
        <v>230</v>
      </c>
      <c r="L5" s="46" t="s">
        <v>231</v>
      </c>
      <c r="M5" s="46" t="s">
        <v>225</v>
      </c>
      <c r="N5" s="46" t="s">
        <v>230</v>
      </c>
      <c r="O5" s="46" t="s">
        <v>231</v>
      </c>
      <c r="P5" s="46" t="s">
        <v>225</v>
      </c>
      <c r="Q5" s="46" t="s">
        <v>232</v>
      </c>
      <c r="R5" s="46" t="s">
        <v>233</v>
      </c>
      <c r="S5" s="46" t="s">
        <v>234</v>
      </c>
    </row>
    <row r="6" spans="1:19" x14ac:dyDescent="0.3">
      <c r="A6" s="48" t="str">
        <f>'Dimensionament contracte'!A17</f>
        <v>Servei 1. Gestió, Consultoria, refinament i disseny tècnic</v>
      </c>
      <c r="B6" s="49">
        <f t="shared" ref="B6:B9" si="0">ROUND(D6/1.21,2)</f>
        <v>84624.02</v>
      </c>
      <c r="C6" s="49">
        <f>D6-B6</f>
        <v>17771.039999999994</v>
      </c>
      <c r="D6" s="49">
        <f>'Fites facturació'!D8</f>
        <v>102395.06</v>
      </c>
      <c r="E6" s="49">
        <f t="shared" ref="E6:E9" si="1">ROUND(G6/1.21,2)</f>
        <v>507744.13</v>
      </c>
      <c r="F6" s="49">
        <f>G6-E6</f>
        <v>106626.27000000002</v>
      </c>
      <c r="G6" s="49">
        <f>'Fites facturació'!G8+'Fites facturació'!J8+'Fites facturació'!M8+'Fites facturació'!P8</f>
        <v>614370.4</v>
      </c>
      <c r="H6" s="49">
        <f t="shared" ref="H6:H8" si="2">ROUND(J6/1.21,2)</f>
        <v>507744.13</v>
      </c>
      <c r="I6" s="49">
        <f>J6-H6</f>
        <v>106626.27000000002</v>
      </c>
      <c r="J6" s="49">
        <f>'Fites facturació'!S8+'Fites facturació'!V8+'Fites facturació'!Y8+'Fites facturació'!AB8</f>
        <v>614370.4</v>
      </c>
      <c r="K6" s="49">
        <f t="shared" ref="K6:K9" si="3">ROUND(M6/1.21,2)</f>
        <v>84624.02</v>
      </c>
      <c r="L6" s="49">
        <f>M6-K6</f>
        <v>17771.039999999994</v>
      </c>
      <c r="M6" s="49">
        <f>'Fites facturació'!AE8</f>
        <v>102395.06</v>
      </c>
      <c r="N6" s="49">
        <f>'Fites facturació'!AF8</f>
        <v>0</v>
      </c>
      <c r="O6" s="49">
        <f>ROUND(N6*0.21,2)</f>
        <v>0</v>
      </c>
      <c r="P6" s="49">
        <f>+N6+O6</f>
        <v>0</v>
      </c>
      <c r="Q6" s="49">
        <f t="shared" ref="Q6:S8" si="4">+B6+E6+H6+K6+N6</f>
        <v>1184736.3</v>
      </c>
      <c r="R6" s="49">
        <f>+C6+F6+I6+L6+O6</f>
        <v>248794.62</v>
      </c>
      <c r="S6" s="49">
        <f t="shared" si="4"/>
        <v>1433530.92</v>
      </c>
    </row>
    <row r="7" spans="1:19" x14ac:dyDescent="0.3">
      <c r="A7" s="48" t="str">
        <f>'Dimensionament contracte'!A26</f>
        <v>Servei 2. Parametrització, desenvolupament i implantació</v>
      </c>
      <c r="B7" s="49">
        <f t="shared" si="0"/>
        <v>0</v>
      </c>
      <c r="C7" s="49">
        <f>D7-B7</f>
        <v>0</v>
      </c>
      <c r="D7" s="49">
        <f>'Fites facturació'!D9</f>
        <v>0</v>
      </c>
      <c r="E7" s="49">
        <f t="shared" si="1"/>
        <v>1649484.2</v>
      </c>
      <c r="F7" s="49">
        <f t="shared" ref="F7:F9" si="5">G7-E7</f>
        <v>346391.67999999993</v>
      </c>
      <c r="G7" s="49">
        <f>'Fites facturació'!G9+'Fites facturació'!J9+'Fites facturació'!M9+'Fites facturació'!P9</f>
        <v>1995875.88</v>
      </c>
      <c r="H7" s="49">
        <f t="shared" si="2"/>
        <v>1649484.2</v>
      </c>
      <c r="I7" s="49">
        <f t="shared" ref="I7:I9" si="6">J7-H7</f>
        <v>346391.67999999993</v>
      </c>
      <c r="J7" s="49">
        <f>'Fites facturació'!S9+'Fites facturació'!V9+'Fites facturació'!Y9+'Fites facturació'!AB9</f>
        <v>1995875.88</v>
      </c>
      <c r="K7" s="49">
        <f t="shared" si="3"/>
        <v>274914.02</v>
      </c>
      <c r="L7" s="49">
        <f t="shared" ref="L7:L9" si="7">M7-K7</f>
        <v>57731.949999999953</v>
      </c>
      <c r="M7" s="49">
        <f>'Fites facturació'!AE9</f>
        <v>332645.96999999997</v>
      </c>
      <c r="N7" s="49">
        <f>'Fites facturació'!AF9</f>
        <v>0</v>
      </c>
      <c r="O7" s="49">
        <f>ROUND(N7*0.21,2)</f>
        <v>0</v>
      </c>
      <c r="P7" s="49">
        <f>+N7+O7</f>
        <v>0</v>
      </c>
      <c r="Q7" s="49">
        <f t="shared" si="4"/>
        <v>3573882.42</v>
      </c>
      <c r="R7" s="49">
        <f>+C7+F7+I7+L7+O7</f>
        <v>750515.30999999982</v>
      </c>
      <c r="S7" s="49">
        <f t="shared" si="4"/>
        <v>4324397.7299999995</v>
      </c>
    </row>
    <row r="8" spans="1:19" ht="16.2" customHeight="1" x14ac:dyDescent="0.3">
      <c r="A8" s="48" t="s">
        <v>430</v>
      </c>
      <c r="B8" s="49">
        <f t="shared" si="0"/>
        <v>124773.34</v>
      </c>
      <c r="C8" s="49">
        <f>D8-B8</f>
        <v>26202.400000000023</v>
      </c>
      <c r="D8" s="49">
        <f>'Fites facturació'!D13</f>
        <v>150975.74000000002</v>
      </c>
      <c r="E8" s="49">
        <f t="shared" si="1"/>
        <v>570441.34</v>
      </c>
      <c r="F8" s="49">
        <f t="shared" si="5"/>
        <v>119792.68000000005</v>
      </c>
      <c r="G8" s="49">
        <f>'Fites facturació'!P13</f>
        <v>690234.02</v>
      </c>
      <c r="H8" s="49">
        <f t="shared" si="2"/>
        <v>600785.14</v>
      </c>
      <c r="I8" s="49">
        <f t="shared" si="6"/>
        <v>126164.88</v>
      </c>
      <c r="J8" s="49">
        <f>'Fites facturació'!AB13</f>
        <v>726950.02</v>
      </c>
      <c r="K8" s="49">
        <f t="shared" si="3"/>
        <v>857489.26</v>
      </c>
      <c r="L8" s="49">
        <f t="shared" si="7"/>
        <v>180072.74</v>
      </c>
      <c r="M8" s="49">
        <f>'Fites facturació'!AE13</f>
        <v>1037562</v>
      </c>
      <c r="N8" s="49">
        <f t="shared" ref="N8" si="8">ROUND(P8/1.21,2)</f>
        <v>425220.65</v>
      </c>
      <c r="O8" s="49">
        <f t="shared" ref="O8" si="9">P8-N8</f>
        <v>89296.339999999967</v>
      </c>
      <c r="P8" s="49">
        <f>'Fites facturació'!AH13</f>
        <v>514516.99</v>
      </c>
      <c r="Q8" s="49">
        <f t="shared" si="4"/>
        <v>2578709.73</v>
      </c>
      <c r="R8" s="49">
        <f t="shared" si="4"/>
        <v>541529.04</v>
      </c>
      <c r="S8" s="49">
        <f t="shared" si="4"/>
        <v>3120238.7700000005</v>
      </c>
    </row>
    <row r="9" spans="1:19" x14ac:dyDescent="0.3">
      <c r="B9" s="104">
        <f>ROUND(D9/1.21,2)</f>
        <v>209397.36</v>
      </c>
      <c r="C9" s="601">
        <f>D9-B9</f>
        <v>43973.440000000031</v>
      </c>
      <c r="D9" s="104">
        <f t="shared" ref="B9:S9" si="10">SUM(D6:D8)</f>
        <v>253370.80000000002</v>
      </c>
      <c r="E9" s="104">
        <f t="shared" si="1"/>
        <v>2727669.67</v>
      </c>
      <c r="F9" s="104">
        <f t="shared" si="5"/>
        <v>572810.62999999989</v>
      </c>
      <c r="G9" s="104">
        <f t="shared" si="10"/>
        <v>3300480.3</v>
      </c>
      <c r="H9" s="104">
        <f t="shared" ref="H9" si="11">ROUND(J9/1.21,2)</f>
        <v>2758013.47</v>
      </c>
      <c r="I9" s="104">
        <f t="shared" si="6"/>
        <v>579182.82999999961</v>
      </c>
      <c r="J9" s="104">
        <f t="shared" si="10"/>
        <v>3337196.3</v>
      </c>
      <c r="K9" s="104">
        <f t="shared" si="3"/>
        <v>1217027.3</v>
      </c>
      <c r="L9" s="104">
        <f t="shared" si="7"/>
        <v>255575.72999999998</v>
      </c>
      <c r="M9" s="104">
        <f t="shared" si="10"/>
        <v>1472603.03</v>
      </c>
      <c r="N9" s="104">
        <f t="shared" si="10"/>
        <v>425220.65</v>
      </c>
      <c r="O9" s="104">
        <f t="shared" si="10"/>
        <v>89296.339999999967</v>
      </c>
      <c r="P9" s="104">
        <f t="shared" si="10"/>
        <v>514516.99</v>
      </c>
      <c r="Q9" s="104">
        <f t="shared" si="10"/>
        <v>7337328.4499999993</v>
      </c>
      <c r="R9" s="104">
        <f t="shared" si="10"/>
        <v>1540838.9699999997</v>
      </c>
      <c r="S9" s="104">
        <f t="shared" si="10"/>
        <v>8878167.4199999999</v>
      </c>
    </row>
    <row r="10" spans="1:19" x14ac:dyDescent="0.3">
      <c r="B10" s="600"/>
      <c r="C10" s="50"/>
      <c r="F10" s="50"/>
      <c r="I10" s="600"/>
      <c r="L10" s="600"/>
      <c r="P10" s="50"/>
    </row>
    <row r="11" spans="1:19" x14ac:dyDescent="0.3">
      <c r="A11" s="51" t="s">
        <v>431</v>
      </c>
      <c r="B11" s="50"/>
    </row>
    <row r="12" spans="1:19" x14ac:dyDescent="0.3">
      <c r="A12" s="51"/>
      <c r="N12" s="43" t="s">
        <v>432</v>
      </c>
    </row>
    <row r="13" spans="1:19" ht="18" customHeight="1" x14ac:dyDescent="0.3">
      <c r="A13" s="52" t="s">
        <v>323</v>
      </c>
    </row>
    <row r="14" spans="1:19" ht="21" customHeight="1" x14ac:dyDescent="0.3">
      <c r="A14" s="52" t="s">
        <v>433</v>
      </c>
      <c r="B14" s="52" t="s">
        <v>434</v>
      </c>
      <c r="C14" s="52" t="s">
        <v>435</v>
      </c>
      <c r="D14" s="52" t="s">
        <v>225</v>
      </c>
      <c r="M14" s="43" t="s">
        <v>432</v>
      </c>
    </row>
    <row r="15" spans="1:19" x14ac:dyDescent="0.3">
      <c r="A15" s="53">
        <v>2026</v>
      </c>
      <c r="B15" s="54">
        <f>F26+F27</f>
        <v>209397.34999999998</v>
      </c>
      <c r="C15" s="54">
        <f>E26+E27</f>
        <v>43973.450000000012</v>
      </c>
      <c r="D15" s="54">
        <f t="shared" ref="D15:D20" si="12">+B15+C15</f>
        <v>253370.8</v>
      </c>
      <c r="E15" s="590" t="s">
        <v>532</v>
      </c>
      <c r="F15" s="591"/>
      <c r="G15" s="591"/>
      <c r="H15" s="591"/>
      <c r="I15" s="591"/>
      <c r="J15" s="591"/>
      <c r="K15" s="591"/>
      <c r="L15" s="591"/>
      <c r="M15" s="591"/>
      <c r="N15" s="591"/>
    </row>
    <row r="16" spans="1:19" x14ac:dyDescent="0.3">
      <c r="A16" s="53">
        <v>2027</v>
      </c>
      <c r="B16" s="54">
        <f>F28+F29</f>
        <v>2727669.67</v>
      </c>
      <c r="C16" s="54">
        <f>E28+E29</f>
        <v>572810.63</v>
      </c>
      <c r="D16" s="54">
        <f t="shared" si="12"/>
        <v>3300480.3</v>
      </c>
      <c r="E16" s="590"/>
      <c r="F16" s="591"/>
      <c r="G16" s="591"/>
      <c r="H16" s="591"/>
      <c r="I16" s="591"/>
      <c r="J16" s="591"/>
      <c r="K16" s="591"/>
      <c r="L16" s="591"/>
      <c r="M16" s="591"/>
      <c r="N16" s="591"/>
    </row>
    <row r="17" spans="1:17" x14ac:dyDescent="0.3">
      <c r="A17" s="53">
        <v>2028</v>
      </c>
      <c r="B17" s="54">
        <f>F30+F31</f>
        <v>2758013.4699999997</v>
      </c>
      <c r="C17" s="54">
        <f>E30+E31</f>
        <v>579182.82999999984</v>
      </c>
      <c r="D17" s="54">
        <f t="shared" si="12"/>
        <v>3337196.3</v>
      </c>
      <c r="E17" s="590"/>
      <c r="F17" s="591"/>
      <c r="G17" s="591"/>
      <c r="H17" s="591"/>
      <c r="I17" s="591"/>
      <c r="J17" s="591"/>
      <c r="K17" s="591"/>
      <c r="L17" s="591"/>
      <c r="M17" s="591"/>
      <c r="N17" s="591"/>
    </row>
    <row r="18" spans="1:17" x14ac:dyDescent="0.3">
      <c r="A18" s="53">
        <v>2029</v>
      </c>
      <c r="B18" s="54">
        <f>F32+F33</f>
        <v>1217027.3</v>
      </c>
      <c r="C18" s="54">
        <f>E32+E33</f>
        <v>255575.72999999998</v>
      </c>
      <c r="D18" s="54">
        <f t="shared" si="12"/>
        <v>1472603.03</v>
      </c>
      <c r="E18" s="590"/>
      <c r="F18" s="591"/>
      <c r="G18" s="591"/>
      <c r="H18" s="591"/>
      <c r="I18" s="591"/>
      <c r="J18" s="591"/>
      <c r="K18" s="591"/>
      <c r="L18" s="591"/>
      <c r="M18" s="591"/>
      <c r="N18" s="591"/>
    </row>
    <row r="19" spans="1:17" x14ac:dyDescent="0.3">
      <c r="A19" s="53">
        <v>2030</v>
      </c>
      <c r="B19" s="54">
        <f>F34+F35</f>
        <v>425220.66000000003</v>
      </c>
      <c r="C19" s="54">
        <f>E34+E35</f>
        <v>89296.330000000016</v>
      </c>
      <c r="D19" s="54">
        <f t="shared" si="12"/>
        <v>514516.99000000005</v>
      </c>
      <c r="E19" s="590"/>
      <c r="F19" s="591"/>
      <c r="G19" s="591"/>
      <c r="H19" s="591"/>
      <c r="I19" s="591"/>
      <c r="J19" s="591"/>
      <c r="K19" s="591"/>
      <c r="L19" s="591"/>
      <c r="M19" s="591"/>
      <c r="N19" s="591"/>
    </row>
    <row r="20" spans="1:17" x14ac:dyDescent="0.3">
      <c r="A20" s="53" t="s">
        <v>367</v>
      </c>
      <c r="B20" s="56">
        <f>SUM(B15:B19)</f>
        <v>7337328.4500000002</v>
      </c>
      <c r="C20" s="56">
        <f>SUM(C15:C19)</f>
        <v>1540838.97</v>
      </c>
      <c r="D20" s="56">
        <f t="shared" si="12"/>
        <v>8878167.4199999999</v>
      </c>
      <c r="E20" s="590"/>
      <c r="F20" s="591"/>
      <c r="G20" s="591"/>
      <c r="H20" s="591"/>
      <c r="I20" s="591"/>
      <c r="J20" s="591"/>
      <c r="K20" s="591"/>
      <c r="L20" s="591"/>
      <c r="M20" s="591"/>
      <c r="N20" s="591"/>
    </row>
    <row r="21" spans="1:17" x14ac:dyDescent="0.3">
      <c r="D21" s="158"/>
      <c r="E21" s="590"/>
      <c r="F21" s="591"/>
      <c r="G21" s="591"/>
      <c r="H21" s="591"/>
      <c r="I21" s="591"/>
      <c r="J21" s="591"/>
      <c r="K21" s="591"/>
      <c r="L21" s="591"/>
      <c r="M21" s="591"/>
      <c r="N21" s="591"/>
    </row>
    <row r="22" spans="1:17" ht="21.75" customHeight="1" x14ac:dyDescent="0.3">
      <c r="C22" s="50"/>
      <c r="D22" s="50"/>
      <c r="F22" s="55"/>
      <c r="G22" s="55"/>
      <c r="H22" s="55"/>
      <c r="I22" s="55"/>
      <c r="J22" s="55"/>
      <c r="K22" s="55"/>
      <c r="L22" s="55"/>
      <c r="M22" s="55"/>
      <c r="N22" s="55"/>
    </row>
    <row r="23" spans="1:17" x14ac:dyDescent="0.3">
      <c r="A23" s="51" t="s">
        <v>531</v>
      </c>
      <c r="D23" s="598"/>
      <c r="E23" s="597"/>
      <c r="F23" s="50"/>
      <c r="O23" s="58"/>
    </row>
    <row r="24" spans="1:17" ht="14.4" thickBot="1" x14ac:dyDescent="0.35">
      <c r="L24" s="59"/>
    </row>
    <row r="25" spans="1:17" ht="28.2" thickBot="1" x14ac:dyDescent="0.35">
      <c r="A25" s="60" t="s">
        <v>433</v>
      </c>
      <c r="B25" s="61" t="s">
        <v>436</v>
      </c>
      <c r="C25" s="61" t="s">
        <v>437</v>
      </c>
      <c r="D25" s="61" t="s">
        <v>225</v>
      </c>
      <c r="E25" s="61" t="s">
        <v>435</v>
      </c>
      <c r="F25" s="60" t="s">
        <v>230</v>
      </c>
      <c r="H25" s="60" t="s">
        <v>433</v>
      </c>
      <c r="I25" s="60" t="s">
        <v>438</v>
      </c>
      <c r="J25" s="60" t="s">
        <v>439</v>
      </c>
      <c r="L25" s="60" t="s">
        <v>440</v>
      </c>
      <c r="M25" s="60" t="s">
        <v>441</v>
      </c>
      <c r="N25" s="60" t="s">
        <v>442</v>
      </c>
      <c r="O25" s="60" t="s">
        <v>443</v>
      </c>
      <c r="P25" s="60" t="s">
        <v>444</v>
      </c>
      <c r="Q25" s="60" t="s">
        <v>445</v>
      </c>
    </row>
    <row r="26" spans="1:17" ht="14.4" thickBot="1" x14ac:dyDescent="0.35">
      <c r="A26" s="62">
        <v>2026</v>
      </c>
      <c r="B26" s="63" t="s">
        <v>446</v>
      </c>
      <c r="C26" s="64" t="s">
        <v>447</v>
      </c>
      <c r="D26" s="65">
        <f>ROUND('Fites facturació'!D21+'Fites facturació'!D24+'Fites facturació'!D27,2)</f>
        <v>106620.3</v>
      </c>
      <c r="E26" s="65">
        <f t="shared" ref="E26:E35" si="13">D26-F26</f>
        <v>18504.350000000006</v>
      </c>
      <c r="F26" s="66">
        <f t="shared" ref="F26:F35" si="14">ROUND(D26/1.21,2)</f>
        <v>88115.95</v>
      </c>
      <c r="H26" s="62">
        <v>2026</v>
      </c>
      <c r="I26" s="67">
        <f>D26</f>
        <v>106620.3</v>
      </c>
      <c r="J26" s="67"/>
      <c r="K26" s="68"/>
      <c r="L26" s="67">
        <f>ROUND('Fites facturació'!D21,2)</f>
        <v>58236.03</v>
      </c>
      <c r="M26" s="67">
        <f>ROUND('Fites facturació'!D24,2)</f>
        <v>31100.11</v>
      </c>
      <c r="N26" s="67">
        <f>ROUND('Fites facturació'!D27,2)</f>
        <v>17284.16</v>
      </c>
      <c r="O26" s="67"/>
      <c r="P26" s="67"/>
      <c r="Q26" s="67"/>
    </row>
    <row r="27" spans="1:17" ht="14.4" thickBot="1" x14ac:dyDescent="0.35">
      <c r="A27" s="62">
        <v>2026</v>
      </c>
      <c r="B27" s="63" t="s">
        <v>446</v>
      </c>
      <c r="C27" s="64" t="s">
        <v>448</v>
      </c>
      <c r="D27" s="65">
        <f>ROUND('Fites facturació'!D14+'Fites facturació'!D22+'Fites facturació'!D25+'Fites facturació'!D28,2)</f>
        <v>146750.5</v>
      </c>
      <c r="E27" s="65">
        <f t="shared" si="13"/>
        <v>25469.100000000006</v>
      </c>
      <c r="F27" s="66">
        <f t="shared" si="14"/>
        <v>121281.4</v>
      </c>
      <c r="H27" s="62">
        <v>2026</v>
      </c>
      <c r="I27" s="67"/>
      <c r="J27" s="67">
        <f>D27</f>
        <v>146750.5</v>
      </c>
      <c r="K27" s="68"/>
      <c r="L27" s="67"/>
      <c r="M27" s="67"/>
      <c r="N27" s="67"/>
      <c r="O27" s="67">
        <f>ROUND('Fites facturació'!D17+'Fites facturació'!D22,2)</f>
        <v>94449.1</v>
      </c>
      <c r="P27" s="67">
        <f>ROUND('Fites facturació'!D18+'Fites facturació'!D25,2)</f>
        <v>46475.15</v>
      </c>
      <c r="Q27" s="67">
        <f>ROUND('Fites facturació'!D19+'Fites facturació'!D28,2)</f>
        <v>5826.25</v>
      </c>
    </row>
    <row r="28" spans="1:17" ht="14.4" thickBot="1" x14ac:dyDescent="0.35">
      <c r="A28" s="62">
        <v>2027</v>
      </c>
      <c r="B28" s="63" t="s">
        <v>449</v>
      </c>
      <c r="C28" s="64" t="s">
        <v>447</v>
      </c>
      <c r="D28" s="65">
        <f>ROUND('Fites facturació'!P21+'Fites facturació'!P24+'Fites facturació'!P27, 2)</f>
        <v>276093.61</v>
      </c>
      <c r="E28" s="65">
        <f t="shared" si="13"/>
        <v>47917.069999999978</v>
      </c>
      <c r="F28" s="66">
        <f t="shared" si="14"/>
        <v>228176.54</v>
      </c>
      <c r="H28" s="62">
        <v>2027</v>
      </c>
      <c r="I28" s="67">
        <f>D28</f>
        <v>276093.61</v>
      </c>
      <c r="J28" s="67"/>
      <c r="K28" s="68"/>
      <c r="L28" s="67">
        <f>ROUND('Fites facturació'!P21,2)</f>
        <v>184571.61</v>
      </c>
      <c r="M28" s="67">
        <f>ROUND('Fites facturació'!P24,2)</f>
        <v>60702</v>
      </c>
      <c r="N28" s="67">
        <f>ROUND('Fites facturació'!P27,2)</f>
        <v>30820</v>
      </c>
      <c r="O28" s="67"/>
      <c r="P28" s="67"/>
      <c r="Q28" s="67"/>
    </row>
    <row r="29" spans="1:17" ht="14.4" thickBot="1" x14ac:dyDescent="0.35">
      <c r="A29" s="62">
        <v>2027</v>
      </c>
      <c r="B29" s="63" t="s">
        <v>449</v>
      </c>
      <c r="C29" s="64" t="s">
        <v>448</v>
      </c>
      <c r="D29" s="65">
        <f>ROUND('Fites facturació'!P14+'Fites facturació'!P22+'Fites facturació'!P25+'Fites facturació'!P28,2)</f>
        <v>3024386.69</v>
      </c>
      <c r="E29" s="65">
        <f t="shared" si="13"/>
        <v>524893.56000000006</v>
      </c>
      <c r="F29" s="66">
        <f t="shared" si="14"/>
        <v>2499493.13</v>
      </c>
      <c r="H29" s="62">
        <v>2027</v>
      </c>
      <c r="I29" s="67"/>
      <c r="J29" s="67">
        <f>D29</f>
        <v>3024386.69</v>
      </c>
      <c r="K29" s="68"/>
      <c r="L29" s="67"/>
      <c r="M29" s="67"/>
      <c r="N29" s="67"/>
      <c r="O29" s="67">
        <f>ROUND('Fites facturació'!P17+'Fites facturació'!P22,2)</f>
        <v>1925796.36</v>
      </c>
      <c r="P29" s="67">
        <f>ROUND('Fites facturació'!P18+'Fites facturació'!P25,2)</f>
        <v>926053</v>
      </c>
      <c r="Q29" s="67">
        <f>ROUND('Fites facturació'!P19+'Fites facturació'!P28,2)</f>
        <v>172537.33</v>
      </c>
    </row>
    <row r="30" spans="1:17" ht="14.4" thickBot="1" x14ac:dyDescent="0.35">
      <c r="A30" s="62">
        <v>2028</v>
      </c>
      <c r="B30" s="63" t="s">
        <v>449</v>
      </c>
      <c r="C30" s="64" t="s">
        <v>447</v>
      </c>
      <c r="D30" s="65">
        <f>ROUND('Fites facturació'!AB21+'Fites facturació'!AB24+'Fites facturació'!AB27, 2)</f>
        <v>290780.02</v>
      </c>
      <c r="E30" s="65">
        <f t="shared" si="13"/>
        <v>50465.950000000012</v>
      </c>
      <c r="F30" s="66">
        <f t="shared" si="14"/>
        <v>240314.07</v>
      </c>
      <c r="H30" s="62">
        <v>2028</v>
      </c>
      <c r="I30" s="67">
        <f>D30</f>
        <v>290780.02</v>
      </c>
      <c r="J30" s="67"/>
      <c r="K30" s="68"/>
      <c r="L30" s="67">
        <f>ROUND('Fites facturació'!AB21,2)</f>
        <v>259960.02</v>
      </c>
      <c r="M30" s="67">
        <f>ROUND('Fites facturació'!AB24,2)</f>
        <v>0</v>
      </c>
      <c r="N30" s="67">
        <f>ROUND('Fites facturació'!AB27,2)</f>
        <v>30820</v>
      </c>
      <c r="O30" s="67"/>
      <c r="P30" s="67"/>
      <c r="Q30" s="67"/>
    </row>
    <row r="31" spans="1:17" ht="14.4" thickBot="1" x14ac:dyDescent="0.35">
      <c r="A31" s="62">
        <v>2028</v>
      </c>
      <c r="B31" s="63" t="s">
        <v>449</v>
      </c>
      <c r="C31" s="64" t="s">
        <v>448</v>
      </c>
      <c r="D31" s="65">
        <f>ROUND('Fites facturació'!AB14+'Fites facturació'!AB22+'Fites facturació'!AB25+'Fites facturació'!AB28, 2)</f>
        <v>3046416.28</v>
      </c>
      <c r="E31" s="65">
        <f t="shared" si="13"/>
        <v>528716.87999999989</v>
      </c>
      <c r="F31" s="66">
        <f t="shared" si="14"/>
        <v>2517699.4</v>
      </c>
      <c r="H31" s="62">
        <v>2028</v>
      </c>
      <c r="I31" s="67"/>
      <c r="J31" s="67">
        <f>D31</f>
        <v>3046416.28</v>
      </c>
      <c r="K31" s="68"/>
      <c r="L31" s="67"/>
      <c r="M31" s="67"/>
      <c r="N31" s="67"/>
      <c r="O31" s="67">
        <f>ROUND('Fites facturació'!AB17+'Fites facturació'!AB22,2)</f>
        <v>2873878.95</v>
      </c>
      <c r="P31" s="67">
        <f>'Fites facturació'!AB18+'Fites facturació'!AB25</f>
        <v>0</v>
      </c>
      <c r="Q31" s="67">
        <f>ROUND('Fites facturació'!AB19+'Fites facturació'!AB28,2)</f>
        <v>172537.33</v>
      </c>
    </row>
    <row r="32" spans="1:17" ht="14.4" thickBot="1" x14ac:dyDescent="0.35">
      <c r="A32" s="62">
        <v>2029</v>
      </c>
      <c r="B32" s="63" t="s">
        <v>449</v>
      </c>
      <c r="C32" s="64" t="s">
        <v>447</v>
      </c>
      <c r="D32" s="65">
        <f>ROUND('Fites facturació'!AE21+'Fites facturació'!AE24+'Fites facturació'!AE27,2)</f>
        <v>415024.8</v>
      </c>
      <c r="E32" s="65">
        <f t="shared" si="13"/>
        <v>72029.099999999977</v>
      </c>
      <c r="F32" s="66">
        <f t="shared" si="14"/>
        <v>342995.7</v>
      </c>
      <c r="H32" s="62">
        <v>2029</v>
      </c>
      <c r="I32" s="67">
        <f>D32</f>
        <v>415024.8</v>
      </c>
      <c r="J32" s="67"/>
      <c r="K32" s="68"/>
      <c r="L32" s="67">
        <f>ROUND('Fites facturació'!AE21,2)</f>
        <v>384204.79999999999</v>
      </c>
      <c r="M32" s="67">
        <f>ROUND('Fites facturació'!AE24,2)</f>
        <v>0</v>
      </c>
      <c r="N32" s="67">
        <f>ROUND('Fites facturació'!AE27,2)</f>
        <v>30820</v>
      </c>
      <c r="O32" s="67"/>
      <c r="P32" s="67"/>
      <c r="Q32" s="67"/>
    </row>
    <row r="33" spans="1:17" ht="14.4" thickBot="1" x14ac:dyDescent="0.35">
      <c r="A33" s="62">
        <v>2029</v>
      </c>
      <c r="B33" s="63" t="s">
        <v>449</v>
      </c>
      <c r="C33" s="64" t="s">
        <v>448</v>
      </c>
      <c r="D33" s="65">
        <f>ROUND('Fites facturació'!AE14+'Fites facturació'!AE22+'Fites facturació'!AE25+'Fites facturació'!AE28,2)</f>
        <v>1057578.23</v>
      </c>
      <c r="E33" s="65">
        <f t="shared" si="13"/>
        <v>183546.63</v>
      </c>
      <c r="F33" s="66">
        <f t="shared" si="14"/>
        <v>874031.6</v>
      </c>
      <c r="H33" s="62">
        <v>2029</v>
      </c>
      <c r="I33" s="67"/>
      <c r="J33" s="67">
        <f>+D33</f>
        <v>1057578.23</v>
      </c>
      <c r="K33" s="68"/>
      <c r="L33" s="67"/>
      <c r="M33" s="67"/>
      <c r="N33" s="67"/>
      <c r="O33" s="67">
        <f>ROUND('Fites facturació'!AE17+'Fites facturació'!AE22,2)</f>
        <v>990297.01</v>
      </c>
      <c r="P33" s="67">
        <f>'Fites facturació'!AE18+'Fites facturació'!AE25</f>
        <v>0</v>
      </c>
      <c r="Q33" s="67">
        <f>ROUND('Fites facturació'!AE19+'Fites facturació'!AE28,2)</f>
        <v>67281.22</v>
      </c>
    </row>
    <row r="34" spans="1:17" ht="14.4" thickBot="1" x14ac:dyDescent="0.35">
      <c r="A34" s="62">
        <v>2030</v>
      </c>
      <c r="B34" s="63" t="s">
        <v>450</v>
      </c>
      <c r="C34" s="64" t="s">
        <v>447</v>
      </c>
      <c r="D34" s="65">
        <f>ROUND('Fites facturació'!AH21+'Fites facturació'!AH24+'Fites facturació'!AH27,2)</f>
        <v>205806.79</v>
      </c>
      <c r="E34" s="65">
        <f t="shared" si="13"/>
        <v>35718.53</v>
      </c>
      <c r="F34" s="66">
        <f t="shared" si="14"/>
        <v>170088.26</v>
      </c>
      <c r="H34" s="62">
        <v>2030</v>
      </c>
      <c r="I34" s="67">
        <f>D34</f>
        <v>205806.79</v>
      </c>
      <c r="J34" s="67"/>
      <c r="K34" s="68"/>
      <c r="L34" s="67">
        <f>ROUND('Fites facturació'!AH21,2)</f>
        <v>190523.45</v>
      </c>
      <c r="M34" s="67">
        <f>ROUND('Fites facturació'!AH24,2)</f>
        <v>0</v>
      </c>
      <c r="N34" s="67">
        <f>ROUND('Fites facturació'!AH27,2)</f>
        <v>15283.34</v>
      </c>
      <c r="O34" s="67"/>
      <c r="P34" s="67"/>
      <c r="Q34" s="67"/>
    </row>
    <row r="35" spans="1:17" ht="14.4" thickBot="1" x14ac:dyDescent="0.35">
      <c r="A35" s="62">
        <v>2030</v>
      </c>
      <c r="B35" s="63" t="s">
        <v>450</v>
      </c>
      <c r="C35" s="64" t="s">
        <v>448</v>
      </c>
      <c r="D35" s="65">
        <f>ROUND('Fites facturació'!AH14+'Fites facturació'!AH22+'Fites facturació'!AH25+'Fites facturació'!AH28,2)</f>
        <v>308710.2</v>
      </c>
      <c r="E35" s="65">
        <f t="shared" si="13"/>
        <v>53577.800000000017</v>
      </c>
      <c r="F35" s="66">
        <f t="shared" si="14"/>
        <v>255132.4</v>
      </c>
      <c r="H35" s="62">
        <v>2030</v>
      </c>
      <c r="I35" s="67"/>
      <c r="J35" s="67">
        <f>+D35</f>
        <v>308710.2</v>
      </c>
      <c r="K35" s="68"/>
      <c r="L35" s="67"/>
      <c r="M35" s="67"/>
      <c r="N35" s="67"/>
      <c r="O35" s="67">
        <f>ROUND('Fites facturació'!AH17+'Fites facturació'!AH22,2)</f>
        <v>285785.2</v>
      </c>
      <c r="P35" s="67">
        <f>ROUND('Fites facturació'!AH25,2)</f>
        <v>0</v>
      </c>
      <c r="Q35" s="67">
        <f>ROUND('Fites facturació'!AH28,2)</f>
        <v>22925</v>
      </c>
    </row>
    <row r="36" spans="1:17" x14ac:dyDescent="0.3">
      <c r="A36" s="69" t="s">
        <v>367</v>
      </c>
      <c r="B36" s="69" t="s">
        <v>451</v>
      </c>
      <c r="C36" s="69"/>
      <c r="D36" s="57">
        <f>SUM(D26:D35)</f>
        <v>8878167.4199999981</v>
      </c>
      <c r="E36" s="57">
        <f>SUM(E26:E35)</f>
        <v>1540838.9699999997</v>
      </c>
      <c r="F36" s="57">
        <f>SUM(F26:F35)</f>
        <v>7337328.4500000002</v>
      </c>
      <c r="H36" s="69" t="s">
        <v>367</v>
      </c>
      <c r="I36" s="57">
        <f>SUM(I26:I35)</f>
        <v>1294325.52</v>
      </c>
      <c r="J36" s="57">
        <f>SUM(J26:J35)</f>
        <v>7583841.8999999994</v>
      </c>
      <c r="K36" s="156">
        <f>I36+J36</f>
        <v>8878167.4199999999</v>
      </c>
      <c r="L36" s="57">
        <f t="shared" ref="L36:Q36" si="15">SUM(L26:L35)</f>
        <v>1077495.9099999999</v>
      </c>
      <c r="M36" s="57">
        <f t="shared" si="15"/>
        <v>91802.11</v>
      </c>
      <c r="N36" s="57">
        <f t="shared" si="15"/>
        <v>125027.5</v>
      </c>
      <c r="O36" s="57">
        <f t="shared" si="15"/>
        <v>6170206.6200000001</v>
      </c>
      <c r="P36" s="57">
        <f t="shared" si="15"/>
        <v>972528.15</v>
      </c>
      <c r="Q36" s="57">
        <f t="shared" si="15"/>
        <v>441107.13</v>
      </c>
    </row>
    <row r="37" spans="1:17" x14ac:dyDescent="0.3">
      <c r="A37" s="51"/>
      <c r="I37" s="70"/>
      <c r="L37" s="71"/>
    </row>
    <row r="38" spans="1:17" x14ac:dyDescent="0.3">
      <c r="A38" s="51"/>
      <c r="E38" s="50"/>
      <c r="I38" s="70"/>
      <c r="L38" s="71"/>
    </row>
    <row r="39" spans="1:17" x14ac:dyDescent="0.3">
      <c r="A39" s="51" t="s">
        <v>452</v>
      </c>
      <c r="E39" s="50"/>
      <c r="I39" s="70"/>
      <c r="L39" s="71"/>
    </row>
    <row r="40" spans="1:17" ht="14.4" thickBot="1" x14ac:dyDescent="0.35">
      <c r="A40" s="72"/>
      <c r="E40" s="50"/>
    </row>
    <row r="41" spans="1:17" ht="14.4" thickBot="1" x14ac:dyDescent="0.35">
      <c r="A41" s="60" t="s">
        <v>433</v>
      </c>
      <c r="B41" s="61" t="s">
        <v>436</v>
      </c>
      <c r="C41" s="61" t="s">
        <v>437</v>
      </c>
      <c r="D41" s="61" t="s">
        <v>225</v>
      </c>
      <c r="E41" s="61" t="s">
        <v>434</v>
      </c>
      <c r="F41" s="60" t="s">
        <v>435</v>
      </c>
      <c r="H41" s="60" t="s">
        <v>433</v>
      </c>
      <c r="I41" s="60" t="s">
        <v>438</v>
      </c>
      <c r="J41" s="60" t="s">
        <v>439</v>
      </c>
      <c r="N41" s="59"/>
    </row>
    <row r="42" spans="1:17" ht="14.4" thickBot="1" x14ac:dyDescent="0.35">
      <c r="A42" s="62">
        <v>2030</v>
      </c>
      <c r="B42" s="63" t="s">
        <v>446</v>
      </c>
      <c r="C42" s="64" t="s">
        <v>447</v>
      </c>
      <c r="D42" s="65"/>
      <c r="E42" s="65"/>
      <c r="F42" s="65"/>
      <c r="H42" s="62">
        <v>2025</v>
      </c>
      <c r="I42" s="67">
        <f>D42</f>
        <v>0</v>
      </c>
      <c r="J42" s="67"/>
      <c r="K42" s="68"/>
      <c r="N42" s="59"/>
    </row>
    <row r="43" spans="1:17" ht="14.4" thickBot="1" x14ac:dyDescent="0.35">
      <c r="A43" s="62">
        <v>2030</v>
      </c>
      <c r="B43" s="63" t="s">
        <v>446</v>
      </c>
      <c r="C43" s="64" t="s">
        <v>448</v>
      </c>
      <c r="D43" s="65"/>
      <c r="E43" s="65"/>
      <c r="F43" s="65"/>
      <c r="H43" s="62">
        <v>2025</v>
      </c>
      <c r="I43" s="67"/>
      <c r="J43" s="67">
        <f>D43</f>
        <v>0</v>
      </c>
      <c r="K43" s="68"/>
      <c r="N43" s="59"/>
    </row>
    <row r="44" spans="1:17" ht="14.4" thickBot="1" x14ac:dyDescent="0.35">
      <c r="A44" s="62">
        <v>2031</v>
      </c>
      <c r="B44" s="63" t="s">
        <v>450</v>
      </c>
      <c r="C44" s="64" t="s">
        <v>447</v>
      </c>
      <c r="D44" s="65"/>
      <c r="E44" s="65"/>
      <c r="F44" s="65"/>
      <c r="H44" s="62">
        <v>2026</v>
      </c>
      <c r="I44" s="67">
        <f>D44</f>
        <v>0</v>
      </c>
      <c r="J44" s="67"/>
      <c r="K44" s="68"/>
      <c r="N44" s="59"/>
    </row>
    <row r="45" spans="1:17" ht="14.4" thickBot="1" x14ac:dyDescent="0.35">
      <c r="A45" s="62">
        <v>2031</v>
      </c>
      <c r="B45" s="63" t="s">
        <v>450</v>
      </c>
      <c r="C45" s="64" t="s">
        <v>448</v>
      </c>
      <c r="D45" s="65"/>
      <c r="E45" s="65"/>
      <c r="F45" s="65"/>
      <c r="H45" s="62">
        <v>2026</v>
      </c>
      <c r="I45" s="67"/>
      <c r="J45" s="67">
        <f>D45</f>
        <v>0</v>
      </c>
      <c r="K45" s="68"/>
      <c r="N45" s="59"/>
    </row>
    <row r="46" spans="1:17" x14ac:dyDescent="0.3">
      <c r="A46" s="51"/>
      <c r="I46" s="73"/>
    </row>
    <row r="47" spans="1:17" x14ac:dyDescent="0.3">
      <c r="A47" s="51"/>
      <c r="I47" s="73"/>
    </row>
    <row r="48" spans="1:17" x14ac:dyDescent="0.3">
      <c r="A48" s="51"/>
      <c r="I48" s="73"/>
    </row>
    <row r="49" spans="1:8" x14ac:dyDescent="0.3">
      <c r="A49" s="51" t="s">
        <v>453</v>
      </c>
      <c r="E49" s="74"/>
    </row>
    <row r="50" spans="1:8" ht="27.6" x14ac:dyDescent="0.3">
      <c r="A50" s="75" t="s">
        <v>454</v>
      </c>
      <c r="B50" s="75" t="s">
        <v>455</v>
      </c>
      <c r="C50" s="75" t="s">
        <v>456</v>
      </c>
      <c r="D50" s="75" t="s">
        <v>457</v>
      </c>
      <c r="E50" s="75" t="s">
        <v>458</v>
      </c>
      <c r="F50" s="75" t="s">
        <v>459</v>
      </c>
    </row>
    <row r="51" spans="1:8" ht="27.6" x14ac:dyDescent="0.3">
      <c r="A51" s="76" t="s">
        <v>460</v>
      </c>
      <c r="B51" s="77">
        <f>$D$20</f>
        <v>8878167.4199999999</v>
      </c>
      <c r="C51" s="78">
        <v>0.2</v>
      </c>
      <c r="D51" s="79">
        <f>+ROUND(B51*C51,2)</f>
        <v>1775633.48</v>
      </c>
      <c r="E51" s="78">
        <v>0.2</v>
      </c>
      <c r="F51" s="79">
        <f>+ROUND(B51*E51,2)</f>
        <v>1775633.48</v>
      </c>
    </row>
    <row r="52" spans="1:8" x14ac:dyDescent="0.3">
      <c r="A52" s="80" t="s">
        <v>461</v>
      </c>
      <c r="B52" s="81">
        <f>SUM(B51:B51)</f>
        <v>8878167.4199999999</v>
      </c>
      <c r="C52" s="82">
        <f>SUM(C51:C51)</f>
        <v>0.2</v>
      </c>
      <c r="D52" s="83">
        <f>SUM(D51:D51)</f>
        <v>1775633.48</v>
      </c>
      <c r="E52" s="82">
        <f>SUM(E51:E51)</f>
        <v>0.2</v>
      </c>
      <c r="F52" s="83">
        <f>SUM(F51:F51)</f>
        <v>1775633.48</v>
      </c>
    </row>
    <row r="53" spans="1:8" x14ac:dyDescent="0.3">
      <c r="D53" s="84">
        <f>+ROUND(D52/1.21,2)</f>
        <v>1467465.69</v>
      </c>
      <c r="F53" s="84">
        <f>+ROUND(F52/1.21,2)</f>
        <v>1467465.69</v>
      </c>
    </row>
    <row r="54" spans="1:8" x14ac:dyDescent="0.3">
      <c r="D54" s="85" t="s">
        <v>462</v>
      </c>
      <c r="F54" s="85" t="s">
        <v>462</v>
      </c>
    </row>
    <row r="57" spans="1:8" x14ac:dyDescent="0.3">
      <c r="A57" s="51" t="s">
        <v>463</v>
      </c>
    </row>
    <row r="58" spans="1:8" ht="55.2" x14ac:dyDescent="0.3">
      <c r="A58" s="86"/>
      <c r="B58" s="87" t="s">
        <v>464</v>
      </c>
      <c r="C58" s="87" t="s">
        <v>465</v>
      </c>
      <c r="D58" s="87" t="s">
        <v>466</v>
      </c>
      <c r="E58" s="87" t="s">
        <v>467</v>
      </c>
      <c r="F58" s="87" t="s">
        <v>468</v>
      </c>
      <c r="G58" s="87" t="s">
        <v>469</v>
      </c>
    </row>
    <row r="59" spans="1:8" x14ac:dyDescent="0.3">
      <c r="A59" s="86">
        <v>2026</v>
      </c>
      <c r="B59" s="88">
        <f>B9</f>
        <v>209397.36</v>
      </c>
      <c r="C59" s="79">
        <v>0</v>
      </c>
      <c r="D59" s="79">
        <f>ROUND(D$53/5,2)</f>
        <v>293493.14</v>
      </c>
      <c r="E59" s="79">
        <v>0</v>
      </c>
      <c r="F59" s="79">
        <f>-ROUND(F$53/5,2)</f>
        <v>-293493.14</v>
      </c>
      <c r="G59" s="88">
        <f t="shared" ref="G59:G63" si="16">SUM(B59:E59)</f>
        <v>502890.5</v>
      </c>
      <c r="H59" s="515"/>
    </row>
    <row r="60" spans="1:8" x14ac:dyDescent="0.3">
      <c r="A60" s="86">
        <v>2027</v>
      </c>
      <c r="B60" s="88">
        <f>E9</f>
        <v>2727669.67</v>
      </c>
      <c r="C60" s="79">
        <v>0</v>
      </c>
      <c r="D60" s="79">
        <f>ROUND(D$53/5,2)</f>
        <v>293493.14</v>
      </c>
      <c r="E60" s="79">
        <v>0</v>
      </c>
      <c r="F60" s="79">
        <f>-ROUND(F$53/5,2)</f>
        <v>-293493.14</v>
      </c>
      <c r="G60" s="88">
        <f t="shared" si="16"/>
        <v>3021162.81</v>
      </c>
      <c r="H60" s="515"/>
    </row>
    <row r="61" spans="1:8" x14ac:dyDescent="0.3">
      <c r="A61" s="86">
        <v>2028</v>
      </c>
      <c r="B61" s="88">
        <f>H9</f>
        <v>2758013.47</v>
      </c>
      <c r="C61" s="79">
        <v>0</v>
      </c>
      <c r="D61" s="79">
        <f>ROUND(D$53/5,2)</f>
        <v>293493.14</v>
      </c>
      <c r="E61" s="79">
        <v>0</v>
      </c>
      <c r="F61" s="79">
        <f>-ROUND(F$53/5,2)</f>
        <v>-293493.14</v>
      </c>
      <c r="G61" s="88">
        <f t="shared" si="16"/>
        <v>3051506.6100000003</v>
      </c>
      <c r="H61" s="515"/>
    </row>
    <row r="62" spans="1:8" x14ac:dyDescent="0.3">
      <c r="A62" s="86">
        <v>2029</v>
      </c>
      <c r="B62" s="88">
        <f>K9</f>
        <v>1217027.3</v>
      </c>
      <c r="C62" s="79">
        <v>0</v>
      </c>
      <c r="D62" s="79">
        <f>ROUND(D$53/5,2)</f>
        <v>293493.14</v>
      </c>
      <c r="E62" s="79">
        <v>0</v>
      </c>
      <c r="F62" s="79">
        <f>-ROUND(F$53/5,2)</f>
        <v>-293493.14</v>
      </c>
      <c r="G62" s="88">
        <f t="shared" si="16"/>
        <v>1510520.44</v>
      </c>
      <c r="H62" s="515"/>
    </row>
    <row r="63" spans="1:8" x14ac:dyDescent="0.3">
      <c r="A63" s="86">
        <v>2030</v>
      </c>
      <c r="B63" s="88">
        <f>+N9</f>
        <v>425220.65</v>
      </c>
      <c r="C63" s="79">
        <v>0</v>
      </c>
      <c r="D63" s="79">
        <f>ROUND(D$53/5,2)-0.01</f>
        <v>293493.13</v>
      </c>
      <c r="E63" s="79">
        <v>0</v>
      </c>
      <c r="F63" s="79">
        <f>-ROUND(F$53/5,2)+0.01</f>
        <v>-293493.13</v>
      </c>
      <c r="G63" s="88">
        <f t="shared" si="16"/>
        <v>718713.78</v>
      </c>
      <c r="H63" s="515"/>
    </row>
    <row r="64" spans="1:8" x14ac:dyDescent="0.3">
      <c r="A64" s="89" t="s">
        <v>367</v>
      </c>
      <c r="B64" s="90">
        <f t="shared" ref="B64:G64" si="17">SUM(B59:B63)</f>
        <v>7337328.4500000002</v>
      </c>
      <c r="C64" s="90">
        <f t="shared" si="17"/>
        <v>0</v>
      </c>
      <c r="D64" s="90">
        <f t="shared" si="17"/>
        <v>1467465.69</v>
      </c>
      <c r="E64" s="90">
        <f t="shared" si="17"/>
        <v>0</v>
      </c>
      <c r="F64" s="91">
        <f t="shared" si="17"/>
        <v>-1467465.69</v>
      </c>
      <c r="G64" s="90">
        <f t="shared" si="17"/>
        <v>8804794.1399999987</v>
      </c>
      <c r="H64" s="515"/>
    </row>
    <row r="65" spans="1:6" x14ac:dyDescent="0.3">
      <c r="F65" s="72"/>
    </row>
    <row r="68" spans="1:6" ht="14.4" x14ac:dyDescent="0.3">
      <c r="A68" s="92"/>
      <c r="B68" s="92"/>
      <c r="C68" s="92"/>
    </row>
    <row r="69" spans="1:6" ht="15.6" x14ac:dyDescent="0.3">
      <c r="A69" s="93" t="s">
        <v>463</v>
      </c>
      <c r="B69" s="592" t="s">
        <v>470</v>
      </c>
      <c r="C69" s="593"/>
      <c r="D69" s="593"/>
      <c r="E69" s="593"/>
    </row>
    <row r="70" spans="1:6" ht="14.4" x14ac:dyDescent="0.3">
      <c r="A70" s="94">
        <f>+G64</f>
        <v>8804794.1399999987</v>
      </c>
      <c r="B70" s="594" t="s">
        <v>471</v>
      </c>
      <c r="C70" s="595"/>
      <c r="D70" s="594" t="s">
        <v>472</v>
      </c>
      <c r="E70" s="595"/>
    </row>
    <row r="71" spans="1:6" ht="14.4" x14ac:dyDescent="0.3">
      <c r="A71" s="93" t="s">
        <v>473</v>
      </c>
      <c r="B71" s="93" t="s">
        <v>474</v>
      </c>
      <c r="C71" s="93" t="s">
        <v>475</v>
      </c>
      <c r="D71" s="93" t="s">
        <v>474</v>
      </c>
      <c r="E71" s="93" t="s">
        <v>475</v>
      </c>
    </row>
    <row r="72" spans="1:6" x14ac:dyDescent="0.3">
      <c r="A72" s="95">
        <v>4</v>
      </c>
      <c r="B72" s="79">
        <f>(A70/50)*12</f>
        <v>2113150.5935999993</v>
      </c>
      <c r="C72" s="79">
        <f>B72*1.5</f>
        <v>3169725.890399999</v>
      </c>
      <c r="D72" s="79">
        <f>(A70/50)*12</f>
        <v>2113150.5935999993</v>
      </c>
      <c r="E72" s="79">
        <f>D72*0.7</f>
        <v>1479205.4155199993</v>
      </c>
      <c r="F72" s="96"/>
    </row>
    <row r="73" spans="1:6" x14ac:dyDescent="0.3">
      <c r="A73" s="72"/>
      <c r="B73" s="97" t="s">
        <v>476</v>
      </c>
      <c r="C73" s="97" t="s">
        <v>477</v>
      </c>
      <c r="D73" s="97" t="s">
        <v>476</v>
      </c>
      <c r="E73" s="97" t="s">
        <v>478</v>
      </c>
    </row>
    <row r="74" spans="1:6" ht="14.4" x14ac:dyDescent="0.3">
      <c r="D74" s="92"/>
    </row>
    <row r="77" spans="1:6" x14ac:dyDescent="0.3">
      <c r="A77" s="72"/>
    </row>
    <row r="78" spans="1:6" x14ac:dyDescent="0.3">
      <c r="A78" s="72"/>
    </row>
    <row r="82" spans="1:5" x14ac:dyDescent="0.3">
      <c r="A82" s="98"/>
      <c r="B82" s="99"/>
      <c r="C82" s="99"/>
      <c r="D82" s="99"/>
      <c r="E82" s="99"/>
    </row>
    <row r="83" spans="1:5" x14ac:dyDescent="0.3">
      <c r="A83" s="98"/>
      <c r="B83" s="100"/>
      <c r="C83" s="99"/>
      <c r="D83" s="100"/>
      <c r="E83" s="99"/>
    </row>
    <row r="84" spans="1:5" x14ac:dyDescent="0.3">
      <c r="B84" s="99"/>
      <c r="C84" s="99"/>
      <c r="D84" s="99"/>
    </row>
    <row r="85" spans="1:5" x14ac:dyDescent="0.3">
      <c r="B85" s="100"/>
      <c r="D85" s="100"/>
    </row>
  </sheetData>
  <mergeCells count="9">
    <mergeCell ref="K4:M4"/>
    <mergeCell ref="N4:P4"/>
    <mergeCell ref="E15:N21"/>
    <mergeCell ref="B69:E69"/>
    <mergeCell ref="B70:C70"/>
    <mergeCell ref="D70:E70"/>
    <mergeCell ref="B4:D4"/>
    <mergeCell ref="E4:G4"/>
    <mergeCell ref="H4:J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C274-0361-44A2-A524-4D567F7812EF}">
  <dimension ref="A1:M772"/>
  <sheetViews>
    <sheetView workbookViewId="0"/>
  </sheetViews>
  <sheetFormatPr defaultColWidth="14.44140625" defaultRowHeight="14.4" x14ac:dyDescent="0.3"/>
  <cols>
    <col min="1" max="1" width="3.5546875" customWidth="1"/>
    <col min="2" max="2" width="4.6640625" customWidth="1"/>
    <col min="3" max="3" width="40.109375" bestFit="1" customWidth="1"/>
    <col min="4" max="4" width="28.5546875" customWidth="1"/>
    <col min="5" max="5" width="20.5546875" customWidth="1"/>
    <col min="6" max="7" width="15.5546875" customWidth="1"/>
    <col min="9" max="10" width="17" customWidth="1"/>
    <col min="11" max="11" width="15.44140625" customWidth="1"/>
    <col min="12" max="12" width="19.5546875" bestFit="1" customWidth="1"/>
    <col min="13" max="13" width="17.5546875" customWidth="1"/>
    <col min="14" max="27" width="11.44140625" customWidth="1"/>
  </cols>
  <sheetData>
    <row r="1" spans="1:12" x14ac:dyDescent="0.3">
      <c r="G1" s="326"/>
    </row>
    <row r="2" spans="1:12" x14ac:dyDescent="0.3">
      <c r="A2" s="327" t="s">
        <v>479</v>
      </c>
      <c r="B2" s="328"/>
      <c r="C2" s="328"/>
      <c r="D2" s="328"/>
      <c r="E2" s="328"/>
      <c r="F2" s="328"/>
      <c r="G2" s="329"/>
      <c r="H2" s="328"/>
      <c r="I2" s="328"/>
      <c r="J2" s="509"/>
    </row>
    <row r="3" spans="1:12" ht="15.75" customHeight="1" x14ac:dyDescent="0.3">
      <c r="G3" s="326"/>
    </row>
    <row r="4" spans="1:12" s="234" customFormat="1" ht="44.25" customHeight="1" x14ac:dyDescent="0.3">
      <c r="A4" s="330"/>
      <c r="B4" s="331"/>
      <c r="C4" s="332" t="s">
        <v>480</v>
      </c>
      <c r="D4" s="333" t="s">
        <v>524</v>
      </c>
      <c r="E4" s="331" t="s">
        <v>481</v>
      </c>
      <c r="F4" s="333" t="s">
        <v>525</v>
      </c>
      <c r="G4" s="334" t="s">
        <v>482</v>
      </c>
      <c r="H4" s="331" t="s">
        <v>483</v>
      </c>
      <c r="I4" s="333" t="s">
        <v>484</v>
      </c>
      <c r="J4" s="333" t="s">
        <v>521</v>
      </c>
      <c r="K4" s="333" t="s">
        <v>485</v>
      </c>
      <c r="L4" s="334" t="s">
        <v>486</v>
      </c>
    </row>
    <row r="5" spans="1:12" ht="15.75" customHeight="1" x14ac:dyDescent="0.3">
      <c r="A5" s="335"/>
      <c r="B5" s="336"/>
      <c r="C5" s="337">
        <f>'Taules IJ'!B20</f>
        <v>7337328.4500000002</v>
      </c>
      <c r="D5" s="338">
        <f>ROUND(C5-(C5/1.1), 2)</f>
        <v>667029.86</v>
      </c>
      <c r="E5" s="339">
        <f>ROUND(C5-D5, 2)</f>
        <v>6670298.5899999999</v>
      </c>
      <c r="F5" s="338">
        <f>ROUND(E5-(E5/1.15), 2)</f>
        <v>870038.95</v>
      </c>
      <c r="G5" s="340">
        <f>ROUND(D5+F5, 2)</f>
        <v>1537068.81</v>
      </c>
      <c r="H5" s="339">
        <f>ROUND(E5-F5, 2)</f>
        <v>5800259.6399999997</v>
      </c>
      <c r="I5" s="338">
        <f>ROUND(K5*0.34,2)</f>
        <v>1460806.13</v>
      </c>
      <c r="J5" s="338">
        <f>ROUND(K5*0.01,2)</f>
        <v>42964.89</v>
      </c>
      <c r="K5" s="338">
        <f>ROUND(H5/1.35, 2)</f>
        <v>4296488.62</v>
      </c>
      <c r="L5" s="340">
        <f>+H5</f>
        <v>5800259.6399999997</v>
      </c>
    </row>
    <row r="6" spans="1:12" ht="15.75" customHeight="1" x14ac:dyDescent="0.3">
      <c r="A6" s="341"/>
      <c r="G6" s="514"/>
      <c r="H6" s="178"/>
      <c r="I6" s="178"/>
      <c r="J6" s="178"/>
      <c r="K6" s="157"/>
    </row>
    <row r="7" spans="1:12" ht="15.75" customHeight="1" x14ac:dyDescent="0.3">
      <c r="C7" s="342" t="s">
        <v>487</v>
      </c>
      <c r="D7" s="342"/>
      <c r="F7" s="178"/>
      <c r="G7" s="326"/>
      <c r="K7" s="178"/>
    </row>
    <row r="8" spans="1:12" ht="15.75" customHeight="1" x14ac:dyDescent="0.3">
      <c r="C8" s="343" t="s">
        <v>488</v>
      </c>
      <c r="D8" s="344">
        <f>K5</f>
        <v>4296488.62</v>
      </c>
      <c r="G8" s="326"/>
      <c r="K8" s="101"/>
    </row>
    <row r="9" spans="1:12" ht="15.75" customHeight="1" x14ac:dyDescent="0.3">
      <c r="C9" s="343" t="s">
        <v>489</v>
      </c>
      <c r="D9" s="344">
        <f>I5</f>
        <v>1460806.13</v>
      </c>
      <c r="E9" s="157"/>
      <c r="F9" s="178"/>
      <c r="G9" s="326"/>
      <c r="K9" s="101"/>
    </row>
    <row r="10" spans="1:12" ht="15.75" customHeight="1" x14ac:dyDescent="0.3">
      <c r="C10" s="343" t="s">
        <v>520</v>
      </c>
      <c r="D10" s="344">
        <f>D8*0.01</f>
        <v>42964.886200000001</v>
      </c>
      <c r="E10" s="157"/>
      <c r="G10" s="326"/>
    </row>
    <row r="11" spans="1:12" ht="15.75" customHeight="1" x14ac:dyDescent="0.3">
      <c r="C11" s="343" t="s">
        <v>490</v>
      </c>
      <c r="D11" s="345">
        <f>+L5</f>
        <v>5800259.6399999997</v>
      </c>
      <c r="G11" s="326"/>
      <c r="I11" s="513"/>
    </row>
    <row r="12" spans="1:12" ht="15.75" customHeight="1" x14ac:dyDescent="0.3">
      <c r="C12" s="346"/>
      <c r="D12" s="347"/>
      <c r="G12" s="326"/>
    </row>
    <row r="13" spans="1:12" ht="15.75" customHeight="1" x14ac:dyDescent="0.3">
      <c r="C13" s="342" t="s">
        <v>491</v>
      </c>
      <c r="D13" s="348"/>
      <c r="G13" s="326"/>
    </row>
    <row r="14" spans="1:12" ht="15.75" customHeight="1" x14ac:dyDescent="0.3">
      <c r="C14" s="349" t="s">
        <v>523</v>
      </c>
      <c r="D14" s="344">
        <f>F5</f>
        <v>870038.95</v>
      </c>
      <c r="E14" s="178"/>
      <c r="G14" s="511"/>
    </row>
    <row r="15" spans="1:12" ht="15.75" customHeight="1" x14ac:dyDescent="0.3">
      <c r="C15" s="349" t="s">
        <v>526</v>
      </c>
      <c r="D15" s="344">
        <f>E5</f>
        <v>6670298.5899999999</v>
      </c>
      <c r="G15" s="512"/>
    </row>
    <row r="16" spans="1:12" ht="15.75" customHeight="1" x14ac:dyDescent="0.3">
      <c r="C16" s="349" t="s">
        <v>522</v>
      </c>
      <c r="D16" s="344">
        <f>D5</f>
        <v>667029.86</v>
      </c>
      <c r="E16" s="178"/>
      <c r="G16" s="326"/>
    </row>
    <row r="17" spans="3:13" ht="15.75" customHeight="1" x14ac:dyDescent="0.3">
      <c r="C17" s="342" t="s">
        <v>527</v>
      </c>
      <c r="D17" s="350">
        <f>C5</f>
        <v>7337328.4500000002</v>
      </c>
      <c r="G17" s="326"/>
      <c r="L17" s="178"/>
      <c r="M17" s="178"/>
    </row>
    <row r="18" spans="3:13" x14ac:dyDescent="0.3">
      <c r="G18" s="326"/>
    </row>
    <row r="19" spans="3:13" x14ac:dyDescent="0.3">
      <c r="G19" s="326"/>
    </row>
    <row r="20" spans="3:13" x14ac:dyDescent="0.3">
      <c r="G20" s="326"/>
    </row>
    <row r="21" spans="3:13" x14ac:dyDescent="0.3">
      <c r="G21" s="326"/>
    </row>
    <row r="22" spans="3:13" x14ac:dyDescent="0.3">
      <c r="G22" s="326"/>
    </row>
    <row r="23" spans="3:13" x14ac:dyDescent="0.3">
      <c r="G23" s="326"/>
    </row>
    <row r="24" spans="3:13" x14ac:dyDescent="0.3">
      <c r="G24" s="326"/>
    </row>
    <row r="25" spans="3:13" x14ac:dyDescent="0.3">
      <c r="G25" s="326"/>
    </row>
    <row r="26" spans="3:13" x14ac:dyDescent="0.3">
      <c r="G26" s="326"/>
    </row>
    <row r="27" spans="3:13" x14ac:dyDescent="0.3">
      <c r="G27" s="326"/>
    </row>
    <row r="28" spans="3:13" x14ac:dyDescent="0.3">
      <c r="G28" s="326"/>
    </row>
    <row r="29" spans="3:13" x14ac:dyDescent="0.3">
      <c r="G29" s="326"/>
    </row>
    <row r="30" spans="3:13" x14ac:dyDescent="0.3">
      <c r="G30" s="326"/>
    </row>
    <row r="31" spans="3:13" x14ac:dyDescent="0.3">
      <c r="G31" s="326"/>
    </row>
    <row r="32" spans="3:13" x14ac:dyDescent="0.3">
      <c r="G32" s="326"/>
    </row>
    <row r="33" spans="7:7" x14ac:dyDescent="0.3">
      <c r="G33" s="326"/>
    </row>
    <row r="34" spans="7:7" x14ac:dyDescent="0.3">
      <c r="G34" s="326"/>
    </row>
    <row r="35" spans="7:7" x14ac:dyDescent="0.3">
      <c r="G35" s="326"/>
    </row>
    <row r="36" spans="7:7" x14ac:dyDescent="0.3">
      <c r="G36" s="326"/>
    </row>
    <row r="37" spans="7:7" x14ac:dyDescent="0.3">
      <c r="G37" s="326"/>
    </row>
    <row r="38" spans="7:7" x14ac:dyDescent="0.3">
      <c r="G38" s="326"/>
    </row>
    <row r="39" spans="7:7" x14ac:dyDescent="0.3">
      <c r="G39" s="326"/>
    </row>
    <row r="40" spans="7:7" x14ac:dyDescent="0.3">
      <c r="G40" s="326"/>
    </row>
    <row r="41" spans="7:7" x14ac:dyDescent="0.3">
      <c r="G41" s="326"/>
    </row>
    <row r="42" spans="7:7" x14ac:dyDescent="0.3">
      <c r="G42" s="326"/>
    </row>
    <row r="43" spans="7:7" x14ac:dyDescent="0.3">
      <c r="G43" s="326"/>
    </row>
    <row r="44" spans="7:7" x14ac:dyDescent="0.3">
      <c r="G44" s="326"/>
    </row>
    <row r="45" spans="7:7" x14ac:dyDescent="0.3">
      <c r="G45" s="326"/>
    </row>
    <row r="46" spans="7:7" x14ac:dyDescent="0.3">
      <c r="G46" s="326"/>
    </row>
    <row r="47" spans="7:7" x14ac:dyDescent="0.3">
      <c r="G47" s="326"/>
    </row>
    <row r="48" spans="7:7" x14ac:dyDescent="0.3">
      <c r="G48" s="326"/>
    </row>
    <row r="49" spans="7:7" x14ac:dyDescent="0.3">
      <c r="G49" s="326"/>
    </row>
    <row r="50" spans="7:7" x14ac:dyDescent="0.3">
      <c r="G50" s="326"/>
    </row>
    <row r="51" spans="7:7" x14ac:dyDescent="0.3">
      <c r="G51" s="326"/>
    </row>
    <row r="52" spans="7:7" x14ac:dyDescent="0.3">
      <c r="G52" s="326"/>
    </row>
    <row r="53" spans="7:7" x14ac:dyDescent="0.3">
      <c r="G53" s="326"/>
    </row>
    <row r="54" spans="7:7" x14ac:dyDescent="0.3">
      <c r="G54" s="326"/>
    </row>
    <row r="55" spans="7:7" x14ac:dyDescent="0.3">
      <c r="G55" s="326"/>
    </row>
    <row r="56" spans="7:7" x14ac:dyDescent="0.3">
      <c r="G56" s="326"/>
    </row>
    <row r="57" spans="7:7" x14ac:dyDescent="0.3">
      <c r="G57" s="326"/>
    </row>
    <row r="58" spans="7:7" x14ac:dyDescent="0.3">
      <c r="G58" s="326"/>
    </row>
    <row r="59" spans="7:7" x14ac:dyDescent="0.3">
      <c r="G59" s="326"/>
    </row>
    <row r="60" spans="7:7" x14ac:dyDescent="0.3">
      <c r="G60" s="326"/>
    </row>
    <row r="61" spans="7:7" x14ac:dyDescent="0.3">
      <c r="G61" s="326"/>
    </row>
    <row r="62" spans="7:7" x14ac:dyDescent="0.3">
      <c r="G62" s="326"/>
    </row>
    <row r="63" spans="7:7" x14ac:dyDescent="0.3">
      <c r="G63" s="326"/>
    </row>
    <row r="64" spans="7:7" x14ac:dyDescent="0.3">
      <c r="G64" s="326"/>
    </row>
    <row r="65" spans="7:7" x14ac:dyDescent="0.3">
      <c r="G65" s="326"/>
    </row>
    <row r="66" spans="7:7" x14ac:dyDescent="0.3">
      <c r="G66" s="326"/>
    </row>
    <row r="67" spans="7:7" x14ac:dyDescent="0.3">
      <c r="G67" s="326"/>
    </row>
    <row r="68" spans="7:7" x14ac:dyDescent="0.3">
      <c r="G68" s="326"/>
    </row>
    <row r="69" spans="7:7" x14ac:dyDescent="0.3">
      <c r="G69" s="326"/>
    </row>
    <row r="70" spans="7:7" x14ac:dyDescent="0.3">
      <c r="G70" s="326"/>
    </row>
    <row r="71" spans="7:7" x14ac:dyDescent="0.3">
      <c r="G71" s="326"/>
    </row>
    <row r="72" spans="7:7" x14ac:dyDescent="0.3">
      <c r="G72" s="326"/>
    </row>
    <row r="73" spans="7:7" x14ac:dyDescent="0.3">
      <c r="G73" s="326"/>
    </row>
    <row r="74" spans="7:7" x14ac:dyDescent="0.3">
      <c r="G74" s="326"/>
    </row>
    <row r="75" spans="7:7" x14ac:dyDescent="0.3">
      <c r="G75" s="326"/>
    </row>
    <row r="76" spans="7:7" x14ac:dyDescent="0.3">
      <c r="G76" s="326"/>
    </row>
    <row r="77" spans="7:7" x14ac:dyDescent="0.3">
      <c r="G77" s="326"/>
    </row>
    <row r="78" spans="7:7" x14ac:dyDescent="0.3">
      <c r="G78" s="326"/>
    </row>
    <row r="79" spans="7:7" x14ac:dyDescent="0.3">
      <c r="G79" s="326"/>
    </row>
    <row r="80" spans="7:7" x14ac:dyDescent="0.3">
      <c r="G80" s="326"/>
    </row>
    <row r="81" spans="7:7" x14ac:dyDescent="0.3">
      <c r="G81" s="326"/>
    </row>
    <row r="82" spans="7:7" x14ac:dyDescent="0.3">
      <c r="G82" s="326"/>
    </row>
    <row r="83" spans="7:7" x14ac:dyDescent="0.3">
      <c r="G83" s="326"/>
    </row>
    <row r="84" spans="7:7" x14ac:dyDescent="0.3">
      <c r="G84" s="326"/>
    </row>
    <row r="85" spans="7:7" x14ac:dyDescent="0.3">
      <c r="G85" s="326"/>
    </row>
    <row r="86" spans="7:7" x14ac:dyDescent="0.3">
      <c r="G86" s="326"/>
    </row>
    <row r="87" spans="7:7" x14ac:dyDescent="0.3">
      <c r="G87" s="326"/>
    </row>
    <row r="88" spans="7:7" x14ac:dyDescent="0.3">
      <c r="G88" s="326"/>
    </row>
    <row r="89" spans="7:7" x14ac:dyDescent="0.3">
      <c r="G89" s="326"/>
    </row>
    <row r="90" spans="7:7" x14ac:dyDescent="0.3">
      <c r="G90" s="326"/>
    </row>
    <row r="91" spans="7:7" x14ac:dyDescent="0.3">
      <c r="G91" s="326"/>
    </row>
    <row r="92" spans="7:7" x14ac:dyDescent="0.3">
      <c r="G92" s="326"/>
    </row>
    <row r="93" spans="7:7" x14ac:dyDescent="0.3">
      <c r="G93" s="326"/>
    </row>
    <row r="94" spans="7:7" x14ac:dyDescent="0.3">
      <c r="G94" s="326"/>
    </row>
    <row r="95" spans="7:7" x14ac:dyDescent="0.3">
      <c r="G95" s="326"/>
    </row>
    <row r="96" spans="7:7" x14ac:dyDescent="0.3">
      <c r="G96" s="326"/>
    </row>
    <row r="97" spans="7:7" x14ac:dyDescent="0.3">
      <c r="G97" s="326"/>
    </row>
    <row r="98" spans="7:7" x14ac:dyDescent="0.3">
      <c r="G98" s="326"/>
    </row>
    <row r="99" spans="7:7" x14ac:dyDescent="0.3">
      <c r="G99" s="326"/>
    </row>
    <row r="100" spans="7:7" x14ac:dyDescent="0.3">
      <c r="G100" s="326"/>
    </row>
    <row r="101" spans="7:7" x14ac:dyDescent="0.3">
      <c r="G101" s="326"/>
    </row>
    <row r="102" spans="7:7" x14ac:dyDescent="0.3">
      <c r="G102" s="326"/>
    </row>
    <row r="103" spans="7:7" x14ac:dyDescent="0.3">
      <c r="G103" s="326"/>
    </row>
    <row r="104" spans="7:7" x14ac:dyDescent="0.3">
      <c r="G104" s="326"/>
    </row>
    <row r="105" spans="7:7" x14ac:dyDescent="0.3">
      <c r="G105" s="326"/>
    </row>
    <row r="106" spans="7:7" x14ac:dyDescent="0.3">
      <c r="G106" s="326"/>
    </row>
    <row r="107" spans="7:7" x14ac:dyDescent="0.3">
      <c r="G107" s="326"/>
    </row>
    <row r="108" spans="7:7" x14ac:dyDescent="0.3">
      <c r="G108" s="326"/>
    </row>
    <row r="109" spans="7:7" x14ac:dyDescent="0.3">
      <c r="G109" s="326"/>
    </row>
    <row r="110" spans="7:7" x14ac:dyDescent="0.3">
      <c r="G110" s="326"/>
    </row>
    <row r="111" spans="7:7" x14ac:dyDescent="0.3">
      <c r="G111" s="326"/>
    </row>
    <row r="112" spans="7:7" x14ac:dyDescent="0.3">
      <c r="G112" s="326"/>
    </row>
    <row r="113" spans="7:7" x14ac:dyDescent="0.3">
      <c r="G113" s="326"/>
    </row>
    <row r="114" spans="7:7" x14ac:dyDescent="0.3">
      <c r="G114" s="326"/>
    </row>
    <row r="115" spans="7:7" x14ac:dyDescent="0.3">
      <c r="G115" s="326"/>
    </row>
    <row r="116" spans="7:7" x14ac:dyDescent="0.3">
      <c r="G116" s="326"/>
    </row>
    <row r="117" spans="7:7" x14ac:dyDescent="0.3">
      <c r="G117" s="326"/>
    </row>
    <row r="118" spans="7:7" x14ac:dyDescent="0.3">
      <c r="G118" s="326"/>
    </row>
    <row r="119" spans="7:7" x14ac:dyDescent="0.3">
      <c r="G119" s="326"/>
    </row>
    <row r="120" spans="7:7" x14ac:dyDescent="0.3">
      <c r="G120" s="326"/>
    </row>
    <row r="121" spans="7:7" x14ac:dyDescent="0.3">
      <c r="G121" s="326"/>
    </row>
    <row r="122" spans="7:7" x14ac:dyDescent="0.3">
      <c r="G122" s="326"/>
    </row>
    <row r="123" spans="7:7" x14ac:dyDescent="0.3">
      <c r="G123" s="326"/>
    </row>
    <row r="124" spans="7:7" x14ac:dyDescent="0.3">
      <c r="G124" s="326"/>
    </row>
    <row r="125" spans="7:7" x14ac:dyDescent="0.3">
      <c r="G125" s="326"/>
    </row>
    <row r="126" spans="7:7" x14ac:dyDescent="0.3">
      <c r="G126" s="326"/>
    </row>
    <row r="127" spans="7:7" x14ac:dyDescent="0.3">
      <c r="G127" s="326"/>
    </row>
    <row r="128" spans="7:7" x14ac:dyDescent="0.3">
      <c r="G128" s="326"/>
    </row>
    <row r="129" spans="7:7" x14ac:dyDescent="0.3">
      <c r="G129" s="326"/>
    </row>
    <row r="130" spans="7:7" x14ac:dyDescent="0.3">
      <c r="G130" s="326"/>
    </row>
    <row r="131" spans="7:7" x14ac:dyDescent="0.3">
      <c r="G131" s="326"/>
    </row>
    <row r="132" spans="7:7" x14ac:dyDescent="0.3">
      <c r="G132" s="326"/>
    </row>
    <row r="133" spans="7:7" x14ac:dyDescent="0.3">
      <c r="G133" s="326"/>
    </row>
    <row r="134" spans="7:7" x14ac:dyDescent="0.3">
      <c r="G134" s="326"/>
    </row>
    <row r="135" spans="7:7" x14ac:dyDescent="0.3">
      <c r="G135" s="326"/>
    </row>
    <row r="136" spans="7:7" x14ac:dyDescent="0.3">
      <c r="G136" s="326"/>
    </row>
    <row r="137" spans="7:7" x14ac:dyDescent="0.3">
      <c r="G137" s="326"/>
    </row>
    <row r="138" spans="7:7" x14ac:dyDescent="0.3">
      <c r="G138" s="326"/>
    </row>
    <row r="139" spans="7:7" x14ac:dyDescent="0.3">
      <c r="G139" s="326"/>
    </row>
    <row r="140" spans="7:7" x14ac:dyDescent="0.3">
      <c r="G140" s="326"/>
    </row>
    <row r="141" spans="7:7" x14ac:dyDescent="0.3">
      <c r="G141" s="326"/>
    </row>
    <row r="142" spans="7:7" x14ac:dyDescent="0.3">
      <c r="G142" s="326"/>
    </row>
    <row r="143" spans="7:7" x14ac:dyDescent="0.3">
      <c r="G143" s="326"/>
    </row>
    <row r="144" spans="7:7" x14ac:dyDescent="0.3">
      <c r="G144" s="326"/>
    </row>
    <row r="145" spans="7:7" x14ac:dyDescent="0.3">
      <c r="G145" s="326"/>
    </row>
    <row r="146" spans="7:7" x14ac:dyDescent="0.3">
      <c r="G146" s="326"/>
    </row>
    <row r="147" spans="7:7" x14ac:dyDescent="0.3">
      <c r="G147" s="326"/>
    </row>
    <row r="148" spans="7:7" x14ac:dyDescent="0.3">
      <c r="G148" s="326"/>
    </row>
    <row r="149" spans="7:7" x14ac:dyDescent="0.3">
      <c r="G149" s="326"/>
    </row>
    <row r="150" spans="7:7" x14ac:dyDescent="0.3">
      <c r="G150" s="326"/>
    </row>
    <row r="151" spans="7:7" x14ac:dyDescent="0.3">
      <c r="G151" s="326"/>
    </row>
    <row r="152" spans="7:7" x14ac:dyDescent="0.3">
      <c r="G152" s="326"/>
    </row>
    <row r="153" spans="7:7" x14ac:dyDescent="0.3">
      <c r="G153" s="326"/>
    </row>
    <row r="154" spans="7:7" x14ac:dyDescent="0.3">
      <c r="G154" s="326"/>
    </row>
    <row r="155" spans="7:7" x14ac:dyDescent="0.3">
      <c r="G155" s="326"/>
    </row>
    <row r="156" spans="7:7" x14ac:dyDescent="0.3">
      <c r="G156" s="326"/>
    </row>
    <row r="157" spans="7:7" x14ac:dyDescent="0.3">
      <c r="G157" s="326"/>
    </row>
    <row r="158" spans="7:7" x14ac:dyDescent="0.3">
      <c r="G158" s="326"/>
    </row>
    <row r="159" spans="7:7" x14ac:dyDescent="0.3">
      <c r="G159" s="326"/>
    </row>
    <row r="160" spans="7:7" x14ac:dyDescent="0.3">
      <c r="G160" s="326"/>
    </row>
    <row r="161" spans="7:7" x14ac:dyDescent="0.3">
      <c r="G161" s="326"/>
    </row>
    <row r="162" spans="7:7" x14ac:dyDescent="0.3">
      <c r="G162" s="326"/>
    </row>
    <row r="163" spans="7:7" x14ac:dyDescent="0.3">
      <c r="G163" s="326"/>
    </row>
    <row r="164" spans="7:7" x14ac:dyDescent="0.3">
      <c r="G164" s="326"/>
    </row>
    <row r="165" spans="7:7" x14ac:dyDescent="0.3">
      <c r="G165" s="326"/>
    </row>
    <row r="166" spans="7:7" x14ac:dyDescent="0.3">
      <c r="G166" s="326"/>
    </row>
    <row r="167" spans="7:7" x14ac:dyDescent="0.3">
      <c r="G167" s="326"/>
    </row>
    <row r="168" spans="7:7" x14ac:dyDescent="0.3">
      <c r="G168" s="326"/>
    </row>
    <row r="169" spans="7:7" x14ac:dyDescent="0.3">
      <c r="G169" s="326"/>
    </row>
    <row r="170" spans="7:7" x14ac:dyDescent="0.3">
      <c r="G170" s="326"/>
    </row>
    <row r="171" spans="7:7" x14ac:dyDescent="0.3">
      <c r="G171" s="326"/>
    </row>
    <row r="172" spans="7:7" x14ac:dyDescent="0.3">
      <c r="G172" s="326"/>
    </row>
    <row r="173" spans="7:7" x14ac:dyDescent="0.3">
      <c r="G173" s="326"/>
    </row>
    <row r="174" spans="7:7" x14ac:dyDescent="0.3">
      <c r="G174" s="326"/>
    </row>
    <row r="175" spans="7:7" x14ac:dyDescent="0.3">
      <c r="G175" s="326"/>
    </row>
    <row r="176" spans="7:7" x14ac:dyDescent="0.3">
      <c r="G176" s="326"/>
    </row>
    <row r="177" spans="7:7" x14ac:dyDescent="0.3">
      <c r="G177" s="326"/>
    </row>
    <row r="178" spans="7:7" x14ac:dyDescent="0.3">
      <c r="G178" s="326"/>
    </row>
    <row r="179" spans="7:7" x14ac:dyDescent="0.3">
      <c r="G179" s="326"/>
    </row>
    <row r="180" spans="7:7" x14ac:dyDescent="0.3">
      <c r="G180" s="326"/>
    </row>
    <row r="181" spans="7:7" x14ac:dyDescent="0.3">
      <c r="G181" s="326"/>
    </row>
    <row r="182" spans="7:7" x14ac:dyDescent="0.3">
      <c r="G182" s="326"/>
    </row>
    <row r="183" spans="7:7" x14ac:dyDescent="0.3">
      <c r="G183" s="326"/>
    </row>
    <row r="184" spans="7:7" x14ac:dyDescent="0.3">
      <c r="G184" s="326"/>
    </row>
    <row r="185" spans="7:7" x14ac:dyDescent="0.3">
      <c r="G185" s="326"/>
    </row>
    <row r="186" spans="7:7" x14ac:dyDescent="0.3">
      <c r="G186" s="326"/>
    </row>
    <row r="187" spans="7:7" x14ac:dyDescent="0.3">
      <c r="G187" s="326"/>
    </row>
    <row r="188" spans="7:7" x14ac:dyDescent="0.3">
      <c r="G188" s="326"/>
    </row>
    <row r="189" spans="7:7" x14ac:dyDescent="0.3">
      <c r="G189" s="326"/>
    </row>
    <row r="190" spans="7:7" x14ac:dyDescent="0.3">
      <c r="G190" s="326"/>
    </row>
    <row r="191" spans="7:7" x14ac:dyDescent="0.3">
      <c r="G191" s="326"/>
    </row>
    <row r="192" spans="7:7" x14ac:dyDescent="0.3">
      <c r="G192" s="326"/>
    </row>
    <row r="193" spans="7:7" x14ac:dyDescent="0.3">
      <c r="G193" s="326"/>
    </row>
    <row r="194" spans="7:7" x14ac:dyDescent="0.3">
      <c r="G194" s="326"/>
    </row>
    <row r="195" spans="7:7" x14ac:dyDescent="0.3">
      <c r="G195" s="326"/>
    </row>
    <row r="196" spans="7:7" x14ac:dyDescent="0.3">
      <c r="G196" s="326"/>
    </row>
    <row r="197" spans="7:7" x14ac:dyDescent="0.3">
      <c r="G197" s="326"/>
    </row>
    <row r="198" spans="7:7" x14ac:dyDescent="0.3">
      <c r="G198" s="326"/>
    </row>
    <row r="199" spans="7:7" x14ac:dyDescent="0.3">
      <c r="G199" s="326"/>
    </row>
    <row r="200" spans="7:7" x14ac:dyDescent="0.3">
      <c r="G200" s="326"/>
    </row>
    <row r="201" spans="7:7" x14ac:dyDescent="0.3">
      <c r="G201" s="326"/>
    </row>
    <row r="202" spans="7:7" x14ac:dyDescent="0.3">
      <c r="G202" s="326"/>
    </row>
    <row r="203" spans="7:7" x14ac:dyDescent="0.3">
      <c r="G203" s="326"/>
    </row>
    <row r="204" spans="7:7" x14ac:dyDescent="0.3">
      <c r="G204" s="326"/>
    </row>
    <row r="205" spans="7:7" x14ac:dyDescent="0.3">
      <c r="G205" s="326"/>
    </row>
    <row r="206" spans="7:7" x14ac:dyDescent="0.3">
      <c r="G206" s="326"/>
    </row>
    <row r="207" spans="7:7" x14ac:dyDescent="0.3">
      <c r="G207" s="326"/>
    </row>
    <row r="208" spans="7:7" x14ac:dyDescent="0.3">
      <c r="G208" s="326"/>
    </row>
    <row r="209" spans="7:7" x14ac:dyDescent="0.3">
      <c r="G209" s="326"/>
    </row>
    <row r="210" spans="7:7" x14ac:dyDescent="0.3">
      <c r="G210" s="326"/>
    </row>
    <row r="211" spans="7:7" x14ac:dyDescent="0.3">
      <c r="G211" s="326"/>
    </row>
    <row r="212" spans="7:7" x14ac:dyDescent="0.3">
      <c r="G212" s="326"/>
    </row>
    <row r="213" spans="7:7" x14ac:dyDescent="0.3">
      <c r="G213" s="326"/>
    </row>
    <row r="214" spans="7:7" x14ac:dyDescent="0.3">
      <c r="G214" s="326"/>
    </row>
    <row r="215" spans="7:7" x14ac:dyDescent="0.3">
      <c r="G215" s="326"/>
    </row>
    <row r="216" spans="7:7" x14ac:dyDescent="0.3">
      <c r="G216" s="326"/>
    </row>
    <row r="217" spans="7:7" x14ac:dyDescent="0.3">
      <c r="G217" s="326"/>
    </row>
    <row r="218" spans="7:7" x14ac:dyDescent="0.3">
      <c r="G218" s="326"/>
    </row>
    <row r="219" spans="7:7" x14ac:dyDescent="0.3">
      <c r="G219" s="326"/>
    </row>
    <row r="220" spans="7:7" x14ac:dyDescent="0.3">
      <c r="G220" s="326"/>
    </row>
    <row r="221" spans="7:7" x14ac:dyDescent="0.3">
      <c r="G221" s="326"/>
    </row>
    <row r="222" spans="7:7" x14ac:dyDescent="0.3">
      <c r="G222" s="326"/>
    </row>
    <row r="223" spans="7:7" x14ac:dyDescent="0.3">
      <c r="G223" s="326"/>
    </row>
    <row r="224" spans="7:7" x14ac:dyDescent="0.3">
      <c r="G224" s="326"/>
    </row>
    <row r="225" spans="7:7" x14ac:dyDescent="0.3">
      <c r="G225" s="326"/>
    </row>
    <row r="226" spans="7:7" x14ac:dyDescent="0.3">
      <c r="G226" s="326"/>
    </row>
    <row r="227" spans="7:7" x14ac:dyDescent="0.3">
      <c r="G227" s="326"/>
    </row>
    <row r="228" spans="7:7" x14ac:dyDescent="0.3">
      <c r="G228" s="326"/>
    </row>
    <row r="229" spans="7:7" x14ac:dyDescent="0.3">
      <c r="G229" s="326"/>
    </row>
    <row r="230" spans="7:7" x14ac:dyDescent="0.3">
      <c r="G230" s="326"/>
    </row>
    <row r="231" spans="7:7" x14ac:dyDescent="0.3">
      <c r="G231" s="326"/>
    </row>
    <row r="232" spans="7:7" x14ac:dyDescent="0.3">
      <c r="G232" s="326"/>
    </row>
    <row r="233" spans="7:7" x14ac:dyDescent="0.3">
      <c r="G233" s="326"/>
    </row>
    <row r="234" spans="7:7" x14ac:dyDescent="0.3">
      <c r="G234" s="326"/>
    </row>
    <row r="235" spans="7:7" x14ac:dyDescent="0.3">
      <c r="G235" s="326"/>
    </row>
    <row r="236" spans="7:7" x14ac:dyDescent="0.3">
      <c r="G236" s="326"/>
    </row>
    <row r="237" spans="7:7" x14ac:dyDescent="0.3">
      <c r="G237" s="326"/>
    </row>
    <row r="238" spans="7:7" x14ac:dyDescent="0.3">
      <c r="G238" s="326"/>
    </row>
    <row r="239" spans="7:7" x14ac:dyDescent="0.3">
      <c r="G239" s="326"/>
    </row>
    <row r="240" spans="7:7" x14ac:dyDescent="0.3">
      <c r="G240" s="326"/>
    </row>
    <row r="241" spans="7:7" x14ac:dyDescent="0.3">
      <c r="G241" s="326"/>
    </row>
    <row r="242" spans="7:7" x14ac:dyDescent="0.3">
      <c r="G242" s="326"/>
    </row>
    <row r="243" spans="7:7" x14ac:dyDescent="0.3">
      <c r="G243" s="326"/>
    </row>
    <row r="244" spans="7:7" x14ac:dyDescent="0.3">
      <c r="G244" s="326"/>
    </row>
    <row r="245" spans="7:7" x14ac:dyDescent="0.3">
      <c r="G245" s="326"/>
    </row>
    <row r="246" spans="7:7" x14ac:dyDescent="0.3">
      <c r="G246" s="326"/>
    </row>
    <row r="247" spans="7:7" x14ac:dyDescent="0.3">
      <c r="G247" s="326"/>
    </row>
    <row r="248" spans="7:7" x14ac:dyDescent="0.3">
      <c r="G248" s="326"/>
    </row>
    <row r="249" spans="7:7" x14ac:dyDescent="0.3">
      <c r="G249" s="326"/>
    </row>
    <row r="250" spans="7:7" x14ac:dyDescent="0.3">
      <c r="G250" s="326"/>
    </row>
    <row r="251" spans="7:7" x14ac:dyDescent="0.3">
      <c r="G251" s="326"/>
    </row>
    <row r="252" spans="7:7" x14ac:dyDescent="0.3">
      <c r="G252" s="326"/>
    </row>
    <row r="253" spans="7:7" x14ac:dyDescent="0.3">
      <c r="G253" s="326"/>
    </row>
    <row r="254" spans="7:7" x14ac:dyDescent="0.3">
      <c r="G254" s="326"/>
    </row>
    <row r="255" spans="7:7" x14ac:dyDescent="0.3">
      <c r="G255" s="326"/>
    </row>
    <row r="256" spans="7:7" x14ac:dyDescent="0.3">
      <c r="G256" s="326"/>
    </row>
    <row r="257" spans="7:7" x14ac:dyDescent="0.3">
      <c r="G257" s="326"/>
    </row>
    <row r="258" spans="7:7" x14ac:dyDescent="0.3">
      <c r="G258" s="326"/>
    </row>
    <row r="259" spans="7:7" x14ac:dyDescent="0.3">
      <c r="G259" s="326"/>
    </row>
    <row r="260" spans="7:7" x14ac:dyDescent="0.3">
      <c r="G260" s="326"/>
    </row>
    <row r="261" spans="7:7" x14ac:dyDescent="0.3">
      <c r="G261" s="326"/>
    </row>
    <row r="262" spans="7:7" x14ac:dyDescent="0.3">
      <c r="G262" s="326"/>
    </row>
    <row r="263" spans="7:7" x14ac:dyDescent="0.3">
      <c r="G263" s="326"/>
    </row>
    <row r="264" spans="7:7" x14ac:dyDescent="0.3">
      <c r="G264" s="326"/>
    </row>
    <row r="265" spans="7:7" x14ac:dyDescent="0.3">
      <c r="G265" s="326"/>
    </row>
    <row r="266" spans="7:7" x14ac:dyDescent="0.3">
      <c r="G266" s="326"/>
    </row>
    <row r="267" spans="7:7" x14ac:dyDescent="0.3">
      <c r="G267" s="326"/>
    </row>
    <row r="268" spans="7:7" x14ac:dyDescent="0.3">
      <c r="G268" s="326"/>
    </row>
    <row r="269" spans="7:7" x14ac:dyDescent="0.3">
      <c r="G269" s="326"/>
    </row>
    <row r="270" spans="7:7" x14ac:dyDescent="0.3">
      <c r="G270" s="326"/>
    </row>
    <row r="271" spans="7:7" x14ac:dyDescent="0.3">
      <c r="G271" s="326"/>
    </row>
    <row r="272" spans="7:7" x14ac:dyDescent="0.3">
      <c r="G272" s="326"/>
    </row>
    <row r="273" spans="7:7" x14ac:dyDescent="0.3">
      <c r="G273" s="326"/>
    </row>
    <row r="274" spans="7:7" x14ac:dyDescent="0.3">
      <c r="G274" s="326"/>
    </row>
    <row r="275" spans="7:7" x14ac:dyDescent="0.3">
      <c r="G275" s="326"/>
    </row>
    <row r="276" spans="7:7" x14ac:dyDescent="0.3">
      <c r="G276" s="326"/>
    </row>
    <row r="277" spans="7:7" x14ac:dyDescent="0.3">
      <c r="G277" s="326"/>
    </row>
    <row r="278" spans="7:7" x14ac:dyDescent="0.3">
      <c r="G278" s="326"/>
    </row>
    <row r="279" spans="7:7" x14ac:dyDescent="0.3">
      <c r="G279" s="326"/>
    </row>
    <row r="280" spans="7:7" x14ac:dyDescent="0.3">
      <c r="G280" s="326"/>
    </row>
    <row r="281" spans="7:7" x14ac:dyDescent="0.3">
      <c r="G281" s="326"/>
    </row>
    <row r="282" spans="7:7" x14ac:dyDescent="0.3">
      <c r="G282" s="326"/>
    </row>
    <row r="283" spans="7:7" x14ac:dyDescent="0.3">
      <c r="G283" s="326"/>
    </row>
    <row r="284" spans="7:7" x14ac:dyDescent="0.3">
      <c r="G284" s="326"/>
    </row>
    <row r="285" spans="7:7" x14ac:dyDescent="0.3">
      <c r="G285" s="326"/>
    </row>
    <row r="286" spans="7:7" x14ac:dyDescent="0.3">
      <c r="G286" s="326"/>
    </row>
    <row r="287" spans="7:7" x14ac:dyDescent="0.3">
      <c r="G287" s="326"/>
    </row>
    <row r="288" spans="7:7" x14ac:dyDescent="0.3">
      <c r="G288" s="326"/>
    </row>
    <row r="289" spans="7:7" x14ac:dyDescent="0.3">
      <c r="G289" s="326"/>
    </row>
    <row r="290" spans="7:7" x14ac:dyDescent="0.3">
      <c r="G290" s="326"/>
    </row>
    <row r="291" spans="7:7" x14ac:dyDescent="0.3">
      <c r="G291" s="326"/>
    </row>
    <row r="292" spans="7:7" x14ac:dyDescent="0.3">
      <c r="G292" s="326"/>
    </row>
    <row r="293" spans="7:7" x14ac:dyDescent="0.3">
      <c r="G293" s="326"/>
    </row>
    <row r="294" spans="7:7" x14ac:dyDescent="0.3">
      <c r="G294" s="326"/>
    </row>
    <row r="295" spans="7:7" x14ac:dyDescent="0.3">
      <c r="G295" s="326"/>
    </row>
    <row r="296" spans="7:7" x14ac:dyDescent="0.3">
      <c r="G296" s="326"/>
    </row>
    <row r="297" spans="7:7" x14ac:dyDescent="0.3">
      <c r="G297" s="326"/>
    </row>
    <row r="298" spans="7:7" x14ac:dyDescent="0.3">
      <c r="G298" s="326"/>
    </row>
    <row r="299" spans="7:7" x14ac:dyDescent="0.3">
      <c r="G299" s="326"/>
    </row>
    <row r="300" spans="7:7" x14ac:dyDescent="0.3">
      <c r="G300" s="326"/>
    </row>
    <row r="301" spans="7:7" x14ac:dyDescent="0.3">
      <c r="G301" s="326"/>
    </row>
    <row r="302" spans="7:7" x14ac:dyDescent="0.3">
      <c r="G302" s="326"/>
    </row>
    <row r="303" spans="7:7" x14ac:dyDescent="0.3">
      <c r="G303" s="326"/>
    </row>
    <row r="304" spans="7:7" x14ac:dyDescent="0.3">
      <c r="G304" s="326"/>
    </row>
    <row r="305" spans="7:7" x14ac:dyDescent="0.3">
      <c r="G305" s="326"/>
    </row>
    <row r="306" spans="7:7" x14ac:dyDescent="0.3">
      <c r="G306" s="326"/>
    </row>
    <row r="307" spans="7:7" x14ac:dyDescent="0.3">
      <c r="G307" s="326"/>
    </row>
    <row r="308" spans="7:7" x14ac:dyDescent="0.3">
      <c r="G308" s="326"/>
    </row>
    <row r="309" spans="7:7" x14ac:dyDescent="0.3">
      <c r="G309" s="326"/>
    </row>
    <row r="310" spans="7:7" x14ac:dyDescent="0.3">
      <c r="G310" s="326"/>
    </row>
    <row r="311" spans="7:7" x14ac:dyDescent="0.3">
      <c r="G311" s="326"/>
    </row>
    <row r="312" spans="7:7" x14ac:dyDescent="0.3">
      <c r="G312" s="326"/>
    </row>
    <row r="313" spans="7:7" x14ac:dyDescent="0.3">
      <c r="G313" s="326"/>
    </row>
    <row r="314" spans="7:7" x14ac:dyDescent="0.3">
      <c r="G314" s="326"/>
    </row>
    <row r="315" spans="7:7" x14ac:dyDescent="0.3">
      <c r="G315" s="326"/>
    </row>
    <row r="316" spans="7:7" x14ac:dyDescent="0.3">
      <c r="G316" s="326"/>
    </row>
    <row r="317" spans="7:7" x14ac:dyDescent="0.3">
      <c r="G317" s="326"/>
    </row>
    <row r="318" spans="7:7" x14ac:dyDescent="0.3">
      <c r="G318" s="326"/>
    </row>
    <row r="319" spans="7:7" x14ac:dyDescent="0.3">
      <c r="G319" s="326"/>
    </row>
    <row r="320" spans="7:7" x14ac:dyDescent="0.3">
      <c r="G320" s="326"/>
    </row>
    <row r="321" spans="7:7" x14ac:dyDescent="0.3">
      <c r="G321" s="326"/>
    </row>
    <row r="322" spans="7:7" x14ac:dyDescent="0.3">
      <c r="G322" s="326"/>
    </row>
    <row r="323" spans="7:7" x14ac:dyDescent="0.3">
      <c r="G323" s="326"/>
    </row>
    <row r="324" spans="7:7" x14ac:dyDescent="0.3">
      <c r="G324" s="326"/>
    </row>
    <row r="325" spans="7:7" x14ac:dyDescent="0.3">
      <c r="G325" s="326"/>
    </row>
    <row r="326" spans="7:7" x14ac:dyDescent="0.3">
      <c r="G326" s="326"/>
    </row>
    <row r="327" spans="7:7" x14ac:dyDescent="0.3">
      <c r="G327" s="326"/>
    </row>
    <row r="328" spans="7:7" x14ac:dyDescent="0.3">
      <c r="G328" s="326"/>
    </row>
    <row r="329" spans="7:7" x14ac:dyDescent="0.3">
      <c r="G329" s="326"/>
    </row>
    <row r="330" spans="7:7" x14ac:dyDescent="0.3">
      <c r="G330" s="326"/>
    </row>
    <row r="331" spans="7:7" x14ac:dyDescent="0.3">
      <c r="G331" s="326"/>
    </row>
    <row r="332" spans="7:7" x14ac:dyDescent="0.3">
      <c r="G332" s="326"/>
    </row>
    <row r="333" spans="7:7" x14ac:dyDescent="0.3">
      <c r="G333" s="326"/>
    </row>
    <row r="334" spans="7:7" x14ac:dyDescent="0.3">
      <c r="G334" s="326"/>
    </row>
    <row r="335" spans="7:7" x14ac:dyDescent="0.3">
      <c r="G335" s="326"/>
    </row>
    <row r="336" spans="7:7" x14ac:dyDescent="0.3">
      <c r="G336" s="326"/>
    </row>
    <row r="337" spans="7:7" x14ac:dyDescent="0.3">
      <c r="G337" s="326"/>
    </row>
    <row r="338" spans="7:7" x14ac:dyDescent="0.3">
      <c r="G338" s="326"/>
    </row>
    <row r="339" spans="7:7" x14ac:dyDescent="0.3">
      <c r="G339" s="326"/>
    </row>
    <row r="340" spans="7:7" x14ac:dyDescent="0.3">
      <c r="G340" s="326"/>
    </row>
    <row r="341" spans="7:7" x14ac:dyDescent="0.3">
      <c r="G341" s="326"/>
    </row>
    <row r="342" spans="7:7" x14ac:dyDescent="0.3">
      <c r="G342" s="326"/>
    </row>
    <row r="343" spans="7:7" x14ac:dyDescent="0.3">
      <c r="G343" s="326"/>
    </row>
    <row r="344" spans="7:7" x14ac:dyDescent="0.3">
      <c r="G344" s="326"/>
    </row>
    <row r="345" spans="7:7" x14ac:dyDescent="0.3">
      <c r="G345" s="326"/>
    </row>
    <row r="346" spans="7:7" x14ac:dyDescent="0.3">
      <c r="G346" s="326"/>
    </row>
    <row r="347" spans="7:7" x14ac:dyDescent="0.3">
      <c r="G347" s="326"/>
    </row>
    <row r="348" spans="7:7" x14ac:dyDescent="0.3">
      <c r="G348" s="326"/>
    </row>
    <row r="349" spans="7:7" x14ac:dyDescent="0.3">
      <c r="G349" s="326"/>
    </row>
    <row r="350" spans="7:7" x14ac:dyDescent="0.3">
      <c r="G350" s="326"/>
    </row>
    <row r="351" spans="7:7" x14ac:dyDescent="0.3">
      <c r="G351" s="326"/>
    </row>
    <row r="352" spans="7:7" x14ac:dyDescent="0.3">
      <c r="G352" s="326"/>
    </row>
    <row r="353" spans="7:7" x14ac:dyDescent="0.3">
      <c r="G353" s="326"/>
    </row>
    <row r="354" spans="7:7" x14ac:dyDescent="0.3">
      <c r="G354" s="326"/>
    </row>
    <row r="355" spans="7:7" x14ac:dyDescent="0.3">
      <c r="G355" s="326"/>
    </row>
    <row r="356" spans="7:7" x14ac:dyDescent="0.3">
      <c r="G356" s="326"/>
    </row>
    <row r="357" spans="7:7" x14ac:dyDescent="0.3">
      <c r="G357" s="326"/>
    </row>
    <row r="358" spans="7:7" x14ac:dyDescent="0.3">
      <c r="G358" s="326"/>
    </row>
    <row r="359" spans="7:7" x14ac:dyDescent="0.3">
      <c r="G359" s="326"/>
    </row>
    <row r="360" spans="7:7" x14ac:dyDescent="0.3">
      <c r="G360" s="326"/>
    </row>
    <row r="361" spans="7:7" x14ac:dyDescent="0.3">
      <c r="G361" s="326"/>
    </row>
    <row r="362" spans="7:7" x14ac:dyDescent="0.3">
      <c r="G362" s="326"/>
    </row>
    <row r="363" spans="7:7" x14ac:dyDescent="0.3">
      <c r="G363" s="326"/>
    </row>
    <row r="364" spans="7:7" x14ac:dyDescent="0.3">
      <c r="G364" s="326"/>
    </row>
    <row r="365" spans="7:7" x14ac:dyDescent="0.3">
      <c r="G365" s="326"/>
    </row>
    <row r="366" spans="7:7" x14ac:dyDescent="0.3">
      <c r="G366" s="326"/>
    </row>
    <row r="367" spans="7:7" x14ac:dyDescent="0.3">
      <c r="G367" s="326"/>
    </row>
    <row r="368" spans="7:7" x14ac:dyDescent="0.3">
      <c r="G368" s="326"/>
    </row>
    <row r="369" spans="7:7" x14ac:dyDescent="0.3">
      <c r="G369" s="326"/>
    </row>
    <row r="370" spans="7:7" x14ac:dyDescent="0.3">
      <c r="G370" s="326"/>
    </row>
    <row r="371" spans="7:7" x14ac:dyDescent="0.3">
      <c r="G371" s="326"/>
    </row>
    <row r="372" spans="7:7" x14ac:dyDescent="0.3">
      <c r="G372" s="326"/>
    </row>
    <row r="373" spans="7:7" x14ac:dyDescent="0.3">
      <c r="G373" s="326"/>
    </row>
    <row r="374" spans="7:7" x14ac:dyDescent="0.3">
      <c r="G374" s="326"/>
    </row>
    <row r="375" spans="7:7" x14ac:dyDescent="0.3">
      <c r="G375" s="326"/>
    </row>
    <row r="376" spans="7:7" x14ac:dyDescent="0.3">
      <c r="G376" s="326"/>
    </row>
    <row r="377" spans="7:7" x14ac:dyDescent="0.3">
      <c r="G377" s="326"/>
    </row>
    <row r="378" spans="7:7" x14ac:dyDescent="0.3">
      <c r="G378" s="326"/>
    </row>
    <row r="379" spans="7:7" x14ac:dyDescent="0.3">
      <c r="G379" s="326"/>
    </row>
    <row r="380" spans="7:7" x14ac:dyDescent="0.3">
      <c r="G380" s="326"/>
    </row>
    <row r="381" spans="7:7" x14ac:dyDescent="0.3">
      <c r="G381" s="326"/>
    </row>
    <row r="382" spans="7:7" x14ac:dyDescent="0.3">
      <c r="G382" s="326"/>
    </row>
    <row r="383" spans="7:7" x14ac:dyDescent="0.3">
      <c r="G383" s="326"/>
    </row>
    <row r="384" spans="7:7" x14ac:dyDescent="0.3">
      <c r="G384" s="326"/>
    </row>
    <row r="385" spans="7:7" x14ac:dyDescent="0.3">
      <c r="G385" s="326"/>
    </row>
    <row r="386" spans="7:7" x14ac:dyDescent="0.3">
      <c r="G386" s="326"/>
    </row>
    <row r="387" spans="7:7" x14ac:dyDescent="0.3">
      <c r="G387" s="326"/>
    </row>
    <row r="388" spans="7:7" x14ac:dyDescent="0.3">
      <c r="G388" s="326"/>
    </row>
    <row r="389" spans="7:7" x14ac:dyDescent="0.3">
      <c r="G389" s="326"/>
    </row>
    <row r="390" spans="7:7" x14ac:dyDescent="0.3">
      <c r="G390" s="326"/>
    </row>
    <row r="391" spans="7:7" x14ac:dyDescent="0.3">
      <c r="G391" s="326"/>
    </row>
    <row r="392" spans="7:7" x14ac:dyDescent="0.3">
      <c r="G392" s="326"/>
    </row>
    <row r="393" spans="7:7" x14ac:dyDescent="0.3">
      <c r="G393" s="326"/>
    </row>
    <row r="394" spans="7:7" x14ac:dyDescent="0.3">
      <c r="G394" s="326"/>
    </row>
    <row r="395" spans="7:7" x14ac:dyDescent="0.3">
      <c r="G395" s="326"/>
    </row>
    <row r="396" spans="7:7" x14ac:dyDescent="0.3">
      <c r="G396" s="326"/>
    </row>
    <row r="397" spans="7:7" x14ac:dyDescent="0.3">
      <c r="G397" s="326"/>
    </row>
    <row r="398" spans="7:7" x14ac:dyDescent="0.3">
      <c r="G398" s="326"/>
    </row>
    <row r="399" spans="7:7" x14ac:dyDescent="0.3">
      <c r="G399" s="326"/>
    </row>
    <row r="400" spans="7:7" x14ac:dyDescent="0.3">
      <c r="G400" s="326"/>
    </row>
    <row r="401" spans="7:7" x14ac:dyDescent="0.3">
      <c r="G401" s="326"/>
    </row>
    <row r="402" spans="7:7" x14ac:dyDescent="0.3">
      <c r="G402" s="326"/>
    </row>
    <row r="403" spans="7:7" x14ac:dyDescent="0.3">
      <c r="G403" s="326"/>
    </row>
    <row r="404" spans="7:7" x14ac:dyDescent="0.3">
      <c r="G404" s="326"/>
    </row>
    <row r="405" spans="7:7" x14ac:dyDescent="0.3">
      <c r="G405" s="326"/>
    </row>
    <row r="406" spans="7:7" x14ac:dyDescent="0.3">
      <c r="G406" s="326"/>
    </row>
    <row r="407" spans="7:7" x14ac:dyDescent="0.3">
      <c r="G407" s="326"/>
    </row>
    <row r="408" spans="7:7" x14ac:dyDescent="0.3">
      <c r="G408" s="326"/>
    </row>
    <row r="409" spans="7:7" x14ac:dyDescent="0.3">
      <c r="G409" s="326"/>
    </row>
    <row r="410" spans="7:7" x14ac:dyDescent="0.3">
      <c r="G410" s="326"/>
    </row>
    <row r="411" spans="7:7" x14ac:dyDescent="0.3">
      <c r="G411" s="326"/>
    </row>
    <row r="412" spans="7:7" x14ac:dyDescent="0.3">
      <c r="G412" s="326"/>
    </row>
    <row r="413" spans="7:7" x14ac:dyDescent="0.3">
      <c r="G413" s="326"/>
    </row>
    <row r="414" spans="7:7" x14ac:dyDescent="0.3">
      <c r="G414" s="326"/>
    </row>
    <row r="415" spans="7:7" x14ac:dyDescent="0.3">
      <c r="G415" s="326"/>
    </row>
    <row r="416" spans="7:7" x14ac:dyDescent="0.3">
      <c r="G416" s="326"/>
    </row>
    <row r="417" spans="7:7" x14ac:dyDescent="0.3">
      <c r="G417" s="326"/>
    </row>
    <row r="418" spans="7:7" x14ac:dyDescent="0.3">
      <c r="G418" s="326"/>
    </row>
    <row r="419" spans="7:7" x14ac:dyDescent="0.3">
      <c r="G419" s="326"/>
    </row>
    <row r="420" spans="7:7" x14ac:dyDescent="0.3">
      <c r="G420" s="326"/>
    </row>
    <row r="421" spans="7:7" x14ac:dyDescent="0.3">
      <c r="G421" s="326"/>
    </row>
    <row r="422" spans="7:7" x14ac:dyDescent="0.3">
      <c r="G422" s="326"/>
    </row>
    <row r="423" spans="7:7" x14ac:dyDescent="0.3">
      <c r="G423" s="326"/>
    </row>
    <row r="424" spans="7:7" x14ac:dyDescent="0.3">
      <c r="G424" s="326"/>
    </row>
    <row r="425" spans="7:7" x14ac:dyDescent="0.3">
      <c r="G425" s="326"/>
    </row>
    <row r="426" spans="7:7" x14ac:dyDescent="0.3">
      <c r="G426" s="326"/>
    </row>
    <row r="427" spans="7:7" x14ac:dyDescent="0.3">
      <c r="G427" s="326"/>
    </row>
    <row r="428" spans="7:7" x14ac:dyDescent="0.3">
      <c r="G428" s="326"/>
    </row>
    <row r="429" spans="7:7" x14ac:dyDescent="0.3">
      <c r="G429" s="326"/>
    </row>
    <row r="430" spans="7:7" x14ac:dyDescent="0.3">
      <c r="G430" s="326"/>
    </row>
    <row r="431" spans="7:7" x14ac:dyDescent="0.3">
      <c r="G431" s="326"/>
    </row>
    <row r="432" spans="7:7" x14ac:dyDescent="0.3">
      <c r="G432" s="326"/>
    </row>
    <row r="433" spans="7:7" x14ac:dyDescent="0.3">
      <c r="G433" s="326"/>
    </row>
    <row r="434" spans="7:7" x14ac:dyDescent="0.3">
      <c r="G434" s="326"/>
    </row>
    <row r="435" spans="7:7" x14ac:dyDescent="0.3">
      <c r="G435" s="326"/>
    </row>
    <row r="436" spans="7:7" x14ac:dyDescent="0.3">
      <c r="G436" s="326"/>
    </row>
    <row r="437" spans="7:7" x14ac:dyDescent="0.3">
      <c r="G437" s="326"/>
    </row>
    <row r="438" spans="7:7" x14ac:dyDescent="0.3">
      <c r="G438" s="326"/>
    </row>
    <row r="439" spans="7:7" x14ac:dyDescent="0.3">
      <c r="G439" s="326"/>
    </row>
    <row r="440" spans="7:7" x14ac:dyDescent="0.3">
      <c r="G440" s="326"/>
    </row>
    <row r="441" spans="7:7" x14ac:dyDescent="0.3">
      <c r="G441" s="326"/>
    </row>
    <row r="442" spans="7:7" x14ac:dyDescent="0.3">
      <c r="G442" s="326"/>
    </row>
    <row r="443" spans="7:7" x14ac:dyDescent="0.3">
      <c r="G443" s="326"/>
    </row>
    <row r="444" spans="7:7" x14ac:dyDescent="0.3">
      <c r="G444" s="326"/>
    </row>
    <row r="445" spans="7:7" x14ac:dyDescent="0.3">
      <c r="G445" s="326"/>
    </row>
    <row r="446" spans="7:7" x14ac:dyDescent="0.3">
      <c r="G446" s="326"/>
    </row>
    <row r="447" spans="7:7" x14ac:dyDescent="0.3">
      <c r="G447" s="326"/>
    </row>
    <row r="448" spans="7:7" x14ac:dyDescent="0.3">
      <c r="G448" s="326"/>
    </row>
    <row r="449" spans="7:7" x14ac:dyDescent="0.3">
      <c r="G449" s="326"/>
    </row>
    <row r="450" spans="7:7" x14ac:dyDescent="0.3">
      <c r="G450" s="326"/>
    </row>
    <row r="451" spans="7:7" x14ac:dyDescent="0.3">
      <c r="G451" s="326"/>
    </row>
    <row r="452" spans="7:7" x14ac:dyDescent="0.3">
      <c r="G452" s="326"/>
    </row>
    <row r="453" spans="7:7" x14ac:dyDescent="0.3">
      <c r="G453" s="326"/>
    </row>
    <row r="454" spans="7:7" x14ac:dyDescent="0.3">
      <c r="G454" s="326"/>
    </row>
    <row r="455" spans="7:7" x14ac:dyDescent="0.3">
      <c r="G455" s="326"/>
    </row>
    <row r="456" spans="7:7" x14ac:dyDescent="0.3">
      <c r="G456" s="326"/>
    </row>
    <row r="457" spans="7:7" x14ac:dyDescent="0.3">
      <c r="G457" s="326"/>
    </row>
    <row r="458" spans="7:7" x14ac:dyDescent="0.3">
      <c r="G458" s="326"/>
    </row>
    <row r="459" spans="7:7" x14ac:dyDescent="0.3">
      <c r="G459" s="326"/>
    </row>
    <row r="460" spans="7:7" x14ac:dyDescent="0.3">
      <c r="G460" s="326"/>
    </row>
    <row r="461" spans="7:7" x14ac:dyDescent="0.3">
      <c r="G461" s="326"/>
    </row>
    <row r="462" spans="7:7" x14ac:dyDescent="0.3">
      <c r="G462" s="326"/>
    </row>
    <row r="463" spans="7:7" x14ac:dyDescent="0.3">
      <c r="G463" s="326"/>
    </row>
    <row r="464" spans="7:7" x14ac:dyDescent="0.3">
      <c r="G464" s="326"/>
    </row>
    <row r="465" spans="7:7" x14ac:dyDescent="0.3">
      <c r="G465" s="326"/>
    </row>
    <row r="466" spans="7:7" x14ac:dyDescent="0.3">
      <c r="G466" s="326"/>
    </row>
    <row r="467" spans="7:7" x14ac:dyDescent="0.3">
      <c r="G467" s="326"/>
    </row>
    <row r="468" spans="7:7" x14ac:dyDescent="0.3">
      <c r="G468" s="326"/>
    </row>
    <row r="469" spans="7:7" x14ac:dyDescent="0.3">
      <c r="G469" s="326"/>
    </row>
    <row r="470" spans="7:7" x14ac:dyDescent="0.3">
      <c r="G470" s="326"/>
    </row>
    <row r="471" spans="7:7" x14ac:dyDescent="0.3">
      <c r="G471" s="326"/>
    </row>
    <row r="472" spans="7:7" x14ac:dyDescent="0.3">
      <c r="G472" s="326"/>
    </row>
    <row r="473" spans="7:7" x14ac:dyDescent="0.3">
      <c r="G473" s="326"/>
    </row>
    <row r="474" spans="7:7" x14ac:dyDescent="0.3">
      <c r="G474" s="326"/>
    </row>
    <row r="475" spans="7:7" x14ac:dyDescent="0.3">
      <c r="G475" s="326"/>
    </row>
    <row r="476" spans="7:7" x14ac:dyDescent="0.3">
      <c r="G476" s="326"/>
    </row>
    <row r="477" spans="7:7" x14ac:dyDescent="0.3">
      <c r="G477" s="326"/>
    </row>
    <row r="478" spans="7:7" x14ac:dyDescent="0.3">
      <c r="G478" s="326"/>
    </row>
    <row r="479" spans="7:7" x14ac:dyDescent="0.3">
      <c r="G479" s="326"/>
    </row>
    <row r="480" spans="7:7" x14ac:dyDescent="0.3">
      <c r="G480" s="326"/>
    </row>
    <row r="481" spans="7:7" x14ac:dyDescent="0.3">
      <c r="G481" s="326"/>
    </row>
    <row r="482" spans="7:7" x14ac:dyDescent="0.3">
      <c r="G482" s="326"/>
    </row>
    <row r="483" spans="7:7" x14ac:dyDescent="0.3">
      <c r="G483" s="326"/>
    </row>
    <row r="484" spans="7:7" x14ac:dyDescent="0.3">
      <c r="G484" s="326"/>
    </row>
    <row r="485" spans="7:7" x14ac:dyDescent="0.3">
      <c r="G485" s="326"/>
    </row>
    <row r="486" spans="7:7" x14ac:dyDescent="0.3">
      <c r="G486" s="326"/>
    </row>
    <row r="487" spans="7:7" x14ac:dyDescent="0.3">
      <c r="G487" s="326"/>
    </row>
    <row r="488" spans="7:7" x14ac:dyDescent="0.3">
      <c r="G488" s="326"/>
    </row>
    <row r="489" spans="7:7" x14ac:dyDescent="0.3">
      <c r="G489" s="326"/>
    </row>
    <row r="490" spans="7:7" x14ac:dyDescent="0.3">
      <c r="G490" s="326"/>
    </row>
    <row r="491" spans="7:7" x14ac:dyDescent="0.3">
      <c r="G491" s="326"/>
    </row>
    <row r="492" spans="7:7" x14ac:dyDescent="0.3">
      <c r="G492" s="326"/>
    </row>
    <row r="493" spans="7:7" x14ac:dyDescent="0.3">
      <c r="G493" s="326"/>
    </row>
    <row r="494" spans="7:7" x14ac:dyDescent="0.3">
      <c r="G494" s="326"/>
    </row>
    <row r="495" spans="7:7" x14ac:dyDescent="0.3">
      <c r="G495" s="326"/>
    </row>
    <row r="496" spans="7:7" x14ac:dyDescent="0.3">
      <c r="G496" s="326"/>
    </row>
    <row r="497" spans="7:7" x14ac:dyDescent="0.3">
      <c r="G497" s="326"/>
    </row>
    <row r="498" spans="7:7" x14ac:dyDescent="0.3">
      <c r="G498" s="326"/>
    </row>
    <row r="499" spans="7:7" x14ac:dyDescent="0.3">
      <c r="G499" s="326"/>
    </row>
    <row r="500" spans="7:7" x14ac:dyDescent="0.3">
      <c r="G500" s="326"/>
    </row>
    <row r="501" spans="7:7" x14ac:dyDescent="0.3">
      <c r="G501" s="326"/>
    </row>
    <row r="502" spans="7:7" x14ac:dyDescent="0.3">
      <c r="G502" s="326"/>
    </row>
    <row r="503" spans="7:7" x14ac:dyDescent="0.3">
      <c r="G503" s="326"/>
    </row>
    <row r="504" spans="7:7" x14ac:dyDescent="0.3">
      <c r="G504" s="326"/>
    </row>
    <row r="505" spans="7:7" x14ac:dyDescent="0.3">
      <c r="G505" s="326"/>
    </row>
    <row r="506" spans="7:7" x14ac:dyDescent="0.3">
      <c r="G506" s="326"/>
    </row>
    <row r="507" spans="7:7" x14ac:dyDescent="0.3">
      <c r="G507" s="326"/>
    </row>
    <row r="508" spans="7:7" x14ac:dyDescent="0.3">
      <c r="G508" s="326"/>
    </row>
    <row r="509" spans="7:7" x14ac:dyDescent="0.3">
      <c r="G509" s="326"/>
    </row>
    <row r="510" spans="7:7" x14ac:dyDescent="0.3">
      <c r="G510" s="326"/>
    </row>
    <row r="511" spans="7:7" x14ac:dyDescent="0.3">
      <c r="G511" s="326"/>
    </row>
    <row r="512" spans="7:7" x14ac:dyDescent="0.3">
      <c r="G512" s="326"/>
    </row>
    <row r="513" spans="7:7" x14ac:dyDescent="0.3">
      <c r="G513" s="326"/>
    </row>
    <row r="514" spans="7:7" x14ac:dyDescent="0.3">
      <c r="G514" s="326"/>
    </row>
    <row r="515" spans="7:7" x14ac:dyDescent="0.3">
      <c r="G515" s="326"/>
    </row>
    <row r="516" spans="7:7" x14ac:dyDescent="0.3">
      <c r="G516" s="326"/>
    </row>
    <row r="517" spans="7:7" x14ac:dyDescent="0.3">
      <c r="G517" s="326"/>
    </row>
    <row r="518" spans="7:7" x14ac:dyDescent="0.3">
      <c r="G518" s="326"/>
    </row>
    <row r="519" spans="7:7" x14ac:dyDescent="0.3">
      <c r="G519" s="326"/>
    </row>
    <row r="520" spans="7:7" x14ac:dyDescent="0.3">
      <c r="G520" s="326"/>
    </row>
    <row r="521" spans="7:7" x14ac:dyDescent="0.3">
      <c r="G521" s="326"/>
    </row>
    <row r="522" spans="7:7" x14ac:dyDescent="0.3">
      <c r="G522" s="326"/>
    </row>
    <row r="523" spans="7:7" x14ac:dyDescent="0.3">
      <c r="G523" s="326"/>
    </row>
    <row r="524" spans="7:7" x14ac:dyDescent="0.3">
      <c r="G524" s="326"/>
    </row>
    <row r="525" spans="7:7" x14ac:dyDescent="0.3">
      <c r="G525" s="326"/>
    </row>
    <row r="526" spans="7:7" x14ac:dyDescent="0.3">
      <c r="G526" s="326"/>
    </row>
    <row r="527" spans="7:7" x14ac:dyDescent="0.3">
      <c r="G527" s="326"/>
    </row>
    <row r="528" spans="7:7" x14ac:dyDescent="0.3">
      <c r="G528" s="326"/>
    </row>
    <row r="529" spans="7:7" x14ac:dyDescent="0.3">
      <c r="G529" s="326"/>
    </row>
    <row r="530" spans="7:7" x14ac:dyDescent="0.3">
      <c r="G530" s="326"/>
    </row>
    <row r="531" spans="7:7" x14ac:dyDescent="0.3">
      <c r="G531" s="326"/>
    </row>
    <row r="532" spans="7:7" x14ac:dyDescent="0.3">
      <c r="G532" s="326"/>
    </row>
    <row r="533" spans="7:7" x14ac:dyDescent="0.3">
      <c r="G533" s="326"/>
    </row>
    <row r="534" spans="7:7" x14ac:dyDescent="0.3">
      <c r="G534" s="326"/>
    </row>
    <row r="535" spans="7:7" x14ac:dyDescent="0.3">
      <c r="G535" s="326"/>
    </row>
    <row r="536" spans="7:7" x14ac:dyDescent="0.3">
      <c r="G536" s="326"/>
    </row>
    <row r="537" spans="7:7" x14ac:dyDescent="0.3">
      <c r="G537" s="326"/>
    </row>
    <row r="538" spans="7:7" x14ac:dyDescent="0.3">
      <c r="G538" s="326"/>
    </row>
    <row r="539" spans="7:7" x14ac:dyDescent="0.3">
      <c r="G539" s="326"/>
    </row>
    <row r="540" spans="7:7" x14ac:dyDescent="0.3">
      <c r="G540" s="326"/>
    </row>
    <row r="541" spans="7:7" x14ac:dyDescent="0.3">
      <c r="G541" s="326"/>
    </row>
    <row r="542" spans="7:7" x14ac:dyDescent="0.3">
      <c r="G542" s="326"/>
    </row>
    <row r="543" spans="7:7" x14ac:dyDescent="0.3">
      <c r="G543" s="326"/>
    </row>
    <row r="544" spans="7:7" x14ac:dyDescent="0.3">
      <c r="G544" s="326"/>
    </row>
    <row r="545" spans="7:7" x14ac:dyDescent="0.3">
      <c r="G545" s="326"/>
    </row>
    <row r="546" spans="7:7" x14ac:dyDescent="0.3">
      <c r="G546" s="326"/>
    </row>
    <row r="547" spans="7:7" x14ac:dyDescent="0.3">
      <c r="G547" s="326"/>
    </row>
    <row r="548" spans="7:7" x14ac:dyDescent="0.3">
      <c r="G548" s="326"/>
    </row>
    <row r="549" spans="7:7" x14ac:dyDescent="0.3">
      <c r="G549" s="326"/>
    </row>
    <row r="550" spans="7:7" x14ac:dyDescent="0.3">
      <c r="G550" s="326"/>
    </row>
    <row r="551" spans="7:7" x14ac:dyDescent="0.3">
      <c r="G551" s="326"/>
    </row>
    <row r="552" spans="7:7" x14ac:dyDescent="0.3">
      <c r="G552" s="326"/>
    </row>
    <row r="553" spans="7:7" x14ac:dyDescent="0.3">
      <c r="G553" s="326"/>
    </row>
    <row r="554" spans="7:7" x14ac:dyDescent="0.3">
      <c r="G554" s="326"/>
    </row>
    <row r="555" spans="7:7" x14ac:dyDescent="0.3">
      <c r="G555" s="326"/>
    </row>
    <row r="556" spans="7:7" x14ac:dyDescent="0.3">
      <c r="G556" s="326"/>
    </row>
    <row r="557" spans="7:7" x14ac:dyDescent="0.3">
      <c r="G557" s="326"/>
    </row>
    <row r="558" spans="7:7" x14ac:dyDescent="0.3">
      <c r="G558" s="326"/>
    </row>
    <row r="559" spans="7:7" x14ac:dyDescent="0.3">
      <c r="G559" s="326"/>
    </row>
    <row r="560" spans="7:7" x14ac:dyDescent="0.3">
      <c r="G560" s="326"/>
    </row>
    <row r="561" spans="7:7" x14ac:dyDescent="0.3">
      <c r="G561" s="326"/>
    </row>
    <row r="562" spans="7:7" x14ac:dyDescent="0.3">
      <c r="G562" s="326"/>
    </row>
    <row r="563" spans="7:7" x14ac:dyDescent="0.3">
      <c r="G563" s="326"/>
    </row>
    <row r="564" spans="7:7" x14ac:dyDescent="0.3">
      <c r="G564" s="326"/>
    </row>
    <row r="565" spans="7:7" x14ac:dyDescent="0.3">
      <c r="G565" s="326"/>
    </row>
    <row r="566" spans="7:7" x14ac:dyDescent="0.3">
      <c r="G566" s="326"/>
    </row>
    <row r="567" spans="7:7" x14ac:dyDescent="0.3">
      <c r="G567" s="326"/>
    </row>
    <row r="568" spans="7:7" x14ac:dyDescent="0.3">
      <c r="G568" s="326"/>
    </row>
    <row r="569" spans="7:7" x14ac:dyDescent="0.3">
      <c r="G569" s="326"/>
    </row>
    <row r="570" spans="7:7" x14ac:dyDescent="0.3">
      <c r="G570" s="326"/>
    </row>
    <row r="571" spans="7:7" x14ac:dyDescent="0.3">
      <c r="G571" s="326"/>
    </row>
    <row r="572" spans="7:7" x14ac:dyDescent="0.3">
      <c r="G572" s="326"/>
    </row>
    <row r="573" spans="7:7" x14ac:dyDescent="0.3">
      <c r="G573" s="326"/>
    </row>
    <row r="574" spans="7:7" x14ac:dyDescent="0.3">
      <c r="G574" s="326"/>
    </row>
    <row r="575" spans="7:7" x14ac:dyDescent="0.3">
      <c r="G575" s="326"/>
    </row>
    <row r="576" spans="7:7" x14ac:dyDescent="0.3">
      <c r="G576" s="326"/>
    </row>
    <row r="577" spans="7:7" x14ac:dyDescent="0.3">
      <c r="G577" s="326"/>
    </row>
    <row r="578" spans="7:7" x14ac:dyDescent="0.3">
      <c r="G578" s="326"/>
    </row>
    <row r="579" spans="7:7" x14ac:dyDescent="0.3">
      <c r="G579" s="326"/>
    </row>
    <row r="580" spans="7:7" x14ac:dyDescent="0.3">
      <c r="G580" s="326"/>
    </row>
    <row r="581" spans="7:7" x14ac:dyDescent="0.3">
      <c r="G581" s="326"/>
    </row>
    <row r="582" spans="7:7" x14ac:dyDescent="0.3">
      <c r="G582" s="326"/>
    </row>
    <row r="583" spans="7:7" x14ac:dyDescent="0.3">
      <c r="G583" s="326"/>
    </row>
    <row r="584" spans="7:7" x14ac:dyDescent="0.3">
      <c r="G584" s="326"/>
    </row>
    <row r="585" spans="7:7" x14ac:dyDescent="0.3">
      <c r="G585" s="326"/>
    </row>
    <row r="586" spans="7:7" x14ac:dyDescent="0.3">
      <c r="G586" s="326"/>
    </row>
    <row r="587" spans="7:7" x14ac:dyDescent="0.3">
      <c r="G587" s="326"/>
    </row>
    <row r="588" spans="7:7" x14ac:dyDescent="0.3">
      <c r="G588" s="326"/>
    </row>
    <row r="589" spans="7:7" x14ac:dyDescent="0.3">
      <c r="G589" s="326"/>
    </row>
    <row r="590" spans="7:7" x14ac:dyDescent="0.3">
      <c r="G590" s="326"/>
    </row>
    <row r="591" spans="7:7" x14ac:dyDescent="0.3">
      <c r="G591" s="326"/>
    </row>
    <row r="592" spans="7:7" x14ac:dyDescent="0.3">
      <c r="G592" s="326"/>
    </row>
    <row r="593" spans="7:7" x14ac:dyDescent="0.3">
      <c r="G593" s="326"/>
    </row>
    <row r="594" spans="7:7" x14ac:dyDescent="0.3">
      <c r="G594" s="326"/>
    </row>
    <row r="595" spans="7:7" x14ac:dyDescent="0.3">
      <c r="G595" s="326"/>
    </row>
    <row r="596" spans="7:7" x14ac:dyDescent="0.3">
      <c r="G596" s="326"/>
    </row>
    <row r="597" spans="7:7" x14ac:dyDescent="0.3">
      <c r="G597" s="326"/>
    </row>
    <row r="598" spans="7:7" x14ac:dyDescent="0.3">
      <c r="G598" s="326"/>
    </row>
    <row r="599" spans="7:7" x14ac:dyDescent="0.3">
      <c r="G599" s="326"/>
    </row>
    <row r="600" spans="7:7" x14ac:dyDescent="0.3">
      <c r="G600" s="326"/>
    </row>
    <row r="601" spans="7:7" x14ac:dyDescent="0.3">
      <c r="G601" s="326"/>
    </row>
    <row r="602" spans="7:7" x14ac:dyDescent="0.3">
      <c r="G602" s="326"/>
    </row>
    <row r="603" spans="7:7" x14ac:dyDescent="0.3">
      <c r="G603" s="326"/>
    </row>
    <row r="604" spans="7:7" x14ac:dyDescent="0.3">
      <c r="G604" s="326"/>
    </row>
    <row r="605" spans="7:7" x14ac:dyDescent="0.3">
      <c r="G605" s="326"/>
    </row>
    <row r="606" spans="7:7" x14ac:dyDescent="0.3">
      <c r="G606" s="326"/>
    </row>
    <row r="607" spans="7:7" x14ac:dyDescent="0.3">
      <c r="G607" s="326"/>
    </row>
    <row r="608" spans="7:7" x14ac:dyDescent="0.3">
      <c r="G608" s="326"/>
    </row>
    <row r="609" spans="7:7" x14ac:dyDescent="0.3">
      <c r="G609" s="326"/>
    </row>
    <row r="610" spans="7:7" x14ac:dyDescent="0.3">
      <c r="G610" s="326"/>
    </row>
    <row r="611" spans="7:7" x14ac:dyDescent="0.3">
      <c r="G611" s="326"/>
    </row>
    <row r="612" spans="7:7" x14ac:dyDescent="0.3">
      <c r="G612" s="326"/>
    </row>
    <row r="613" spans="7:7" x14ac:dyDescent="0.3">
      <c r="G613" s="326"/>
    </row>
    <row r="614" spans="7:7" x14ac:dyDescent="0.3">
      <c r="G614" s="326"/>
    </row>
    <row r="615" spans="7:7" x14ac:dyDescent="0.3">
      <c r="G615" s="326"/>
    </row>
    <row r="616" spans="7:7" x14ac:dyDescent="0.3">
      <c r="G616" s="326"/>
    </row>
    <row r="617" spans="7:7" x14ac:dyDescent="0.3">
      <c r="G617" s="326"/>
    </row>
    <row r="618" spans="7:7" x14ac:dyDescent="0.3">
      <c r="G618" s="326"/>
    </row>
    <row r="619" spans="7:7" x14ac:dyDescent="0.3">
      <c r="G619" s="326"/>
    </row>
    <row r="620" spans="7:7" x14ac:dyDescent="0.3">
      <c r="G620" s="326"/>
    </row>
    <row r="621" spans="7:7" x14ac:dyDescent="0.3">
      <c r="G621" s="326"/>
    </row>
    <row r="622" spans="7:7" x14ac:dyDescent="0.3">
      <c r="G622" s="326"/>
    </row>
    <row r="623" spans="7:7" x14ac:dyDescent="0.3">
      <c r="G623" s="326"/>
    </row>
    <row r="624" spans="7:7" x14ac:dyDescent="0.3">
      <c r="G624" s="326"/>
    </row>
    <row r="625" spans="7:7" x14ac:dyDescent="0.3">
      <c r="G625" s="326"/>
    </row>
    <row r="626" spans="7:7" x14ac:dyDescent="0.3">
      <c r="G626" s="326"/>
    </row>
    <row r="627" spans="7:7" x14ac:dyDescent="0.3">
      <c r="G627" s="326"/>
    </row>
    <row r="628" spans="7:7" x14ac:dyDescent="0.3">
      <c r="G628" s="326"/>
    </row>
    <row r="629" spans="7:7" x14ac:dyDescent="0.3">
      <c r="G629" s="326"/>
    </row>
    <row r="630" spans="7:7" x14ac:dyDescent="0.3">
      <c r="G630" s="326"/>
    </row>
    <row r="631" spans="7:7" x14ac:dyDescent="0.3">
      <c r="G631" s="326"/>
    </row>
    <row r="632" spans="7:7" x14ac:dyDescent="0.3">
      <c r="G632" s="326"/>
    </row>
    <row r="633" spans="7:7" x14ac:dyDescent="0.3">
      <c r="G633" s="326"/>
    </row>
    <row r="634" spans="7:7" x14ac:dyDescent="0.3">
      <c r="G634" s="326"/>
    </row>
    <row r="635" spans="7:7" x14ac:dyDescent="0.3">
      <c r="G635" s="326"/>
    </row>
    <row r="636" spans="7:7" x14ac:dyDescent="0.3">
      <c r="G636" s="326"/>
    </row>
    <row r="637" spans="7:7" x14ac:dyDescent="0.3">
      <c r="G637" s="326"/>
    </row>
    <row r="638" spans="7:7" x14ac:dyDescent="0.3">
      <c r="G638" s="326"/>
    </row>
    <row r="639" spans="7:7" x14ac:dyDescent="0.3">
      <c r="G639" s="326"/>
    </row>
    <row r="640" spans="7:7" x14ac:dyDescent="0.3">
      <c r="G640" s="326"/>
    </row>
    <row r="641" spans="7:7" x14ac:dyDescent="0.3">
      <c r="G641" s="326"/>
    </row>
    <row r="642" spans="7:7" x14ac:dyDescent="0.3">
      <c r="G642" s="326"/>
    </row>
    <row r="643" spans="7:7" x14ac:dyDescent="0.3">
      <c r="G643" s="326"/>
    </row>
    <row r="644" spans="7:7" x14ac:dyDescent="0.3">
      <c r="G644" s="326"/>
    </row>
    <row r="645" spans="7:7" x14ac:dyDescent="0.3">
      <c r="G645" s="326"/>
    </row>
    <row r="646" spans="7:7" x14ac:dyDescent="0.3">
      <c r="G646" s="326"/>
    </row>
    <row r="647" spans="7:7" x14ac:dyDescent="0.3">
      <c r="G647" s="326"/>
    </row>
    <row r="648" spans="7:7" x14ac:dyDescent="0.3">
      <c r="G648" s="326"/>
    </row>
    <row r="649" spans="7:7" x14ac:dyDescent="0.3">
      <c r="G649" s="326"/>
    </row>
    <row r="650" spans="7:7" x14ac:dyDescent="0.3">
      <c r="G650" s="326"/>
    </row>
    <row r="651" spans="7:7" x14ac:dyDescent="0.3">
      <c r="G651" s="326"/>
    </row>
    <row r="652" spans="7:7" x14ac:dyDescent="0.3">
      <c r="G652" s="326"/>
    </row>
    <row r="653" spans="7:7" x14ac:dyDescent="0.3">
      <c r="G653" s="326"/>
    </row>
    <row r="654" spans="7:7" x14ac:dyDescent="0.3">
      <c r="G654" s="326"/>
    </row>
    <row r="655" spans="7:7" x14ac:dyDescent="0.3">
      <c r="G655" s="326"/>
    </row>
    <row r="656" spans="7:7" x14ac:dyDescent="0.3">
      <c r="G656" s="326"/>
    </row>
    <row r="657" spans="7:7" x14ac:dyDescent="0.3">
      <c r="G657" s="326"/>
    </row>
    <row r="658" spans="7:7" x14ac:dyDescent="0.3">
      <c r="G658" s="326"/>
    </row>
    <row r="659" spans="7:7" x14ac:dyDescent="0.3">
      <c r="G659" s="326"/>
    </row>
    <row r="660" spans="7:7" x14ac:dyDescent="0.3">
      <c r="G660" s="326"/>
    </row>
    <row r="661" spans="7:7" x14ac:dyDescent="0.3">
      <c r="G661" s="326"/>
    </row>
    <row r="662" spans="7:7" x14ac:dyDescent="0.3">
      <c r="G662" s="326"/>
    </row>
    <row r="663" spans="7:7" x14ac:dyDescent="0.3">
      <c r="G663" s="326"/>
    </row>
    <row r="664" spans="7:7" x14ac:dyDescent="0.3">
      <c r="G664" s="326"/>
    </row>
    <row r="665" spans="7:7" x14ac:dyDescent="0.3">
      <c r="G665" s="326"/>
    </row>
    <row r="666" spans="7:7" x14ac:dyDescent="0.3">
      <c r="G666" s="326"/>
    </row>
    <row r="667" spans="7:7" x14ac:dyDescent="0.3">
      <c r="G667" s="326"/>
    </row>
    <row r="668" spans="7:7" x14ac:dyDescent="0.3">
      <c r="G668" s="326"/>
    </row>
    <row r="669" spans="7:7" x14ac:dyDescent="0.3">
      <c r="G669" s="326"/>
    </row>
    <row r="670" spans="7:7" x14ac:dyDescent="0.3">
      <c r="G670" s="326"/>
    </row>
    <row r="671" spans="7:7" x14ac:dyDescent="0.3">
      <c r="G671" s="326"/>
    </row>
    <row r="672" spans="7:7" x14ac:dyDescent="0.3">
      <c r="G672" s="326"/>
    </row>
    <row r="673" spans="7:7" x14ac:dyDescent="0.3">
      <c r="G673" s="326"/>
    </row>
    <row r="674" spans="7:7" x14ac:dyDescent="0.3">
      <c r="G674" s="326"/>
    </row>
    <row r="675" spans="7:7" x14ac:dyDescent="0.3">
      <c r="G675" s="326"/>
    </row>
    <row r="676" spans="7:7" x14ac:dyDescent="0.3">
      <c r="G676" s="326"/>
    </row>
    <row r="677" spans="7:7" x14ac:dyDescent="0.3">
      <c r="G677" s="326"/>
    </row>
    <row r="678" spans="7:7" x14ac:dyDescent="0.3">
      <c r="G678" s="326"/>
    </row>
    <row r="679" spans="7:7" x14ac:dyDescent="0.3">
      <c r="G679" s="326"/>
    </row>
    <row r="680" spans="7:7" x14ac:dyDescent="0.3">
      <c r="G680" s="326"/>
    </row>
    <row r="681" spans="7:7" x14ac:dyDescent="0.3">
      <c r="G681" s="326"/>
    </row>
    <row r="682" spans="7:7" x14ac:dyDescent="0.3">
      <c r="G682" s="326"/>
    </row>
    <row r="683" spans="7:7" x14ac:dyDescent="0.3">
      <c r="G683" s="326"/>
    </row>
    <row r="684" spans="7:7" x14ac:dyDescent="0.3">
      <c r="G684" s="326"/>
    </row>
    <row r="685" spans="7:7" x14ac:dyDescent="0.3">
      <c r="G685" s="326"/>
    </row>
    <row r="686" spans="7:7" x14ac:dyDescent="0.3">
      <c r="G686" s="326"/>
    </row>
    <row r="687" spans="7:7" x14ac:dyDescent="0.3">
      <c r="G687" s="326"/>
    </row>
    <row r="688" spans="7:7" x14ac:dyDescent="0.3">
      <c r="G688" s="326"/>
    </row>
    <row r="689" spans="7:7" x14ac:dyDescent="0.3">
      <c r="G689" s="326"/>
    </row>
    <row r="690" spans="7:7" x14ac:dyDescent="0.3">
      <c r="G690" s="326"/>
    </row>
    <row r="691" spans="7:7" x14ac:dyDescent="0.3">
      <c r="G691" s="326"/>
    </row>
    <row r="692" spans="7:7" x14ac:dyDescent="0.3">
      <c r="G692" s="326"/>
    </row>
    <row r="693" spans="7:7" x14ac:dyDescent="0.3">
      <c r="G693" s="326"/>
    </row>
    <row r="694" spans="7:7" x14ac:dyDescent="0.3">
      <c r="G694" s="326"/>
    </row>
    <row r="695" spans="7:7" x14ac:dyDescent="0.3">
      <c r="G695" s="326"/>
    </row>
    <row r="696" spans="7:7" x14ac:dyDescent="0.3">
      <c r="G696" s="326"/>
    </row>
    <row r="697" spans="7:7" x14ac:dyDescent="0.3">
      <c r="G697" s="326"/>
    </row>
    <row r="698" spans="7:7" x14ac:dyDescent="0.3">
      <c r="G698" s="326"/>
    </row>
    <row r="699" spans="7:7" x14ac:dyDescent="0.3">
      <c r="G699" s="326"/>
    </row>
    <row r="700" spans="7:7" x14ac:dyDescent="0.3">
      <c r="G700" s="326"/>
    </row>
    <row r="701" spans="7:7" x14ac:dyDescent="0.3">
      <c r="G701" s="326"/>
    </row>
    <row r="702" spans="7:7" x14ac:dyDescent="0.3">
      <c r="G702" s="326"/>
    </row>
    <row r="703" spans="7:7" x14ac:dyDescent="0.3">
      <c r="G703" s="326"/>
    </row>
    <row r="704" spans="7:7" x14ac:dyDescent="0.3">
      <c r="G704" s="326"/>
    </row>
    <row r="705" spans="7:7" x14ac:dyDescent="0.3">
      <c r="G705" s="326"/>
    </row>
    <row r="706" spans="7:7" x14ac:dyDescent="0.3">
      <c r="G706" s="326"/>
    </row>
    <row r="707" spans="7:7" x14ac:dyDescent="0.3">
      <c r="G707" s="326"/>
    </row>
    <row r="708" spans="7:7" x14ac:dyDescent="0.3">
      <c r="G708" s="326"/>
    </row>
    <row r="709" spans="7:7" x14ac:dyDescent="0.3">
      <c r="G709" s="326"/>
    </row>
    <row r="710" spans="7:7" x14ac:dyDescent="0.3">
      <c r="G710" s="326"/>
    </row>
    <row r="711" spans="7:7" x14ac:dyDescent="0.3">
      <c r="G711" s="326"/>
    </row>
    <row r="712" spans="7:7" x14ac:dyDescent="0.3">
      <c r="G712" s="326"/>
    </row>
    <row r="713" spans="7:7" x14ac:dyDescent="0.3">
      <c r="G713" s="326"/>
    </row>
    <row r="714" spans="7:7" x14ac:dyDescent="0.3">
      <c r="G714" s="326"/>
    </row>
    <row r="715" spans="7:7" x14ac:dyDescent="0.3">
      <c r="G715" s="326"/>
    </row>
    <row r="716" spans="7:7" x14ac:dyDescent="0.3">
      <c r="G716" s="326"/>
    </row>
    <row r="717" spans="7:7" x14ac:dyDescent="0.3">
      <c r="G717" s="326"/>
    </row>
    <row r="718" spans="7:7" x14ac:dyDescent="0.3">
      <c r="G718" s="326"/>
    </row>
    <row r="719" spans="7:7" x14ac:dyDescent="0.3">
      <c r="G719" s="326"/>
    </row>
    <row r="720" spans="7:7" x14ac:dyDescent="0.3">
      <c r="G720" s="326"/>
    </row>
    <row r="721" spans="7:7" x14ac:dyDescent="0.3">
      <c r="G721" s="326"/>
    </row>
    <row r="722" spans="7:7" x14ac:dyDescent="0.3">
      <c r="G722" s="326"/>
    </row>
    <row r="723" spans="7:7" x14ac:dyDescent="0.3">
      <c r="G723" s="326"/>
    </row>
    <row r="724" spans="7:7" x14ac:dyDescent="0.3">
      <c r="G724" s="326"/>
    </row>
    <row r="725" spans="7:7" x14ac:dyDescent="0.3">
      <c r="G725" s="326"/>
    </row>
    <row r="726" spans="7:7" x14ac:dyDescent="0.3">
      <c r="G726" s="326"/>
    </row>
    <row r="727" spans="7:7" x14ac:dyDescent="0.3">
      <c r="G727" s="326"/>
    </row>
    <row r="728" spans="7:7" x14ac:dyDescent="0.3">
      <c r="G728" s="326"/>
    </row>
    <row r="729" spans="7:7" x14ac:dyDescent="0.3">
      <c r="G729" s="326"/>
    </row>
    <row r="730" spans="7:7" x14ac:dyDescent="0.3">
      <c r="G730" s="326"/>
    </row>
    <row r="731" spans="7:7" x14ac:dyDescent="0.3">
      <c r="G731" s="326"/>
    </row>
    <row r="732" spans="7:7" x14ac:dyDescent="0.3">
      <c r="G732" s="326"/>
    </row>
    <row r="733" spans="7:7" x14ac:dyDescent="0.3">
      <c r="G733" s="326"/>
    </row>
    <row r="734" spans="7:7" x14ac:dyDescent="0.3">
      <c r="G734" s="326"/>
    </row>
    <row r="735" spans="7:7" x14ac:dyDescent="0.3">
      <c r="G735" s="326"/>
    </row>
    <row r="736" spans="7:7" x14ac:dyDescent="0.3">
      <c r="G736" s="326"/>
    </row>
    <row r="737" spans="7:7" x14ac:dyDescent="0.3">
      <c r="G737" s="326"/>
    </row>
    <row r="738" spans="7:7" x14ac:dyDescent="0.3">
      <c r="G738" s="326"/>
    </row>
    <row r="739" spans="7:7" x14ac:dyDescent="0.3">
      <c r="G739" s="326"/>
    </row>
    <row r="740" spans="7:7" x14ac:dyDescent="0.3">
      <c r="G740" s="326"/>
    </row>
    <row r="741" spans="7:7" x14ac:dyDescent="0.3">
      <c r="G741" s="326"/>
    </row>
    <row r="742" spans="7:7" x14ac:dyDescent="0.3">
      <c r="G742" s="326"/>
    </row>
    <row r="743" spans="7:7" x14ac:dyDescent="0.3">
      <c r="G743" s="326"/>
    </row>
    <row r="744" spans="7:7" x14ac:dyDescent="0.3">
      <c r="G744" s="326"/>
    </row>
    <row r="745" spans="7:7" x14ac:dyDescent="0.3">
      <c r="G745" s="326"/>
    </row>
    <row r="746" spans="7:7" x14ac:dyDescent="0.3">
      <c r="G746" s="326"/>
    </row>
    <row r="747" spans="7:7" x14ac:dyDescent="0.3">
      <c r="G747" s="326"/>
    </row>
    <row r="748" spans="7:7" x14ac:dyDescent="0.3">
      <c r="G748" s="326"/>
    </row>
    <row r="749" spans="7:7" x14ac:dyDescent="0.3">
      <c r="G749" s="326"/>
    </row>
    <row r="750" spans="7:7" x14ac:dyDescent="0.3">
      <c r="G750" s="326"/>
    </row>
    <row r="751" spans="7:7" x14ac:dyDescent="0.3">
      <c r="G751" s="326"/>
    </row>
    <row r="752" spans="7:7" x14ac:dyDescent="0.3">
      <c r="G752" s="326"/>
    </row>
    <row r="753" spans="7:7" x14ac:dyDescent="0.3">
      <c r="G753" s="326"/>
    </row>
    <row r="754" spans="7:7" x14ac:dyDescent="0.3">
      <c r="G754" s="326"/>
    </row>
    <row r="755" spans="7:7" x14ac:dyDescent="0.3">
      <c r="G755" s="326"/>
    </row>
    <row r="756" spans="7:7" x14ac:dyDescent="0.3">
      <c r="G756" s="326"/>
    </row>
    <row r="757" spans="7:7" x14ac:dyDescent="0.3">
      <c r="G757" s="326"/>
    </row>
    <row r="758" spans="7:7" x14ac:dyDescent="0.3">
      <c r="G758" s="326"/>
    </row>
    <row r="759" spans="7:7" x14ac:dyDescent="0.3">
      <c r="G759" s="326"/>
    </row>
    <row r="760" spans="7:7" x14ac:dyDescent="0.3">
      <c r="G760" s="326"/>
    </row>
    <row r="761" spans="7:7" x14ac:dyDescent="0.3">
      <c r="G761" s="326"/>
    </row>
    <row r="762" spans="7:7" x14ac:dyDescent="0.3">
      <c r="G762" s="326"/>
    </row>
    <row r="763" spans="7:7" x14ac:dyDescent="0.3">
      <c r="G763" s="326"/>
    </row>
    <row r="764" spans="7:7" x14ac:dyDescent="0.3">
      <c r="G764" s="326"/>
    </row>
    <row r="765" spans="7:7" x14ac:dyDescent="0.3">
      <c r="G765" s="326"/>
    </row>
    <row r="766" spans="7:7" x14ac:dyDescent="0.3">
      <c r="G766" s="326"/>
    </row>
    <row r="767" spans="7:7" x14ac:dyDescent="0.3">
      <c r="G767" s="326"/>
    </row>
    <row r="768" spans="7:7" x14ac:dyDescent="0.3">
      <c r="G768" s="326"/>
    </row>
    <row r="769" spans="7:7" x14ac:dyDescent="0.3">
      <c r="G769" s="326"/>
    </row>
    <row r="770" spans="7:7" x14ac:dyDescent="0.3">
      <c r="G770" s="326"/>
    </row>
    <row r="771" spans="7:7" x14ac:dyDescent="0.3">
      <c r="G771" s="326"/>
    </row>
    <row r="772" spans="7:7" x14ac:dyDescent="0.3">
      <c r="G772" s="3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8C015991DEF446A7DFFE2316831A57" ma:contentTypeVersion="12" ma:contentTypeDescription="Crear nuevo documento." ma:contentTypeScope="" ma:versionID="06109559da059e24c9ef4045b7e5903f">
  <xsd:schema xmlns:xsd="http://www.w3.org/2001/XMLSchema" xmlns:xs="http://www.w3.org/2001/XMLSchema" xmlns:p="http://schemas.microsoft.com/office/2006/metadata/properties" xmlns:ns2="2873350d-239e-42a7-acc3-f07fc8788904" xmlns:ns3="76292c59-c7e2-46ea-b597-403888290d2b" targetNamespace="http://schemas.microsoft.com/office/2006/metadata/properties" ma:root="true" ma:fieldsID="9b7d1e31e91c7467edad3c7defd0673b" ns2:_="" ns3:_="">
    <xsd:import namespace="2873350d-239e-42a7-acc3-f07fc8788904"/>
    <xsd:import namespace="76292c59-c7e2-46ea-b597-403888290d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73350d-239e-42a7-acc3-f07fc8788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f00b8cc-7636-423d-af2d-b41e4678f0b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292c59-c7e2-46ea-b597-403888290d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b097f3-d8e5-4d2f-8c11-0c25f1cd3b5a}" ma:internalName="TaxCatchAll" ma:showField="CatchAllData" ma:web="76292c59-c7e2-46ea-b597-403888290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73350d-239e-42a7-acc3-f07fc8788904">
      <Terms xmlns="http://schemas.microsoft.com/office/infopath/2007/PartnerControls"/>
    </lcf76f155ced4ddcb4097134ff3c332f>
    <TaxCatchAll xmlns="76292c59-c7e2-46ea-b597-403888290d2b" xsi:nil="true"/>
  </documentManagement>
</p:properties>
</file>

<file path=customXml/itemProps1.xml><?xml version="1.0" encoding="utf-8"?>
<ds:datastoreItem xmlns:ds="http://schemas.openxmlformats.org/officeDocument/2006/customXml" ds:itemID="{1F87B286-29F4-457E-B25F-34C22B3DB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73350d-239e-42a7-acc3-f07fc8788904"/>
    <ds:schemaRef ds:uri="76292c59-c7e2-46ea-b597-403888290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87830F-E893-4888-B74A-90D7F26278E3}">
  <ds:schemaRefs>
    <ds:schemaRef ds:uri="http://schemas.microsoft.com/sharepoint/v3/contenttype/forms"/>
  </ds:schemaRefs>
</ds:datastoreItem>
</file>

<file path=customXml/itemProps3.xml><?xml version="1.0" encoding="utf-8"?>
<ds:datastoreItem xmlns:ds="http://schemas.openxmlformats.org/officeDocument/2006/customXml" ds:itemID="{12773675-051E-401C-9CA5-293FC5AD2880}">
  <ds:schemaRefs>
    <ds:schemaRef ds:uri="http://purl.org/dc/dcmitype/"/>
    <ds:schemaRef ds:uri="http://schemas.openxmlformats.org/package/2006/metadata/core-properties"/>
    <ds:schemaRef ds:uri="http://purl.org/dc/terms/"/>
    <ds:schemaRef ds:uri="http://www.w3.org/XML/1998/namespace"/>
    <ds:schemaRef ds:uri="76292c59-c7e2-46ea-b597-403888290d2b"/>
    <ds:schemaRef ds:uri="http://schemas.microsoft.com/office/infopath/2007/PartnerControls"/>
    <ds:schemaRef ds:uri="http://schemas.microsoft.com/office/2006/documentManagement/types"/>
    <ds:schemaRef ds:uri="2873350d-239e-42a7-acc3-f07fc878890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Dimensionament contracte</vt:lpstr>
      <vt:lpstr>Pla de releases</vt:lpstr>
      <vt:lpstr>Fites facturació</vt:lpstr>
      <vt:lpstr>Càlcul pressupost manteniment</vt:lpstr>
      <vt:lpstr>Perfils manteniment</vt:lpstr>
      <vt:lpstr>Model tallatge</vt:lpstr>
      <vt:lpstr>Tallatge èpiques</vt:lpstr>
      <vt:lpstr>Taules IJ</vt:lpstr>
      <vt:lpstr>Costos directes-indirectes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Ajuntament de Barcelona</dc:creator>
  <cp:keywords/>
  <dc:description/>
  <cp:lastModifiedBy>BOIX RODRIGUEZ, JORDI</cp:lastModifiedBy>
  <cp:revision/>
  <dcterms:created xsi:type="dcterms:W3CDTF">2024-10-31T09:57:23Z</dcterms:created>
  <dcterms:modified xsi:type="dcterms:W3CDTF">2026-02-24T17:28:41Z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0x010100A28C015991DEF446A7DFFE2316831A57</vt:lpwstr>
  </property>
  <property fmtid="{D5CDD505-2E9C-101B-9397-08002B2CF9AE}" pid="3" name="MediaServiceImageTags">
    <vt:lpwstr/>
  </property>
</Properties>
</file>