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K:\QUOTA\IMSS\Jurídic_restore\CONTRACTES\2026\26000009 P2500177 SAD GRAN\Doc. publicació\"/>
    </mc:Choice>
  </mc:AlternateContent>
  <xr:revisionPtr revIDLastSave="0" documentId="8_{01DDEC97-E161-497A-B0EE-01FFC185D689}" xr6:coauthVersionLast="47" xr6:coauthVersionMax="47" xr10:uidLastSave="{00000000-0000-0000-0000-000000000000}"/>
  <bookViews>
    <workbookView xWindow="-50" yWindow="-50" windowWidth="19300" windowHeight="10300" tabRatio="906" firstSheet="9" activeTab="10" xr2:uid="{00000000-000D-0000-FFFF-FFFF00000000}"/>
  </bookViews>
  <sheets>
    <sheet name="PREUS UNITARIS" sheetId="21" state="hidden" r:id="rId1"/>
    <sheet name="CD+CI" sheetId="20" state="hidden" r:id="rId2"/>
    <sheet name="Recalcul EXECUCIÓ" sheetId="16" state="hidden" r:id="rId3"/>
    <sheet name="PBL" sheetId="18" state="hidden" r:id="rId4"/>
    <sheet name="VEC" sheetId="19" state="hidden" r:id="rId5"/>
    <sheet name="Annex3bis (lot1 1er any)" sheetId="3" r:id="rId6"/>
    <sheet name="Annex4bis (lot 1 2on any)" sheetId="6" r:id="rId7"/>
    <sheet name="Annex5bis (Lot1 3er any)" sheetId="4" r:id="rId8"/>
    <sheet name="Annex6bis (lot 2 1er any) " sheetId="5" r:id="rId9"/>
    <sheet name="Annex7bis (lot2 2on any)" sheetId="1" r:id="rId10"/>
    <sheet name="Annex8bis (lot2 3er any) " sheetId="7" r:id="rId11"/>
    <sheet name="Annex9bis (lot 3 1er any) " sheetId="9" r:id="rId12"/>
    <sheet name="Annex10bis (lot 3 2er any)" sheetId="10" r:id="rId13"/>
    <sheet name="Annex11bis (lot 3 3er any) " sheetId="11" r:id="rId14"/>
    <sheet name="Annex12bis (lot 4 1er any) " sheetId="14" r:id="rId15"/>
    <sheet name="Annex13bis (lot 4 2on any) " sheetId="13" r:id="rId16"/>
    <sheet name="Annex14bis (lot 4 3er any) " sheetId="15" r:id="rId17"/>
  </sheets>
  <externalReferences>
    <externalReference r:id="rId18"/>
  </externalReferences>
  <definedNames>
    <definedName name="_xlnm.Print_Area" localSheetId="12">'Annex10bis (lot 3 2er any)'!$A$1:$K$24</definedName>
    <definedName name="_xlnm.Print_Area" localSheetId="13">'Annex11bis (lot 3 3er any) '!$A$1:$K$24</definedName>
    <definedName name="_xlnm.Print_Area" localSheetId="14">'Annex12bis (lot 4 1er any) '!$A$1:$K$24</definedName>
    <definedName name="_xlnm.Print_Area" localSheetId="15">'Annex13bis (lot 4 2on any) '!$A$1:$K$24</definedName>
    <definedName name="_xlnm.Print_Area" localSheetId="16">'Annex14bis (lot 4 3er any) '!$A$1:$K$24</definedName>
    <definedName name="_xlnm.Print_Area" localSheetId="5">'Annex3bis (lot1 1er any)'!$A$1:$K$24</definedName>
    <definedName name="_xlnm.Print_Area" localSheetId="6">'Annex4bis (lot 1 2on any)'!$A$1:$K$24</definedName>
    <definedName name="_xlnm.Print_Area" localSheetId="7">'Annex5bis (Lot1 3er any)'!$A$1:$K$24</definedName>
    <definedName name="_xlnm.Print_Area" localSheetId="8">'Annex6bis (lot 2 1er any) '!$A$1:$K$24</definedName>
    <definedName name="_xlnm.Print_Area" localSheetId="9">'Annex7bis (lot2 2on any)'!$A$1:$K$24</definedName>
    <definedName name="_xlnm.Print_Area" localSheetId="10">'Annex8bis (lot2 3er any) '!$A$1:$K$24</definedName>
    <definedName name="_xlnm.Print_Area" localSheetId="11">'Annex9bis (lot 3 1er any) '!$A$1:$K$24</definedName>
    <definedName name="CostAuxiliarHora">#REF!</definedName>
    <definedName name="CostDireccióHora">#REF!</definedName>
    <definedName name="CostMenú">#REF!</definedName>
    <definedName name="HoresSessió">#REF!</definedName>
    <definedName name="SessionsAnual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5" l="1"/>
  <c r="I11" i="15"/>
  <c r="I10" i="15"/>
  <c r="I9" i="15"/>
  <c r="I12" i="13"/>
  <c r="I11" i="13"/>
  <c r="I9" i="13"/>
  <c r="I10" i="13"/>
  <c r="I12" i="14"/>
  <c r="I11" i="14"/>
  <c r="I10" i="14"/>
  <c r="I9" i="14"/>
  <c r="I15" i="1"/>
  <c r="I16" i="1" s="1"/>
  <c r="I17" i="1" s="1"/>
  <c r="I15" i="7"/>
  <c r="I17" i="7" s="1"/>
  <c r="I12" i="11"/>
  <c r="I11" i="11"/>
  <c r="I10" i="11"/>
  <c r="I9" i="11"/>
  <c r="I12" i="10"/>
  <c r="I11" i="10"/>
  <c r="I10" i="10"/>
  <c r="I9" i="10"/>
  <c r="I12" i="9"/>
  <c r="I11" i="9"/>
  <c r="I10" i="9"/>
  <c r="I9" i="9"/>
  <c r="I16" i="7"/>
  <c r="I12" i="7"/>
  <c r="I11" i="7"/>
  <c r="I10" i="7"/>
  <c r="I9" i="7"/>
  <c r="I12" i="1"/>
  <c r="I11" i="1"/>
  <c r="I10" i="1"/>
  <c r="I9" i="1"/>
  <c r="I12" i="5"/>
  <c r="I11" i="5"/>
  <c r="I10" i="5"/>
  <c r="I9" i="5"/>
  <c r="I12" i="4"/>
  <c r="I11" i="4"/>
  <c r="I10" i="4"/>
  <c r="I9" i="4"/>
  <c r="I12" i="3"/>
  <c r="I11" i="3"/>
  <c r="I13" i="3" s="1"/>
  <c r="I10" i="3"/>
  <c r="I9" i="3"/>
  <c r="G9" i="3"/>
  <c r="I13" i="15" l="1"/>
  <c r="I15" i="15" s="1"/>
  <c r="I16" i="15" s="1"/>
  <c r="I17" i="15" s="1"/>
  <c r="I13" i="13"/>
  <c r="I15" i="13" s="1"/>
  <c r="I16" i="13" s="1"/>
  <c r="I17" i="13" s="1"/>
  <c r="I13" i="14"/>
  <c r="I15" i="14" s="1"/>
  <c r="I16" i="14" s="1"/>
  <c r="I17" i="14" s="1"/>
  <c r="I13" i="11"/>
  <c r="I15" i="11" s="1"/>
  <c r="I13" i="10"/>
  <c r="I15" i="10" s="1"/>
  <c r="I16" i="10" s="1"/>
  <c r="I17" i="10" s="1"/>
  <c r="I13" i="9"/>
  <c r="I15" i="9" s="1"/>
  <c r="I16" i="9" s="1"/>
  <c r="I17" i="9" s="1"/>
  <c r="I13" i="7"/>
  <c r="I13" i="1"/>
  <c r="I13" i="5"/>
  <c r="I15" i="5" s="1"/>
  <c r="I16" i="5" s="1"/>
  <c r="I17" i="5" s="1"/>
  <c r="I13" i="4"/>
  <c r="I15" i="4" s="1"/>
  <c r="I16" i="4" s="1"/>
  <c r="I17" i="4" s="1"/>
  <c r="I15" i="3"/>
  <c r="I16" i="3" s="1"/>
  <c r="I17" i="3" s="1"/>
  <c r="G16" i="6"/>
  <c r="I12" i="6"/>
  <c r="I11" i="6"/>
  <c r="I10" i="6"/>
  <c r="I9" i="6"/>
  <c r="I16" i="11" l="1"/>
  <c r="I17" i="11" s="1"/>
  <c r="I13" i="6"/>
  <c r="I15" i="6" s="1"/>
  <c r="I16" i="6" s="1"/>
  <c r="I17" i="6" s="1"/>
  <c r="J44" i="16"/>
  <c r="J40" i="16"/>
  <c r="J22" i="18"/>
  <c r="F8" i="19"/>
  <c r="F9" i="19"/>
  <c r="J43" i="18"/>
  <c r="F30" i="21"/>
  <c r="F31" i="21"/>
  <c r="F32" i="21"/>
  <c r="F34" i="21"/>
  <c r="F35" i="21"/>
  <c r="F36" i="21"/>
  <c r="F37" i="21"/>
  <c r="F39" i="21"/>
  <c r="F40" i="21"/>
  <c r="F41" i="21"/>
  <c r="F42" i="21"/>
  <c r="F44" i="21"/>
  <c r="F45" i="21"/>
  <c r="F46" i="21"/>
  <c r="F47" i="21"/>
  <c r="F29" i="21"/>
  <c r="E30" i="21"/>
  <c r="E31" i="21"/>
  <c r="E32" i="21"/>
  <c r="E34" i="21"/>
  <c r="E35" i="21"/>
  <c r="E36" i="21"/>
  <c r="E37" i="21"/>
  <c r="E39" i="21"/>
  <c r="E40" i="21"/>
  <c r="E41" i="21"/>
  <c r="E42" i="21"/>
  <c r="E44" i="21"/>
  <c r="E45" i="21"/>
  <c r="E46" i="21"/>
  <c r="E47" i="21"/>
  <c r="E29" i="21"/>
  <c r="D30" i="21"/>
  <c r="D31" i="21"/>
  <c r="D32" i="21"/>
  <c r="D34" i="21"/>
  <c r="D35" i="21"/>
  <c r="D36" i="21"/>
  <c r="D37" i="21"/>
  <c r="D39" i="21"/>
  <c r="D40" i="21"/>
  <c r="D41" i="21"/>
  <c r="D42" i="21"/>
  <c r="D44" i="21"/>
  <c r="D45" i="21"/>
  <c r="D46" i="21"/>
  <c r="D47" i="21"/>
  <c r="D29" i="21"/>
  <c r="I52" i="16"/>
  <c r="C35" i="19" s="1"/>
  <c r="H52" i="16"/>
  <c r="H20" i="18" s="1"/>
  <c r="G10" i="7"/>
  <c r="G11" i="7"/>
  <c r="G12" i="7"/>
  <c r="E53" i="16"/>
  <c r="F53" i="16"/>
  <c r="G53" i="16"/>
  <c r="D53" i="16"/>
  <c r="D11" i="20"/>
  <c r="I53" i="16" l="1"/>
  <c r="H21" i="18"/>
  <c r="H22" i="18" s="1"/>
  <c r="J26" i="18"/>
  <c r="F47" i="20"/>
  <c r="F48" i="20" s="1"/>
  <c r="D46" i="20"/>
  <c r="J81" i="16"/>
  <c r="J82" i="16" s="1"/>
  <c r="E32" i="20"/>
  <c r="D33" i="20"/>
  <c r="F36" i="20"/>
  <c r="F33" i="20"/>
  <c r="F60" i="20" s="1"/>
  <c r="F32" i="20"/>
  <c r="F59" i="20" s="1"/>
  <c r="G10" i="9"/>
  <c r="G11" i="9"/>
  <c r="G12" i="9"/>
  <c r="G9" i="9"/>
  <c r="G13" i="9" s="1"/>
  <c r="F50" i="20"/>
  <c r="F49" i="20"/>
  <c r="D50" i="20"/>
  <c r="D49" i="20"/>
  <c r="D47" i="20"/>
  <c r="D60" i="20" s="1"/>
  <c r="E46" i="20"/>
  <c r="E36" i="20"/>
  <c r="E63" i="20" s="1"/>
  <c r="E35" i="20"/>
  <c r="E62" i="20" s="1"/>
  <c r="E33" i="20"/>
  <c r="E60" i="20" s="1"/>
  <c r="F51" i="20" l="1"/>
  <c r="E34" i="20"/>
  <c r="E59" i="20"/>
  <c r="D51" i="20"/>
  <c r="D52" i="20"/>
  <c r="D59" i="20"/>
  <c r="D61" i="20" s="1"/>
  <c r="F34" i="20"/>
  <c r="E37" i="20"/>
  <c r="D48" i="20"/>
  <c r="G32" i="20"/>
  <c r="G33" i="20"/>
  <c r="D34" i="20"/>
  <c r="D35" i="20" s="1"/>
  <c r="D62" i="20" s="1"/>
  <c r="F35" i="20" l="1"/>
  <c r="G34" i="20"/>
  <c r="D36" i="20"/>
  <c r="G35" i="20"/>
  <c r="G36" i="20" l="1"/>
  <c r="G63" i="20" s="1"/>
  <c r="D63" i="20"/>
  <c r="F37" i="20"/>
  <c r="F38" i="20" s="1"/>
  <c r="D37" i="20"/>
  <c r="D38" i="20" s="1"/>
  <c r="G37" i="20"/>
  <c r="H10" i="18" l="1"/>
  <c r="H9" i="18"/>
  <c r="H8" i="18"/>
  <c r="H7" i="18"/>
  <c r="C19" i="19" s="1"/>
  <c r="E25" i="16"/>
  <c r="E26" i="16" s="1"/>
  <c r="F25" i="16"/>
  <c r="F26" i="16" s="1"/>
  <c r="G25" i="16"/>
  <c r="G26" i="16" s="1"/>
  <c r="H25" i="16"/>
  <c r="H26" i="16" s="1"/>
  <c r="I25" i="16"/>
  <c r="I26" i="16" s="1"/>
  <c r="D25" i="16"/>
  <c r="D26" i="16" s="1"/>
  <c r="J24" i="16"/>
  <c r="J25" i="16" s="1"/>
  <c r="J26" i="16" s="1"/>
  <c r="G10" i="3"/>
  <c r="G11" i="3"/>
  <c r="G12" i="3"/>
  <c r="I9" i="16"/>
  <c r="H9" i="16"/>
  <c r="F9" i="20"/>
  <c r="F62" i="20" s="1"/>
  <c r="F8" i="20"/>
  <c r="H11" i="18" l="1"/>
  <c r="C20" i="19"/>
  <c r="C25" i="19" s="1"/>
  <c r="F10" i="20"/>
  <c r="F63" i="20" s="1"/>
  <c r="F64" i="20" s="1"/>
  <c r="F11" i="20" l="1"/>
  <c r="F12" i="20" s="1"/>
  <c r="E11" i="20" l="1"/>
  <c r="E8" i="20"/>
  <c r="F54" i="20" l="1"/>
  <c r="E54" i="20"/>
  <c r="D54" i="20"/>
  <c r="F40" i="20"/>
  <c r="F41" i="20" s="1"/>
  <c r="E40" i="20"/>
  <c r="D40" i="20"/>
  <c r="D39" i="19"/>
  <c r="F37" i="19"/>
  <c r="D53" i="19"/>
  <c r="D67" i="19"/>
  <c r="D25" i="19"/>
  <c r="F36" i="19"/>
  <c r="F22" i="19"/>
  <c r="F23" i="19"/>
  <c r="F65" i="19"/>
  <c r="F51" i="19"/>
  <c r="F60" i="19"/>
  <c r="F46" i="19"/>
  <c r="F21" i="19"/>
  <c r="F18" i="19"/>
  <c r="F50" i="19" l="1"/>
  <c r="D11" i="19"/>
  <c r="F64" i="19"/>
  <c r="E24" i="20" l="1"/>
  <c r="D24" i="20"/>
  <c r="D64" i="20" s="1"/>
  <c r="E64" i="20"/>
  <c r="G49" i="20"/>
  <c r="G62" i="20" s="1"/>
  <c r="G64" i="20" s="1"/>
  <c r="F61" i="20"/>
  <c r="E119" i="16"/>
  <c r="F119" i="16"/>
  <c r="G119" i="16"/>
  <c r="H119" i="16"/>
  <c r="I119" i="16"/>
  <c r="D119" i="16"/>
  <c r="G7" i="20"/>
  <c r="G60" i="20" s="1"/>
  <c r="G6" i="20"/>
  <c r="F21" i="20"/>
  <c r="G10" i="11"/>
  <c r="G11" i="11"/>
  <c r="G12" i="11"/>
  <c r="G10" i="10"/>
  <c r="G11" i="10"/>
  <c r="G12" i="10"/>
  <c r="E21" i="20"/>
  <c r="D21" i="20"/>
  <c r="F24" i="20" l="1"/>
  <c r="F25" i="20"/>
  <c r="G24" i="20"/>
  <c r="G21" i="20"/>
  <c r="D8" i="20"/>
  <c r="G10" i="6" l="1"/>
  <c r="G11" i="6"/>
  <c r="G12" i="6"/>
  <c r="G9" i="6"/>
  <c r="G13" i="6" s="1"/>
  <c r="E14" i="20" s="1"/>
  <c r="K17" i="18"/>
  <c r="K18" i="18"/>
  <c r="K19" i="18"/>
  <c r="K20" i="18"/>
  <c r="K21" i="18"/>
  <c r="F131" i="16"/>
  <c r="G131" i="16"/>
  <c r="F127" i="16"/>
  <c r="G127" i="16"/>
  <c r="E124" i="16"/>
  <c r="F124" i="16"/>
  <c r="G124" i="16"/>
  <c r="H124" i="16"/>
  <c r="I124" i="16"/>
  <c r="D124" i="16"/>
  <c r="F20" i="19" l="1"/>
  <c r="J124" i="16"/>
  <c r="G10" i="5"/>
  <c r="G11" i="5"/>
  <c r="G12" i="5"/>
  <c r="G19" i="20"/>
  <c r="G9" i="5"/>
  <c r="G13" i="5" l="1"/>
  <c r="D27" i="20" s="1"/>
  <c r="F19" i="19"/>
  <c r="G15" i="5"/>
  <c r="E24" i="19" l="1"/>
  <c r="E25" i="19" s="1"/>
  <c r="E48" i="20"/>
  <c r="G46" i="20"/>
  <c r="G59" i="20" s="1"/>
  <c r="G61" i="20" s="1"/>
  <c r="F24" i="19" l="1"/>
  <c r="F25" i="19" s="1"/>
  <c r="G48" i="20"/>
  <c r="D25" i="20"/>
  <c r="D28" i="20" l="1"/>
  <c r="E51" i="20"/>
  <c r="D41" i="20"/>
  <c r="G51" i="20" l="1"/>
  <c r="E52" i="20"/>
  <c r="E55" i="20" s="1"/>
  <c r="F52" i="20"/>
  <c r="F55" i="20" s="1"/>
  <c r="E38" i="20"/>
  <c r="D55" i="20"/>
  <c r="E41" i="20" l="1"/>
  <c r="G52" i="20"/>
  <c r="E25" i="20"/>
  <c r="G25" i="20" s="1"/>
  <c r="C34" i="20" l="1"/>
  <c r="C48" i="20"/>
  <c r="C51" i="20"/>
  <c r="C37" i="20"/>
  <c r="E61" i="20" l="1"/>
  <c r="G8" i="20"/>
  <c r="K26" i="18" l="1"/>
  <c r="K16" i="18"/>
  <c r="K8" i="18"/>
  <c r="K5" i="18"/>
  <c r="K10" i="18"/>
  <c r="K9" i="18"/>
  <c r="K7" i="18"/>
  <c r="F65" i="20" l="1"/>
  <c r="D12" i="20"/>
  <c r="D65" i="20" s="1"/>
  <c r="K22" i="18"/>
  <c r="K6" i="18" l="1"/>
  <c r="K11" i="18" s="1"/>
  <c r="J11" i="18"/>
  <c r="C21" i="20"/>
  <c r="G11" i="20"/>
  <c r="C24" i="20"/>
  <c r="E12" i="20"/>
  <c r="D96" i="16"/>
  <c r="H37" i="16"/>
  <c r="I37" i="16"/>
  <c r="F37" i="16"/>
  <c r="G37" i="16"/>
  <c r="H96" i="16"/>
  <c r="G96" i="16"/>
  <c r="F96" i="16"/>
  <c r="F45" i="16"/>
  <c r="G45" i="16"/>
  <c r="I92" i="16"/>
  <c r="H92" i="16"/>
  <c r="G92" i="16"/>
  <c r="F92" i="16"/>
  <c r="I96" i="16"/>
  <c r="H73" i="16"/>
  <c r="I77" i="16"/>
  <c r="E9" i="16"/>
  <c r="F9" i="16"/>
  <c r="G9" i="16"/>
  <c r="D9" i="16"/>
  <c r="J12" i="16"/>
  <c r="J13" i="16" s="1"/>
  <c r="I41" i="16"/>
  <c r="H41" i="16"/>
  <c r="E21" i="16"/>
  <c r="F21" i="16"/>
  <c r="G21" i="16"/>
  <c r="H21" i="16"/>
  <c r="I21" i="16"/>
  <c r="J21" i="16"/>
  <c r="D21" i="16"/>
  <c r="J17" i="16"/>
  <c r="E17" i="16"/>
  <c r="F17" i="16"/>
  <c r="G17" i="16"/>
  <c r="H17" i="16"/>
  <c r="I17" i="16"/>
  <c r="D17" i="16"/>
  <c r="E13" i="16"/>
  <c r="F13" i="16"/>
  <c r="G13" i="16"/>
  <c r="H13" i="16"/>
  <c r="I13" i="16"/>
  <c r="D13" i="16"/>
  <c r="E96" i="16"/>
  <c r="E92" i="16"/>
  <c r="D92" i="16"/>
  <c r="E41" i="16"/>
  <c r="F41" i="16"/>
  <c r="G41" i="16"/>
  <c r="D41" i="16"/>
  <c r="E37" i="16"/>
  <c r="J8" i="16"/>
  <c r="E15" i="20" l="1"/>
  <c r="E65" i="20"/>
  <c r="G65" i="20" s="1"/>
  <c r="H53" i="16"/>
  <c r="J52" i="16"/>
  <c r="G12" i="20"/>
  <c r="H77" i="16"/>
  <c r="I73" i="16"/>
  <c r="J91" i="16"/>
  <c r="J92" i="16" s="1"/>
  <c r="J95" i="16"/>
  <c r="J96" i="16" s="1"/>
  <c r="J36" i="16"/>
  <c r="D37" i="16"/>
  <c r="J41" i="16"/>
  <c r="J9" i="16"/>
  <c r="J53" i="16" l="1"/>
  <c r="J54" i="16"/>
  <c r="J37" i="16"/>
  <c r="C61" i="20" l="1"/>
  <c r="G12" i="15"/>
  <c r="G11" i="15"/>
  <c r="G10" i="15"/>
  <c r="G9" i="15"/>
  <c r="G12" i="14"/>
  <c r="G11" i="14"/>
  <c r="G10" i="14"/>
  <c r="G9" i="14"/>
  <c r="G12" i="13"/>
  <c r="G11" i="13"/>
  <c r="G10" i="13"/>
  <c r="G9" i="13"/>
  <c r="G13" i="13" s="1"/>
  <c r="D99" i="16" l="1"/>
  <c r="E99" i="16"/>
  <c r="G13" i="14"/>
  <c r="H100" i="16"/>
  <c r="D103" i="16"/>
  <c r="E103" i="16"/>
  <c r="G104" i="16"/>
  <c r="G100" i="16"/>
  <c r="G13" i="15"/>
  <c r="G16" i="15" s="1"/>
  <c r="G17" i="15" s="1"/>
  <c r="G16" i="13"/>
  <c r="G17" i="13" s="1"/>
  <c r="G16" i="14"/>
  <c r="G17" i="14" s="1"/>
  <c r="H104" i="16" l="1"/>
  <c r="H107" i="16" s="1"/>
  <c r="H131" i="16"/>
  <c r="D131" i="16"/>
  <c r="D104" i="16"/>
  <c r="E131" i="16"/>
  <c r="E104" i="16"/>
  <c r="I100" i="16"/>
  <c r="I127" i="16"/>
  <c r="E100" i="16"/>
  <c r="E127" i="16"/>
  <c r="I104" i="16"/>
  <c r="I131" i="16"/>
  <c r="D100" i="16"/>
  <c r="D127" i="16"/>
  <c r="G107" i="16"/>
  <c r="F104" i="16"/>
  <c r="J103" i="16"/>
  <c r="F100" i="16"/>
  <c r="J99" i="16"/>
  <c r="J100" i="16" s="1"/>
  <c r="G9" i="11"/>
  <c r="G13" i="11" s="1"/>
  <c r="G9" i="10"/>
  <c r="G13" i="10" s="1"/>
  <c r="H40" i="18" l="1"/>
  <c r="G108" i="16"/>
  <c r="G109" i="16" s="1"/>
  <c r="H41" i="18"/>
  <c r="H108" i="16"/>
  <c r="H109" i="16" s="1"/>
  <c r="I107" i="16"/>
  <c r="C63" i="19"/>
  <c r="F63" i="19" s="1"/>
  <c r="C62" i="19"/>
  <c r="F62" i="19" s="1"/>
  <c r="J104" i="16"/>
  <c r="D107" i="16"/>
  <c r="E107" i="16"/>
  <c r="J131" i="16"/>
  <c r="F107" i="16"/>
  <c r="G77" i="16"/>
  <c r="F77" i="16"/>
  <c r="G65" i="16"/>
  <c r="F65" i="16"/>
  <c r="E73" i="16"/>
  <c r="I65" i="16"/>
  <c r="H65" i="16"/>
  <c r="E69" i="16"/>
  <c r="E125" i="16" s="1"/>
  <c r="E65" i="16"/>
  <c r="G16" i="10"/>
  <c r="G17" i="10" s="1"/>
  <c r="G16" i="9"/>
  <c r="G17" i="9" s="1"/>
  <c r="K41" i="18" l="1"/>
  <c r="H42" i="18"/>
  <c r="I108" i="16"/>
  <c r="I109" i="16" s="1"/>
  <c r="H37" i="18"/>
  <c r="D108" i="16"/>
  <c r="D109" i="16" s="1"/>
  <c r="H38" i="18"/>
  <c r="E108" i="16"/>
  <c r="E109" i="16" s="1"/>
  <c r="H39" i="18"/>
  <c r="F108" i="16"/>
  <c r="F109" i="16" s="1"/>
  <c r="K40" i="18"/>
  <c r="G120" i="16"/>
  <c r="F120" i="16"/>
  <c r="E120" i="16"/>
  <c r="C61" i="19"/>
  <c r="J107" i="16"/>
  <c r="G69" i="16"/>
  <c r="I69" i="16"/>
  <c r="I125" i="16" s="1"/>
  <c r="H69" i="16"/>
  <c r="H80" i="16" s="1"/>
  <c r="J64" i="16"/>
  <c r="F73" i="16"/>
  <c r="F128" i="16"/>
  <c r="G128" i="16"/>
  <c r="G73" i="16"/>
  <c r="D77" i="16"/>
  <c r="J76" i="16"/>
  <c r="E77" i="16"/>
  <c r="E80" i="16" s="1"/>
  <c r="D73" i="16"/>
  <c r="J72" i="16"/>
  <c r="H120" i="16"/>
  <c r="I120" i="16"/>
  <c r="D69" i="16"/>
  <c r="D125" i="16" s="1"/>
  <c r="J68" i="16"/>
  <c r="F69" i="16"/>
  <c r="G16" i="11"/>
  <c r="G17" i="11" s="1"/>
  <c r="D65" i="16"/>
  <c r="K37" i="18" l="1"/>
  <c r="F80" i="16"/>
  <c r="G80" i="16"/>
  <c r="G135" i="16" s="1"/>
  <c r="H135" i="16"/>
  <c r="H136" i="16" s="1"/>
  <c r="H30" i="18"/>
  <c r="H81" i="16"/>
  <c r="H82" i="16"/>
  <c r="H50" i="18"/>
  <c r="H43" i="18"/>
  <c r="F135" i="16"/>
  <c r="F136" i="16" s="1"/>
  <c r="H28" i="18"/>
  <c r="F81" i="16"/>
  <c r="F82" i="16" s="1"/>
  <c r="K39" i="18"/>
  <c r="I80" i="16"/>
  <c r="E135" i="16"/>
  <c r="H27" i="18"/>
  <c r="E81" i="16"/>
  <c r="E82" i="16" s="1"/>
  <c r="J108" i="16"/>
  <c r="J109" i="16" s="1"/>
  <c r="J135" i="16"/>
  <c r="G81" i="16"/>
  <c r="G82" i="16" s="1"/>
  <c r="H29" i="18"/>
  <c r="K38" i="18"/>
  <c r="D120" i="16"/>
  <c r="D80" i="16"/>
  <c r="G125" i="16"/>
  <c r="F125" i="16"/>
  <c r="J77" i="16"/>
  <c r="F61" i="19"/>
  <c r="C67" i="19"/>
  <c r="J65" i="16"/>
  <c r="J119" i="16"/>
  <c r="H125" i="16"/>
  <c r="J73" i="16"/>
  <c r="J69" i="16"/>
  <c r="G9" i="7"/>
  <c r="G13" i="7" s="1"/>
  <c r="G15" i="7" s="1"/>
  <c r="F27" i="20" s="1"/>
  <c r="F28" i="20" s="1"/>
  <c r="G15" i="6"/>
  <c r="K42" i="18" l="1"/>
  <c r="H51" i="18"/>
  <c r="J51" i="18" s="1"/>
  <c r="J27" i="18"/>
  <c r="K27" i="18" s="1"/>
  <c r="C5" i="19"/>
  <c r="F5" i="19" s="1"/>
  <c r="E136" i="16"/>
  <c r="K43" i="18"/>
  <c r="D81" i="16"/>
  <c r="D82" i="16" s="1"/>
  <c r="D135" i="16"/>
  <c r="C4" i="19" s="1"/>
  <c r="J136" i="16"/>
  <c r="J137" i="16" s="1"/>
  <c r="J50" i="18"/>
  <c r="I135" i="16"/>
  <c r="H31" i="18"/>
  <c r="H32" i="18" s="1"/>
  <c r="I81" i="16"/>
  <c r="I82" i="16" s="1"/>
  <c r="J28" i="18"/>
  <c r="K28" i="18" s="1"/>
  <c r="H52" i="18"/>
  <c r="J30" i="18"/>
  <c r="K30" i="18" s="1"/>
  <c r="H54" i="18"/>
  <c r="J54" i="18" s="1"/>
  <c r="G136" i="16"/>
  <c r="C6" i="19"/>
  <c r="F6" i="19" s="1"/>
  <c r="C49" i="19"/>
  <c r="F49" i="19" s="1"/>
  <c r="J29" i="18"/>
  <c r="K29" i="18" s="1"/>
  <c r="H53" i="18"/>
  <c r="J53" i="18" s="1"/>
  <c r="E66" i="19"/>
  <c r="E67" i="19" s="1"/>
  <c r="F67" i="19" s="1"/>
  <c r="G13" i="3"/>
  <c r="C47" i="19"/>
  <c r="C48" i="19"/>
  <c r="F48" i="19" s="1"/>
  <c r="J125" i="16"/>
  <c r="J120" i="16"/>
  <c r="I132" i="16"/>
  <c r="H132" i="16"/>
  <c r="D128" i="16"/>
  <c r="E128" i="16"/>
  <c r="H127" i="16"/>
  <c r="G16" i="5"/>
  <c r="G17" i="5" s="1"/>
  <c r="G17" i="6"/>
  <c r="G11" i="4"/>
  <c r="G12" i="4"/>
  <c r="G10" i="4"/>
  <c r="G9" i="4"/>
  <c r="G10" i="1"/>
  <c r="G11" i="1"/>
  <c r="G12" i="1"/>
  <c r="G9" i="1"/>
  <c r="I136" i="16" l="1"/>
  <c r="C7" i="19"/>
  <c r="F7" i="19" s="1"/>
  <c r="J52" i="18"/>
  <c r="C11" i="19"/>
  <c r="F4" i="19"/>
  <c r="J31" i="18"/>
  <c r="J32" i="18" s="1"/>
  <c r="K32" i="18" s="1"/>
  <c r="H55" i="18"/>
  <c r="F66" i="19"/>
  <c r="F47" i="19"/>
  <c r="C53" i="19"/>
  <c r="G13" i="1"/>
  <c r="G15" i="1" s="1"/>
  <c r="E27" i="20" s="1"/>
  <c r="E28" i="20" s="1"/>
  <c r="J127" i="16"/>
  <c r="D49" i="16"/>
  <c r="D132" i="16"/>
  <c r="E49" i="16"/>
  <c r="E132" i="16"/>
  <c r="I49" i="16"/>
  <c r="D45" i="16"/>
  <c r="E45" i="16"/>
  <c r="H45" i="16"/>
  <c r="H128" i="16"/>
  <c r="I45" i="16"/>
  <c r="I128" i="16"/>
  <c r="I137" i="16" s="1"/>
  <c r="H49" i="16"/>
  <c r="G16" i="7"/>
  <c r="G17" i="7" s="1"/>
  <c r="G15" i="3"/>
  <c r="D14" i="20" s="1"/>
  <c r="D15" i="20" s="1"/>
  <c r="G13" i="4"/>
  <c r="F14" i="20" l="1"/>
  <c r="F15" i="20" s="1"/>
  <c r="G15" i="4"/>
  <c r="G16" i="4" s="1"/>
  <c r="G17" i="4" s="1"/>
  <c r="J55" i="18"/>
  <c r="J56" i="18" s="1"/>
  <c r="K31" i="18"/>
  <c r="E52" i="19"/>
  <c r="E53" i="19" s="1"/>
  <c r="F53" i="19" s="1"/>
  <c r="H137" i="16"/>
  <c r="J128" i="16"/>
  <c r="E137" i="16"/>
  <c r="G16" i="3"/>
  <c r="G17" i="3" s="1"/>
  <c r="F132" i="16"/>
  <c r="J48" i="16"/>
  <c r="G49" i="16"/>
  <c r="G132" i="16"/>
  <c r="F49" i="16"/>
  <c r="F54" i="16"/>
  <c r="J45" i="16"/>
  <c r="H54" i="16"/>
  <c r="G16" i="1"/>
  <c r="G17" i="1" s="1"/>
  <c r="K56" i="18" l="1"/>
  <c r="F52" i="19"/>
  <c r="G54" i="16"/>
  <c r="C34" i="19"/>
  <c r="F34" i="19" s="1"/>
  <c r="J132" i="16"/>
  <c r="I54" i="16"/>
  <c r="F35" i="19"/>
  <c r="C32" i="19"/>
  <c r="D136" i="16"/>
  <c r="D137" i="16" s="1"/>
  <c r="E54" i="16"/>
  <c r="C33" i="19"/>
  <c r="F33" i="19" s="1"/>
  <c r="D54" i="16"/>
  <c r="J49" i="16"/>
  <c r="F137" i="16"/>
  <c r="G137" i="16"/>
  <c r="F32" i="19" l="1"/>
  <c r="C39" i="19"/>
  <c r="C8" i="20"/>
  <c r="E38" i="19" l="1"/>
  <c r="F38" i="19" s="1"/>
  <c r="E10" i="19"/>
  <c r="F10" i="19" s="1"/>
  <c r="G67" i="20"/>
  <c r="H67" i="20" s="1"/>
  <c r="C11" i="20"/>
  <c r="E39" i="19" l="1"/>
  <c r="F39" i="19" s="1"/>
  <c r="E11" i="19"/>
  <c r="F11" i="19" s="1"/>
  <c r="H56" i="18" l="1"/>
  <c r="G68" i="20" s="1"/>
  <c r="H68" i="20" s="1"/>
  <c r="C64"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6D965237-6540-429D-B1A2-7C3DA9A43BEC}">
      <text>
        <r>
          <rPr>
            <b/>
            <sz val="9"/>
            <color indexed="81"/>
            <rFont val="Tahoma"/>
            <family val="2"/>
          </rPr>
          <t>Ajuntament de Barcelona:</t>
        </r>
        <r>
          <rPr>
            <sz val="9"/>
            <color indexed="81"/>
            <rFont val="Tahoma"/>
            <family val="2"/>
          </rPr>
          <t xml:space="preserve">
Esoclliu el tipus d'IVA aplicable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8AEC3474-BAE7-4A03-ACDC-FC6CFC281B65}">
      <text>
        <r>
          <rPr>
            <b/>
            <sz val="9"/>
            <color indexed="81"/>
            <rFont val="Tahoma"/>
            <family val="2"/>
          </rPr>
          <t>Ajuntament de Barcelona:</t>
        </r>
        <r>
          <rPr>
            <sz val="9"/>
            <color indexed="81"/>
            <rFont val="Tahoma"/>
            <family val="2"/>
          </rPr>
          <t xml:space="preserve">
Escolliu el tipus d'IVA aplicable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D87572A3-FBAE-447C-ADFC-D8253B305378}">
      <text>
        <r>
          <rPr>
            <b/>
            <sz val="9"/>
            <color indexed="81"/>
            <rFont val="Tahoma"/>
            <family val="2"/>
          </rPr>
          <t>Ajuntament de Barcelona:</t>
        </r>
        <r>
          <rPr>
            <sz val="9"/>
            <color indexed="81"/>
            <rFont val="Tahoma"/>
            <family val="2"/>
          </rPr>
          <t xml:space="preserve">
Escolliu el tipus d'IVA aplicable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780019D9-BAC5-4F48-A39A-B789FE116FD3}">
      <text>
        <r>
          <rPr>
            <b/>
            <sz val="9"/>
            <color indexed="81"/>
            <rFont val="Tahoma"/>
            <family val="2"/>
          </rPr>
          <t>Ajuntament de Barcelona:</t>
        </r>
        <r>
          <rPr>
            <sz val="9"/>
            <color indexed="81"/>
            <rFont val="Tahoma"/>
            <family val="2"/>
          </rPr>
          <t xml:space="preserve">
Escolliu el tipus d'IVA aplicable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A324D6F2-4946-45C2-B54E-CC65BB66C21D}">
      <text>
        <r>
          <rPr>
            <b/>
            <sz val="9"/>
            <color indexed="81"/>
            <rFont val="Tahoma"/>
            <charset val="1"/>
          </rPr>
          <t>Ajuntament de Barcelona:</t>
        </r>
        <r>
          <rPr>
            <sz val="9"/>
            <color indexed="81"/>
            <rFont val="Tahoma"/>
            <charset val="1"/>
          </rPr>
          <t xml:space="preserve">
Escolliu el tipus d'IVA aplicable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44F53C3B-BC2F-45FE-B582-38F547D4D2FF}">
      <text>
        <r>
          <rPr>
            <b/>
            <sz val="9"/>
            <color indexed="81"/>
            <rFont val="Tahoma"/>
            <family val="2"/>
          </rPr>
          <t>Ajuntament de Barcelona:</t>
        </r>
        <r>
          <rPr>
            <sz val="9"/>
            <color indexed="81"/>
            <rFont val="Tahoma"/>
            <family val="2"/>
          </rPr>
          <t xml:space="preserve">
Escolliu el tipus d'IVA aplicable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E8716BB6-0DB6-4F86-B3F7-170BC10DA548}">
      <text>
        <r>
          <rPr>
            <b/>
            <sz val="9"/>
            <color indexed="81"/>
            <rFont val="Tahoma"/>
            <family val="2"/>
          </rPr>
          <t>Ajuntament de Barcelona:</t>
        </r>
        <r>
          <rPr>
            <sz val="9"/>
            <color indexed="81"/>
            <rFont val="Tahoma"/>
            <family val="2"/>
          </rPr>
          <t xml:space="preserve">
Escolliu el tipus d'IVA aplicable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34D6F248-32E6-4896-901C-9CCD7D7EB3DA}">
      <text>
        <r>
          <rPr>
            <b/>
            <sz val="9"/>
            <color indexed="81"/>
            <rFont val="Tahoma"/>
            <family val="2"/>
          </rPr>
          <t>Ajuntament de Barcelona:</t>
        </r>
        <r>
          <rPr>
            <sz val="9"/>
            <color indexed="81"/>
            <rFont val="Tahoma"/>
            <family val="2"/>
          </rPr>
          <t xml:space="preserve">
Escolliu el tipus d'IVA aplicable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BB883229-65BC-4473-B930-E856EB4CDE8A}">
      <text>
        <r>
          <rPr>
            <b/>
            <sz val="9"/>
            <color indexed="81"/>
            <rFont val="Tahoma"/>
            <family val="2"/>
          </rPr>
          <t>Ajuntament de Barcelona:</t>
        </r>
        <r>
          <rPr>
            <sz val="9"/>
            <color indexed="81"/>
            <rFont val="Tahoma"/>
            <family val="2"/>
          </rPr>
          <t xml:space="preserve">
Escolliu el tipus d'IVA aplicable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C4378864-1A92-4D51-835F-4CCBB99E54D6}">
      <text>
        <r>
          <rPr>
            <b/>
            <sz val="9"/>
            <color indexed="81"/>
            <rFont val="Tahoma"/>
            <family val="2"/>
          </rPr>
          <t>Ajuntament de Barcelona:</t>
        </r>
        <r>
          <rPr>
            <sz val="9"/>
            <color indexed="81"/>
            <rFont val="Tahoma"/>
            <family val="2"/>
          </rPr>
          <t xml:space="preserve">
Escolliu el tipus d'IVA aplicable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9F49E83F-6486-4CBB-A91D-61B010E71DAB}">
      <text>
        <r>
          <rPr>
            <b/>
            <sz val="9"/>
            <color indexed="81"/>
            <rFont val="Tahoma"/>
            <family val="2"/>
          </rPr>
          <t>Ajuntament de Barcelona:</t>
        </r>
        <r>
          <rPr>
            <sz val="9"/>
            <color indexed="81"/>
            <rFont val="Tahoma"/>
            <family val="2"/>
          </rPr>
          <t xml:space="preserve">
Ecolliu el tipus d'IVA aplicable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Ajuntament de Barcelona</author>
  </authors>
  <commentList>
    <comment ref="H16" authorId="0" shapeId="0" xr:uid="{EFA850EA-84AE-4E93-BEE8-4F8B5423E85A}">
      <text>
        <r>
          <rPr>
            <b/>
            <sz val="9"/>
            <color indexed="81"/>
            <rFont val="Tahoma"/>
            <family val="2"/>
          </rPr>
          <t>Ajuntament de Barcelona:</t>
        </r>
        <r>
          <rPr>
            <sz val="9"/>
            <color indexed="81"/>
            <rFont val="Tahoma"/>
            <family val="2"/>
          </rPr>
          <t xml:space="preserve">
Escolliu el tipus d'IVA aplicable</t>
        </r>
      </text>
    </comment>
  </commentList>
</comments>
</file>

<file path=xl/sharedStrings.xml><?xml version="1.0" encoding="utf-8"?>
<sst xmlns="http://schemas.openxmlformats.org/spreadsheetml/2006/main" count="704" uniqueCount="117">
  <si>
    <t>Pel període inicial del contracte:</t>
  </si>
  <si>
    <t>Codi</t>
  </si>
  <si>
    <t>Descripció</t>
  </si>
  <si>
    <t>Preu u/t Sortida</t>
  </si>
  <si>
    <t>Import sortida</t>
  </si>
  <si>
    <t>Preu u/t  Proveïdor</t>
  </si>
  <si>
    <t>Import  Proveïdor</t>
  </si>
  <si>
    <t xml:space="preserve">Despeses per preu UNITARI </t>
  </si>
  <si>
    <t>Subtotal preus unitaris</t>
  </si>
  <si>
    <t>Subtotal preus unitaris proveidor</t>
  </si>
  <si>
    <t xml:space="preserve">IMPORT:                    </t>
  </si>
  <si>
    <t>TOTAL:</t>
  </si>
  <si>
    <t xml:space="preserve">TOTAL PROVEIDOR: </t>
  </si>
  <si>
    <t>Barcelona, en la data de signatura</t>
  </si>
  <si>
    <r>
      <t>Les quantitats indicades per l’IMSS com a preu global net</t>
    </r>
    <r>
      <rPr>
        <sz val="9"/>
        <color rgb="FF000000"/>
        <rFont val="Arial"/>
        <family val="2"/>
      </rPr>
      <t xml:space="preserve"> així com cadascun dels preus unitaris nets determinats constitueixen la xifra màxima per sobre de la qual s'estimarà que les ofertes dels licitadors excedeixen el tipus de la licitació i, per tant, seran excloses.</t>
    </r>
  </si>
  <si>
    <t>TREBALLADORA FAMILIAR</t>
  </si>
  <si>
    <t>AUXILIAR NETEJA</t>
  </si>
  <si>
    <t>NETEJA ESPECIALS</t>
  </si>
  <si>
    <t>MANTENIMENT</t>
  </si>
  <si>
    <t>HORES</t>
  </si>
  <si>
    <t>IMPORT</t>
  </si>
  <si>
    <t>IVA 4%</t>
  </si>
  <si>
    <t>36 MESOS</t>
  </si>
  <si>
    <t>01/10/2026 a 30/09/2029</t>
  </si>
  <si>
    <t>Totals</t>
  </si>
  <si>
    <t>Despeses per preu unitari</t>
  </si>
  <si>
    <t>Subtotal Despeses per preu unitari</t>
  </si>
  <si>
    <t>Preu base de licitació</t>
  </si>
  <si>
    <t>Preu total del contracte</t>
  </si>
  <si>
    <t>EXECUCIÓ CONTRACTE DE L'1 D'OCTUBRE  DE 2026 FINS AL 30 DE SETEMBRE DE 2029</t>
  </si>
  <si>
    <t>MESOS</t>
  </si>
  <si>
    <t>1er any</t>
  </si>
  <si>
    <t>SERVEIS D'ATENCIÓ PERSONAL I AJUDA A LA LLAR LOT 1 ANY 2</t>
  </si>
  <si>
    <r>
      <t xml:space="preserve">SERVEIS D'ATENCIÓ PERSONAL I AJUDA A LA LLAR LOT 1 </t>
    </r>
    <r>
      <rPr>
        <sz val="10"/>
        <rFont val="Arial"/>
        <family val="2"/>
      </rPr>
      <t>ANY 1</t>
    </r>
  </si>
  <si>
    <r>
      <t>SERVEIS D'ATENCIÓ PERSONAL I AJUDA A LA LLAR LOT 1</t>
    </r>
    <r>
      <rPr>
        <sz val="10"/>
        <rFont val="Arial"/>
        <family val="2"/>
      </rPr>
      <t xml:space="preserve"> ANY 3</t>
    </r>
  </si>
  <si>
    <t>2 on any</t>
  </si>
  <si>
    <t>3 er any</t>
  </si>
  <si>
    <t>TF</t>
  </si>
  <si>
    <t>AN</t>
  </si>
  <si>
    <t>ANX</t>
  </si>
  <si>
    <r>
      <t xml:space="preserve">SERVEIS D'ATENCIÓ PERSONAL I AJUDA A LA LLAR LOT 2 </t>
    </r>
    <r>
      <rPr>
        <sz val="10"/>
        <rFont val="Arial"/>
        <family val="2"/>
      </rPr>
      <t>ANY 1</t>
    </r>
  </si>
  <si>
    <t>SERVEIS D'ATENCIÓ PERSONAL I AJUDA A LA LLAR LOT 2 ANY 2</t>
  </si>
  <si>
    <t>SERVEIS D'ATENCIÓ PERSONAL I AJUDA A LA LLAR LOT 2 ANY 3</t>
  </si>
  <si>
    <r>
      <t xml:space="preserve">SERVEIS D'ATENCIÓ PERSONAL I AJUDA A LA LLAR LOT 4 </t>
    </r>
    <r>
      <rPr>
        <sz val="10"/>
        <rFont val="Arial"/>
        <family val="2"/>
      </rPr>
      <t>ANY 1</t>
    </r>
  </si>
  <si>
    <r>
      <t xml:space="preserve">SERVEIS D'ATENCIÓ PERSONAL I AJUDA A LA LLAR LOT 4 </t>
    </r>
    <r>
      <rPr>
        <sz val="10"/>
        <rFont val="Arial"/>
        <family val="2"/>
      </rPr>
      <t>ANY 2</t>
    </r>
  </si>
  <si>
    <r>
      <t xml:space="preserve">SERVEIS D'ATENCIÓ PERSONAL I AJUDA A LA LLAR LOT 4 </t>
    </r>
    <r>
      <rPr>
        <sz val="10"/>
        <rFont val="Arial"/>
        <family val="2"/>
      </rPr>
      <t>ANY 3</t>
    </r>
  </si>
  <si>
    <t>LOT 1</t>
  </si>
  <si>
    <t>LOT 2</t>
  </si>
  <si>
    <t>LOT 3</t>
  </si>
  <si>
    <t>LOT 4</t>
  </si>
  <si>
    <r>
      <t xml:space="preserve">SERVEIS D'ATENCIÓ PERSONAL I AJUDA A LA LLAR LOT 3 </t>
    </r>
    <r>
      <rPr>
        <sz val="10"/>
        <rFont val="Arial"/>
        <family val="2"/>
      </rPr>
      <t>ANY 1</t>
    </r>
  </si>
  <si>
    <r>
      <t xml:space="preserve">SERVEIS D'ATENCIÓ PERSONAL I AJUDA A LA LLAR LOT 3 </t>
    </r>
    <r>
      <rPr>
        <sz val="10"/>
        <rFont val="Arial"/>
        <family val="2"/>
      </rPr>
      <t>ANY 3</t>
    </r>
  </si>
  <si>
    <t>2on any</t>
  </si>
  <si>
    <r>
      <t xml:space="preserve">SERVEIS D'ATENCIÓ PERSONAL I AJUDA A LA LLAR LOT 3 </t>
    </r>
    <r>
      <rPr>
        <sz val="10"/>
        <rFont val="Arial"/>
        <family val="2"/>
      </rPr>
      <t>ANY 2</t>
    </r>
  </si>
  <si>
    <t>3er any</t>
  </si>
  <si>
    <t xml:space="preserve">3er any </t>
  </si>
  <si>
    <t>TOTAL LOTS</t>
  </si>
  <si>
    <t>Import total</t>
  </si>
  <si>
    <t>Import IVA</t>
  </si>
  <si>
    <t>% IVA</t>
  </si>
  <si>
    <t>Import net €</t>
  </si>
  <si>
    <t>Programa</t>
  </si>
  <si>
    <t>C. Econòmic</t>
  </si>
  <si>
    <t>C. Orgànic</t>
  </si>
  <si>
    <t>Mesos</t>
  </si>
  <si>
    <t>hores</t>
  </si>
  <si>
    <t>Any</t>
  </si>
  <si>
    <t>Aquest és el queadre que ha d'anar a la memòria:</t>
  </si>
  <si>
    <t>VEC</t>
  </si>
  <si>
    <t>Pressupost net prestació</t>
  </si>
  <si>
    <t>TOTALS</t>
  </si>
  <si>
    <t xml:space="preserve">TOTAL CONTRACTE </t>
  </si>
  <si>
    <t>PBL 4 LOTS</t>
  </si>
  <si>
    <t>PRÒRROGA</t>
  </si>
  <si>
    <t>MODIFICACIONS</t>
  </si>
  <si>
    <t>0103</t>
  </si>
  <si>
    <t xml:space="preserve">MODIFICACIONS </t>
  </si>
  <si>
    <t>%</t>
  </si>
  <si>
    <t xml:space="preserve">TOTAL </t>
  </si>
  <si>
    <t>Costos Salarials</t>
  </si>
  <si>
    <t>Costos directes</t>
  </si>
  <si>
    <t>Despeses generals de gestió</t>
  </si>
  <si>
    <t>Marge empresarial</t>
  </si>
  <si>
    <t>Costos indirectes</t>
  </si>
  <si>
    <t>Costos totals</t>
  </si>
  <si>
    <t>Costos de funcionament</t>
  </si>
  <si>
    <t>QUADRE DE DESPESES DIRECTES I INDIRECTES LOT 1</t>
  </si>
  <si>
    <t>QUADRE DE DESPESES DIRECTES I INDIRECTES LOT 2</t>
  </si>
  <si>
    <t>QUADRE DE DESPESES DIRECTES I INDIRECTES LOT 3</t>
  </si>
  <si>
    <t>QUADRE DE DESPESES DIRECTES I INDIRECTES LOT 4</t>
  </si>
  <si>
    <t>1 er any</t>
  </si>
  <si>
    <t xml:space="preserve">QUADRE DE DESPESES DIRECTES I INDIRECTES  TOTALS </t>
  </si>
  <si>
    <t>TOTAL AMB IVA</t>
  </si>
  <si>
    <t>ANY 1</t>
  </si>
  <si>
    <t>ANY 2</t>
  </si>
  <si>
    <t>ANY 3</t>
  </si>
  <si>
    <t>S/anex</t>
  </si>
  <si>
    <t>Diferència</t>
  </si>
  <si>
    <t>S/ VEC</t>
  </si>
  <si>
    <t>S/ PBL</t>
  </si>
  <si>
    <t>Diferencia</t>
  </si>
  <si>
    <t>S/ EXCEL CESC</t>
  </si>
  <si>
    <t>IVA</t>
  </si>
  <si>
    <t>MODIFICACIONS 20%</t>
  </si>
  <si>
    <t>EXP. P2500177            ANNEX-3 BIS</t>
  </si>
  <si>
    <t>EXP. P2500177            ANNEX-5 BIS</t>
  </si>
  <si>
    <t>EXP. P2500177            ANNEX-4 BIS</t>
  </si>
  <si>
    <t>EXP. P2500177            ANNEX-6 BIS</t>
  </si>
  <si>
    <t>EXP. P2500177            ANNEX-7 BIS</t>
  </si>
  <si>
    <t>EXP. P2500177            ANNEX-8 BIS</t>
  </si>
  <si>
    <t>EXP. P2500177            ANNEX-9 BIS</t>
  </si>
  <si>
    <t>EXP. P2500177            ANNEX-10 BIS</t>
  </si>
  <si>
    <t>EXP. P2500177            ANNEX-11 BIS</t>
  </si>
  <si>
    <t>EXP. P2500177            ANNEX-12 BIS</t>
  </si>
  <si>
    <t>EXP. P2500177            ANNEX-13 BIS</t>
  </si>
  <si>
    <t>EXP. P2500177            ANNEX-14 BIS</t>
  </si>
  <si>
    <t xml:space="preserve">Nota: Aquest document s'ha de convertir en PDF i s'ha de signar pel representant legal de la licitadora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</si>
</sst>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43" formatCode="_-* #,##0.00_-;\-* #,##0.00_-;_-* &quot;-&quot;??_-;_-@_-"/>
    <numFmt numFmtId="164" formatCode="_-* #,##0.00\ _€_-;\-* #,##0.00\ _€_-;_-* &quot;-&quot;??\ _€_-;_-@_-"/>
    <numFmt numFmtId="165" formatCode="_-* #,##0.00\ [$€-403]_-;\-* #,##0.00\ [$€-403]_-;_-* &quot;-&quot;??\ [$€-403]_-;_-@_-"/>
    <numFmt numFmtId="166" formatCode="_-* #,##0.0000\ [$€-403]_-;\-* #,##0.0000\ [$€-403]_-;_-* &quot;-&quot;??\ [$€-403]_-;_-@_-"/>
    <numFmt numFmtId="167" formatCode="#,##0.00_ ;\-#,##0.00\ "/>
    <numFmt numFmtId="168" formatCode="#,##0_ ;\-#,##0\ "/>
    <numFmt numFmtId="169" formatCode="#,##0.00\ &quot;€&quot;"/>
    <numFmt numFmtId="170" formatCode="#,##0.0000\ &quot;€&quot;"/>
  </numFmts>
  <fonts count="44" x14ac:knownFonts="1">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sz val="9"/>
      <color rgb="FF000000"/>
      <name val="Arial"/>
      <family val="2"/>
    </font>
    <font>
      <b/>
      <sz val="9"/>
      <name val="Arial"/>
      <family val="2"/>
    </font>
    <font>
      <sz val="8"/>
      <name val="Arial"/>
      <family val="2"/>
    </font>
    <font>
      <sz val="9"/>
      <name val="Arial"/>
      <family val="2"/>
    </font>
    <font>
      <sz val="8"/>
      <color rgb="FF000000"/>
      <name val="Arial"/>
      <family val="2"/>
    </font>
    <font>
      <b/>
      <sz val="9"/>
      <color rgb="FF000000"/>
      <name val="Arial"/>
      <family val="2"/>
    </font>
    <font>
      <b/>
      <sz val="10"/>
      <color rgb="FF00000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i/>
      <sz val="10"/>
      <color rgb="FF000000"/>
      <name val="Calibri"/>
      <family val="2"/>
      <scheme val="minor"/>
    </font>
    <font>
      <sz val="10"/>
      <color rgb="FF000000"/>
      <name val="Calibri"/>
      <family val="2"/>
      <scheme val="minor"/>
    </font>
    <font>
      <sz val="8"/>
      <name val="Calibri"/>
      <family val="2"/>
      <scheme val="minor"/>
    </font>
    <font>
      <sz val="11"/>
      <color rgb="FFFF0000"/>
      <name val="Calibri"/>
      <family val="2"/>
      <scheme val="minor"/>
    </font>
    <font>
      <b/>
      <sz val="11"/>
      <color theme="1"/>
      <name val="Calibri"/>
      <family val="2"/>
      <scheme val="minor"/>
    </font>
    <font>
      <b/>
      <sz val="16"/>
      <name val="Calibri"/>
      <family val="2"/>
      <scheme val="minor"/>
    </font>
    <font>
      <sz val="16"/>
      <name val="Calibri"/>
      <family val="2"/>
      <scheme val="minor"/>
    </font>
    <font>
      <sz val="16"/>
      <color theme="1"/>
      <name val="Calibri"/>
      <family val="2"/>
      <scheme val="minor"/>
    </font>
    <font>
      <sz val="16"/>
      <color rgb="FF000000"/>
      <name val="Calibri"/>
      <family val="2"/>
      <scheme val="minor"/>
    </font>
    <font>
      <b/>
      <sz val="16"/>
      <color rgb="FF000000"/>
      <name val="Calibri"/>
      <family val="2"/>
      <scheme val="minor"/>
    </font>
    <font>
      <sz val="16"/>
      <name val="Arial"/>
      <family val="2"/>
    </font>
    <font>
      <b/>
      <sz val="11"/>
      <name val="Calibri"/>
      <family val="2"/>
      <scheme val="minor"/>
    </font>
    <font>
      <sz val="11"/>
      <name val="Calibri"/>
      <family val="2"/>
      <scheme val="minor"/>
    </font>
    <font>
      <b/>
      <sz val="12"/>
      <name val="Calibri"/>
      <family val="2"/>
      <scheme val="minor"/>
    </font>
    <font>
      <sz val="12"/>
      <name val="Calibri"/>
      <family val="2"/>
      <scheme val="minor"/>
    </font>
    <font>
      <b/>
      <sz val="13"/>
      <name val="Calibri"/>
      <family val="2"/>
      <scheme val="minor"/>
    </font>
    <font>
      <i/>
      <sz val="9"/>
      <name val="Calibri"/>
      <family val="2"/>
      <scheme val="minor"/>
    </font>
    <font>
      <sz val="9"/>
      <name val="Calibri"/>
      <family val="2"/>
      <scheme val="minor"/>
    </font>
    <font>
      <b/>
      <sz val="11"/>
      <color rgb="FFFF0000"/>
      <name val="Calibri"/>
      <family val="2"/>
      <scheme val="minor"/>
    </font>
    <font>
      <sz val="12"/>
      <color rgb="FFFF0000"/>
      <name val="Calibri"/>
      <family val="2"/>
      <scheme val="minor"/>
    </font>
    <font>
      <b/>
      <sz val="11"/>
      <color theme="6"/>
      <name val="Calibri"/>
      <family val="2"/>
      <scheme val="minor"/>
    </font>
    <font>
      <sz val="11"/>
      <color rgb="FF000000"/>
      <name val="Arial"/>
      <family val="2"/>
    </font>
    <font>
      <b/>
      <i/>
      <sz val="10"/>
      <color theme="1"/>
      <name val="Calibri"/>
      <family val="2"/>
      <scheme val="minor"/>
    </font>
    <font>
      <b/>
      <sz val="10"/>
      <color rgb="FFFF0000"/>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s>
  <fills count="28">
    <fill>
      <patternFill patternType="none"/>
    </fill>
    <fill>
      <patternFill patternType="gray125"/>
    </fill>
    <fill>
      <patternFill patternType="solid">
        <fgColor rgb="FF00B050"/>
        <bgColor rgb="FF000000"/>
      </patternFill>
    </fill>
    <fill>
      <patternFill patternType="solid">
        <fgColor rgb="FFFFCC00"/>
        <bgColor rgb="FF000000"/>
      </patternFill>
    </fill>
    <fill>
      <patternFill patternType="solid">
        <fgColor rgb="FFFFFFFF"/>
        <bgColor rgb="FF000000"/>
      </patternFill>
    </fill>
    <fill>
      <patternFill patternType="solid">
        <fgColor rgb="FFC4D79B"/>
        <bgColor rgb="FF000000"/>
      </patternFill>
    </fill>
    <fill>
      <patternFill patternType="solid">
        <fgColor theme="0"/>
        <bgColor indexed="64"/>
      </patternFill>
    </fill>
    <fill>
      <patternFill patternType="solid">
        <fgColor rgb="FFD9D9D9"/>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rgb="FFC2D69A"/>
        <bgColor indexed="64"/>
      </patternFill>
    </fill>
    <fill>
      <patternFill patternType="solid">
        <fgColor rgb="FFEAF1DD"/>
        <bgColor indexed="64"/>
      </patternFill>
    </fill>
    <fill>
      <patternFill patternType="solid">
        <fgColor rgb="FFD7E4B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D8D8D8"/>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rgb="FFCC99FF"/>
        <bgColor indexed="64"/>
      </patternFill>
    </fill>
    <fill>
      <patternFill patternType="solid">
        <fgColor rgb="FF00B05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59999389629810485"/>
        <bgColor rgb="FF000000"/>
      </patternFill>
    </fill>
    <fill>
      <patternFill patternType="solid">
        <fgColor theme="6" tint="0.39997558519241921"/>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68">
    <xf numFmtId="0" fontId="0" fillId="0" borderId="0" xfId="0"/>
    <xf numFmtId="4" fontId="0" fillId="0" borderId="0" xfId="0" applyNumberFormat="1"/>
    <xf numFmtId="165" fontId="0" fillId="0" borderId="0" xfId="0" applyNumberFormat="1"/>
    <xf numFmtId="0" fontId="13" fillId="0" borderId="0" xfId="0" applyFont="1" applyAlignment="1">
      <alignment horizontal="center" vertical="center"/>
    </xf>
    <xf numFmtId="0" fontId="14" fillId="0" borderId="0" xfId="0" applyFont="1" applyAlignment="1">
      <alignment horizontal="center" vertical="center"/>
    </xf>
    <xf numFmtId="0" fontId="15" fillId="11" borderId="1" xfId="0" applyFont="1" applyFill="1" applyBorder="1" applyAlignment="1">
      <alignment horizontal="center" vertical="center" wrapText="1"/>
    </xf>
    <xf numFmtId="0" fontId="15" fillId="11" borderId="15" xfId="0"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15" xfId="0" applyFont="1" applyFill="1" applyBorder="1" applyAlignment="1">
      <alignment horizontal="center" vertical="center" wrapText="1"/>
    </xf>
    <xf numFmtId="0" fontId="15" fillId="0" borderId="0" xfId="0" applyFont="1" applyAlignment="1">
      <alignment horizontal="right" vertical="center"/>
    </xf>
    <xf numFmtId="170" fontId="13" fillId="0" borderId="0" xfId="0" applyNumberFormat="1" applyFont="1" applyAlignment="1">
      <alignment horizontal="right"/>
    </xf>
    <xf numFmtId="170" fontId="12" fillId="0" borderId="0" xfId="0" applyNumberFormat="1" applyFont="1" applyAlignment="1">
      <alignment horizontal="right"/>
    </xf>
    <xf numFmtId="0" fontId="16" fillId="12" borderId="1" xfId="0" applyFont="1" applyFill="1" applyBorder="1" applyAlignment="1">
      <alignment horizontal="left" vertical="center" wrapText="1"/>
    </xf>
    <xf numFmtId="170" fontId="16" fillId="12" borderId="2" xfId="0" applyNumberFormat="1" applyFont="1" applyFill="1" applyBorder="1" applyAlignment="1">
      <alignment horizontal="right" vertical="center" wrapText="1"/>
    </xf>
    <xf numFmtId="170" fontId="16" fillId="12" borderId="3" xfId="0" applyNumberFormat="1" applyFont="1" applyFill="1" applyBorder="1" applyAlignment="1">
      <alignment horizontal="right" vertical="center" wrapText="1"/>
    </xf>
    <xf numFmtId="0" fontId="15" fillId="0" borderId="15" xfId="0" applyFont="1" applyBorder="1" applyAlignment="1">
      <alignment horizontal="center" vertical="center" wrapText="1"/>
    </xf>
    <xf numFmtId="169" fontId="13" fillId="0" borderId="17" xfId="0" applyNumberFormat="1" applyFont="1" applyBorder="1" applyAlignment="1">
      <alignment horizontal="right" vertical="center" wrapText="1"/>
    </xf>
    <xf numFmtId="0" fontId="15" fillId="0" borderId="18" xfId="0" applyFont="1" applyBorder="1" applyAlignment="1">
      <alignment horizontal="center" vertical="center"/>
    </xf>
    <xf numFmtId="169" fontId="12" fillId="0" borderId="15" xfId="0" applyNumberFormat="1" applyFont="1" applyBorder="1" applyAlignment="1">
      <alignment horizontal="center"/>
    </xf>
    <xf numFmtId="0" fontId="17" fillId="0" borderId="0" xfId="0" applyFont="1" applyAlignment="1">
      <alignment vertical="center" wrapText="1"/>
    </xf>
    <xf numFmtId="169" fontId="13" fillId="0" borderId="3" xfId="0" applyNumberFormat="1" applyFont="1" applyBorder="1" applyAlignment="1">
      <alignment horizontal="center" vertical="center"/>
    </xf>
    <xf numFmtId="169" fontId="13" fillId="0" borderId="15" xfId="0" applyNumberFormat="1" applyFont="1" applyBorder="1" applyAlignment="1">
      <alignment horizontal="center" vertical="center"/>
    </xf>
    <xf numFmtId="0" fontId="15" fillId="0" borderId="16" xfId="0" applyFont="1" applyBorder="1" applyAlignment="1">
      <alignment horizontal="center" vertical="center"/>
    </xf>
    <xf numFmtId="169" fontId="12" fillId="0" borderId="15" xfId="0" applyNumberFormat="1" applyFont="1" applyBorder="1" applyAlignment="1">
      <alignment horizontal="center" vertical="center" wrapText="1"/>
    </xf>
    <xf numFmtId="0" fontId="13" fillId="0" borderId="0" xfId="0" applyFont="1"/>
    <xf numFmtId="170" fontId="12" fillId="6" borderId="0" xfId="0" applyNumberFormat="1" applyFont="1" applyFill="1" applyAlignment="1">
      <alignment horizontal="right" vertical="center" wrapText="1"/>
    </xf>
    <xf numFmtId="0" fontId="16" fillId="12" borderId="15" xfId="0" applyFont="1" applyFill="1" applyBorder="1" applyAlignment="1">
      <alignment horizontal="left" vertical="center" wrapText="1"/>
    </xf>
    <xf numFmtId="169" fontId="12" fillId="12" borderId="15" xfId="0" applyNumberFormat="1" applyFont="1" applyFill="1" applyBorder="1" applyAlignment="1">
      <alignment horizontal="center" vertical="center" wrapText="1"/>
    </xf>
    <xf numFmtId="0" fontId="16" fillId="0" borderId="0" xfId="0" applyFont="1" applyAlignment="1">
      <alignment horizontal="right" vertical="center" wrapText="1"/>
    </xf>
    <xf numFmtId="0" fontId="16" fillId="13" borderId="1" xfId="0" applyFont="1" applyFill="1" applyBorder="1" applyAlignment="1">
      <alignment horizontal="left" vertical="center" wrapText="1"/>
    </xf>
    <xf numFmtId="169" fontId="12" fillId="13" borderId="2" xfId="0" applyNumberFormat="1" applyFont="1" applyFill="1" applyBorder="1" applyAlignment="1">
      <alignment horizontal="right" wrapText="1"/>
    </xf>
    <xf numFmtId="169" fontId="12" fillId="13" borderId="3" xfId="0" applyNumberFormat="1" applyFont="1" applyFill="1" applyBorder="1" applyAlignment="1">
      <alignment horizontal="right" wrapText="1"/>
    </xf>
    <xf numFmtId="169" fontId="8" fillId="0" borderId="8" xfId="0" applyNumberFormat="1" applyFont="1" applyBorder="1" applyAlignment="1" applyProtection="1">
      <alignment vertical="center"/>
      <protection hidden="1"/>
    </xf>
    <xf numFmtId="169" fontId="12" fillId="0" borderId="1" xfId="0" applyNumberFormat="1" applyFont="1" applyBorder="1" applyAlignment="1">
      <alignment horizontal="center" vertical="center" wrapText="1"/>
    </xf>
    <xf numFmtId="169" fontId="13" fillId="0" borderId="9" xfId="0" applyNumberFormat="1" applyFont="1" applyBorder="1" applyAlignment="1">
      <alignment horizontal="right" vertical="center" wrapText="1"/>
    </xf>
    <xf numFmtId="169" fontId="0" fillId="0" borderId="0" xfId="0" applyNumberFormat="1"/>
    <xf numFmtId="169" fontId="13" fillId="0" borderId="25" xfId="0" applyNumberFormat="1" applyFont="1" applyBorder="1" applyAlignment="1">
      <alignment horizontal="right" vertical="center" wrapText="1"/>
    </xf>
    <xf numFmtId="169" fontId="13" fillId="0" borderId="19" xfId="0" applyNumberFormat="1" applyFont="1" applyBorder="1" applyAlignment="1">
      <alignment horizontal="center" vertical="center" wrapText="1"/>
    </xf>
    <xf numFmtId="169" fontId="13" fillId="0" borderId="19" xfId="0" applyNumberFormat="1" applyFont="1" applyBorder="1" applyAlignment="1">
      <alignment horizontal="center" vertical="center"/>
    </xf>
    <xf numFmtId="164" fontId="0" fillId="0" borderId="0" xfId="1" applyFont="1"/>
    <xf numFmtId="169" fontId="12" fillId="12" borderId="19" xfId="0" applyNumberFormat="1" applyFont="1" applyFill="1" applyBorder="1" applyAlignment="1">
      <alignment horizontal="center" vertical="center" wrapText="1"/>
    </xf>
    <xf numFmtId="0" fontId="16" fillId="17" borderId="1" xfId="0" applyFont="1" applyFill="1" applyBorder="1" applyAlignment="1">
      <alignment horizontal="left" vertical="center" wrapText="1"/>
    </xf>
    <xf numFmtId="169" fontId="20" fillId="0" borderId="0" xfId="0" applyNumberFormat="1" applyFont="1"/>
    <xf numFmtId="169" fontId="21" fillId="0" borderId="26" xfId="0" applyNumberFormat="1" applyFont="1" applyBorder="1" applyAlignment="1">
      <alignment horizontal="center" vertical="center" wrapText="1"/>
    </xf>
    <xf numFmtId="169" fontId="22" fillId="0" borderId="27" xfId="0" applyNumberFormat="1" applyFont="1" applyBorder="1" applyAlignment="1">
      <alignment horizontal="center" vertical="center" wrapText="1"/>
    </xf>
    <xf numFmtId="9" fontId="23" fillId="0" borderId="12" xfId="2" applyFont="1" applyBorder="1" applyAlignment="1">
      <alignment horizontal="center" vertical="center" wrapText="1"/>
    </xf>
    <xf numFmtId="169" fontId="22" fillId="0" borderId="15" xfId="0" applyNumberFormat="1" applyFont="1" applyBorder="1" applyAlignment="1">
      <alignment horizontal="center" vertical="center" wrapText="1"/>
    </xf>
    <xf numFmtId="0" fontId="23" fillId="0" borderId="27" xfId="0" applyFont="1" applyBorder="1" applyAlignment="1">
      <alignment horizontal="center" vertical="center" wrapText="1"/>
    </xf>
    <xf numFmtId="49" fontId="24" fillId="0" borderId="12" xfId="0" applyNumberFormat="1" applyFont="1" applyBorder="1" applyAlignment="1">
      <alignment horizontal="center" vertical="center" wrapText="1"/>
    </xf>
    <xf numFmtId="49" fontId="24" fillId="0" borderId="26" xfId="0" applyNumberFormat="1" applyFont="1" applyBorder="1" applyAlignment="1">
      <alignment horizontal="center" vertical="center" wrapText="1"/>
    </xf>
    <xf numFmtId="0" fontId="23" fillId="0" borderId="26" xfId="0" applyFont="1" applyBorder="1" applyAlignment="1">
      <alignment horizontal="center" vertical="center" wrapText="1"/>
    </xf>
    <xf numFmtId="169" fontId="24" fillId="0" borderId="15" xfId="0" applyNumberFormat="1" applyFont="1" applyBorder="1" applyAlignment="1">
      <alignment horizontal="center" vertical="center" wrapText="1"/>
    </xf>
    <xf numFmtId="0" fontId="25" fillId="18" borderId="3" xfId="0" applyFont="1" applyFill="1" applyBorder="1" applyAlignment="1">
      <alignment horizontal="center" vertical="center" wrapText="1"/>
    </xf>
    <xf numFmtId="0" fontId="25" fillId="18" borderId="16" xfId="0" applyFont="1" applyFill="1" applyBorder="1" applyAlignment="1">
      <alignment horizontal="center" vertical="center" wrapText="1"/>
    </xf>
    <xf numFmtId="0" fontId="25" fillId="18" borderId="15" xfId="0" applyFont="1" applyFill="1" applyBorder="1" applyAlignment="1">
      <alignment horizontal="center" vertical="center" wrapText="1"/>
    </xf>
    <xf numFmtId="0" fontId="26" fillId="0" borderId="0" xfId="0" applyFont="1"/>
    <xf numFmtId="0" fontId="21" fillId="0" borderId="0" xfId="0" applyFont="1" applyAlignment="1">
      <alignment wrapText="1"/>
    </xf>
    <xf numFmtId="0" fontId="23" fillId="0" borderId="0" xfId="0" applyFont="1" applyAlignment="1">
      <alignment horizontal="center" vertical="center" wrapText="1"/>
    </xf>
    <xf numFmtId="169" fontId="22" fillId="0" borderId="0" xfId="0" applyNumberFormat="1" applyFont="1" applyAlignment="1">
      <alignment horizontal="center" vertical="center" wrapText="1"/>
    </xf>
    <xf numFmtId="9" fontId="23" fillId="0" borderId="0" xfId="2" applyFont="1" applyBorder="1" applyAlignment="1">
      <alignment horizontal="center" vertical="center" wrapText="1"/>
    </xf>
    <xf numFmtId="169" fontId="21" fillId="0" borderId="0" xfId="0" applyNumberFormat="1" applyFont="1" applyAlignment="1">
      <alignment horizontal="center" vertical="center" wrapText="1"/>
    </xf>
    <xf numFmtId="0" fontId="20" fillId="0" borderId="0" xfId="0" applyFont="1"/>
    <xf numFmtId="0" fontId="27" fillId="19" borderId="9" xfId="0" applyFont="1" applyFill="1" applyBorder="1" applyAlignment="1">
      <alignment horizontal="center" vertical="center" wrapText="1"/>
    </xf>
    <xf numFmtId="0" fontId="28" fillId="0" borderId="9" xfId="0" applyFont="1" applyBorder="1" applyAlignment="1">
      <alignment horizontal="center" vertical="center" wrapText="1"/>
    </xf>
    <xf numFmtId="169" fontId="28" fillId="0" borderId="9" xfId="0" applyNumberFormat="1" applyFont="1" applyBorder="1" applyAlignment="1">
      <alignment horizontal="center" vertical="center" wrapText="1"/>
    </xf>
    <xf numFmtId="169" fontId="28" fillId="0" borderId="9" xfId="0" applyNumberFormat="1" applyFont="1" applyBorder="1" applyAlignment="1">
      <alignment horizontal="right" vertical="center" wrapText="1"/>
    </xf>
    <xf numFmtId="0" fontId="27" fillId="14" borderId="9" xfId="0" applyFont="1" applyFill="1" applyBorder="1" applyAlignment="1">
      <alignment horizontal="center" vertical="center" wrapText="1"/>
    </xf>
    <xf numFmtId="169" fontId="27" fillId="14" borderId="9" xfId="0" applyNumberFormat="1" applyFont="1" applyFill="1" applyBorder="1" applyAlignment="1">
      <alignment horizontal="center" vertical="center" wrapText="1"/>
    </xf>
    <xf numFmtId="0" fontId="29" fillId="0" borderId="0" xfId="0" applyFont="1"/>
    <xf numFmtId="169" fontId="27" fillId="0" borderId="9" xfId="0" applyNumberFormat="1" applyFont="1" applyBorder="1" applyAlignment="1">
      <alignment horizontal="right" vertical="center" wrapText="1"/>
    </xf>
    <xf numFmtId="0" fontId="30" fillId="0" borderId="0" xfId="0" applyFont="1"/>
    <xf numFmtId="9" fontId="0" fillId="0" borderId="0" xfId="2" applyFont="1"/>
    <xf numFmtId="0" fontId="31" fillId="0" borderId="19" xfId="0" applyFont="1" applyBorder="1" applyAlignment="1">
      <alignment horizontal="center" vertical="center" wrapText="1"/>
    </xf>
    <xf numFmtId="0" fontId="30" fillId="0" borderId="30" xfId="0" applyFont="1" applyBorder="1" applyAlignment="1">
      <alignment horizontal="justify" vertical="center" wrapText="1"/>
    </xf>
    <xf numFmtId="169" fontId="20" fillId="6" borderId="29" xfId="0" applyNumberFormat="1" applyFont="1" applyFill="1" applyBorder="1"/>
    <xf numFmtId="44" fontId="0" fillId="0" borderId="0" xfId="0" applyNumberFormat="1"/>
    <xf numFmtId="0" fontId="35" fillId="0" borderId="0" xfId="0" applyFont="1"/>
    <xf numFmtId="169" fontId="34" fillId="6" borderId="29" xfId="0" applyNumberFormat="1" applyFont="1" applyFill="1" applyBorder="1"/>
    <xf numFmtId="0" fontId="30" fillId="0" borderId="25" xfId="0" applyFont="1" applyBorder="1" applyAlignment="1">
      <alignment horizontal="justify" vertical="center" wrapText="1"/>
    </xf>
    <xf numFmtId="169" fontId="29" fillId="19" borderId="15" xfId="0" applyNumberFormat="1" applyFont="1" applyFill="1" applyBorder="1" applyAlignment="1">
      <alignment horizontal="right" vertical="center" wrapText="1"/>
    </xf>
    <xf numFmtId="169" fontId="29" fillId="19" borderId="15" xfId="0" applyNumberFormat="1" applyFont="1" applyFill="1" applyBorder="1" applyAlignment="1">
      <alignment horizontal="center" vertical="center" wrapText="1"/>
    </xf>
    <xf numFmtId="0" fontId="30" fillId="0" borderId="35" xfId="0" applyFont="1" applyBorder="1" applyAlignment="1">
      <alignment horizontal="justify" vertical="center" wrapText="1"/>
    </xf>
    <xf numFmtId="0" fontId="29" fillId="19" borderId="1" xfId="0" applyFont="1" applyFill="1" applyBorder="1" applyAlignment="1">
      <alignment horizontal="justify" vertical="center" wrapText="1"/>
    </xf>
    <xf numFmtId="169" fontId="29" fillId="21" borderId="27" xfId="0" applyNumberFormat="1" applyFont="1" applyFill="1" applyBorder="1" applyAlignment="1">
      <alignment horizontal="center" vertical="center" wrapText="1"/>
    </xf>
    <xf numFmtId="165" fontId="6" fillId="10" borderId="0" xfId="0" applyNumberFormat="1" applyFont="1" applyFill="1" applyAlignment="1" applyProtection="1">
      <alignment vertical="center"/>
      <protection hidden="1"/>
    </xf>
    <xf numFmtId="0" fontId="29" fillId="0" borderId="1" xfId="0" applyFont="1" applyBorder="1" applyAlignment="1">
      <alignment horizontal="justify" vertical="center" wrapText="1"/>
    </xf>
    <xf numFmtId="0" fontId="29" fillId="19" borderId="1" xfId="0" applyFont="1" applyFill="1" applyBorder="1"/>
    <xf numFmtId="0" fontId="29" fillId="21" borderId="31" xfId="0" applyFont="1" applyFill="1" applyBorder="1" applyAlignment="1">
      <alignment horizontal="justify" vertical="center" wrapText="1"/>
    </xf>
    <xf numFmtId="10" fontId="32" fillId="0" borderId="28" xfId="0" applyNumberFormat="1" applyFont="1" applyBorder="1" applyAlignment="1">
      <alignment horizontal="center" vertical="center" wrapText="1"/>
    </xf>
    <xf numFmtId="10" fontId="32" fillId="0" borderId="32" xfId="0" applyNumberFormat="1" applyFont="1" applyBorder="1" applyAlignment="1">
      <alignment horizontal="center" vertical="center" wrapText="1"/>
    </xf>
    <xf numFmtId="10" fontId="29" fillId="19" borderId="15" xfId="0" applyNumberFormat="1" applyFont="1" applyFill="1" applyBorder="1" applyAlignment="1">
      <alignment horizontal="center"/>
    </xf>
    <xf numFmtId="10" fontId="33" fillId="0" borderId="43" xfId="0" applyNumberFormat="1" applyFont="1" applyBorder="1" applyAlignment="1">
      <alignment horizontal="center" vertical="center" wrapText="1"/>
    </xf>
    <xf numFmtId="10" fontId="33" fillId="0" borderId="32" xfId="0" applyNumberFormat="1" applyFont="1" applyBorder="1" applyAlignment="1">
      <alignment horizontal="center" vertical="center" wrapText="1"/>
    </xf>
    <xf numFmtId="10" fontId="29" fillId="19" borderId="15" xfId="0" applyNumberFormat="1" applyFont="1" applyFill="1" applyBorder="1" applyAlignment="1">
      <alignment horizontal="center" vertical="center" wrapText="1"/>
    </xf>
    <xf numFmtId="10" fontId="29" fillId="21" borderId="27" xfId="0" applyNumberFormat="1" applyFont="1" applyFill="1" applyBorder="1" applyAlignment="1">
      <alignment horizontal="center" vertical="center" wrapText="1"/>
    </xf>
    <xf numFmtId="165" fontId="6" fillId="10" borderId="18" xfId="0" applyNumberFormat="1" applyFont="1" applyFill="1" applyBorder="1" applyAlignment="1" applyProtection="1">
      <alignment vertical="center"/>
      <protection hidden="1"/>
    </xf>
    <xf numFmtId="169" fontId="0" fillId="6" borderId="36" xfId="0" applyNumberFormat="1" applyFill="1" applyBorder="1" applyAlignment="1">
      <alignment horizontal="center" vertical="center" wrapText="1"/>
    </xf>
    <xf numFmtId="169" fontId="0" fillId="6" borderId="37" xfId="0" applyNumberFormat="1" applyFill="1" applyBorder="1" applyAlignment="1">
      <alignment horizontal="center" vertical="center" wrapText="1"/>
    </xf>
    <xf numFmtId="169" fontId="0" fillId="6" borderId="38" xfId="0" applyNumberFormat="1" applyFill="1" applyBorder="1" applyAlignment="1">
      <alignment horizontal="center" vertical="center" wrapText="1"/>
    </xf>
    <xf numFmtId="169" fontId="0" fillId="0" borderId="39" xfId="0" applyNumberFormat="1" applyBorder="1" applyAlignment="1">
      <alignment horizontal="center" vertical="center" wrapText="1"/>
    </xf>
    <xf numFmtId="169" fontId="0" fillId="6" borderId="33" xfId="0" applyNumberFormat="1" applyFill="1" applyBorder="1" applyAlignment="1">
      <alignment horizontal="center" vertical="center" wrapText="1"/>
    </xf>
    <xf numFmtId="169" fontId="0" fillId="6" borderId="40" xfId="0" applyNumberFormat="1" applyFill="1" applyBorder="1" applyAlignment="1">
      <alignment horizontal="center" vertical="center" wrapText="1"/>
    </xf>
    <xf numFmtId="169" fontId="0" fillId="0" borderId="41" xfId="0" applyNumberFormat="1" applyBorder="1" applyAlignment="1">
      <alignment wrapText="1"/>
    </xf>
    <xf numFmtId="169" fontId="0" fillId="6" borderId="34" xfId="0" applyNumberFormat="1" applyFill="1" applyBorder="1" applyAlignment="1">
      <alignment horizontal="center" vertical="center" wrapText="1"/>
    </xf>
    <xf numFmtId="169" fontId="0" fillId="6" borderId="42" xfId="0" applyNumberFormat="1" applyFill="1" applyBorder="1" applyAlignment="1">
      <alignment horizontal="center" vertical="center" wrapText="1"/>
    </xf>
    <xf numFmtId="169" fontId="0" fillId="0" borderId="39" xfId="0" applyNumberFormat="1" applyBorder="1" applyAlignment="1">
      <alignment wrapText="1"/>
    </xf>
    <xf numFmtId="169" fontId="20" fillId="6" borderId="22" xfId="0" applyNumberFormat="1" applyFont="1" applyFill="1" applyBorder="1"/>
    <xf numFmtId="10" fontId="29" fillId="19" borderId="15" xfId="0" applyNumberFormat="1" applyFont="1" applyFill="1" applyBorder="1" applyAlignment="1">
      <alignment horizontal="center" vertical="center"/>
    </xf>
    <xf numFmtId="169" fontId="21" fillId="0" borderId="15" xfId="0" applyNumberFormat="1" applyFont="1" applyBorder="1" applyAlignment="1">
      <alignment horizontal="center" vertical="center" wrapText="1"/>
    </xf>
    <xf numFmtId="169" fontId="13" fillId="0" borderId="1" xfId="0" applyNumberFormat="1" applyFont="1" applyBorder="1" applyAlignment="1">
      <alignment horizontal="center" vertical="center"/>
    </xf>
    <xf numFmtId="0" fontId="0" fillId="6" borderId="0" xfId="0" applyFill="1"/>
    <xf numFmtId="4" fontId="0" fillId="6" borderId="0" xfId="0" applyNumberFormat="1" applyFill="1"/>
    <xf numFmtId="169" fontId="0" fillId="0" borderId="9" xfId="0" applyNumberFormat="1" applyBorder="1"/>
    <xf numFmtId="2" fontId="0" fillId="0" borderId="0" xfId="0" applyNumberFormat="1"/>
    <xf numFmtId="169" fontId="24" fillId="14" borderId="15" xfId="0" applyNumberFormat="1" applyFont="1" applyFill="1" applyBorder="1" applyAlignment="1">
      <alignment horizontal="center" vertical="center" wrapText="1"/>
    </xf>
    <xf numFmtId="169" fontId="22" fillId="14" borderId="15" xfId="0" applyNumberFormat="1" applyFont="1" applyFill="1" applyBorder="1" applyAlignment="1">
      <alignment horizontal="center" vertical="center" wrapText="1"/>
    </xf>
    <xf numFmtId="164" fontId="36" fillId="0" borderId="0" xfId="1" applyFont="1"/>
    <xf numFmtId="169" fontId="0" fillId="6" borderId="0" xfId="0" applyNumberFormat="1" applyFill="1"/>
    <xf numFmtId="164" fontId="0" fillId="6" borderId="0" xfId="1" applyFont="1" applyFill="1"/>
    <xf numFmtId="44" fontId="0" fillId="6" borderId="0" xfId="0" applyNumberFormat="1" applyFill="1"/>
    <xf numFmtId="169" fontId="22" fillId="6" borderId="15" xfId="0" applyNumberFormat="1" applyFont="1" applyFill="1" applyBorder="1" applyAlignment="1">
      <alignment horizontal="center" vertical="center" wrapText="1"/>
    </xf>
    <xf numFmtId="0" fontId="0" fillId="0" borderId="44" xfId="0" applyBorder="1"/>
    <xf numFmtId="0" fontId="0" fillId="0" borderId="45" xfId="0" applyBorder="1"/>
    <xf numFmtId="0" fontId="0" fillId="0" borderId="47" xfId="0" applyBorder="1"/>
    <xf numFmtId="0" fontId="0" fillId="0" borderId="48" xfId="0" applyBorder="1"/>
    <xf numFmtId="0" fontId="0" fillId="0" borderId="22" xfId="0" applyBorder="1"/>
    <xf numFmtId="0" fontId="34" fillId="0" borderId="9" xfId="0" applyFont="1" applyBorder="1" applyAlignment="1">
      <alignment horizontal="center" vertical="center"/>
    </xf>
    <xf numFmtId="4" fontId="37" fillId="0" borderId="0" xfId="0" applyNumberFormat="1" applyFont="1" applyAlignment="1">
      <alignment horizontal="right" vertical="center" wrapText="1"/>
    </xf>
    <xf numFmtId="4" fontId="21" fillId="0" borderId="0" xfId="0" applyNumberFormat="1" applyFont="1" applyAlignment="1">
      <alignment horizontal="center" vertical="center" wrapText="1"/>
    </xf>
    <xf numFmtId="164" fontId="0" fillId="0" borderId="22" xfId="1" applyFont="1" applyBorder="1"/>
    <xf numFmtId="165" fontId="6" fillId="10" borderId="22" xfId="0" applyNumberFormat="1" applyFont="1" applyFill="1" applyBorder="1" applyAlignment="1" applyProtection="1">
      <alignment vertical="center"/>
      <protection hidden="1"/>
    </xf>
    <xf numFmtId="0" fontId="20" fillId="24" borderId="0" xfId="0" applyFont="1" applyFill="1" applyAlignment="1">
      <alignment horizontal="right"/>
    </xf>
    <xf numFmtId="0" fontId="20" fillId="23" borderId="0" xfId="0" applyFont="1" applyFill="1" applyAlignment="1">
      <alignment horizontal="right"/>
    </xf>
    <xf numFmtId="0" fontId="0" fillId="9" borderId="0" xfId="0" applyFill="1" applyAlignment="1">
      <alignment horizontal="right"/>
    </xf>
    <xf numFmtId="0" fontId="0" fillId="25" borderId="0" xfId="0" applyFill="1" applyAlignment="1">
      <alignment horizontal="right"/>
    </xf>
    <xf numFmtId="164" fontId="0" fillId="0" borderId="0" xfId="1" applyFont="1" applyAlignment="1">
      <alignment horizontal="right"/>
    </xf>
    <xf numFmtId="164" fontId="0" fillId="23" borderId="22" xfId="1" applyFont="1" applyFill="1" applyBorder="1"/>
    <xf numFmtId="165" fontId="8" fillId="2" borderId="22" xfId="0" applyNumberFormat="1" applyFont="1" applyFill="1" applyBorder="1" applyAlignment="1" applyProtection="1">
      <alignment vertical="center"/>
      <protection hidden="1"/>
    </xf>
    <xf numFmtId="0" fontId="0" fillId="0" borderId="0" xfId="0" applyAlignment="1">
      <alignment horizontal="right"/>
    </xf>
    <xf numFmtId="164" fontId="0" fillId="9" borderId="22" xfId="1" applyFont="1" applyFill="1" applyBorder="1"/>
    <xf numFmtId="165" fontId="6" fillId="8" borderId="22" xfId="0" applyNumberFormat="1" applyFont="1" applyFill="1" applyBorder="1" applyAlignment="1" applyProtection="1">
      <alignment vertical="center"/>
      <protection hidden="1"/>
    </xf>
    <xf numFmtId="164" fontId="0" fillId="24" borderId="22" xfId="1" applyFont="1" applyFill="1" applyBorder="1"/>
    <xf numFmtId="165" fontId="6" fillId="26" borderId="22" xfId="0" applyNumberFormat="1" applyFont="1" applyFill="1" applyBorder="1" applyAlignment="1" applyProtection="1">
      <alignment vertical="center"/>
      <protection hidden="1"/>
    </xf>
    <xf numFmtId="169" fontId="0" fillId="22" borderId="0" xfId="0" applyNumberFormat="1" applyFill="1" applyAlignment="1">
      <alignment horizontal="right"/>
    </xf>
    <xf numFmtId="169" fontId="0" fillId="16" borderId="0" xfId="0" applyNumberFormat="1" applyFill="1" applyAlignment="1">
      <alignment horizontal="right"/>
    </xf>
    <xf numFmtId="0" fontId="20" fillId="0" borderId="0" xfId="0" applyFont="1" applyAlignment="1">
      <alignment horizontal="center"/>
    </xf>
    <xf numFmtId="0" fontId="0" fillId="0" borderId="46" xfId="0" applyBorder="1"/>
    <xf numFmtId="0" fontId="0" fillId="0" borderId="24" xfId="0" applyBorder="1"/>
    <xf numFmtId="0" fontId="0" fillId="0" borderId="23" xfId="0" applyBorder="1"/>
    <xf numFmtId="164" fontId="0" fillId="0" borderId="0" xfId="0" applyNumberFormat="1"/>
    <xf numFmtId="9" fontId="19" fillId="0" borderId="0" xfId="0" applyNumberFormat="1" applyFont="1" applyAlignment="1">
      <alignment horizontal="center" vertical="center"/>
    </xf>
    <xf numFmtId="0" fontId="19" fillId="0" borderId="0" xfId="0" applyFont="1" applyAlignment="1">
      <alignment horizontal="center"/>
    </xf>
    <xf numFmtId="169" fontId="24" fillId="0" borderId="18" xfId="0" applyNumberFormat="1" applyFont="1" applyBorder="1" applyAlignment="1">
      <alignment horizontal="center" vertical="center" wrapText="1"/>
    </xf>
    <xf numFmtId="170" fontId="38" fillId="12" borderId="3" xfId="0" applyNumberFormat="1" applyFont="1" applyFill="1" applyBorder="1" applyAlignment="1">
      <alignment horizontal="right" vertical="center" wrapText="1"/>
    </xf>
    <xf numFmtId="4" fontId="12" fillId="0" borderId="25" xfId="0" applyNumberFormat="1" applyFont="1" applyBorder="1" applyAlignment="1">
      <alignment horizontal="right" vertical="center" wrapText="1"/>
    </xf>
    <xf numFmtId="169" fontId="12" fillId="0" borderId="17" xfId="0" applyNumberFormat="1" applyFont="1" applyBorder="1" applyAlignment="1">
      <alignment horizontal="center" vertical="center" wrapText="1"/>
    </xf>
    <xf numFmtId="169" fontId="13" fillId="0" borderId="17" xfId="0" applyNumberFormat="1" applyFont="1" applyBorder="1" applyAlignment="1">
      <alignment horizontal="center" vertical="center" wrapText="1"/>
    </xf>
    <xf numFmtId="169" fontId="12" fillId="0" borderId="19" xfId="0" applyNumberFormat="1" applyFont="1" applyBorder="1" applyAlignment="1">
      <alignment horizontal="center" vertical="center" wrapText="1"/>
    </xf>
    <xf numFmtId="169" fontId="13" fillId="0" borderId="9" xfId="0" applyNumberFormat="1" applyFont="1" applyBorder="1" applyAlignment="1">
      <alignment horizontal="center" vertical="center" wrapText="1"/>
    </xf>
    <xf numFmtId="169" fontId="12" fillId="0" borderId="9" xfId="0" applyNumberFormat="1" applyFont="1" applyBorder="1" applyAlignment="1">
      <alignment horizontal="center" vertical="center" wrapText="1"/>
    </xf>
    <xf numFmtId="169" fontId="13" fillId="0" borderId="15" xfId="3" applyNumberFormat="1" applyFont="1" applyBorder="1" applyAlignment="1">
      <alignment horizontal="center" vertical="center" wrapText="1"/>
    </xf>
    <xf numFmtId="169" fontId="13" fillId="0" borderId="0" xfId="0" applyNumberFormat="1" applyFont="1" applyAlignment="1">
      <alignment horizontal="right" vertical="center" wrapText="1"/>
    </xf>
    <xf numFmtId="169" fontId="16" fillId="12" borderId="2" xfId="0" applyNumberFormat="1" applyFont="1" applyFill="1" applyBorder="1" applyAlignment="1">
      <alignment horizontal="right" vertical="center" wrapText="1"/>
    </xf>
    <xf numFmtId="169" fontId="13" fillId="0" borderId="0" xfId="0" applyNumberFormat="1" applyFont="1" applyAlignment="1">
      <alignment horizontal="right"/>
    </xf>
    <xf numFmtId="169" fontId="12" fillId="0" borderId="0" xfId="0" applyNumberFormat="1" applyFont="1" applyAlignment="1">
      <alignment horizontal="right"/>
    </xf>
    <xf numFmtId="169" fontId="12" fillId="6" borderId="0" xfId="0" applyNumberFormat="1" applyFont="1" applyFill="1" applyAlignment="1">
      <alignment horizontal="right" vertical="center" wrapText="1"/>
    </xf>
    <xf numFmtId="169" fontId="0" fillId="0" borderId="0" xfId="1" applyNumberFormat="1" applyFont="1"/>
    <xf numFmtId="169" fontId="20" fillId="0" borderId="9" xfId="1" applyNumberFormat="1" applyFont="1" applyBorder="1"/>
    <xf numFmtId="169" fontId="12" fillId="13" borderId="15" xfId="0" applyNumberFormat="1" applyFont="1" applyFill="1" applyBorder="1" applyAlignment="1">
      <alignment horizontal="right" wrapText="1"/>
    </xf>
    <xf numFmtId="169" fontId="1" fillId="0" borderId="0" xfId="0" applyNumberFormat="1" applyFont="1"/>
    <xf numFmtId="169" fontId="12" fillId="0" borderId="3" xfId="0" applyNumberFormat="1" applyFont="1" applyBorder="1" applyAlignment="1">
      <alignment horizontal="center" vertical="center"/>
    </xf>
    <xf numFmtId="169" fontId="13" fillId="6" borderId="9" xfId="0" applyNumberFormat="1" applyFont="1" applyFill="1" applyBorder="1" applyAlignment="1">
      <alignment horizontal="right" vertical="center" wrapText="1"/>
    </xf>
    <xf numFmtId="169" fontId="0" fillId="17" borderId="0" xfId="0" applyNumberFormat="1" applyFill="1"/>
    <xf numFmtId="169" fontId="13" fillId="0" borderId="15" xfId="3" applyNumberFormat="1" applyFont="1" applyBorder="1" applyAlignment="1">
      <alignment vertical="center" wrapText="1"/>
    </xf>
    <xf numFmtId="169" fontId="12" fillId="0" borderId="15" xfId="3" applyNumberFormat="1" applyFont="1" applyBorder="1" applyAlignment="1">
      <alignment horizontal="center" vertical="center" wrapText="1"/>
    </xf>
    <xf numFmtId="9" fontId="0" fillId="0" borderId="0" xfId="0" applyNumberFormat="1"/>
    <xf numFmtId="165" fontId="6" fillId="7" borderId="9" xfId="1" applyNumberFormat="1" applyFont="1" applyFill="1" applyBorder="1" applyAlignment="1" applyProtection="1">
      <alignment vertical="center"/>
    </xf>
    <xf numFmtId="165" fontId="8" fillId="0" borderId="9" xfId="1" applyNumberFormat="1" applyFont="1" applyFill="1" applyBorder="1" applyAlignment="1" applyProtection="1">
      <alignment vertical="center"/>
    </xf>
    <xf numFmtId="165" fontId="3" fillId="7" borderId="9" xfId="1" applyNumberFormat="1" applyFont="1" applyFill="1" applyBorder="1" applyAlignment="1" applyProtection="1">
      <alignment vertical="center"/>
    </xf>
    <xf numFmtId="165" fontId="6" fillId="0" borderId="0" xfId="1" applyNumberFormat="1" applyFont="1" applyFill="1" applyBorder="1" applyProtection="1"/>
    <xf numFmtId="164" fontId="2" fillId="0" borderId="0" xfId="1" applyFont="1" applyProtection="1"/>
    <xf numFmtId="165" fontId="5" fillId="5" borderId="5" xfId="0" applyNumberFormat="1" applyFont="1" applyFill="1" applyBorder="1" applyAlignment="1" applyProtection="1">
      <alignment vertical="center"/>
      <protection locked="0"/>
    </xf>
    <xf numFmtId="165" fontId="5" fillId="5" borderId="10" xfId="0" applyNumberFormat="1" applyFont="1" applyFill="1" applyBorder="1" applyAlignment="1" applyProtection="1">
      <alignment vertical="center"/>
      <protection locked="0"/>
    </xf>
    <xf numFmtId="165" fontId="10" fillId="7" borderId="10" xfId="0" applyNumberFormat="1" applyFont="1" applyFill="1" applyBorder="1" applyAlignment="1" applyProtection="1">
      <alignment horizontal="right" vertical="center" wrapText="1"/>
      <protection locked="0"/>
    </xf>
    <xf numFmtId="0" fontId="5" fillId="0" borderId="0" xfId="0" applyFont="1" applyAlignment="1" applyProtection="1">
      <alignment vertical="center"/>
      <protection locked="0"/>
    </xf>
    <xf numFmtId="165" fontId="10" fillId="0" borderId="9" xfId="0" applyNumberFormat="1" applyFont="1" applyBorder="1" applyAlignment="1" applyProtection="1">
      <alignment horizontal="left" vertical="center"/>
      <protection locked="0"/>
    </xf>
    <xf numFmtId="9" fontId="5" fillId="27" borderId="9" xfId="0" applyNumberFormat="1" applyFont="1" applyFill="1" applyBorder="1" applyAlignment="1" applyProtection="1">
      <alignment horizontal="right" vertical="center"/>
      <protection locked="0"/>
    </xf>
    <xf numFmtId="165" fontId="11" fillId="0" borderId="9" xfId="0" applyNumberFormat="1" applyFont="1" applyBorder="1" applyAlignment="1" applyProtection="1">
      <alignment horizontal="left" vertical="center" wrapText="1"/>
      <protection locked="0"/>
    </xf>
    <xf numFmtId="164" fontId="8" fillId="4" borderId="21" xfId="1" quotePrefix="1" applyFont="1" applyFill="1" applyBorder="1" applyAlignment="1" applyProtection="1">
      <alignment horizontal="center" vertical="center" wrapText="1"/>
    </xf>
    <xf numFmtId="7" fontId="0" fillId="27" borderId="9" xfId="0" applyNumberFormat="1" applyFill="1" applyBorder="1" applyAlignment="1" applyProtection="1">
      <alignment horizontal="right" vertical="center"/>
      <protection locked="0"/>
    </xf>
    <xf numFmtId="0" fontId="2" fillId="2" borderId="0" xfId="0" applyFont="1" applyFill="1"/>
    <xf numFmtId="0" fontId="2" fillId="0" borderId="0" xfId="0" applyFont="1"/>
    <xf numFmtId="0" fontId="2" fillId="0" borderId="0" xfId="0" applyFont="1" applyAlignment="1">
      <alignment horizontal="right"/>
    </xf>
    <xf numFmtId="0" fontId="4" fillId="0" borderId="0" xfId="0" applyFont="1"/>
    <xf numFmtId="0" fontId="5" fillId="0" borderId="0" xfId="0" applyFont="1"/>
    <xf numFmtId="2" fontId="5" fillId="0" borderId="0" xfId="0" applyNumberFormat="1" applyFont="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4" borderId="0" xfId="0" quotePrefix="1" applyFont="1" applyFill="1" applyAlignment="1">
      <alignment horizontal="center" vertical="center" wrapText="1"/>
    </xf>
    <xf numFmtId="0" fontId="7" fillId="4" borderId="0" xfId="0" quotePrefix="1" applyFont="1" applyFill="1" applyAlignment="1">
      <alignment vertical="center" wrapText="1"/>
    </xf>
    <xf numFmtId="165" fontId="7" fillId="4" borderId="0" xfId="0" quotePrefix="1" applyNumberFormat="1" applyFont="1" applyFill="1" applyAlignment="1">
      <alignment vertical="center" wrapText="1"/>
    </xf>
    <xf numFmtId="165" fontId="2" fillId="0" borderId="0" xfId="0" applyNumberFormat="1" applyFont="1" applyAlignment="1">
      <alignment vertical="center"/>
    </xf>
    <xf numFmtId="166" fontId="8" fillId="0" borderId="0" xfId="0" applyNumberFormat="1" applyFont="1" applyAlignment="1">
      <alignment vertical="center"/>
    </xf>
    <xf numFmtId="8" fontId="8" fillId="0" borderId="7" xfId="0" quotePrefix="1" applyNumberFormat="1" applyFont="1" applyBorder="1" applyAlignment="1">
      <alignment horizontal="left" vertical="center" wrapText="1"/>
    </xf>
    <xf numFmtId="0" fontId="7" fillId="8" borderId="8" xfId="0" quotePrefix="1" applyFont="1" applyFill="1" applyBorder="1" applyAlignment="1">
      <alignment vertical="center" wrapText="1"/>
    </xf>
    <xf numFmtId="167" fontId="8" fillId="4" borderId="21" xfId="0" quotePrefix="1" applyNumberFormat="1" applyFont="1" applyFill="1" applyBorder="1" applyAlignment="1">
      <alignment horizontal="center" vertical="center" wrapText="1"/>
    </xf>
    <xf numFmtId="169" fontId="0" fillId="6" borderId="9" xfId="0" applyNumberFormat="1" applyFill="1" applyBorder="1" applyAlignment="1">
      <alignment horizontal="center" vertical="center"/>
    </xf>
    <xf numFmtId="169" fontId="8" fillId="0" borderId="8" xfId="0" applyNumberFormat="1" applyFont="1" applyBorder="1" applyAlignment="1">
      <alignment vertical="center"/>
    </xf>
    <xf numFmtId="165" fontId="8" fillId="0" borderId="6" xfId="0" applyNumberFormat="1" applyFont="1" applyBorder="1" applyAlignment="1">
      <alignment vertical="center"/>
    </xf>
    <xf numFmtId="8" fontId="8" fillId="0" borderId="9" xfId="0" quotePrefix="1" applyNumberFormat="1" applyFont="1" applyBorder="1" applyAlignment="1">
      <alignment horizontal="left" vertical="center" wrapText="1"/>
    </xf>
    <xf numFmtId="0" fontId="7" fillId="8" borderId="9" xfId="0" quotePrefix="1" applyFont="1" applyFill="1" applyBorder="1" applyAlignment="1">
      <alignment vertical="center" wrapText="1"/>
    </xf>
    <xf numFmtId="167" fontId="8" fillId="4" borderId="13" xfId="0" quotePrefix="1" applyNumberFormat="1" applyFont="1" applyFill="1" applyBorder="1" applyAlignment="1">
      <alignment horizontal="center" vertical="center" wrapText="1"/>
    </xf>
    <xf numFmtId="169" fontId="8" fillId="0" borderId="9" xfId="0" applyNumberFormat="1" applyFont="1" applyBorder="1" applyAlignment="1">
      <alignment horizontal="center" vertical="center"/>
    </xf>
    <xf numFmtId="8" fontId="8" fillId="6" borderId="9" xfId="0" quotePrefix="1" applyNumberFormat="1" applyFont="1" applyFill="1" applyBorder="1" applyAlignment="1">
      <alignment vertical="center" wrapText="1"/>
    </xf>
    <xf numFmtId="8" fontId="8" fillId="9" borderId="9" xfId="0" quotePrefix="1" applyNumberFormat="1" applyFont="1" applyFill="1" applyBorder="1" applyAlignment="1">
      <alignment vertical="center" wrapText="1"/>
    </xf>
    <xf numFmtId="167" fontId="8" fillId="10" borderId="11" xfId="0" quotePrefix="1" applyNumberFormat="1" applyFont="1" applyFill="1" applyBorder="1" applyAlignment="1">
      <alignment horizontal="center" vertical="center"/>
    </xf>
    <xf numFmtId="169" fontId="8" fillId="10" borderId="9" xfId="0" quotePrefix="1" applyNumberFormat="1"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vertical="center"/>
    </xf>
    <xf numFmtId="165" fontId="6" fillId="7" borderId="3" xfId="0" applyNumberFormat="1" applyFont="1" applyFill="1" applyBorder="1" applyAlignment="1">
      <alignment vertical="center"/>
    </xf>
    <xf numFmtId="165" fontId="6" fillId="7" borderId="6" xfId="0" applyNumberFormat="1" applyFont="1" applyFill="1" applyBorder="1" applyAlignment="1">
      <alignment vertical="center"/>
    </xf>
    <xf numFmtId="165" fontId="6" fillId="0" borderId="0" xfId="0" applyNumberFormat="1" applyFont="1" applyAlignment="1">
      <alignment horizontal="center" vertical="center"/>
    </xf>
    <xf numFmtId="165" fontId="5" fillId="0" borderId="0" xfId="0" applyNumberFormat="1" applyFont="1" applyAlignment="1">
      <alignment vertical="center"/>
    </xf>
    <xf numFmtId="0" fontId="39" fillId="9" borderId="15" xfId="0" applyFont="1" applyFill="1" applyBorder="1" applyAlignment="1">
      <alignment horizontal="center" vertical="center" wrapText="1"/>
    </xf>
    <xf numFmtId="165" fontId="8" fillId="0" borderId="13" xfId="0" applyNumberFormat="1" applyFont="1" applyBorder="1" applyAlignment="1">
      <alignment horizontal="left" vertical="center"/>
    </xf>
    <xf numFmtId="165" fontId="5" fillId="0" borderId="14" xfId="0" applyNumberFormat="1" applyFont="1" applyBorder="1" applyAlignment="1">
      <alignment vertical="center"/>
    </xf>
    <xf numFmtId="165" fontId="3" fillId="0" borderId="13" xfId="0" applyNumberFormat="1" applyFont="1" applyBorder="1" applyAlignment="1">
      <alignment horizontal="left" vertical="center"/>
    </xf>
    <xf numFmtId="165" fontId="11" fillId="0" borderId="14" xfId="0" applyNumberFormat="1" applyFont="1" applyBorder="1" applyAlignment="1">
      <alignment vertical="center"/>
    </xf>
    <xf numFmtId="165" fontId="11" fillId="0" borderId="9" xfId="0" applyNumberFormat="1" applyFont="1" applyBorder="1" applyAlignment="1">
      <alignment horizontal="left" vertical="center" wrapText="1"/>
    </xf>
    <xf numFmtId="0" fontId="6" fillId="0" borderId="0" xfId="0" applyFont="1"/>
    <xf numFmtId="0" fontId="10" fillId="0" borderId="0" xfId="0" applyFont="1"/>
    <xf numFmtId="165" fontId="10" fillId="0" borderId="0" xfId="0" applyNumberFormat="1" applyFont="1" applyAlignment="1">
      <alignment horizontal="right"/>
    </xf>
    <xf numFmtId="165" fontId="6" fillId="0" borderId="0" xfId="0" applyNumberFormat="1" applyFont="1"/>
    <xf numFmtId="169" fontId="0" fillId="15" borderId="9" xfId="0" applyNumberFormat="1" applyFill="1" applyBorder="1" applyAlignment="1">
      <alignment horizontal="center" vertical="center"/>
    </xf>
    <xf numFmtId="165" fontId="8" fillId="0" borderId="8" xfId="0" applyNumberFormat="1" applyFont="1" applyBorder="1" applyAlignment="1">
      <alignment vertical="center"/>
    </xf>
    <xf numFmtId="168" fontId="8" fillId="4" borderId="13" xfId="0" quotePrefix="1" applyNumberFormat="1" applyFont="1" applyFill="1" applyBorder="1" applyAlignment="1">
      <alignment horizontal="center" vertical="center" wrapText="1"/>
    </xf>
    <xf numFmtId="168" fontId="8" fillId="10" borderId="11" xfId="0" quotePrefix="1" applyNumberFormat="1" applyFont="1" applyFill="1" applyBorder="1" applyAlignment="1">
      <alignment horizontal="center" vertical="center"/>
    </xf>
    <xf numFmtId="7" fontId="0" fillId="6" borderId="9" xfId="0" applyNumberFormat="1" applyFill="1" applyBorder="1" applyAlignment="1">
      <alignment horizontal="right" vertical="center"/>
    </xf>
    <xf numFmtId="44" fontId="0" fillId="6" borderId="9" xfId="0" applyNumberFormat="1" applyFill="1" applyBorder="1" applyAlignment="1">
      <alignment horizontal="right" vertical="center"/>
    </xf>
    <xf numFmtId="164" fontId="8" fillId="4" borderId="13" xfId="0" quotePrefix="1" applyNumberFormat="1" applyFont="1" applyFill="1" applyBorder="1" applyAlignment="1">
      <alignment horizontal="center" vertical="center" wrapText="1"/>
    </xf>
    <xf numFmtId="164" fontId="8" fillId="10" borderId="11" xfId="0" quotePrefix="1" applyNumberFormat="1" applyFont="1" applyFill="1" applyBorder="1" applyAlignment="1">
      <alignment horizontal="center" vertical="center"/>
    </xf>
    <xf numFmtId="7" fontId="0" fillId="19" borderId="9" xfId="0" applyNumberFormat="1" applyFill="1" applyBorder="1" applyAlignment="1">
      <alignment horizontal="right" vertical="center"/>
    </xf>
    <xf numFmtId="44" fontId="0" fillId="19" borderId="9" xfId="0" applyNumberFormat="1" applyFill="1" applyBorder="1" applyAlignment="1">
      <alignment horizontal="right" vertical="center"/>
    </xf>
    <xf numFmtId="7" fontId="20" fillId="19" borderId="9" xfId="0" applyNumberFormat="1" applyFont="1" applyFill="1" applyBorder="1" applyAlignment="1">
      <alignment horizontal="right" vertical="center"/>
    </xf>
    <xf numFmtId="44" fontId="20" fillId="19" borderId="9" xfId="0" applyNumberFormat="1" applyFont="1" applyFill="1" applyBorder="1" applyAlignment="1">
      <alignment horizontal="right" vertical="center"/>
    </xf>
    <xf numFmtId="7" fontId="20" fillId="0" borderId="9" xfId="0" applyNumberFormat="1" applyFont="1" applyBorder="1" applyAlignment="1">
      <alignment horizontal="right" vertical="center"/>
    </xf>
    <xf numFmtId="44" fontId="20" fillId="0" borderId="9" xfId="0" applyNumberFormat="1" applyFont="1" applyBorder="1" applyAlignment="1">
      <alignment horizontal="right" vertical="center"/>
    </xf>
    <xf numFmtId="44" fontId="0" fillId="0" borderId="9" xfId="0" applyNumberFormat="1" applyBorder="1"/>
    <xf numFmtId="0" fontId="29" fillId="20" borderId="1" xfId="0" applyFont="1" applyFill="1" applyBorder="1" applyAlignment="1">
      <alignment horizontal="center"/>
    </xf>
    <xf numFmtId="0" fontId="29" fillId="20" borderId="2" xfId="0" applyFont="1" applyFill="1" applyBorder="1" applyAlignment="1">
      <alignment horizontal="center"/>
    </xf>
    <xf numFmtId="0" fontId="29" fillId="20" borderId="3" xfId="0" applyFont="1" applyFill="1" applyBorder="1" applyAlignment="1">
      <alignment horizontal="center"/>
    </xf>
    <xf numFmtId="169" fontId="12" fillId="9" borderId="1" xfId="0" applyNumberFormat="1" applyFont="1" applyFill="1" applyBorder="1" applyAlignment="1">
      <alignment horizontal="center" vertical="center"/>
    </xf>
    <xf numFmtId="169" fontId="12" fillId="9" borderId="2" xfId="0" applyNumberFormat="1" applyFont="1" applyFill="1" applyBorder="1" applyAlignment="1">
      <alignment horizontal="center" vertical="center"/>
    </xf>
    <xf numFmtId="169" fontId="12" fillId="9" borderId="3" xfId="0" applyNumberFormat="1" applyFont="1" applyFill="1" applyBorder="1" applyAlignment="1">
      <alignment horizontal="center" vertical="center"/>
    </xf>
    <xf numFmtId="0" fontId="20" fillId="20" borderId="0" xfId="0" applyFont="1" applyFill="1" applyAlignment="1">
      <alignment horizontal="center" vertical="center"/>
    </xf>
    <xf numFmtId="0" fontId="0" fillId="0" borderId="0" xfId="0" applyAlignment="1">
      <alignment horizontal="center"/>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0" xfId="0" applyFont="1" applyAlignment="1">
      <alignment horizontal="center"/>
    </xf>
    <xf numFmtId="165" fontId="6" fillId="0" borderId="1" xfId="0" applyNumberFormat="1" applyFont="1" applyBorder="1" applyAlignment="1">
      <alignment horizontal="right" vertical="center"/>
    </xf>
    <xf numFmtId="165" fontId="6" fillId="0" borderId="20" xfId="0" applyNumberFormat="1" applyFont="1" applyBorder="1" applyAlignment="1">
      <alignment horizontal="right" vertical="center"/>
    </xf>
    <xf numFmtId="165" fontId="8" fillId="0" borderId="13" xfId="0" applyNumberFormat="1" applyFont="1" applyBorder="1" applyAlignment="1">
      <alignment horizontal="center" vertical="center"/>
    </xf>
    <xf numFmtId="165" fontId="8" fillId="0" borderId="14" xfId="0" applyNumberFormat="1" applyFont="1" applyBorder="1" applyAlignment="1">
      <alignment horizontal="center" vertical="center"/>
    </xf>
    <xf numFmtId="0" fontId="8" fillId="0" borderId="0" xfId="0" applyFont="1" applyAlignment="1">
      <alignment horizontal="justify" vertical="center" wrapText="1"/>
    </xf>
  </cellXfs>
  <cellStyles count="7">
    <cellStyle name="Coma" xfId="1" builtinId="3"/>
    <cellStyle name="Coma 2" xfId="4" xr:uid="{00000000-0005-0000-0000-000001000000}"/>
    <cellStyle name="Coma 3" xfId="3" xr:uid="{00000000-0005-0000-0000-000002000000}"/>
    <cellStyle name="Coma 4" xfId="5" xr:uid="{00000000-0005-0000-0000-000003000000}"/>
    <cellStyle name="Coma 5" xfId="6" xr:uid="{00000000-0005-0000-0000-000004000000}"/>
    <cellStyle name="Normal" xfId="0" builtinId="0"/>
    <cellStyle name="Percentatge" xfId="2" builtinId="5"/>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jbcn-my.sharepoint.com/personal/anh0326_bcn_cat/Documents/informe%20analisis%20despesa%20vdef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3"/>
      <sheetName val="q4"/>
      <sheetName val="dades descans + desplaç"/>
      <sheetName val="Creixement del servei"/>
      <sheetName val="Estudi Cost TOTAL"/>
      <sheetName val="Estudi Cost (L1)"/>
      <sheetName val="Estudi Cost (L2)"/>
      <sheetName val="Estudi Cost (L3)"/>
      <sheetName val="Estudi Cost (L4)"/>
      <sheetName val="Taules memoria"/>
      <sheetName val="VEC"/>
      <sheetName val="Lots"/>
      <sheetName val="taules nou conveni"/>
      <sheetName val="EHAI"/>
      <sheetName val="Cost indirecte"/>
      <sheetName val="Full1"/>
      <sheetName val="Full6"/>
      <sheetName val="taules word"/>
      <sheetName val="desplaçament"/>
    </sheetNames>
    <sheetDataSet>
      <sheetData sheetId="0"/>
      <sheetData sheetId="1"/>
      <sheetData sheetId="2"/>
      <sheetData sheetId="3"/>
      <sheetData sheetId="4"/>
      <sheetData sheetId="5"/>
      <sheetData sheetId="6"/>
      <sheetData sheetId="7">
        <row r="54">
          <cell r="E54">
            <v>30806473.32</v>
          </cell>
          <cell r="G54">
            <v>32295308.249999996</v>
          </cell>
        </row>
        <row r="55">
          <cell r="E55">
            <v>1232258.93</v>
          </cell>
          <cell r="G55">
            <v>1291812.33</v>
          </cell>
        </row>
        <row r="57">
          <cell r="E57">
            <v>1281549.29</v>
          </cell>
        </row>
        <row r="59">
          <cell r="E59">
            <v>1999216.89</v>
          </cell>
          <cell r="G59">
            <v>2095836.32</v>
          </cell>
        </row>
      </sheetData>
      <sheetData sheetId="8">
        <row r="54">
          <cell r="C54">
            <v>33051419.479999997</v>
          </cell>
          <cell r="E54">
            <v>34424920.540000007</v>
          </cell>
        </row>
        <row r="55">
          <cell r="C55">
            <v>1322056.78</v>
          </cell>
        </row>
        <row r="57">
          <cell r="C57">
            <v>1374939.05</v>
          </cell>
          <cell r="G57">
            <v>1501388.06</v>
          </cell>
        </row>
        <row r="59">
          <cell r="C59">
            <v>2144904.92</v>
          </cell>
          <cell r="G59">
            <v>2342165.38</v>
          </cell>
        </row>
      </sheetData>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2:F47"/>
  <sheetViews>
    <sheetView showGridLines="0" topLeftCell="A4" workbookViewId="0">
      <selection activeCell="J31" sqref="J31"/>
    </sheetView>
  </sheetViews>
  <sheetFormatPr defaultRowHeight="14.5" x14ac:dyDescent="0.35"/>
  <cols>
    <col min="2" max="2" width="24" bestFit="1" customWidth="1"/>
    <col min="3" max="3" width="7.453125" bestFit="1" customWidth="1"/>
  </cols>
  <sheetData>
    <row r="2" spans="2:6" x14ac:dyDescent="0.35">
      <c r="E2" t="s">
        <v>101</v>
      </c>
    </row>
    <row r="3" spans="2:6" x14ac:dyDescent="0.35">
      <c r="D3" s="127" t="s">
        <v>93</v>
      </c>
      <c r="E3" s="127" t="s">
        <v>94</v>
      </c>
      <c r="F3" s="127" t="s">
        <v>95</v>
      </c>
    </row>
    <row r="4" spans="2:6" x14ac:dyDescent="0.35">
      <c r="B4" t="s">
        <v>15</v>
      </c>
      <c r="D4" s="122">
        <v>32.590000000000003</v>
      </c>
      <c r="E4" s="123">
        <v>33.47</v>
      </c>
      <c r="F4" s="147">
        <v>34.5</v>
      </c>
    </row>
    <row r="5" spans="2:6" x14ac:dyDescent="0.35">
      <c r="B5" t="s">
        <v>16</v>
      </c>
      <c r="D5" s="124">
        <v>29.07</v>
      </c>
      <c r="E5">
        <v>29.75</v>
      </c>
      <c r="F5" s="148">
        <v>30.7</v>
      </c>
    </row>
    <row r="6" spans="2:6" x14ac:dyDescent="0.35">
      <c r="B6" t="s">
        <v>17</v>
      </c>
      <c r="D6" s="124">
        <v>24.95</v>
      </c>
      <c r="E6">
        <v>25.01</v>
      </c>
      <c r="F6" s="148">
        <v>24.98</v>
      </c>
    </row>
    <row r="7" spans="2:6" x14ac:dyDescent="0.35">
      <c r="B7" t="s">
        <v>18</v>
      </c>
      <c r="D7" s="125">
        <v>37.43</v>
      </c>
      <c r="E7" s="126">
        <v>37.51</v>
      </c>
      <c r="F7" s="149">
        <v>37.47</v>
      </c>
    </row>
    <row r="9" spans="2:6" x14ac:dyDescent="0.35">
      <c r="B9" t="s">
        <v>15</v>
      </c>
      <c r="D9" s="122">
        <v>33.06</v>
      </c>
      <c r="E9" s="123">
        <v>33.86</v>
      </c>
      <c r="F9" s="147">
        <v>34.89</v>
      </c>
    </row>
    <row r="10" spans="2:6" x14ac:dyDescent="0.35">
      <c r="B10" t="s">
        <v>16</v>
      </c>
      <c r="D10" s="124">
        <v>29.41</v>
      </c>
      <c r="E10">
        <v>30.03</v>
      </c>
      <c r="F10" s="148">
        <v>31.03</v>
      </c>
    </row>
    <row r="11" spans="2:6" x14ac:dyDescent="0.35">
      <c r="B11" t="s">
        <v>17</v>
      </c>
      <c r="D11" s="124">
        <v>24.86</v>
      </c>
      <c r="E11">
        <v>24.82</v>
      </c>
      <c r="F11" s="148">
        <v>24.8</v>
      </c>
    </row>
    <row r="12" spans="2:6" x14ac:dyDescent="0.35">
      <c r="B12" t="s">
        <v>18</v>
      </c>
      <c r="D12" s="125">
        <v>37.29</v>
      </c>
      <c r="E12" s="126">
        <v>37.229999999999997</v>
      </c>
      <c r="F12" s="149">
        <v>37.19</v>
      </c>
    </row>
    <row r="14" spans="2:6" x14ac:dyDescent="0.35">
      <c r="B14" t="s">
        <v>15</v>
      </c>
      <c r="D14" s="122">
        <v>33.049999999999997</v>
      </c>
      <c r="E14" s="123">
        <v>33.64</v>
      </c>
      <c r="F14" s="147">
        <v>34.57</v>
      </c>
    </row>
    <row r="15" spans="2:6" x14ac:dyDescent="0.35">
      <c r="B15" t="s">
        <v>16</v>
      </c>
      <c r="D15" s="124">
        <v>29.49</v>
      </c>
      <c r="E15">
        <v>29.91</v>
      </c>
      <c r="F15" s="148">
        <v>30.82</v>
      </c>
    </row>
    <row r="16" spans="2:6" x14ac:dyDescent="0.35">
      <c r="B16" t="s">
        <v>17</v>
      </c>
      <c r="D16" s="124">
        <v>24.79</v>
      </c>
      <c r="E16">
        <v>24.76</v>
      </c>
      <c r="F16" s="148">
        <v>24.74</v>
      </c>
    </row>
    <row r="17" spans="2:6" x14ac:dyDescent="0.35">
      <c r="B17" t="s">
        <v>18</v>
      </c>
      <c r="D17" s="125">
        <v>37.18</v>
      </c>
      <c r="E17" s="126">
        <v>37.14</v>
      </c>
      <c r="F17" s="149">
        <v>37.119999999999997</v>
      </c>
    </row>
    <row r="19" spans="2:6" x14ac:dyDescent="0.35">
      <c r="B19" t="s">
        <v>15</v>
      </c>
      <c r="D19" s="122">
        <v>32.78</v>
      </c>
      <c r="E19" s="123">
        <v>33.479999999999997</v>
      </c>
      <c r="F19" s="147">
        <v>34.4</v>
      </c>
    </row>
    <row r="20" spans="2:6" x14ac:dyDescent="0.35">
      <c r="B20" t="s">
        <v>16</v>
      </c>
      <c r="D20" s="124">
        <v>29.27</v>
      </c>
      <c r="E20">
        <v>29.8</v>
      </c>
      <c r="F20" s="148">
        <v>30.7</v>
      </c>
    </row>
    <row r="21" spans="2:6" x14ac:dyDescent="0.35">
      <c r="B21" t="s">
        <v>17</v>
      </c>
      <c r="D21" s="124">
        <v>24.73</v>
      </c>
      <c r="E21">
        <v>24.69</v>
      </c>
      <c r="F21" s="148">
        <v>24.68</v>
      </c>
    </row>
    <row r="22" spans="2:6" x14ac:dyDescent="0.35">
      <c r="B22" t="s">
        <v>18</v>
      </c>
      <c r="D22" s="125">
        <v>37.1</v>
      </c>
      <c r="E22" s="126">
        <v>37.049999999999997</v>
      </c>
      <c r="F22" s="149">
        <v>37.020000000000003</v>
      </c>
    </row>
    <row r="25" spans="2:6" x14ac:dyDescent="0.35">
      <c r="B25" s="152" t="s">
        <v>102</v>
      </c>
    </row>
    <row r="26" spans="2:6" x14ac:dyDescent="0.35">
      <c r="B26" s="151">
        <v>0.04</v>
      </c>
    </row>
    <row r="27" spans="2:6" x14ac:dyDescent="0.35">
      <c r="E27" t="s">
        <v>101</v>
      </c>
    </row>
    <row r="28" spans="2:6" x14ac:dyDescent="0.35">
      <c r="D28" t="s">
        <v>93</v>
      </c>
      <c r="E28" t="s">
        <v>94</v>
      </c>
      <c r="F28" t="s">
        <v>95</v>
      </c>
    </row>
    <row r="29" spans="2:6" x14ac:dyDescent="0.35">
      <c r="B29" t="s">
        <v>15</v>
      </c>
      <c r="D29" s="114">
        <f>D4*$B$26+D4</f>
        <v>33.893600000000006</v>
      </c>
      <c r="E29" s="114">
        <f>E4*$B$26+E4</f>
        <v>34.808799999999998</v>
      </c>
      <c r="F29" s="114">
        <f>F4*$B$26+F4</f>
        <v>35.880000000000003</v>
      </c>
    </row>
    <row r="30" spans="2:6" x14ac:dyDescent="0.35">
      <c r="B30" t="s">
        <v>16</v>
      </c>
      <c r="D30" s="114">
        <f t="shared" ref="D30:F47" si="0">D5*$B$26+D5</f>
        <v>30.232800000000001</v>
      </c>
      <c r="E30" s="114">
        <f t="shared" si="0"/>
        <v>30.94</v>
      </c>
      <c r="F30" s="114">
        <f t="shared" si="0"/>
        <v>31.928000000000001</v>
      </c>
    </row>
    <row r="31" spans="2:6" x14ac:dyDescent="0.35">
      <c r="B31" t="s">
        <v>17</v>
      </c>
      <c r="D31" s="114">
        <f t="shared" si="0"/>
        <v>25.948</v>
      </c>
      <c r="E31" s="114">
        <f t="shared" si="0"/>
        <v>26.010400000000001</v>
      </c>
      <c r="F31" s="114">
        <f t="shared" si="0"/>
        <v>25.979199999999999</v>
      </c>
    </row>
    <row r="32" spans="2:6" x14ac:dyDescent="0.35">
      <c r="B32" t="s">
        <v>18</v>
      </c>
      <c r="D32" s="114">
        <f t="shared" si="0"/>
        <v>38.927199999999999</v>
      </c>
      <c r="E32" s="114">
        <f t="shared" si="0"/>
        <v>39.010399999999997</v>
      </c>
      <c r="F32" s="114">
        <f t="shared" si="0"/>
        <v>38.968800000000002</v>
      </c>
    </row>
    <row r="33" spans="2:6" x14ac:dyDescent="0.35">
      <c r="D33" s="114"/>
      <c r="E33" s="114"/>
      <c r="F33" s="114"/>
    </row>
    <row r="34" spans="2:6" x14ac:dyDescent="0.35">
      <c r="B34" t="s">
        <v>15</v>
      </c>
      <c r="D34" s="114">
        <f t="shared" si="0"/>
        <v>34.382400000000004</v>
      </c>
      <c r="E34" s="114">
        <f t="shared" ref="E34:E47" si="1">E9*$B$26+E9</f>
        <v>35.214399999999998</v>
      </c>
      <c r="F34" s="114">
        <f t="shared" ref="F34:F47" si="2">F9*$B$26+F9</f>
        <v>36.285600000000002</v>
      </c>
    </row>
    <row r="35" spans="2:6" x14ac:dyDescent="0.35">
      <c r="B35" t="s">
        <v>16</v>
      </c>
      <c r="D35" s="114">
        <f t="shared" si="0"/>
        <v>30.586400000000001</v>
      </c>
      <c r="E35" s="114">
        <f t="shared" si="1"/>
        <v>31.231200000000001</v>
      </c>
      <c r="F35" s="114">
        <f t="shared" si="2"/>
        <v>32.2712</v>
      </c>
    </row>
    <row r="36" spans="2:6" x14ac:dyDescent="0.35">
      <c r="B36" t="s">
        <v>17</v>
      </c>
      <c r="D36" s="114">
        <f t="shared" si="0"/>
        <v>25.854399999999998</v>
      </c>
      <c r="E36" s="114">
        <f t="shared" si="1"/>
        <v>25.812799999999999</v>
      </c>
      <c r="F36" s="114">
        <f t="shared" si="2"/>
        <v>25.792000000000002</v>
      </c>
    </row>
    <row r="37" spans="2:6" x14ac:dyDescent="0.35">
      <c r="B37" t="s">
        <v>18</v>
      </c>
      <c r="D37" s="114">
        <f t="shared" si="0"/>
        <v>38.781599999999997</v>
      </c>
      <c r="E37" s="114">
        <f t="shared" si="1"/>
        <v>38.719199999999994</v>
      </c>
      <c r="F37" s="114">
        <f t="shared" si="2"/>
        <v>38.677599999999998</v>
      </c>
    </row>
    <row r="38" spans="2:6" x14ac:dyDescent="0.35">
      <c r="D38" s="114"/>
      <c r="E38" s="114"/>
      <c r="F38" s="114"/>
    </row>
    <row r="39" spans="2:6" x14ac:dyDescent="0.35">
      <c r="B39" t="s">
        <v>15</v>
      </c>
      <c r="D39" s="114">
        <f t="shared" si="0"/>
        <v>34.372</v>
      </c>
      <c r="E39" s="114">
        <f t="shared" si="1"/>
        <v>34.985599999999998</v>
      </c>
      <c r="F39" s="114">
        <f t="shared" si="2"/>
        <v>35.952800000000003</v>
      </c>
    </row>
    <row r="40" spans="2:6" x14ac:dyDescent="0.35">
      <c r="B40" t="s">
        <v>16</v>
      </c>
      <c r="D40" s="114">
        <f t="shared" si="0"/>
        <v>30.669599999999999</v>
      </c>
      <c r="E40" s="114">
        <f t="shared" si="1"/>
        <v>31.106400000000001</v>
      </c>
      <c r="F40" s="114">
        <f t="shared" si="2"/>
        <v>32.052799999999998</v>
      </c>
    </row>
    <row r="41" spans="2:6" x14ac:dyDescent="0.35">
      <c r="B41" t="s">
        <v>17</v>
      </c>
      <c r="D41" s="114">
        <f t="shared" si="0"/>
        <v>25.781599999999997</v>
      </c>
      <c r="E41" s="114">
        <f t="shared" si="1"/>
        <v>25.750400000000003</v>
      </c>
      <c r="F41" s="114">
        <f t="shared" si="2"/>
        <v>25.729599999999998</v>
      </c>
    </row>
    <row r="42" spans="2:6" x14ac:dyDescent="0.35">
      <c r="B42" t="s">
        <v>18</v>
      </c>
      <c r="D42" s="114">
        <f t="shared" si="0"/>
        <v>38.667200000000001</v>
      </c>
      <c r="E42" s="114">
        <f t="shared" si="1"/>
        <v>38.625599999999999</v>
      </c>
      <c r="F42" s="114">
        <f t="shared" si="2"/>
        <v>38.604799999999997</v>
      </c>
    </row>
    <row r="43" spans="2:6" x14ac:dyDescent="0.35">
      <c r="D43" s="114"/>
      <c r="E43" s="114"/>
      <c r="F43" s="114"/>
    </row>
    <row r="44" spans="2:6" x14ac:dyDescent="0.35">
      <c r="B44" t="s">
        <v>15</v>
      </c>
      <c r="D44" s="114">
        <f t="shared" si="0"/>
        <v>34.091200000000001</v>
      </c>
      <c r="E44" s="114">
        <f t="shared" si="1"/>
        <v>34.819199999999995</v>
      </c>
      <c r="F44" s="114">
        <f t="shared" si="2"/>
        <v>35.775999999999996</v>
      </c>
    </row>
    <row r="45" spans="2:6" x14ac:dyDescent="0.35">
      <c r="B45" t="s">
        <v>16</v>
      </c>
      <c r="D45" s="114">
        <f t="shared" si="0"/>
        <v>30.440799999999999</v>
      </c>
      <c r="E45" s="114">
        <f t="shared" si="1"/>
        <v>30.992000000000001</v>
      </c>
      <c r="F45" s="114">
        <f t="shared" si="2"/>
        <v>31.928000000000001</v>
      </c>
    </row>
    <row r="46" spans="2:6" x14ac:dyDescent="0.35">
      <c r="B46" t="s">
        <v>17</v>
      </c>
      <c r="D46" s="114">
        <f t="shared" si="0"/>
        <v>25.719200000000001</v>
      </c>
      <c r="E46" s="114">
        <f t="shared" si="1"/>
        <v>25.677600000000002</v>
      </c>
      <c r="F46" s="114">
        <f t="shared" si="2"/>
        <v>25.667200000000001</v>
      </c>
    </row>
    <row r="47" spans="2:6" x14ac:dyDescent="0.35">
      <c r="B47" t="s">
        <v>18</v>
      </c>
      <c r="D47" s="114">
        <f t="shared" si="0"/>
        <v>38.584000000000003</v>
      </c>
      <c r="E47" s="114">
        <f t="shared" si="1"/>
        <v>38.531999999999996</v>
      </c>
      <c r="F47" s="114">
        <f t="shared" si="2"/>
        <v>38.500800000000005</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pageSetUpPr fitToPage="1"/>
  </sheetPr>
  <dimension ref="A1:R29"/>
  <sheetViews>
    <sheetView showGridLines="0" workbookViewId="0">
      <selection activeCell="H19" sqref="H19"/>
    </sheetView>
  </sheetViews>
  <sheetFormatPr defaultColWidth="9.1796875" defaultRowHeight="14.5" x14ac:dyDescent="0.35"/>
  <cols>
    <col min="3" max="3" width="44.54296875" bestFit="1" customWidth="1"/>
    <col min="4" max="4" width="28.54296875" bestFit="1" customWidth="1"/>
    <col min="5" max="5" width="10.26953125" bestFit="1" customWidth="1"/>
    <col min="6" max="6" width="12.81640625" bestFit="1" customWidth="1"/>
    <col min="7" max="7" width="18.81640625" customWidth="1"/>
    <col min="8" max="8" width="31" customWidth="1"/>
    <col min="9" max="9" width="20.7265625"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41</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P4" s="1"/>
    </row>
    <row r="5" spans="1:18" x14ac:dyDescent="0.35">
      <c r="A5" s="191"/>
      <c r="B5" s="192"/>
      <c r="C5" s="194" t="s">
        <v>108</v>
      </c>
      <c r="D5" s="195"/>
      <c r="E5" s="195"/>
      <c r="F5" s="195"/>
      <c r="G5" s="196"/>
      <c r="H5" s="195"/>
      <c r="I5" s="195"/>
      <c r="J5" s="192"/>
      <c r="K5" s="191"/>
    </row>
    <row r="6" spans="1:18" ht="15" thickBot="1" x14ac:dyDescent="0.4">
      <c r="A6" s="191"/>
      <c r="B6" s="192"/>
      <c r="C6" s="195"/>
      <c r="D6" s="195"/>
      <c r="E6" s="195"/>
      <c r="F6" s="195"/>
      <c r="G6" s="196"/>
      <c r="H6" s="195"/>
      <c r="I6" s="195"/>
      <c r="J6" s="192"/>
      <c r="K6" s="191"/>
      <c r="P6" s="1"/>
    </row>
    <row r="7" spans="1:18" ht="23.5" thickBot="1" x14ac:dyDescent="0.4">
      <c r="A7" s="191"/>
      <c r="B7" s="192"/>
      <c r="C7" s="197" t="s">
        <v>1</v>
      </c>
      <c r="D7" s="198" t="s">
        <v>2</v>
      </c>
      <c r="E7" s="198" t="s">
        <v>19</v>
      </c>
      <c r="F7" s="198" t="s">
        <v>3</v>
      </c>
      <c r="G7" s="199" t="s">
        <v>4</v>
      </c>
      <c r="H7" s="198" t="s">
        <v>5</v>
      </c>
      <c r="I7" s="200" t="s">
        <v>6</v>
      </c>
      <c r="J7" s="192"/>
      <c r="K7" s="191"/>
      <c r="M7" s="176">
        <v>0.04</v>
      </c>
    </row>
    <row r="8" spans="1:18" ht="20.149999999999999" customHeight="1" thickBot="1" x14ac:dyDescent="0.4">
      <c r="A8" s="191"/>
      <c r="B8" s="192"/>
      <c r="C8" s="201" t="s">
        <v>7</v>
      </c>
      <c r="D8" s="202"/>
      <c r="E8" s="203"/>
      <c r="F8" s="203"/>
      <c r="G8" s="203"/>
      <c r="H8" s="204"/>
      <c r="I8" s="205"/>
      <c r="J8" s="192"/>
      <c r="K8" s="191"/>
      <c r="M8" s="176">
        <v>0</v>
      </c>
      <c r="N8" s="2"/>
    </row>
    <row r="9" spans="1:18" ht="27" customHeight="1" thickBot="1" x14ac:dyDescent="0.4">
      <c r="A9" s="191"/>
      <c r="B9" s="192"/>
      <c r="C9" s="206" t="s">
        <v>15</v>
      </c>
      <c r="D9" s="207" t="s">
        <v>35</v>
      </c>
      <c r="E9" s="208">
        <v>865749.38</v>
      </c>
      <c r="F9" s="236">
        <v>33.86</v>
      </c>
      <c r="G9" s="237">
        <f>E9*F9</f>
        <v>29314274.0068</v>
      </c>
      <c r="H9" s="182"/>
      <c r="I9" s="211">
        <f>H9*E9</f>
        <v>0</v>
      </c>
      <c r="J9" s="192"/>
      <c r="K9" s="191"/>
      <c r="N9" s="1"/>
    </row>
    <row r="10" spans="1:18" ht="27" customHeight="1" thickBot="1" x14ac:dyDescent="0.4">
      <c r="A10" s="191"/>
      <c r="B10" s="192"/>
      <c r="C10" s="212" t="s">
        <v>16</v>
      </c>
      <c r="D10" s="213" t="s">
        <v>35</v>
      </c>
      <c r="E10" s="214">
        <v>144212.70000000001</v>
      </c>
      <c r="F10" s="215">
        <v>30.03</v>
      </c>
      <c r="G10" s="237">
        <f>E10*F10</f>
        <v>4330707.3810000001</v>
      </c>
      <c r="H10" s="183"/>
      <c r="I10" s="211">
        <f>H10*E10</f>
        <v>0</v>
      </c>
      <c r="J10" s="192"/>
      <c r="K10" s="191"/>
      <c r="N10" s="1"/>
    </row>
    <row r="11" spans="1:18" ht="27" customHeight="1" thickBot="1" x14ac:dyDescent="0.4">
      <c r="A11" s="191"/>
      <c r="B11" s="192"/>
      <c r="C11" s="212" t="s">
        <v>17</v>
      </c>
      <c r="D11" s="213" t="s">
        <v>35</v>
      </c>
      <c r="E11" s="238">
        <v>200</v>
      </c>
      <c r="F11" s="215">
        <v>24.82</v>
      </c>
      <c r="G11" s="237">
        <f>E11*F11</f>
        <v>4964</v>
      </c>
      <c r="H11" s="183"/>
      <c r="I11" s="211">
        <f>H11*E11</f>
        <v>0</v>
      </c>
      <c r="J11" s="192"/>
      <c r="K11" s="191"/>
      <c r="N11" s="1"/>
    </row>
    <row r="12" spans="1:18" ht="27" customHeight="1" thickBot="1" x14ac:dyDescent="0.4">
      <c r="A12" s="191"/>
      <c r="B12" s="192"/>
      <c r="C12" s="216" t="s">
        <v>18</v>
      </c>
      <c r="D12" s="217" t="s">
        <v>35</v>
      </c>
      <c r="E12" s="239">
        <v>800</v>
      </c>
      <c r="F12" s="219">
        <v>37.229999999999997</v>
      </c>
      <c r="G12" s="237">
        <f>E12*F12</f>
        <v>29783.999999999996</v>
      </c>
      <c r="H12" s="183"/>
      <c r="I12" s="211">
        <f>H12*E12</f>
        <v>0</v>
      </c>
      <c r="J12" s="192"/>
      <c r="K12" s="191"/>
      <c r="N12" s="1"/>
    </row>
    <row r="13" spans="1:18" ht="20.149999999999999" customHeight="1" thickBot="1" x14ac:dyDescent="0.4">
      <c r="A13" s="191"/>
      <c r="B13" s="192"/>
      <c r="C13" s="220"/>
      <c r="D13" s="221"/>
      <c r="E13" s="263" t="s">
        <v>8</v>
      </c>
      <c r="F13" s="264"/>
      <c r="G13" s="222">
        <f>SUM(G9:G12)</f>
        <v>33679729.387800001</v>
      </c>
      <c r="H13" s="184" t="s">
        <v>9</v>
      </c>
      <c r="I13" s="223">
        <f>I9+I10+I11+I12</f>
        <v>0</v>
      </c>
      <c r="J13" s="192"/>
      <c r="K13" s="191"/>
      <c r="R13" s="2"/>
    </row>
    <row r="14" spans="1:18" ht="15" thickBot="1" x14ac:dyDescent="0.4">
      <c r="A14" s="191"/>
      <c r="B14" s="192"/>
      <c r="C14" s="220"/>
      <c r="D14" s="221"/>
      <c r="E14" s="224"/>
      <c r="F14" s="224"/>
      <c r="G14" s="225"/>
      <c r="H14" s="185"/>
      <c r="I14" s="225"/>
      <c r="J14" s="192"/>
      <c r="K14" s="191"/>
    </row>
    <row r="15" spans="1:18" ht="39.5" thickBot="1" x14ac:dyDescent="0.4">
      <c r="A15" s="191"/>
      <c r="B15" s="192"/>
      <c r="C15" s="226" t="s">
        <v>116</v>
      </c>
      <c r="D15" s="221"/>
      <c r="E15" s="227"/>
      <c r="F15" s="228" t="s">
        <v>20</v>
      </c>
      <c r="G15" s="177">
        <f>G13</f>
        <v>33679729.387800001</v>
      </c>
      <c r="H15" s="186" t="s">
        <v>10</v>
      </c>
      <c r="I15" s="177">
        <f>I13</f>
        <v>0</v>
      </c>
      <c r="J15" s="192"/>
      <c r="K15" s="191"/>
    </row>
    <row r="16" spans="1:18" x14ac:dyDescent="0.35">
      <c r="A16" s="191"/>
      <c r="B16" s="192"/>
      <c r="C16" s="220"/>
      <c r="D16" s="221"/>
      <c r="E16" s="265" t="s">
        <v>21</v>
      </c>
      <c r="F16" s="266"/>
      <c r="G16" s="178">
        <f>G15*4%</f>
        <v>1347189.175512</v>
      </c>
      <c r="H16" s="187">
        <v>0</v>
      </c>
      <c r="I16" s="178">
        <f>I15*H16</f>
        <v>0</v>
      </c>
      <c r="J16" s="192"/>
      <c r="K16" s="191"/>
    </row>
    <row r="17" spans="1:11" x14ac:dyDescent="0.35">
      <c r="A17" s="191"/>
      <c r="B17" s="192"/>
      <c r="C17" s="220"/>
      <c r="D17" s="221"/>
      <c r="E17" s="229" t="s">
        <v>11</v>
      </c>
      <c r="F17" s="230"/>
      <c r="G17" s="179">
        <f>SUM(G15:G16)</f>
        <v>35026918.563312002</v>
      </c>
      <c r="H17" s="188" t="s">
        <v>12</v>
      </c>
      <c r="I17" s="179">
        <f>I15+I16</f>
        <v>0</v>
      </c>
      <c r="J17" s="192"/>
      <c r="K17" s="191"/>
    </row>
    <row r="18" spans="1:11" x14ac:dyDescent="0.35">
      <c r="A18" s="191"/>
      <c r="B18" s="192"/>
      <c r="C18" s="220"/>
      <c r="D18" s="195"/>
      <c r="E18" s="232"/>
      <c r="F18" s="233"/>
      <c r="G18" s="180"/>
      <c r="H18" s="234"/>
      <c r="I18" s="235"/>
      <c r="J18" s="192"/>
      <c r="K18" s="191"/>
    </row>
    <row r="19" spans="1:11" x14ac:dyDescent="0.35">
      <c r="A19" s="191"/>
      <c r="B19" s="192"/>
      <c r="C19" s="220"/>
      <c r="D19" s="192" t="s">
        <v>13</v>
      </c>
      <c r="E19" s="192"/>
      <c r="F19" s="192"/>
      <c r="G19" s="181"/>
      <c r="H19" s="192"/>
      <c r="I19" s="192"/>
      <c r="J19" s="192"/>
      <c r="K19" s="191"/>
    </row>
    <row r="20" spans="1:11" x14ac:dyDescent="0.35">
      <c r="A20" s="191"/>
      <c r="B20" s="192"/>
      <c r="C20" s="220"/>
      <c r="D20" s="267" t="s">
        <v>14</v>
      </c>
      <c r="E20" s="267"/>
      <c r="F20" s="267"/>
      <c r="G20" s="267"/>
      <c r="H20" s="267"/>
      <c r="I20" s="267"/>
      <c r="J20" s="192"/>
      <c r="K20" s="191"/>
    </row>
    <row r="21" spans="1:11" x14ac:dyDescent="0.35">
      <c r="A21" s="191"/>
      <c r="B21" s="192"/>
      <c r="C21" s="220"/>
      <c r="D21" s="267"/>
      <c r="E21" s="267"/>
      <c r="F21" s="267"/>
      <c r="G21" s="267"/>
      <c r="H21" s="267"/>
      <c r="I21" s="267"/>
      <c r="J21" s="192"/>
      <c r="K21" s="191"/>
    </row>
    <row r="22" spans="1:11" x14ac:dyDescent="0.35">
      <c r="A22" s="191"/>
      <c r="B22" s="192"/>
      <c r="C22" s="220"/>
      <c r="D22" s="267"/>
      <c r="E22" s="267"/>
      <c r="F22" s="267"/>
      <c r="G22" s="267"/>
      <c r="H22" s="267"/>
      <c r="I22" s="267"/>
      <c r="J22" s="192"/>
      <c r="K22" s="191"/>
    </row>
    <row r="23" spans="1:11" x14ac:dyDescent="0.35">
      <c r="A23" s="191"/>
      <c r="B23" s="192"/>
      <c r="C23" s="220"/>
      <c r="D23" s="267"/>
      <c r="E23" s="267"/>
      <c r="F23" s="267"/>
      <c r="G23" s="267"/>
      <c r="H23" s="267"/>
      <c r="I23" s="267"/>
      <c r="J23" s="192"/>
      <c r="K23" s="191"/>
    </row>
    <row r="24" spans="1:11" x14ac:dyDescent="0.35">
      <c r="A24" s="191"/>
      <c r="B24" s="191"/>
      <c r="C24" s="191"/>
      <c r="D24" s="191"/>
      <c r="E24" s="191"/>
      <c r="F24" s="191"/>
      <c r="G24" s="191"/>
      <c r="H24" s="191"/>
      <c r="I24" s="191"/>
      <c r="J24" s="191"/>
      <c r="K24" s="191"/>
    </row>
    <row r="29" spans="1:11" x14ac:dyDescent="0.35">
      <c r="G29" s="2"/>
    </row>
  </sheetData>
  <sheetProtection algorithmName="SHA-512" hashValue="X5qF9+kgxRtjHd10RV+RbhZFNFuGIVLdSBk0o7ADa3blrn9M80HLaus5QbMghyQJr1YDUg7qQsSqxAZ+YWg0eA==" saltValue="U/N2iSMK+t4fczbo2+pKxA==" spinCount="100000" sheet="1" objects="1" scenarios="1"/>
  <mergeCells count="5">
    <mergeCell ref="E16:F16"/>
    <mergeCell ref="D20:I23"/>
    <mergeCell ref="I3:J3"/>
    <mergeCell ref="C3:G3"/>
    <mergeCell ref="E13:F13"/>
  </mergeCells>
  <dataValidations count="1">
    <dataValidation type="list" allowBlank="1" showInputMessage="1" showErrorMessage="1" sqref="H16" xr:uid="{BA0BE9C3-F2C2-42FA-8DCD-B40C78B3D207}">
      <formula1>$M$7:$M$8</formula1>
    </dataValidation>
  </dataValidations>
  <pageMargins left="0.70866141732283472" right="0.70866141732283472" top="0.74803149606299213" bottom="0.74803149606299213" header="0.31496062992125984" footer="0.31496062992125984"/>
  <pageSetup paperSize="8" scale="95"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pageSetUpPr fitToPage="1"/>
  </sheetPr>
  <dimension ref="A1:R29"/>
  <sheetViews>
    <sheetView showGridLines="0" tabSelected="1" workbookViewId="0">
      <selection activeCell="J15" sqref="J15"/>
    </sheetView>
  </sheetViews>
  <sheetFormatPr defaultColWidth="9.1796875" defaultRowHeight="14.5" x14ac:dyDescent="0.35"/>
  <cols>
    <col min="3" max="3" width="44.54296875" bestFit="1" customWidth="1"/>
    <col min="4" max="4" width="28.54296875" bestFit="1" customWidth="1"/>
    <col min="5" max="5" width="10.26953125" bestFit="1" customWidth="1"/>
    <col min="6" max="6" width="12.81640625" bestFit="1" customWidth="1"/>
    <col min="7" max="7" width="18.81640625" customWidth="1"/>
    <col min="8" max="8" width="31" customWidth="1"/>
    <col min="9" max="9" width="18.81640625" bestFit="1"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42</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M4" s="176">
        <v>0.04</v>
      </c>
      <c r="P4" s="1"/>
    </row>
    <row r="5" spans="1:18" x14ac:dyDescent="0.35">
      <c r="A5" s="191"/>
      <c r="B5" s="192"/>
      <c r="C5" s="194" t="s">
        <v>109</v>
      </c>
      <c r="D5" s="195"/>
      <c r="E5" s="195"/>
      <c r="F5" s="195"/>
      <c r="G5" s="196"/>
      <c r="H5" s="195"/>
      <c r="I5" s="195"/>
      <c r="J5" s="192"/>
      <c r="K5" s="191"/>
      <c r="M5" s="176">
        <v>0</v>
      </c>
    </row>
    <row r="6" spans="1:18" ht="15" thickBot="1" x14ac:dyDescent="0.4">
      <c r="A6" s="191"/>
      <c r="B6" s="192"/>
      <c r="C6" s="195"/>
      <c r="D6" s="195"/>
      <c r="E6" s="195"/>
      <c r="F6" s="195"/>
      <c r="G6" s="196"/>
      <c r="H6" s="195"/>
      <c r="I6" s="195"/>
      <c r="J6" s="192"/>
      <c r="K6" s="191"/>
      <c r="P6" s="1"/>
    </row>
    <row r="7" spans="1:18" ht="23.5" thickBot="1" x14ac:dyDescent="0.4">
      <c r="A7" s="191"/>
      <c r="B7" s="192"/>
      <c r="C7" s="197" t="s">
        <v>1</v>
      </c>
      <c r="D7" s="198" t="s">
        <v>2</v>
      </c>
      <c r="E7" s="198" t="s">
        <v>19</v>
      </c>
      <c r="F7" s="198" t="s">
        <v>3</v>
      </c>
      <c r="G7" s="199" t="s">
        <v>4</v>
      </c>
      <c r="H7" s="198" t="s">
        <v>5</v>
      </c>
      <c r="I7" s="200" t="s">
        <v>6</v>
      </c>
      <c r="J7" s="192"/>
      <c r="K7" s="191"/>
    </row>
    <row r="8" spans="1:18" ht="20.149999999999999" customHeight="1" thickBot="1" x14ac:dyDescent="0.4">
      <c r="A8" s="191"/>
      <c r="B8" s="192"/>
      <c r="C8" s="201" t="s">
        <v>7</v>
      </c>
      <c r="D8" s="202"/>
      <c r="E8" s="203"/>
      <c r="F8" s="203"/>
      <c r="G8" s="203"/>
      <c r="H8" s="204"/>
      <c r="I8" s="205"/>
      <c r="J8" s="192"/>
      <c r="K8" s="191"/>
      <c r="N8" s="2"/>
    </row>
    <row r="9" spans="1:18" ht="27" customHeight="1" thickBot="1" x14ac:dyDescent="0.4">
      <c r="A9" s="191"/>
      <c r="B9" s="192"/>
      <c r="C9" s="206" t="s">
        <v>15</v>
      </c>
      <c r="D9" s="207" t="s">
        <v>54</v>
      </c>
      <c r="E9" s="208">
        <v>883064.38</v>
      </c>
      <c r="F9" s="236">
        <v>34.89</v>
      </c>
      <c r="G9" s="237">
        <f>E9*F9</f>
        <v>30810116.218200002</v>
      </c>
      <c r="H9" s="182"/>
      <c r="I9" s="211">
        <f>H9*E9</f>
        <v>0</v>
      </c>
      <c r="J9" s="192"/>
      <c r="K9" s="191"/>
      <c r="N9" s="1"/>
    </row>
    <row r="10" spans="1:18" ht="27" customHeight="1" thickBot="1" x14ac:dyDescent="0.4">
      <c r="A10" s="191"/>
      <c r="B10" s="192"/>
      <c r="C10" s="212" t="s">
        <v>16</v>
      </c>
      <c r="D10" s="207" t="s">
        <v>54</v>
      </c>
      <c r="E10" s="214">
        <v>147096.95000000001</v>
      </c>
      <c r="F10" s="215">
        <v>31.03</v>
      </c>
      <c r="G10" s="237">
        <f t="shared" ref="G10:G12" si="0">E10*F10</f>
        <v>4564418.3585000001</v>
      </c>
      <c r="H10" s="183"/>
      <c r="I10" s="211">
        <f>H10*E10</f>
        <v>0</v>
      </c>
      <c r="J10" s="192"/>
      <c r="K10" s="191"/>
      <c r="N10" s="1"/>
    </row>
    <row r="11" spans="1:18" ht="27" customHeight="1" thickBot="1" x14ac:dyDescent="0.4">
      <c r="A11" s="191"/>
      <c r="B11" s="192"/>
      <c r="C11" s="212" t="s">
        <v>17</v>
      </c>
      <c r="D11" s="207" t="s">
        <v>54</v>
      </c>
      <c r="E11" s="238">
        <v>200</v>
      </c>
      <c r="F11" s="215">
        <v>24.8</v>
      </c>
      <c r="G11" s="237">
        <f t="shared" si="0"/>
        <v>4960</v>
      </c>
      <c r="H11" s="183"/>
      <c r="I11" s="211">
        <f>H11*E11</f>
        <v>0</v>
      </c>
      <c r="J11" s="192"/>
      <c r="K11" s="191"/>
      <c r="N11" s="1"/>
    </row>
    <row r="12" spans="1:18" ht="27" customHeight="1" thickBot="1" x14ac:dyDescent="0.4">
      <c r="A12" s="191"/>
      <c r="B12" s="192"/>
      <c r="C12" s="216" t="s">
        <v>18</v>
      </c>
      <c r="D12" s="207" t="s">
        <v>54</v>
      </c>
      <c r="E12" s="239">
        <v>800</v>
      </c>
      <c r="F12" s="219">
        <v>37.19</v>
      </c>
      <c r="G12" s="237">
        <f t="shared" si="0"/>
        <v>29752</v>
      </c>
      <c r="H12" s="183"/>
      <c r="I12" s="211">
        <f>H12*E12</f>
        <v>0</v>
      </c>
      <c r="J12" s="192"/>
      <c r="K12" s="191"/>
      <c r="N12" s="1"/>
    </row>
    <row r="13" spans="1:18" ht="20.149999999999999" customHeight="1" thickBot="1" x14ac:dyDescent="0.4">
      <c r="A13" s="191"/>
      <c r="B13" s="192"/>
      <c r="C13" s="220"/>
      <c r="D13" s="221"/>
      <c r="E13" s="263" t="s">
        <v>8</v>
      </c>
      <c r="F13" s="264"/>
      <c r="G13" s="222">
        <f>SUM(G9:G12)</f>
        <v>35409246.576700002</v>
      </c>
      <c r="H13" s="184" t="s">
        <v>9</v>
      </c>
      <c r="I13" s="223">
        <f>I9+I10+I11+I12</f>
        <v>0</v>
      </c>
      <c r="J13" s="192"/>
      <c r="K13" s="191"/>
      <c r="R13" s="2"/>
    </row>
    <row r="14" spans="1:18" ht="15" thickBot="1" x14ac:dyDescent="0.4">
      <c r="A14" s="191"/>
      <c r="B14" s="192"/>
      <c r="C14" s="220"/>
      <c r="D14" s="221"/>
      <c r="E14" s="224"/>
      <c r="F14" s="224"/>
      <c r="G14" s="225"/>
      <c r="H14" s="185"/>
      <c r="I14" s="225"/>
      <c r="J14" s="192"/>
      <c r="K14" s="191"/>
    </row>
    <row r="15" spans="1:18" ht="39.5" thickBot="1" x14ac:dyDescent="0.4">
      <c r="A15" s="191"/>
      <c r="B15" s="192"/>
      <c r="C15" s="226" t="s">
        <v>116</v>
      </c>
      <c r="D15" s="221"/>
      <c r="E15" s="227"/>
      <c r="F15" s="228" t="s">
        <v>20</v>
      </c>
      <c r="G15" s="177">
        <f>$G$13</f>
        <v>35409246.576700002</v>
      </c>
      <c r="H15" s="186" t="s">
        <v>10</v>
      </c>
      <c r="I15" s="177">
        <f>I13</f>
        <v>0</v>
      </c>
      <c r="J15" s="192"/>
      <c r="K15" s="191"/>
    </row>
    <row r="16" spans="1:18" x14ac:dyDescent="0.35">
      <c r="A16" s="191"/>
      <c r="B16" s="192"/>
      <c r="C16" s="220"/>
      <c r="D16" s="221"/>
      <c r="E16" s="265" t="s">
        <v>21</v>
      </c>
      <c r="F16" s="266"/>
      <c r="G16" s="178">
        <f>G15*4%</f>
        <v>1416369.8630680002</v>
      </c>
      <c r="H16" s="187">
        <v>0</v>
      </c>
      <c r="I16" s="178">
        <f>I15*H16</f>
        <v>0</v>
      </c>
      <c r="J16" s="192"/>
      <c r="K16" s="191"/>
    </row>
    <row r="17" spans="1:11" x14ac:dyDescent="0.35">
      <c r="A17" s="191"/>
      <c r="B17" s="192"/>
      <c r="C17" s="220"/>
      <c r="D17" s="221"/>
      <c r="E17" s="229" t="s">
        <v>11</v>
      </c>
      <c r="F17" s="230"/>
      <c r="G17" s="179">
        <f>SUM(G15:G16)</f>
        <v>36825616.439768001</v>
      </c>
      <c r="H17" s="188" t="s">
        <v>12</v>
      </c>
      <c r="I17" s="179">
        <f>I15+I16</f>
        <v>0</v>
      </c>
      <c r="J17" s="192"/>
      <c r="K17" s="191"/>
    </row>
    <row r="18" spans="1:11" x14ac:dyDescent="0.35">
      <c r="A18" s="191"/>
      <c r="B18" s="192"/>
      <c r="C18" s="220"/>
      <c r="D18" s="195"/>
      <c r="E18" s="232"/>
      <c r="F18" s="233"/>
      <c r="G18" s="180"/>
      <c r="H18" s="234"/>
      <c r="I18" s="235"/>
      <c r="J18" s="192"/>
      <c r="K18" s="191"/>
    </row>
    <row r="19" spans="1:11" x14ac:dyDescent="0.35">
      <c r="A19" s="191"/>
      <c r="B19" s="192"/>
      <c r="C19" s="220"/>
      <c r="D19" s="192" t="s">
        <v>13</v>
      </c>
      <c r="E19" s="192"/>
      <c r="F19" s="192"/>
      <c r="G19" s="181"/>
      <c r="H19" s="192"/>
      <c r="I19" s="192"/>
      <c r="J19" s="192"/>
      <c r="K19" s="191"/>
    </row>
    <row r="20" spans="1:11" x14ac:dyDescent="0.35">
      <c r="A20" s="191"/>
      <c r="B20" s="192"/>
      <c r="C20" s="220"/>
      <c r="D20" s="267" t="s">
        <v>14</v>
      </c>
      <c r="E20" s="267"/>
      <c r="F20" s="267"/>
      <c r="G20" s="267"/>
      <c r="H20" s="267"/>
      <c r="I20" s="267"/>
      <c r="J20" s="192"/>
      <c r="K20" s="191"/>
    </row>
    <row r="21" spans="1:11" x14ac:dyDescent="0.35">
      <c r="A21" s="191"/>
      <c r="B21" s="192"/>
      <c r="C21" s="220"/>
      <c r="D21" s="267"/>
      <c r="E21" s="267"/>
      <c r="F21" s="267"/>
      <c r="G21" s="267"/>
      <c r="H21" s="267"/>
      <c r="I21" s="267"/>
      <c r="J21" s="192"/>
      <c r="K21" s="191"/>
    </row>
    <row r="22" spans="1:11" x14ac:dyDescent="0.35">
      <c r="A22" s="191"/>
      <c r="B22" s="192"/>
      <c r="C22" s="220"/>
      <c r="D22" s="267"/>
      <c r="E22" s="267"/>
      <c r="F22" s="267"/>
      <c r="G22" s="267"/>
      <c r="H22" s="267"/>
      <c r="I22" s="267"/>
      <c r="J22" s="192"/>
      <c r="K22" s="191"/>
    </row>
    <row r="23" spans="1:11" x14ac:dyDescent="0.35">
      <c r="A23" s="191"/>
      <c r="B23" s="192"/>
      <c r="C23" s="220"/>
      <c r="D23" s="267"/>
      <c r="E23" s="267"/>
      <c r="F23" s="267"/>
      <c r="G23" s="267"/>
      <c r="H23" s="267"/>
      <c r="I23" s="267"/>
      <c r="J23" s="192"/>
      <c r="K23" s="191"/>
    </row>
    <row r="24" spans="1:11" x14ac:dyDescent="0.35">
      <c r="A24" s="191"/>
      <c r="B24" s="191"/>
      <c r="C24" s="191"/>
      <c r="D24" s="191"/>
      <c r="E24" s="191"/>
      <c r="F24" s="191"/>
      <c r="G24" s="191"/>
      <c r="H24" s="191"/>
      <c r="I24" s="191"/>
      <c r="J24" s="191"/>
      <c r="K24" s="191"/>
    </row>
    <row r="29" spans="1:11" x14ac:dyDescent="0.35">
      <c r="G29" s="2"/>
    </row>
  </sheetData>
  <sheetProtection algorithmName="SHA-512" hashValue="6JchmT0BSJnsBKsbVfVE3lDQBpmKdQqrXZdE5t3ErAlo4JGnfihnMeEZHTlT04YFzHkBb8RYoQ5I7c/G72oAqA==" saltValue="poOCr9WfVa2Yw9rLEaKuyQ==" spinCount="100000" sheet="1" objects="1" scenarios="1"/>
  <mergeCells count="5">
    <mergeCell ref="C3:G3"/>
    <mergeCell ref="I3:J3"/>
    <mergeCell ref="E13:F13"/>
    <mergeCell ref="E16:F16"/>
    <mergeCell ref="D20:I23"/>
  </mergeCells>
  <dataValidations count="1">
    <dataValidation type="list" allowBlank="1" showInputMessage="1" showErrorMessage="1" sqref="H16" xr:uid="{753FD0F0-AA10-4AEF-875D-820518045A1F}">
      <formula1>$M$4:$M$5</formula1>
    </dataValidation>
  </dataValidations>
  <pageMargins left="0.70866141732283472" right="0.70866141732283472" top="0.74803149606299213" bottom="0.74803149606299213" header="0.31496062992125984" footer="0.31496062992125984"/>
  <pageSetup paperSize="8" scale="95"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R29"/>
  <sheetViews>
    <sheetView showGridLines="0" workbookViewId="0">
      <selection activeCell="I13" sqref="I13"/>
    </sheetView>
  </sheetViews>
  <sheetFormatPr defaultColWidth="9.1796875" defaultRowHeight="14.5" x14ac:dyDescent="0.35"/>
  <cols>
    <col min="3" max="3" width="44.54296875" bestFit="1" customWidth="1"/>
    <col min="4" max="4" width="28.54296875" bestFit="1" customWidth="1"/>
    <col min="5" max="5" width="10.26953125" bestFit="1" customWidth="1"/>
    <col min="6" max="6" width="12.81640625" bestFit="1" customWidth="1"/>
    <col min="7" max="7" width="18.81640625" customWidth="1"/>
    <col min="8" max="8" width="31" customWidth="1"/>
    <col min="9" max="9" width="18.81640625" bestFit="1"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50</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M4" s="176">
        <v>0.04</v>
      </c>
      <c r="P4" s="1"/>
    </row>
    <row r="5" spans="1:18" x14ac:dyDescent="0.35">
      <c r="A5" s="191"/>
      <c r="B5" s="192"/>
      <c r="C5" s="194" t="s">
        <v>110</v>
      </c>
      <c r="D5" s="195"/>
      <c r="E5" s="195"/>
      <c r="F5" s="195"/>
      <c r="G5" s="196"/>
      <c r="H5" s="195"/>
      <c r="I5" s="195"/>
      <c r="J5" s="192"/>
      <c r="K5" s="191"/>
      <c r="M5" s="176">
        <v>0</v>
      </c>
    </row>
    <row r="6" spans="1:18" ht="15" thickBot="1" x14ac:dyDescent="0.4">
      <c r="A6" s="191"/>
      <c r="B6" s="192"/>
      <c r="C6" s="195"/>
      <c r="D6" s="195"/>
      <c r="E6" s="195"/>
      <c r="F6" s="195"/>
      <c r="G6" s="196"/>
      <c r="H6" s="195"/>
      <c r="I6" s="195"/>
      <c r="J6" s="192"/>
      <c r="K6" s="191"/>
      <c r="P6" s="1"/>
    </row>
    <row r="7" spans="1:18" ht="23.5" thickBot="1" x14ac:dyDescent="0.4">
      <c r="A7" s="191"/>
      <c r="B7" s="192"/>
      <c r="C7" s="197" t="s">
        <v>1</v>
      </c>
      <c r="D7" s="198" t="s">
        <v>2</v>
      </c>
      <c r="E7" s="198" t="s">
        <v>19</v>
      </c>
      <c r="F7" s="198" t="s">
        <v>3</v>
      </c>
      <c r="G7" s="199" t="s">
        <v>4</v>
      </c>
      <c r="H7" s="198" t="s">
        <v>5</v>
      </c>
      <c r="I7" s="200" t="s">
        <v>6</v>
      </c>
      <c r="J7" s="192"/>
      <c r="K7" s="191"/>
    </row>
    <row r="8" spans="1:18" ht="20.149999999999999" customHeight="1" thickBot="1" x14ac:dyDescent="0.4">
      <c r="A8" s="191"/>
      <c r="B8" s="192"/>
      <c r="C8" s="201" t="s">
        <v>7</v>
      </c>
      <c r="D8" s="202"/>
      <c r="E8" s="203"/>
      <c r="F8" s="203"/>
      <c r="G8" s="203"/>
      <c r="H8" s="204"/>
      <c r="I8" s="205"/>
      <c r="J8" s="192"/>
      <c r="K8" s="191"/>
      <c r="N8" s="2"/>
    </row>
    <row r="9" spans="1:18" ht="27" customHeight="1" thickBot="1" x14ac:dyDescent="0.4">
      <c r="A9" s="191"/>
      <c r="B9" s="192"/>
      <c r="C9" s="206" t="s">
        <v>15</v>
      </c>
      <c r="D9" s="207" t="s">
        <v>31</v>
      </c>
      <c r="E9" s="208">
        <v>885305.03</v>
      </c>
      <c r="F9" s="209">
        <v>33.049999999999997</v>
      </c>
      <c r="G9" s="210">
        <f>E9*F9</f>
        <v>29259331.241499998</v>
      </c>
      <c r="H9" s="182"/>
      <c r="I9" s="211">
        <f>H9*E9</f>
        <v>0</v>
      </c>
      <c r="J9" s="192"/>
      <c r="K9" s="191"/>
      <c r="N9" s="1"/>
    </row>
    <row r="10" spans="1:18" ht="27" customHeight="1" thickBot="1" x14ac:dyDescent="0.4">
      <c r="A10" s="191"/>
      <c r="B10" s="192"/>
      <c r="C10" s="212" t="s">
        <v>16</v>
      </c>
      <c r="D10" s="213" t="s">
        <v>31</v>
      </c>
      <c r="E10" s="214">
        <v>160550.39000000001</v>
      </c>
      <c r="F10" s="215">
        <v>29.49</v>
      </c>
      <c r="G10" s="210">
        <f t="shared" ref="G10:G12" si="0">E10*F10</f>
        <v>4734631.0011</v>
      </c>
      <c r="H10" s="183"/>
      <c r="I10" s="211">
        <f>H10*E10</f>
        <v>0</v>
      </c>
      <c r="J10" s="192"/>
      <c r="K10" s="191"/>
      <c r="N10" s="1"/>
    </row>
    <row r="11" spans="1:18" ht="27" customHeight="1" thickBot="1" x14ac:dyDescent="0.4">
      <c r="A11" s="191"/>
      <c r="B11" s="192"/>
      <c r="C11" s="212" t="s">
        <v>17</v>
      </c>
      <c r="D11" s="213" t="s">
        <v>31</v>
      </c>
      <c r="E11" s="238">
        <v>250</v>
      </c>
      <c r="F11" s="215">
        <v>24.79</v>
      </c>
      <c r="G11" s="210">
        <f t="shared" si="0"/>
        <v>6197.5</v>
      </c>
      <c r="H11" s="183"/>
      <c r="I11" s="211">
        <f>H11*E11</f>
        <v>0</v>
      </c>
      <c r="J11" s="192"/>
      <c r="K11" s="191"/>
      <c r="N11" s="1"/>
    </row>
    <row r="12" spans="1:18" ht="27" customHeight="1" thickBot="1" x14ac:dyDescent="0.4">
      <c r="A12" s="191"/>
      <c r="B12" s="192"/>
      <c r="C12" s="216" t="s">
        <v>18</v>
      </c>
      <c r="D12" s="217" t="s">
        <v>31</v>
      </c>
      <c r="E12" s="239">
        <v>800</v>
      </c>
      <c r="F12" s="219">
        <v>37.18</v>
      </c>
      <c r="G12" s="210">
        <f t="shared" si="0"/>
        <v>29744</v>
      </c>
      <c r="H12" s="183"/>
      <c r="I12" s="211">
        <f>H12*E12</f>
        <v>0</v>
      </c>
      <c r="J12" s="192"/>
      <c r="K12" s="191"/>
      <c r="N12" s="1"/>
    </row>
    <row r="13" spans="1:18" ht="20.149999999999999" customHeight="1" thickBot="1" x14ac:dyDescent="0.4">
      <c r="A13" s="191"/>
      <c r="B13" s="192"/>
      <c r="C13" s="220"/>
      <c r="D13" s="221"/>
      <c r="E13" s="263" t="s">
        <v>8</v>
      </c>
      <c r="F13" s="264"/>
      <c r="G13" s="222">
        <f>SUM(G9:G12)</f>
        <v>34029903.742599994</v>
      </c>
      <c r="H13" s="184" t="s">
        <v>9</v>
      </c>
      <c r="I13" s="223">
        <f>I9+I10+I11+I12</f>
        <v>0</v>
      </c>
      <c r="J13" s="192"/>
      <c r="K13" s="191"/>
      <c r="N13" s="2"/>
      <c r="R13" s="2"/>
    </row>
    <row r="14" spans="1:18" ht="15" thickBot="1" x14ac:dyDescent="0.4">
      <c r="A14" s="191"/>
      <c r="B14" s="192"/>
      <c r="C14" s="220"/>
      <c r="D14" s="221"/>
      <c r="E14" s="224"/>
      <c r="F14" s="224"/>
      <c r="G14" s="225"/>
      <c r="H14" s="185"/>
      <c r="I14" s="225"/>
      <c r="J14" s="192"/>
      <c r="K14" s="191"/>
    </row>
    <row r="15" spans="1:18" ht="39.5" thickBot="1" x14ac:dyDescent="0.4">
      <c r="A15" s="191"/>
      <c r="B15" s="192"/>
      <c r="C15" s="226" t="s">
        <v>116</v>
      </c>
      <c r="D15" s="221"/>
      <c r="E15" s="227"/>
      <c r="F15" s="228" t="s">
        <v>20</v>
      </c>
      <c r="G15" s="177">
        <v>34029903.742599994</v>
      </c>
      <c r="H15" s="186" t="s">
        <v>10</v>
      </c>
      <c r="I15" s="177">
        <f>I13</f>
        <v>0</v>
      </c>
      <c r="J15" s="192"/>
      <c r="K15" s="191"/>
    </row>
    <row r="16" spans="1:18" x14ac:dyDescent="0.35">
      <c r="A16" s="191"/>
      <c r="B16" s="192"/>
      <c r="C16" s="220"/>
      <c r="D16" s="221"/>
      <c r="E16" s="265" t="s">
        <v>21</v>
      </c>
      <c r="F16" s="266"/>
      <c r="G16" s="178">
        <f>G15*4%</f>
        <v>1361196.1497039997</v>
      </c>
      <c r="H16" s="187">
        <v>0</v>
      </c>
      <c r="I16" s="178">
        <f>I15*H16</f>
        <v>0</v>
      </c>
      <c r="J16" s="192"/>
      <c r="K16" s="191"/>
    </row>
    <row r="17" spans="1:11" x14ac:dyDescent="0.35">
      <c r="A17" s="191"/>
      <c r="B17" s="192"/>
      <c r="C17" s="220"/>
      <c r="D17" s="221"/>
      <c r="E17" s="229" t="s">
        <v>11</v>
      </c>
      <c r="F17" s="230"/>
      <c r="G17" s="179">
        <f>SUM(G15:G16)</f>
        <v>35391099.892303996</v>
      </c>
      <c r="H17" s="188" t="s">
        <v>12</v>
      </c>
      <c r="I17" s="179">
        <f>I15+I16</f>
        <v>0</v>
      </c>
      <c r="J17" s="192"/>
      <c r="K17" s="191"/>
    </row>
    <row r="18" spans="1:11" x14ac:dyDescent="0.35">
      <c r="A18" s="191"/>
      <c r="B18" s="192"/>
      <c r="C18" s="220"/>
      <c r="D18" s="195"/>
      <c r="E18" s="232"/>
      <c r="F18" s="233"/>
      <c r="G18" s="180"/>
      <c r="H18" s="234"/>
      <c r="I18" s="235"/>
      <c r="J18" s="192"/>
      <c r="K18" s="191"/>
    </row>
    <row r="19" spans="1:11" x14ac:dyDescent="0.35">
      <c r="A19" s="191"/>
      <c r="B19" s="192"/>
      <c r="C19" s="220"/>
      <c r="D19" s="192" t="s">
        <v>13</v>
      </c>
      <c r="E19" s="192"/>
      <c r="F19" s="192"/>
      <c r="G19" s="181"/>
      <c r="H19" s="192"/>
      <c r="I19" s="192"/>
      <c r="J19" s="192"/>
      <c r="K19" s="191"/>
    </row>
    <row r="20" spans="1:11" x14ac:dyDescent="0.35">
      <c r="A20" s="191"/>
      <c r="B20" s="192"/>
      <c r="C20" s="220"/>
      <c r="D20" s="267" t="s">
        <v>14</v>
      </c>
      <c r="E20" s="267"/>
      <c r="F20" s="267"/>
      <c r="G20" s="267"/>
      <c r="H20" s="267"/>
      <c r="I20" s="267"/>
      <c r="J20" s="192"/>
      <c r="K20" s="191"/>
    </row>
    <row r="21" spans="1:11" x14ac:dyDescent="0.35">
      <c r="A21" s="191"/>
      <c r="B21" s="192"/>
      <c r="C21" s="220"/>
      <c r="D21" s="267"/>
      <c r="E21" s="267"/>
      <c r="F21" s="267"/>
      <c r="G21" s="267"/>
      <c r="H21" s="267"/>
      <c r="I21" s="267"/>
      <c r="J21" s="192"/>
      <c r="K21" s="191"/>
    </row>
    <row r="22" spans="1:11" x14ac:dyDescent="0.35">
      <c r="A22" s="191"/>
      <c r="B22" s="192"/>
      <c r="C22" s="220"/>
      <c r="D22" s="267"/>
      <c r="E22" s="267"/>
      <c r="F22" s="267"/>
      <c r="G22" s="267"/>
      <c r="H22" s="267"/>
      <c r="I22" s="267"/>
      <c r="J22" s="192"/>
      <c r="K22" s="191"/>
    </row>
    <row r="23" spans="1:11" x14ac:dyDescent="0.35">
      <c r="A23" s="191"/>
      <c r="B23" s="192"/>
      <c r="C23" s="220"/>
      <c r="D23" s="267"/>
      <c r="E23" s="267"/>
      <c r="F23" s="267"/>
      <c r="G23" s="267"/>
      <c r="H23" s="267"/>
      <c r="I23" s="267"/>
      <c r="J23" s="192"/>
      <c r="K23" s="191"/>
    </row>
    <row r="24" spans="1:11" x14ac:dyDescent="0.35">
      <c r="A24" s="191"/>
      <c r="B24" s="191"/>
      <c r="C24" s="191"/>
      <c r="D24" s="191"/>
      <c r="E24" s="191"/>
      <c r="F24" s="191"/>
      <c r="G24" s="191"/>
      <c r="H24" s="191"/>
      <c r="I24" s="191"/>
      <c r="J24" s="191"/>
      <c r="K24" s="191"/>
    </row>
    <row r="29" spans="1:11" x14ac:dyDescent="0.35">
      <c r="G29" s="2"/>
    </row>
  </sheetData>
  <sheetProtection algorithmName="SHA-512" hashValue="/4igzIKGp2kk3hMQD8K6SXTeYEJbKHoOoUJjLIYs3i4Vbvidc7BHhGqvFG9+aQhObYIkfoVX7NL9g7qMha0Fkg==" saltValue="wjuOBQs//dJUj+0nX17d/g==" spinCount="100000" sheet="1" objects="1" scenarios="1"/>
  <mergeCells count="5">
    <mergeCell ref="C3:G3"/>
    <mergeCell ref="I3:J3"/>
    <mergeCell ref="E13:F13"/>
    <mergeCell ref="E16:F16"/>
    <mergeCell ref="D20:I23"/>
  </mergeCells>
  <dataValidations count="1">
    <dataValidation type="list" allowBlank="1" showInputMessage="1" showErrorMessage="1" sqref="H16" xr:uid="{8203E56C-BBE5-4667-AAF0-453866170E93}">
      <formula1>$M$4:$M$5</formula1>
    </dataValidation>
  </dataValidations>
  <pageMargins left="0.70866141732283472" right="0.70866141732283472" top="0.74803149606299213" bottom="0.74803149606299213" header="0.31496062992125984" footer="0.31496062992125984"/>
  <pageSetup paperSize="9" scale="64"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R29"/>
  <sheetViews>
    <sheetView showGridLines="0" workbookViewId="0">
      <selection activeCell="I8" sqref="I8"/>
    </sheetView>
  </sheetViews>
  <sheetFormatPr defaultColWidth="9.1796875" defaultRowHeight="14.5" x14ac:dyDescent="0.35"/>
  <cols>
    <col min="3" max="3" width="44.54296875" bestFit="1" customWidth="1"/>
    <col min="4" max="4" width="28.54296875" bestFit="1" customWidth="1"/>
    <col min="5" max="5" width="10.26953125" bestFit="1" customWidth="1"/>
    <col min="6" max="6" width="12.81640625" bestFit="1" customWidth="1"/>
    <col min="7" max="7" width="18.81640625" customWidth="1"/>
    <col min="8" max="8" width="31" customWidth="1"/>
    <col min="9" max="9" width="18.81640625" bestFit="1"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53</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P4" s="1"/>
    </row>
    <row r="5" spans="1:18" x14ac:dyDescent="0.35">
      <c r="A5" s="191"/>
      <c r="B5" s="192"/>
      <c r="C5" s="194" t="s">
        <v>111</v>
      </c>
      <c r="D5" s="195"/>
      <c r="E5" s="195"/>
      <c r="F5" s="195"/>
      <c r="G5" s="196"/>
      <c r="H5" s="195"/>
      <c r="I5" s="195"/>
      <c r="J5" s="192"/>
      <c r="K5" s="191"/>
    </row>
    <row r="6" spans="1:18" ht="15" thickBot="1" x14ac:dyDescent="0.4">
      <c r="A6" s="191"/>
      <c r="B6" s="192"/>
      <c r="C6" s="195"/>
      <c r="D6" s="195"/>
      <c r="E6" s="195"/>
      <c r="F6" s="195"/>
      <c r="G6" s="196"/>
      <c r="H6" s="195"/>
      <c r="I6" s="195"/>
      <c r="J6" s="192"/>
      <c r="K6" s="191"/>
      <c r="M6" s="176">
        <v>0.04</v>
      </c>
      <c r="P6" s="1"/>
    </row>
    <row r="7" spans="1:18" ht="23.5" thickBot="1" x14ac:dyDescent="0.4">
      <c r="A7" s="191"/>
      <c r="B7" s="192"/>
      <c r="C7" s="197" t="s">
        <v>1</v>
      </c>
      <c r="D7" s="198" t="s">
        <v>2</v>
      </c>
      <c r="E7" s="198" t="s">
        <v>19</v>
      </c>
      <c r="F7" s="198" t="s">
        <v>3</v>
      </c>
      <c r="G7" s="199" t="s">
        <v>4</v>
      </c>
      <c r="H7" s="198" t="s">
        <v>5</v>
      </c>
      <c r="I7" s="200" t="s">
        <v>6</v>
      </c>
      <c r="J7" s="192"/>
      <c r="K7" s="191"/>
      <c r="M7" s="176">
        <v>0</v>
      </c>
    </row>
    <row r="8" spans="1:18" ht="20.149999999999999" customHeight="1" thickBot="1" x14ac:dyDescent="0.4">
      <c r="A8" s="191"/>
      <c r="B8" s="192"/>
      <c r="C8" s="201" t="s">
        <v>7</v>
      </c>
      <c r="D8" s="202"/>
      <c r="E8" s="203"/>
      <c r="F8" s="203"/>
      <c r="G8" s="203"/>
      <c r="H8" s="204"/>
      <c r="I8" s="205"/>
      <c r="J8" s="192"/>
      <c r="K8" s="191"/>
      <c r="N8" s="2"/>
    </row>
    <row r="9" spans="1:18" ht="27" customHeight="1" thickBot="1" x14ac:dyDescent="0.4">
      <c r="A9" s="191"/>
      <c r="B9" s="192"/>
      <c r="C9" s="206" t="s">
        <v>15</v>
      </c>
      <c r="D9" s="207" t="s">
        <v>52</v>
      </c>
      <c r="E9" s="208">
        <v>903011.14</v>
      </c>
      <c r="F9" s="209">
        <v>33.64</v>
      </c>
      <c r="G9" s="210">
        <f>E9*F9</f>
        <v>30377294.749600001</v>
      </c>
      <c r="H9" s="182"/>
      <c r="I9" s="211">
        <f>H9*E9</f>
        <v>0</v>
      </c>
      <c r="J9" s="192"/>
      <c r="K9" s="191"/>
      <c r="N9" s="1"/>
    </row>
    <row r="10" spans="1:18" ht="27" customHeight="1" thickBot="1" x14ac:dyDescent="0.4">
      <c r="A10" s="191"/>
      <c r="B10" s="192"/>
      <c r="C10" s="212" t="s">
        <v>16</v>
      </c>
      <c r="D10" s="213" t="s">
        <v>52</v>
      </c>
      <c r="E10" s="214">
        <v>163761.4</v>
      </c>
      <c r="F10" s="215">
        <v>29.91</v>
      </c>
      <c r="G10" s="210">
        <f t="shared" ref="G10:G12" si="0">E10*F10</f>
        <v>4898103.4739999995</v>
      </c>
      <c r="H10" s="183"/>
      <c r="I10" s="211">
        <f>H10*E10</f>
        <v>0</v>
      </c>
      <c r="J10" s="192"/>
      <c r="K10" s="191"/>
      <c r="N10" s="1"/>
    </row>
    <row r="11" spans="1:18" ht="27" customHeight="1" thickBot="1" x14ac:dyDescent="0.4">
      <c r="A11" s="191"/>
      <c r="B11" s="192"/>
      <c r="C11" s="212" t="s">
        <v>17</v>
      </c>
      <c r="D11" s="213" t="s">
        <v>52</v>
      </c>
      <c r="E11" s="238">
        <v>250</v>
      </c>
      <c r="F11" s="215">
        <v>24.76</v>
      </c>
      <c r="G11" s="210">
        <f t="shared" si="0"/>
        <v>6190</v>
      </c>
      <c r="H11" s="183"/>
      <c r="I11" s="211">
        <f>H11*E11</f>
        <v>0</v>
      </c>
      <c r="J11" s="192"/>
      <c r="K11" s="191"/>
      <c r="N11" s="1"/>
    </row>
    <row r="12" spans="1:18" ht="27" customHeight="1" thickBot="1" x14ac:dyDescent="0.4">
      <c r="A12" s="191"/>
      <c r="B12" s="192"/>
      <c r="C12" s="216" t="s">
        <v>18</v>
      </c>
      <c r="D12" s="217" t="s">
        <v>52</v>
      </c>
      <c r="E12" s="239">
        <v>800</v>
      </c>
      <c r="F12" s="219">
        <v>37.14</v>
      </c>
      <c r="G12" s="210">
        <f t="shared" si="0"/>
        <v>29712</v>
      </c>
      <c r="H12" s="183"/>
      <c r="I12" s="211">
        <f>H12*E12</f>
        <v>0</v>
      </c>
      <c r="J12" s="192"/>
      <c r="K12" s="191"/>
      <c r="N12" s="1"/>
    </row>
    <row r="13" spans="1:18" ht="20.149999999999999" customHeight="1" thickBot="1" x14ac:dyDescent="0.4">
      <c r="A13" s="191"/>
      <c r="B13" s="192"/>
      <c r="C13" s="220"/>
      <c r="D13" s="221"/>
      <c r="E13" s="263" t="s">
        <v>8</v>
      </c>
      <c r="F13" s="264"/>
      <c r="G13" s="222">
        <f>SUM(G9:G12)</f>
        <v>35311300.2236</v>
      </c>
      <c r="H13" s="184" t="s">
        <v>9</v>
      </c>
      <c r="I13" s="223">
        <f>I9+I10+I11+I12</f>
        <v>0</v>
      </c>
      <c r="J13" s="192"/>
      <c r="K13" s="191"/>
      <c r="N13" s="2"/>
      <c r="R13" s="2"/>
    </row>
    <row r="14" spans="1:18" ht="15" thickBot="1" x14ac:dyDescent="0.4">
      <c r="A14" s="191"/>
      <c r="B14" s="192"/>
      <c r="C14" s="220"/>
      <c r="D14" s="221"/>
      <c r="E14" s="224"/>
      <c r="F14" s="224"/>
      <c r="G14" s="225"/>
      <c r="H14" s="185"/>
      <c r="I14" s="225"/>
      <c r="J14" s="192"/>
      <c r="K14" s="191"/>
    </row>
    <row r="15" spans="1:18" ht="39.5" thickBot="1" x14ac:dyDescent="0.4">
      <c r="A15" s="191"/>
      <c r="B15" s="192"/>
      <c r="C15" s="226" t="s">
        <v>116</v>
      </c>
      <c r="D15" s="221"/>
      <c r="E15" s="227"/>
      <c r="F15" s="228" t="s">
        <v>20</v>
      </c>
      <c r="G15" s="177">
        <v>35311300.2236</v>
      </c>
      <c r="H15" s="186" t="s">
        <v>10</v>
      </c>
      <c r="I15" s="177">
        <f>I13</f>
        <v>0</v>
      </c>
      <c r="J15" s="192"/>
      <c r="K15" s="191"/>
    </row>
    <row r="16" spans="1:18" x14ac:dyDescent="0.35">
      <c r="A16" s="191"/>
      <c r="B16" s="192"/>
      <c r="C16" s="220"/>
      <c r="D16" s="221"/>
      <c r="E16" s="265" t="s">
        <v>21</v>
      </c>
      <c r="F16" s="266"/>
      <c r="G16" s="178">
        <f>G15*4%</f>
        <v>1412452.0089440001</v>
      </c>
      <c r="H16" s="187">
        <v>0.04</v>
      </c>
      <c r="I16" s="178">
        <f>I15*H16</f>
        <v>0</v>
      </c>
      <c r="J16" s="192"/>
      <c r="K16" s="191"/>
    </row>
    <row r="17" spans="1:11" x14ac:dyDescent="0.35">
      <c r="A17" s="191"/>
      <c r="B17" s="192"/>
      <c r="C17" s="220"/>
      <c r="D17" s="221"/>
      <c r="E17" s="229" t="s">
        <v>11</v>
      </c>
      <c r="F17" s="230"/>
      <c r="G17" s="179">
        <f>SUM(G15:G16)</f>
        <v>36723752.232543997</v>
      </c>
      <c r="H17" s="188" t="s">
        <v>12</v>
      </c>
      <c r="I17" s="179">
        <f>I15+I16</f>
        <v>0</v>
      </c>
      <c r="J17" s="192"/>
      <c r="K17" s="191"/>
    </row>
    <row r="18" spans="1:11" x14ac:dyDescent="0.35">
      <c r="A18" s="191"/>
      <c r="B18" s="192"/>
      <c r="C18" s="220"/>
      <c r="D18" s="195"/>
      <c r="E18" s="232"/>
      <c r="F18" s="233"/>
      <c r="G18" s="180"/>
      <c r="H18" s="234"/>
      <c r="I18" s="235"/>
      <c r="J18" s="192"/>
      <c r="K18" s="191"/>
    </row>
    <row r="19" spans="1:11" x14ac:dyDescent="0.35">
      <c r="A19" s="191"/>
      <c r="B19" s="192"/>
      <c r="C19" s="220"/>
      <c r="D19" s="192" t="s">
        <v>13</v>
      </c>
      <c r="E19" s="192"/>
      <c r="F19" s="192"/>
      <c r="G19" s="181"/>
      <c r="H19" s="192"/>
      <c r="I19" s="192"/>
      <c r="J19" s="192"/>
      <c r="K19" s="191"/>
    </row>
    <row r="20" spans="1:11" x14ac:dyDescent="0.35">
      <c r="A20" s="191"/>
      <c r="B20" s="192"/>
      <c r="C20" s="220"/>
      <c r="D20" s="267" t="s">
        <v>14</v>
      </c>
      <c r="E20" s="267"/>
      <c r="F20" s="267"/>
      <c r="G20" s="267"/>
      <c r="H20" s="267"/>
      <c r="I20" s="267"/>
      <c r="J20" s="192"/>
      <c r="K20" s="191"/>
    </row>
    <row r="21" spans="1:11" x14ac:dyDescent="0.35">
      <c r="A21" s="191"/>
      <c r="B21" s="192"/>
      <c r="C21" s="220"/>
      <c r="D21" s="267"/>
      <c r="E21" s="267"/>
      <c r="F21" s="267"/>
      <c r="G21" s="267"/>
      <c r="H21" s="267"/>
      <c r="I21" s="267"/>
      <c r="J21" s="192"/>
      <c r="K21" s="191"/>
    </row>
    <row r="22" spans="1:11" x14ac:dyDescent="0.35">
      <c r="A22" s="191"/>
      <c r="B22" s="192"/>
      <c r="C22" s="220"/>
      <c r="D22" s="267"/>
      <c r="E22" s="267"/>
      <c r="F22" s="267"/>
      <c r="G22" s="267"/>
      <c r="H22" s="267"/>
      <c r="I22" s="267"/>
      <c r="J22" s="192"/>
      <c r="K22" s="191"/>
    </row>
    <row r="23" spans="1:11" x14ac:dyDescent="0.35">
      <c r="A23" s="191"/>
      <c r="B23" s="192"/>
      <c r="C23" s="220"/>
      <c r="D23" s="267"/>
      <c r="E23" s="267"/>
      <c r="F23" s="267"/>
      <c r="G23" s="267"/>
      <c r="H23" s="267"/>
      <c r="I23" s="267"/>
      <c r="J23" s="192"/>
      <c r="K23" s="191"/>
    </row>
    <row r="24" spans="1:11" x14ac:dyDescent="0.35">
      <c r="A24" s="191"/>
      <c r="B24" s="191"/>
      <c r="C24" s="191"/>
      <c r="D24" s="191"/>
      <c r="E24" s="191"/>
      <c r="F24" s="191"/>
      <c r="G24" s="191"/>
      <c r="H24" s="191"/>
      <c r="I24" s="191"/>
      <c r="J24" s="191"/>
      <c r="K24" s="191"/>
    </row>
    <row r="29" spans="1:11" x14ac:dyDescent="0.35">
      <c r="G29" s="2"/>
    </row>
  </sheetData>
  <sheetProtection algorithmName="SHA-512" hashValue="YJ89aFiwS8FiYN1M7eEx8MusnUb+vtAYSfVr3k2xOJDdFsmgNR0TK02+XncOyTtT+iyKVluh5QPDgsM9MzqCNA==" saltValue="I+DCSDnyytHtStLl4ayGNw==" spinCount="100000" sheet="1" objects="1" scenarios="1"/>
  <mergeCells count="5">
    <mergeCell ref="C3:G3"/>
    <mergeCell ref="I3:J3"/>
    <mergeCell ref="E13:F13"/>
    <mergeCell ref="E16:F16"/>
    <mergeCell ref="D20:I23"/>
  </mergeCells>
  <dataValidations count="1">
    <dataValidation type="list" allowBlank="1" showInputMessage="1" showErrorMessage="1" sqref="H16" xr:uid="{51D107CD-A690-4B84-B748-E5EC667097DC}">
      <formula1>$M$6:$M$7</formula1>
    </dataValidation>
  </dataValidations>
  <pageMargins left="0.70866141732283472" right="0.70866141732283472" top="0.74803149606299213" bottom="0.74803149606299213" header="0.31496062992125984" footer="0.31496062992125984"/>
  <pageSetup paperSize="9" scale="64"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R29"/>
  <sheetViews>
    <sheetView showGridLines="0" workbookViewId="0">
      <selection activeCell="G11" sqref="G11"/>
    </sheetView>
  </sheetViews>
  <sheetFormatPr defaultColWidth="9.1796875" defaultRowHeight="14.5" x14ac:dyDescent="0.35"/>
  <cols>
    <col min="3" max="3" width="44.54296875" bestFit="1" customWidth="1"/>
    <col min="4" max="4" width="28.54296875" bestFit="1" customWidth="1"/>
    <col min="5" max="5" width="11.7265625" bestFit="1" customWidth="1"/>
    <col min="6" max="6" width="12.81640625" bestFit="1" customWidth="1"/>
    <col min="7" max="7" width="18.81640625" customWidth="1"/>
    <col min="8" max="8" width="31" customWidth="1"/>
    <col min="9" max="9" width="18.81640625" bestFit="1"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51</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P4" s="1"/>
    </row>
    <row r="5" spans="1:18" x14ac:dyDescent="0.35">
      <c r="A5" s="191"/>
      <c r="B5" s="192"/>
      <c r="C5" s="194" t="s">
        <v>112</v>
      </c>
      <c r="D5" s="195"/>
      <c r="E5" s="195"/>
      <c r="F5" s="195"/>
      <c r="G5" s="196"/>
      <c r="H5" s="195"/>
      <c r="I5" s="195"/>
      <c r="J5" s="192"/>
      <c r="K5" s="191"/>
      <c r="M5" s="176">
        <v>0.04</v>
      </c>
    </row>
    <row r="6" spans="1:18" ht="15" thickBot="1" x14ac:dyDescent="0.4">
      <c r="A6" s="191"/>
      <c r="B6" s="192"/>
      <c r="C6" s="195"/>
      <c r="D6" s="195"/>
      <c r="E6" s="195"/>
      <c r="F6" s="195"/>
      <c r="G6" s="196"/>
      <c r="H6" s="195"/>
      <c r="I6" s="195"/>
      <c r="J6" s="192"/>
      <c r="K6" s="191"/>
      <c r="M6" s="176">
        <v>0</v>
      </c>
      <c r="P6" s="1"/>
    </row>
    <row r="7" spans="1:18" ht="23.5" thickBot="1" x14ac:dyDescent="0.4">
      <c r="A7" s="191"/>
      <c r="B7" s="192"/>
      <c r="C7" s="197" t="s">
        <v>1</v>
      </c>
      <c r="D7" s="198" t="s">
        <v>2</v>
      </c>
      <c r="E7" s="198" t="s">
        <v>19</v>
      </c>
      <c r="F7" s="198" t="s">
        <v>3</v>
      </c>
      <c r="G7" s="199" t="s">
        <v>4</v>
      </c>
      <c r="H7" s="198" t="s">
        <v>5</v>
      </c>
      <c r="I7" s="200" t="s">
        <v>6</v>
      </c>
      <c r="J7" s="192"/>
      <c r="K7" s="191"/>
    </row>
    <row r="8" spans="1:18" ht="20.149999999999999" customHeight="1" thickBot="1" x14ac:dyDescent="0.4">
      <c r="A8" s="191"/>
      <c r="B8" s="192"/>
      <c r="C8" s="201" t="s">
        <v>7</v>
      </c>
      <c r="D8" s="202"/>
      <c r="E8" s="203"/>
      <c r="F8" s="203"/>
      <c r="G8" s="203"/>
      <c r="H8" s="204"/>
      <c r="I8" s="205"/>
      <c r="J8" s="192"/>
      <c r="K8" s="191"/>
      <c r="N8" s="2"/>
    </row>
    <row r="9" spans="1:18" ht="27" customHeight="1" thickBot="1" x14ac:dyDescent="0.4">
      <c r="A9" s="191"/>
      <c r="B9" s="192"/>
      <c r="C9" s="206" t="s">
        <v>15</v>
      </c>
      <c r="D9" s="207" t="s">
        <v>54</v>
      </c>
      <c r="E9" s="208">
        <v>921071.35</v>
      </c>
      <c r="F9" s="209">
        <v>34.57</v>
      </c>
      <c r="G9" s="210">
        <f>E9*F9</f>
        <v>31841436.569499999</v>
      </c>
      <c r="H9" s="182"/>
      <c r="I9" s="211">
        <f>H9*E9</f>
        <v>0</v>
      </c>
      <c r="J9" s="192"/>
      <c r="K9" s="191"/>
      <c r="N9" s="1"/>
    </row>
    <row r="10" spans="1:18" ht="27" customHeight="1" thickBot="1" x14ac:dyDescent="0.4">
      <c r="A10" s="191"/>
      <c r="B10" s="192"/>
      <c r="C10" s="212" t="s">
        <v>16</v>
      </c>
      <c r="D10" s="213" t="s">
        <v>54</v>
      </c>
      <c r="E10" s="214">
        <v>167036.62</v>
      </c>
      <c r="F10" s="215">
        <v>30.82</v>
      </c>
      <c r="G10" s="210">
        <f t="shared" ref="G10:G12" si="0">E10*F10</f>
        <v>5148068.6283999998</v>
      </c>
      <c r="H10" s="183"/>
      <c r="I10" s="211">
        <f>H10*E10</f>
        <v>0</v>
      </c>
      <c r="J10" s="192"/>
      <c r="K10" s="191"/>
      <c r="N10" s="1"/>
    </row>
    <row r="11" spans="1:18" ht="27" customHeight="1" thickBot="1" x14ac:dyDescent="0.4">
      <c r="A11" s="191"/>
      <c r="B11" s="192"/>
      <c r="C11" s="212" t="s">
        <v>17</v>
      </c>
      <c r="D11" s="213" t="s">
        <v>54</v>
      </c>
      <c r="E11" s="238">
        <v>250</v>
      </c>
      <c r="F11" s="215">
        <v>24.74</v>
      </c>
      <c r="G11" s="210">
        <f t="shared" si="0"/>
        <v>6185</v>
      </c>
      <c r="H11" s="183"/>
      <c r="I11" s="211">
        <f>H11*E11</f>
        <v>0</v>
      </c>
      <c r="J11" s="192"/>
      <c r="K11" s="191"/>
      <c r="N11" s="1"/>
    </row>
    <row r="12" spans="1:18" ht="27" customHeight="1" thickBot="1" x14ac:dyDescent="0.4">
      <c r="A12" s="191"/>
      <c r="B12" s="192"/>
      <c r="C12" s="216" t="s">
        <v>18</v>
      </c>
      <c r="D12" s="217" t="s">
        <v>54</v>
      </c>
      <c r="E12" s="239">
        <v>800</v>
      </c>
      <c r="F12" s="219">
        <v>37.119999999999997</v>
      </c>
      <c r="G12" s="210">
        <f t="shared" si="0"/>
        <v>29695.999999999996</v>
      </c>
      <c r="H12" s="183"/>
      <c r="I12" s="211">
        <f>H12*E12</f>
        <v>0</v>
      </c>
      <c r="J12" s="192"/>
      <c r="K12" s="191"/>
      <c r="N12" s="1"/>
    </row>
    <row r="13" spans="1:18" ht="20.149999999999999" customHeight="1" thickBot="1" x14ac:dyDescent="0.4">
      <c r="A13" s="191"/>
      <c r="B13" s="192"/>
      <c r="C13" s="220"/>
      <c r="D13" s="221"/>
      <c r="E13" s="263" t="s">
        <v>8</v>
      </c>
      <c r="F13" s="264"/>
      <c r="G13" s="222">
        <f>SUM(G9:G12)</f>
        <v>37025386.197899997</v>
      </c>
      <c r="H13" s="184" t="s">
        <v>9</v>
      </c>
      <c r="I13" s="223">
        <f>I9+I10+I11+I12</f>
        <v>0</v>
      </c>
      <c r="J13" s="192"/>
      <c r="K13" s="191"/>
      <c r="N13" s="2"/>
      <c r="R13" s="2"/>
    </row>
    <row r="14" spans="1:18" ht="15" thickBot="1" x14ac:dyDescent="0.4">
      <c r="A14" s="191"/>
      <c r="B14" s="192"/>
      <c r="C14" s="220"/>
      <c r="D14" s="221"/>
      <c r="E14" s="224"/>
      <c r="F14" s="224"/>
      <c r="G14" s="225"/>
      <c r="H14" s="185"/>
      <c r="I14" s="225"/>
      <c r="J14" s="192"/>
      <c r="K14" s="191"/>
    </row>
    <row r="15" spans="1:18" ht="39.5" thickBot="1" x14ac:dyDescent="0.4">
      <c r="A15" s="191"/>
      <c r="B15" s="192"/>
      <c r="C15" s="226" t="s">
        <v>116</v>
      </c>
      <c r="D15" s="221"/>
      <c r="E15" s="227"/>
      <c r="F15" s="228" t="s">
        <v>20</v>
      </c>
      <c r="G15" s="177">
        <v>37025386.197899997</v>
      </c>
      <c r="H15" s="186" t="s">
        <v>10</v>
      </c>
      <c r="I15" s="177">
        <f>I13</f>
        <v>0</v>
      </c>
      <c r="J15" s="192"/>
      <c r="K15" s="191"/>
    </row>
    <row r="16" spans="1:18" x14ac:dyDescent="0.35">
      <c r="A16" s="191"/>
      <c r="B16" s="192"/>
      <c r="C16" s="220"/>
      <c r="D16" s="221"/>
      <c r="E16" s="265" t="s">
        <v>21</v>
      </c>
      <c r="F16" s="266"/>
      <c r="G16" s="178">
        <f>G15*4%</f>
        <v>1481015.4479159999</v>
      </c>
      <c r="H16" s="187">
        <v>0.04</v>
      </c>
      <c r="I16" s="178">
        <f>I15*H16</f>
        <v>0</v>
      </c>
      <c r="J16" s="192"/>
      <c r="K16" s="191"/>
    </row>
    <row r="17" spans="1:11" x14ac:dyDescent="0.35">
      <c r="A17" s="191"/>
      <c r="B17" s="192"/>
      <c r="C17" s="220"/>
      <c r="D17" s="221"/>
      <c r="E17" s="229" t="s">
        <v>11</v>
      </c>
      <c r="F17" s="230"/>
      <c r="G17" s="179">
        <f>SUM(G15:G16)</f>
        <v>38506401.645815998</v>
      </c>
      <c r="H17" s="188" t="s">
        <v>12</v>
      </c>
      <c r="I17" s="179">
        <f>I15+I16</f>
        <v>0</v>
      </c>
      <c r="J17" s="192"/>
      <c r="K17" s="191"/>
    </row>
    <row r="18" spans="1:11" x14ac:dyDescent="0.35">
      <c r="A18" s="191"/>
      <c r="B18" s="192"/>
      <c r="C18" s="220"/>
      <c r="D18" s="195"/>
      <c r="E18" s="232"/>
      <c r="F18" s="233"/>
      <c r="G18" s="180"/>
      <c r="H18" s="234"/>
      <c r="I18" s="235"/>
      <c r="J18" s="192"/>
      <c r="K18" s="191"/>
    </row>
    <row r="19" spans="1:11" x14ac:dyDescent="0.35">
      <c r="A19" s="191"/>
      <c r="B19" s="192"/>
      <c r="C19" s="220"/>
      <c r="D19" s="192" t="s">
        <v>13</v>
      </c>
      <c r="E19" s="192"/>
      <c r="F19" s="192"/>
      <c r="G19" s="181"/>
      <c r="H19" s="192"/>
      <c r="I19" s="192"/>
      <c r="J19" s="192"/>
      <c r="K19" s="191"/>
    </row>
    <row r="20" spans="1:11" x14ac:dyDescent="0.35">
      <c r="A20" s="191"/>
      <c r="B20" s="192"/>
      <c r="C20" s="220"/>
      <c r="D20" s="267" t="s">
        <v>14</v>
      </c>
      <c r="E20" s="267"/>
      <c r="F20" s="267"/>
      <c r="G20" s="267"/>
      <c r="H20" s="267"/>
      <c r="I20" s="267"/>
      <c r="J20" s="192"/>
      <c r="K20" s="191"/>
    </row>
    <row r="21" spans="1:11" x14ac:dyDescent="0.35">
      <c r="A21" s="191"/>
      <c r="B21" s="192"/>
      <c r="C21" s="220"/>
      <c r="D21" s="267"/>
      <c r="E21" s="267"/>
      <c r="F21" s="267"/>
      <c r="G21" s="267"/>
      <c r="H21" s="267"/>
      <c r="I21" s="267"/>
      <c r="J21" s="192"/>
      <c r="K21" s="191"/>
    </row>
    <row r="22" spans="1:11" x14ac:dyDescent="0.35">
      <c r="A22" s="191"/>
      <c r="B22" s="192"/>
      <c r="C22" s="220"/>
      <c r="D22" s="267"/>
      <c r="E22" s="267"/>
      <c r="F22" s="267"/>
      <c r="G22" s="267"/>
      <c r="H22" s="267"/>
      <c r="I22" s="267"/>
      <c r="J22" s="192"/>
      <c r="K22" s="191"/>
    </row>
    <row r="23" spans="1:11" x14ac:dyDescent="0.35">
      <c r="A23" s="191"/>
      <c r="B23" s="192"/>
      <c r="C23" s="220"/>
      <c r="D23" s="267"/>
      <c r="E23" s="267"/>
      <c r="F23" s="267"/>
      <c r="G23" s="267"/>
      <c r="H23" s="267"/>
      <c r="I23" s="267"/>
      <c r="J23" s="192"/>
      <c r="K23" s="191"/>
    </row>
    <row r="24" spans="1:11" x14ac:dyDescent="0.35">
      <c r="A24" s="191"/>
      <c r="B24" s="191"/>
      <c r="C24" s="191"/>
      <c r="D24" s="191"/>
      <c r="E24" s="191"/>
      <c r="F24" s="191"/>
      <c r="G24" s="191"/>
      <c r="H24" s="191"/>
      <c r="I24" s="191"/>
      <c r="J24" s="191"/>
      <c r="K24" s="191"/>
    </row>
    <row r="29" spans="1:11" x14ac:dyDescent="0.35">
      <c r="G29" s="2"/>
    </row>
  </sheetData>
  <sheetProtection algorithmName="SHA-512" hashValue="CgyqpH7BLkZ9BBM/FtuUoz7dec4QXX9GevDPPqDUgWpNOWni/H2rnAlO5rb4dV2YqlXcT+JD5dpdW0rksAuOXA==" saltValue="AFImD4TEd///B8+vo47wag==" spinCount="100000" sheet="1" objects="1" scenarios="1"/>
  <mergeCells count="5">
    <mergeCell ref="C3:G3"/>
    <mergeCell ref="I3:J3"/>
    <mergeCell ref="E13:F13"/>
    <mergeCell ref="E16:F16"/>
    <mergeCell ref="D20:I23"/>
  </mergeCells>
  <dataValidations count="1">
    <dataValidation type="list" allowBlank="1" showInputMessage="1" showErrorMessage="1" sqref="H16" xr:uid="{51DFAFB0-416A-47C2-AE5A-434F2A234799}">
      <formula1>$M$5:$M$6</formula1>
    </dataValidation>
  </dataValidations>
  <pageMargins left="0.70866141732283472" right="0.70866141732283472" top="0.74803149606299213" bottom="0.74803149606299213" header="0.31496062992125984" footer="0.31496062992125984"/>
  <pageSetup paperSize="9" scale="64"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R29"/>
  <sheetViews>
    <sheetView showGridLines="0" workbookViewId="0">
      <selection activeCell="I9" sqref="I9"/>
    </sheetView>
  </sheetViews>
  <sheetFormatPr defaultColWidth="9.1796875" defaultRowHeight="14.5" x14ac:dyDescent="0.35"/>
  <cols>
    <col min="3" max="3" width="44.54296875" bestFit="1" customWidth="1"/>
    <col min="4" max="4" width="28.54296875" bestFit="1" customWidth="1"/>
    <col min="5" max="5" width="10.26953125" bestFit="1" customWidth="1"/>
    <col min="6" max="6" width="12.81640625" bestFit="1" customWidth="1"/>
    <col min="7" max="7" width="18.81640625" customWidth="1"/>
    <col min="8" max="8" width="31" customWidth="1"/>
    <col min="9" max="9" width="18.81640625" bestFit="1"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43</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P4" s="1"/>
    </row>
    <row r="5" spans="1:18" x14ac:dyDescent="0.35">
      <c r="A5" s="191"/>
      <c r="B5" s="192"/>
      <c r="C5" s="194" t="s">
        <v>113</v>
      </c>
      <c r="D5" s="195"/>
      <c r="E5" s="195"/>
      <c r="F5" s="195"/>
      <c r="G5" s="196"/>
      <c r="H5" s="195"/>
      <c r="I5" s="195"/>
      <c r="J5" s="192"/>
      <c r="K5" s="191"/>
    </row>
    <row r="6" spans="1:18" ht="15" thickBot="1" x14ac:dyDescent="0.4">
      <c r="A6" s="191"/>
      <c r="B6" s="192"/>
      <c r="C6" s="195"/>
      <c r="D6" s="195"/>
      <c r="E6" s="195"/>
      <c r="F6" s="195"/>
      <c r="G6" s="196"/>
      <c r="H6" s="195"/>
      <c r="I6" s="195"/>
      <c r="J6" s="192"/>
      <c r="K6" s="191"/>
      <c r="M6" s="176">
        <v>0.04</v>
      </c>
      <c r="P6" s="1"/>
    </row>
    <row r="7" spans="1:18" ht="23.5" thickBot="1" x14ac:dyDescent="0.4">
      <c r="A7" s="191"/>
      <c r="B7" s="192"/>
      <c r="C7" s="197" t="s">
        <v>1</v>
      </c>
      <c r="D7" s="198" t="s">
        <v>2</v>
      </c>
      <c r="E7" s="198" t="s">
        <v>19</v>
      </c>
      <c r="F7" s="198" t="s">
        <v>3</v>
      </c>
      <c r="G7" s="199" t="s">
        <v>4</v>
      </c>
      <c r="H7" s="198" t="s">
        <v>5</v>
      </c>
      <c r="I7" s="200" t="s">
        <v>6</v>
      </c>
      <c r="J7" s="192"/>
      <c r="K7" s="191"/>
      <c r="M7" s="176">
        <v>0</v>
      </c>
    </row>
    <row r="8" spans="1:18" ht="20.149999999999999" customHeight="1" thickBot="1" x14ac:dyDescent="0.4">
      <c r="A8" s="191"/>
      <c r="B8" s="192"/>
      <c r="C8" s="201" t="s">
        <v>7</v>
      </c>
      <c r="D8" s="202"/>
      <c r="E8" s="203"/>
      <c r="F8" s="203"/>
      <c r="G8" s="203"/>
      <c r="H8" s="204"/>
      <c r="I8" s="205"/>
      <c r="J8" s="192"/>
      <c r="K8" s="191"/>
      <c r="N8" s="2"/>
    </row>
    <row r="9" spans="1:18" ht="27" customHeight="1" thickBot="1" x14ac:dyDescent="0.4">
      <c r="A9" s="191"/>
      <c r="B9" s="192"/>
      <c r="C9" s="206" t="s">
        <v>15</v>
      </c>
      <c r="D9" s="207" t="s">
        <v>31</v>
      </c>
      <c r="E9" s="208">
        <v>992411.66999999993</v>
      </c>
      <c r="F9" s="250">
        <v>32.78</v>
      </c>
      <c r="G9" s="210">
        <f>E9*F9</f>
        <v>32531254.542599998</v>
      </c>
      <c r="H9" s="182"/>
      <c r="I9" s="211">
        <f>H9*E9</f>
        <v>0</v>
      </c>
      <c r="J9" s="192"/>
      <c r="K9" s="191"/>
      <c r="N9" s="1"/>
    </row>
    <row r="10" spans="1:18" ht="27" customHeight="1" thickBot="1" x14ac:dyDescent="0.4">
      <c r="A10" s="191"/>
      <c r="B10" s="192"/>
      <c r="C10" s="212" t="s">
        <v>16</v>
      </c>
      <c r="D10" s="213" t="s">
        <v>31</v>
      </c>
      <c r="E10" s="214">
        <v>182016.52000000002</v>
      </c>
      <c r="F10" s="250">
        <v>29.27</v>
      </c>
      <c r="G10" s="210">
        <f>E10*F10</f>
        <v>5327623.5404000003</v>
      </c>
      <c r="H10" s="183"/>
      <c r="I10" s="211">
        <f>H10*E10</f>
        <v>0</v>
      </c>
      <c r="J10" s="192"/>
      <c r="K10" s="191"/>
      <c r="N10" s="1"/>
    </row>
    <row r="11" spans="1:18" ht="27" customHeight="1" thickBot="1" x14ac:dyDescent="0.4">
      <c r="A11" s="191"/>
      <c r="B11" s="192"/>
      <c r="C11" s="212" t="s">
        <v>17</v>
      </c>
      <c r="D11" s="213" t="s">
        <v>31</v>
      </c>
      <c r="E11" s="238">
        <v>275</v>
      </c>
      <c r="F11" s="250">
        <v>24.73</v>
      </c>
      <c r="G11" s="210">
        <f>E11*F11</f>
        <v>6800.75</v>
      </c>
      <c r="H11" s="183"/>
      <c r="I11" s="211">
        <f>H11*E11</f>
        <v>0</v>
      </c>
      <c r="J11" s="192"/>
      <c r="K11" s="191"/>
      <c r="N11" s="1"/>
    </row>
    <row r="12" spans="1:18" ht="27" customHeight="1" thickBot="1" x14ac:dyDescent="0.4">
      <c r="A12" s="191"/>
      <c r="B12" s="192"/>
      <c r="C12" s="216" t="s">
        <v>18</v>
      </c>
      <c r="D12" s="217" t="s">
        <v>31</v>
      </c>
      <c r="E12" s="239">
        <v>900</v>
      </c>
      <c r="F12" s="250">
        <v>37.1</v>
      </c>
      <c r="G12" s="210">
        <f>E12*F12</f>
        <v>33390</v>
      </c>
      <c r="H12" s="183"/>
      <c r="I12" s="211">
        <f>H12*E12</f>
        <v>0</v>
      </c>
      <c r="J12" s="192"/>
      <c r="K12" s="191"/>
      <c r="N12" s="1"/>
    </row>
    <row r="13" spans="1:18" ht="20.149999999999999" customHeight="1" thickBot="1" x14ac:dyDescent="0.4">
      <c r="A13" s="191"/>
      <c r="B13" s="192"/>
      <c r="C13" s="220"/>
      <c r="D13" s="221"/>
      <c r="E13" s="263" t="s">
        <v>8</v>
      </c>
      <c r="F13" s="264"/>
      <c r="G13" s="222">
        <f>SUM(G9:G12)</f>
        <v>37899068.832999997</v>
      </c>
      <c r="H13" s="184" t="s">
        <v>9</v>
      </c>
      <c r="I13" s="223">
        <f>I9+I10+I11+I12</f>
        <v>0</v>
      </c>
      <c r="J13" s="192"/>
      <c r="K13" s="191"/>
      <c r="N13" s="2"/>
      <c r="R13" s="2"/>
    </row>
    <row r="14" spans="1:18" ht="15" thickBot="1" x14ac:dyDescent="0.4">
      <c r="A14" s="191"/>
      <c r="B14" s="192"/>
      <c r="C14" s="220"/>
      <c r="D14" s="221"/>
      <c r="E14" s="224"/>
      <c r="F14" s="224"/>
      <c r="G14" s="225"/>
      <c r="H14" s="185"/>
      <c r="I14" s="225"/>
      <c r="J14" s="192"/>
      <c r="K14" s="191"/>
      <c r="N14" s="111"/>
    </row>
    <row r="15" spans="1:18" ht="39.5" thickBot="1" x14ac:dyDescent="0.4">
      <c r="A15" s="191"/>
      <c r="B15" s="192"/>
      <c r="C15" s="226" t="s">
        <v>116</v>
      </c>
      <c r="D15" s="221"/>
      <c r="E15" s="227"/>
      <c r="F15" s="228" t="s">
        <v>20</v>
      </c>
      <c r="G15" s="177">
        <v>37899068.829999998</v>
      </c>
      <c r="H15" s="186" t="s">
        <v>10</v>
      </c>
      <c r="I15" s="177">
        <f>I13</f>
        <v>0</v>
      </c>
      <c r="J15" s="192"/>
      <c r="K15" s="191"/>
      <c r="N15" s="111"/>
    </row>
    <row r="16" spans="1:18" x14ac:dyDescent="0.35">
      <c r="A16" s="191"/>
      <c r="B16" s="192"/>
      <c r="C16" s="220"/>
      <c r="D16" s="221"/>
      <c r="E16" s="265" t="s">
        <v>21</v>
      </c>
      <c r="F16" s="266"/>
      <c r="G16" s="178">
        <f>G15*4%</f>
        <v>1515962.7531999999</v>
      </c>
      <c r="H16" s="187">
        <v>0</v>
      </c>
      <c r="I16" s="178">
        <f>I15*H16</f>
        <v>0</v>
      </c>
      <c r="J16" s="192"/>
      <c r="K16" s="191"/>
      <c r="N16" s="112"/>
    </row>
    <row r="17" spans="1:14" x14ac:dyDescent="0.35">
      <c r="A17" s="191"/>
      <c r="B17" s="192"/>
      <c r="C17" s="220"/>
      <c r="D17" s="221"/>
      <c r="E17" s="229" t="s">
        <v>11</v>
      </c>
      <c r="F17" s="230"/>
      <c r="G17" s="179">
        <f>SUM(G15:G16)</f>
        <v>39415031.5832</v>
      </c>
      <c r="H17" s="188" t="s">
        <v>12</v>
      </c>
      <c r="I17" s="179">
        <f>I15+I16</f>
        <v>0</v>
      </c>
      <c r="J17" s="192"/>
      <c r="K17" s="191"/>
      <c r="N17" s="112"/>
    </row>
    <row r="18" spans="1:14" x14ac:dyDescent="0.35">
      <c r="A18" s="191"/>
      <c r="B18" s="192"/>
      <c r="C18" s="220"/>
      <c r="D18" s="195"/>
      <c r="E18" s="232"/>
      <c r="F18" s="233"/>
      <c r="G18" s="180"/>
      <c r="H18" s="234"/>
      <c r="I18" s="235"/>
      <c r="J18" s="192"/>
      <c r="K18" s="191"/>
      <c r="N18" s="112"/>
    </row>
    <row r="19" spans="1:14" x14ac:dyDescent="0.35">
      <c r="A19" s="191"/>
      <c r="B19" s="192"/>
      <c r="C19" s="220"/>
      <c r="D19" s="192" t="s">
        <v>13</v>
      </c>
      <c r="E19" s="192"/>
      <c r="F19" s="192"/>
      <c r="G19" s="181"/>
      <c r="H19" s="192"/>
      <c r="I19" s="192"/>
      <c r="J19" s="192"/>
      <c r="K19" s="191"/>
      <c r="N19" s="112"/>
    </row>
    <row r="20" spans="1:14" x14ac:dyDescent="0.35">
      <c r="A20" s="191"/>
      <c r="B20" s="192"/>
      <c r="C20" s="220"/>
      <c r="D20" s="267" t="s">
        <v>14</v>
      </c>
      <c r="E20" s="267"/>
      <c r="F20" s="267"/>
      <c r="G20" s="267"/>
      <c r="H20" s="267"/>
      <c r="I20" s="267"/>
      <c r="J20" s="192"/>
      <c r="K20" s="191"/>
      <c r="N20" s="112"/>
    </row>
    <row r="21" spans="1:14" x14ac:dyDescent="0.35">
      <c r="A21" s="191"/>
      <c r="B21" s="192"/>
      <c r="C21" s="220"/>
      <c r="D21" s="267"/>
      <c r="E21" s="267"/>
      <c r="F21" s="267"/>
      <c r="G21" s="267"/>
      <c r="H21" s="267"/>
      <c r="I21" s="267"/>
      <c r="J21" s="192"/>
      <c r="K21" s="191"/>
    </row>
    <row r="22" spans="1:14" x14ac:dyDescent="0.35">
      <c r="A22" s="191"/>
      <c r="B22" s="192"/>
      <c r="C22" s="220"/>
      <c r="D22" s="267"/>
      <c r="E22" s="267"/>
      <c r="F22" s="267"/>
      <c r="G22" s="267"/>
      <c r="H22" s="267"/>
      <c r="I22" s="267"/>
      <c r="J22" s="192"/>
      <c r="K22" s="191"/>
    </row>
    <row r="23" spans="1:14" x14ac:dyDescent="0.35">
      <c r="A23" s="191"/>
      <c r="B23" s="192"/>
      <c r="C23" s="220"/>
      <c r="D23" s="267"/>
      <c r="E23" s="267"/>
      <c r="F23" s="267"/>
      <c r="G23" s="267"/>
      <c r="H23" s="267"/>
      <c r="I23" s="267"/>
      <c r="J23" s="192"/>
      <c r="K23" s="191"/>
    </row>
    <row r="24" spans="1:14" x14ac:dyDescent="0.35">
      <c r="A24" s="191"/>
      <c r="B24" s="191"/>
      <c r="C24" s="191"/>
      <c r="D24" s="191"/>
      <c r="E24" s="191"/>
      <c r="F24" s="191"/>
      <c r="G24" s="191"/>
      <c r="H24" s="191"/>
      <c r="I24" s="191"/>
      <c r="J24" s="191"/>
      <c r="K24" s="191"/>
    </row>
    <row r="29" spans="1:14" x14ac:dyDescent="0.35">
      <c r="G29" s="2"/>
    </row>
  </sheetData>
  <sheetProtection algorithmName="SHA-512" hashValue="Spt+v7WuC/Yk6/glsfnjTMjSXbvKCZ31kZyUMegPQ16RsQhkHahBGEzjBxxJaRtaJbO6yjRUA3Z1VlJTtvvquA==" saltValue="LOyHhRlRNODe5RuKPHY+gg==" spinCount="100000" sheet="1" objects="1" scenarios="1"/>
  <mergeCells count="5">
    <mergeCell ref="C3:G3"/>
    <mergeCell ref="I3:J3"/>
    <mergeCell ref="E13:F13"/>
    <mergeCell ref="E16:F16"/>
    <mergeCell ref="D20:I23"/>
  </mergeCells>
  <dataValidations count="1">
    <dataValidation type="list" allowBlank="1" showInputMessage="1" showErrorMessage="1" sqref="H16" xr:uid="{C306D23E-AA99-41CB-B926-4121F08FE7E6}">
      <formula1>$M$6:$M$7</formula1>
    </dataValidation>
  </dataValidations>
  <pageMargins left="0.70866141732283472" right="0.70866141732283472" top="0.74803149606299213" bottom="0.74803149606299213" header="0.31496062992125984" footer="0.31496062992125984"/>
  <pageSetup paperSize="9" scale="64"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R29"/>
  <sheetViews>
    <sheetView showGridLines="0" workbookViewId="0">
      <selection activeCell="H16" sqref="H16"/>
    </sheetView>
  </sheetViews>
  <sheetFormatPr defaultColWidth="9.1796875" defaultRowHeight="14.5" x14ac:dyDescent="0.35"/>
  <cols>
    <col min="3" max="3" width="44.54296875" bestFit="1" customWidth="1"/>
    <col min="4" max="4" width="28.54296875" bestFit="1" customWidth="1"/>
    <col min="5" max="5" width="11.7265625" bestFit="1" customWidth="1"/>
    <col min="6" max="6" width="12.81640625" bestFit="1" customWidth="1"/>
    <col min="7" max="7" width="18.81640625" customWidth="1"/>
    <col min="8" max="8" width="31" customWidth="1"/>
    <col min="9" max="9" width="18.81640625" bestFit="1"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44</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P4" s="1"/>
    </row>
    <row r="5" spans="1:18" x14ac:dyDescent="0.35">
      <c r="A5" s="191"/>
      <c r="B5" s="192"/>
      <c r="C5" s="194" t="s">
        <v>114</v>
      </c>
      <c r="D5" s="195"/>
      <c r="E5" s="195"/>
      <c r="F5" s="195"/>
      <c r="G5" s="196"/>
      <c r="H5" s="195"/>
      <c r="I5" s="195"/>
      <c r="J5" s="192"/>
      <c r="K5" s="191"/>
    </row>
    <row r="6" spans="1:18" ht="15" thickBot="1" x14ac:dyDescent="0.4">
      <c r="A6" s="191"/>
      <c r="B6" s="192"/>
      <c r="C6" s="195"/>
      <c r="D6" s="195"/>
      <c r="E6" s="195"/>
      <c r="F6" s="195"/>
      <c r="G6" s="196"/>
      <c r="H6" s="195"/>
      <c r="I6" s="195"/>
      <c r="J6" s="192"/>
      <c r="K6" s="191"/>
      <c r="P6" s="1"/>
    </row>
    <row r="7" spans="1:18" ht="23.5" thickBot="1" x14ac:dyDescent="0.4">
      <c r="A7" s="191"/>
      <c r="B7" s="192"/>
      <c r="C7" s="197" t="s">
        <v>1</v>
      </c>
      <c r="D7" s="198" t="s">
        <v>2</v>
      </c>
      <c r="E7" s="198" t="s">
        <v>19</v>
      </c>
      <c r="F7" s="198" t="s">
        <v>3</v>
      </c>
      <c r="G7" s="199" t="s">
        <v>4</v>
      </c>
      <c r="H7" s="198" t="s">
        <v>5</v>
      </c>
      <c r="I7" s="200" t="s">
        <v>6</v>
      </c>
      <c r="J7" s="192"/>
      <c r="K7" s="191"/>
      <c r="M7" s="176">
        <v>0.04</v>
      </c>
    </row>
    <row r="8" spans="1:18" ht="20.149999999999999" customHeight="1" thickBot="1" x14ac:dyDescent="0.4">
      <c r="A8" s="191"/>
      <c r="B8" s="192"/>
      <c r="C8" s="201" t="s">
        <v>7</v>
      </c>
      <c r="D8" s="202"/>
      <c r="E8" s="203"/>
      <c r="F8" s="203"/>
      <c r="G8" s="203"/>
      <c r="H8" s="204"/>
      <c r="I8" s="205"/>
      <c r="J8" s="192"/>
      <c r="K8" s="191"/>
      <c r="M8" s="176">
        <v>0</v>
      </c>
      <c r="N8" s="2"/>
    </row>
    <row r="9" spans="1:18" ht="27" customHeight="1" thickBot="1" x14ac:dyDescent="0.4">
      <c r="A9" s="191"/>
      <c r="B9" s="192"/>
      <c r="C9" s="206" t="s">
        <v>15</v>
      </c>
      <c r="D9" s="207" t="s">
        <v>35</v>
      </c>
      <c r="E9" s="208">
        <v>1012259.9</v>
      </c>
      <c r="F9" s="250">
        <v>33.479999999999997</v>
      </c>
      <c r="G9" s="210">
        <f>E9*F9</f>
        <v>33890461.452</v>
      </c>
      <c r="H9" s="182"/>
      <c r="I9" s="211">
        <f>H9*E9</f>
        <v>0</v>
      </c>
      <c r="J9" s="192"/>
      <c r="K9" s="191"/>
      <c r="N9" s="1"/>
    </row>
    <row r="10" spans="1:18" ht="27" customHeight="1" thickBot="1" x14ac:dyDescent="0.4">
      <c r="A10" s="191"/>
      <c r="B10" s="192"/>
      <c r="C10" s="212" t="s">
        <v>16</v>
      </c>
      <c r="D10" s="213" t="s">
        <v>35</v>
      </c>
      <c r="E10" s="214">
        <v>185656.85</v>
      </c>
      <c r="F10" s="250">
        <v>29.8</v>
      </c>
      <c r="G10" s="210">
        <f>E10*F10</f>
        <v>5532574.1299999999</v>
      </c>
      <c r="H10" s="183"/>
      <c r="I10" s="211">
        <f>H10*E10</f>
        <v>0</v>
      </c>
      <c r="J10" s="192"/>
      <c r="K10" s="191"/>
      <c r="N10" s="1"/>
    </row>
    <row r="11" spans="1:18" ht="27" customHeight="1" thickBot="1" x14ac:dyDescent="0.4">
      <c r="A11" s="191"/>
      <c r="B11" s="192"/>
      <c r="C11" s="212" t="s">
        <v>17</v>
      </c>
      <c r="D11" s="213" t="s">
        <v>35</v>
      </c>
      <c r="E11" s="238">
        <v>275</v>
      </c>
      <c r="F11" s="250">
        <v>24.69</v>
      </c>
      <c r="G11" s="210">
        <f>E11*F11</f>
        <v>6789.75</v>
      </c>
      <c r="H11" s="183"/>
      <c r="I11" s="211">
        <f>H11*E11</f>
        <v>0</v>
      </c>
      <c r="J11" s="192"/>
      <c r="K11" s="191"/>
      <c r="N11" s="1"/>
    </row>
    <row r="12" spans="1:18" ht="27" customHeight="1" thickBot="1" x14ac:dyDescent="0.4">
      <c r="A12" s="191"/>
      <c r="B12" s="192"/>
      <c r="C12" s="216" t="s">
        <v>18</v>
      </c>
      <c r="D12" s="217" t="s">
        <v>35</v>
      </c>
      <c r="E12" s="239">
        <v>900</v>
      </c>
      <c r="F12" s="250">
        <v>37.049999999999997</v>
      </c>
      <c r="G12" s="210">
        <f>E12*F12</f>
        <v>33345</v>
      </c>
      <c r="H12" s="183"/>
      <c r="I12" s="211">
        <f>H12*E12</f>
        <v>0</v>
      </c>
      <c r="J12" s="192"/>
      <c r="K12" s="191"/>
      <c r="N12" s="1"/>
    </row>
    <row r="13" spans="1:18" ht="20.149999999999999" customHeight="1" thickBot="1" x14ac:dyDescent="0.4">
      <c r="A13" s="191"/>
      <c r="B13" s="192"/>
      <c r="C13" s="220"/>
      <c r="D13" s="221"/>
      <c r="E13" s="263" t="s">
        <v>8</v>
      </c>
      <c r="F13" s="264"/>
      <c r="G13" s="222">
        <f>SUM(G9:G12)</f>
        <v>39463170.332000002</v>
      </c>
      <c r="H13" s="184" t="s">
        <v>9</v>
      </c>
      <c r="I13" s="223">
        <f>I9+I10+I11+I12</f>
        <v>0</v>
      </c>
      <c r="J13" s="192"/>
      <c r="K13" s="191"/>
      <c r="N13" s="2"/>
      <c r="R13" s="2"/>
    </row>
    <row r="14" spans="1:18" ht="15" thickBot="1" x14ac:dyDescent="0.4">
      <c r="A14" s="191"/>
      <c r="B14" s="192"/>
      <c r="C14" s="220"/>
      <c r="D14" s="221"/>
      <c r="E14" s="224"/>
      <c r="F14" s="224"/>
      <c r="G14" s="225"/>
      <c r="H14" s="185"/>
      <c r="I14" s="225"/>
      <c r="J14" s="192"/>
      <c r="K14" s="191"/>
    </row>
    <row r="15" spans="1:18" ht="39.5" thickBot="1" x14ac:dyDescent="0.4">
      <c r="A15" s="191"/>
      <c r="B15" s="192"/>
      <c r="C15" s="226" t="s">
        <v>116</v>
      </c>
      <c r="D15" s="221"/>
      <c r="E15" s="227"/>
      <c r="F15" s="228" t="s">
        <v>20</v>
      </c>
      <c r="G15" s="177">
        <v>39463170.332000002</v>
      </c>
      <c r="H15" s="186" t="s">
        <v>10</v>
      </c>
      <c r="I15" s="177">
        <f>I13</f>
        <v>0</v>
      </c>
      <c r="J15" s="192"/>
      <c r="K15" s="191"/>
    </row>
    <row r="16" spans="1:18" x14ac:dyDescent="0.35">
      <c r="A16" s="191"/>
      <c r="B16" s="192"/>
      <c r="C16" s="220"/>
      <c r="D16" s="221"/>
      <c r="E16" s="265" t="s">
        <v>21</v>
      </c>
      <c r="F16" s="266"/>
      <c r="G16" s="178">
        <f>G15*4%</f>
        <v>1578526.8132800001</v>
      </c>
      <c r="H16" s="187">
        <v>0</v>
      </c>
      <c r="I16" s="178">
        <f>I15*H16</f>
        <v>0</v>
      </c>
      <c r="J16" s="192"/>
      <c r="K16" s="191"/>
    </row>
    <row r="17" spans="1:11" x14ac:dyDescent="0.35">
      <c r="A17" s="191"/>
      <c r="B17" s="192"/>
      <c r="C17" s="220"/>
      <c r="D17" s="221"/>
      <c r="E17" s="229" t="s">
        <v>11</v>
      </c>
      <c r="F17" s="230"/>
      <c r="G17" s="179">
        <f>SUM(G15:G16)</f>
        <v>41041697.145280004</v>
      </c>
      <c r="H17" s="188" t="s">
        <v>12</v>
      </c>
      <c r="I17" s="179">
        <f>I15+I16</f>
        <v>0</v>
      </c>
      <c r="J17" s="192"/>
      <c r="K17" s="191"/>
    </row>
    <row r="18" spans="1:11" x14ac:dyDescent="0.35">
      <c r="A18" s="191"/>
      <c r="B18" s="192"/>
      <c r="C18" s="220"/>
      <c r="D18" s="195"/>
      <c r="E18" s="232"/>
      <c r="F18" s="233"/>
      <c r="G18" s="180"/>
      <c r="H18" s="234"/>
      <c r="I18" s="235"/>
      <c r="J18" s="192"/>
      <c r="K18" s="191"/>
    </row>
    <row r="19" spans="1:11" x14ac:dyDescent="0.35">
      <c r="A19" s="191"/>
      <c r="B19" s="192"/>
      <c r="C19" s="220"/>
      <c r="D19" s="192" t="s">
        <v>13</v>
      </c>
      <c r="E19" s="192"/>
      <c r="F19" s="192"/>
      <c r="G19" s="181"/>
      <c r="H19" s="192"/>
      <c r="I19" s="192"/>
      <c r="J19" s="192"/>
      <c r="K19" s="191"/>
    </row>
    <row r="20" spans="1:11" x14ac:dyDescent="0.35">
      <c r="A20" s="191"/>
      <c r="B20" s="192"/>
      <c r="C20" s="220"/>
      <c r="D20" s="267" t="s">
        <v>14</v>
      </c>
      <c r="E20" s="267"/>
      <c r="F20" s="267"/>
      <c r="G20" s="267"/>
      <c r="H20" s="267"/>
      <c r="I20" s="267"/>
      <c r="J20" s="192"/>
      <c r="K20" s="191"/>
    </row>
    <row r="21" spans="1:11" x14ac:dyDescent="0.35">
      <c r="A21" s="191"/>
      <c r="B21" s="192"/>
      <c r="C21" s="220"/>
      <c r="D21" s="267"/>
      <c r="E21" s="267"/>
      <c r="F21" s="267"/>
      <c r="G21" s="267"/>
      <c r="H21" s="267"/>
      <c r="I21" s="267"/>
      <c r="J21" s="192"/>
      <c r="K21" s="191"/>
    </row>
    <row r="22" spans="1:11" x14ac:dyDescent="0.35">
      <c r="A22" s="191"/>
      <c r="B22" s="192"/>
      <c r="C22" s="220"/>
      <c r="D22" s="267"/>
      <c r="E22" s="267"/>
      <c r="F22" s="267"/>
      <c r="G22" s="267"/>
      <c r="H22" s="267"/>
      <c r="I22" s="267"/>
      <c r="J22" s="192"/>
      <c r="K22" s="191"/>
    </row>
    <row r="23" spans="1:11" x14ac:dyDescent="0.35">
      <c r="A23" s="191"/>
      <c r="B23" s="192"/>
      <c r="C23" s="220"/>
      <c r="D23" s="267"/>
      <c r="E23" s="267"/>
      <c r="F23" s="267"/>
      <c r="G23" s="267"/>
      <c r="H23" s="267"/>
      <c r="I23" s="267"/>
      <c r="J23" s="192"/>
      <c r="K23" s="191"/>
    </row>
    <row r="24" spans="1:11" x14ac:dyDescent="0.35">
      <c r="A24" s="191"/>
      <c r="B24" s="191"/>
      <c r="C24" s="191"/>
      <c r="D24" s="191"/>
      <c r="E24" s="191"/>
      <c r="F24" s="191"/>
      <c r="G24" s="191"/>
      <c r="H24" s="191"/>
      <c r="I24" s="191"/>
      <c r="J24" s="191"/>
      <c r="K24" s="191"/>
    </row>
    <row r="29" spans="1:11" x14ac:dyDescent="0.35">
      <c r="G29" s="2"/>
    </row>
  </sheetData>
  <sheetProtection algorithmName="SHA-512" hashValue="pNieRs7FI3IwNFnxkvMAwvesL9UZhR5krQiOXGfsZ0K5vQfWFK26lrOhCBO8wYDzU0/tvF7enaRwNrrqp+ZFlQ==" saltValue="8Fr4iMuKJg1xefTFxqA4DA==" spinCount="100000" sheet="1" objects="1" scenarios="1"/>
  <mergeCells count="5">
    <mergeCell ref="C3:G3"/>
    <mergeCell ref="I3:J3"/>
    <mergeCell ref="E13:F13"/>
    <mergeCell ref="E16:F16"/>
    <mergeCell ref="D20:I23"/>
  </mergeCells>
  <dataValidations count="1">
    <dataValidation type="list" allowBlank="1" showInputMessage="1" showErrorMessage="1" sqref="H16" xr:uid="{7A5D22E1-1766-4E59-81F3-FF05FC0EE761}">
      <formula1>$M$7:$M$8</formula1>
    </dataValidation>
  </dataValidations>
  <pageMargins left="0.70866141732283472" right="0.70866141732283472" top="0.74803149606299213" bottom="0.74803149606299213" header="0.31496062992125984" footer="0.31496062992125984"/>
  <pageSetup paperSize="9" scale="64"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R29"/>
  <sheetViews>
    <sheetView showGridLines="0" topLeftCell="A5" workbookViewId="0">
      <selection activeCell="G12" sqref="G12"/>
    </sheetView>
  </sheetViews>
  <sheetFormatPr defaultColWidth="9.1796875" defaultRowHeight="14.5" x14ac:dyDescent="0.35"/>
  <cols>
    <col min="3" max="3" width="44.54296875" bestFit="1" customWidth="1"/>
    <col min="4" max="4" width="28.54296875" bestFit="1" customWidth="1"/>
    <col min="5" max="5" width="11.7265625" bestFit="1" customWidth="1"/>
    <col min="6" max="6" width="12.81640625" bestFit="1" customWidth="1"/>
    <col min="7" max="7" width="18.81640625" customWidth="1"/>
    <col min="8" max="8" width="31" customWidth="1"/>
    <col min="9" max="9" width="18.81640625" bestFit="1"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45</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P4" s="1"/>
    </row>
    <row r="5" spans="1:18" x14ac:dyDescent="0.35">
      <c r="A5" s="191"/>
      <c r="B5" s="192"/>
      <c r="C5" s="194" t="s">
        <v>115</v>
      </c>
      <c r="D5" s="195"/>
      <c r="E5" s="195"/>
      <c r="F5" s="195"/>
      <c r="G5" s="196"/>
      <c r="H5" s="195"/>
      <c r="I5" s="195"/>
      <c r="J5" s="192"/>
      <c r="K5" s="191"/>
    </row>
    <row r="6" spans="1:18" ht="15" thickBot="1" x14ac:dyDescent="0.4">
      <c r="A6" s="191"/>
      <c r="B6" s="192"/>
      <c r="C6" s="195"/>
      <c r="D6" s="195"/>
      <c r="E6" s="195"/>
      <c r="F6" s="195"/>
      <c r="G6" s="196"/>
      <c r="H6" s="195"/>
      <c r="I6" s="195"/>
      <c r="J6" s="192"/>
      <c r="K6" s="191"/>
      <c r="P6" s="1"/>
    </row>
    <row r="7" spans="1:18" ht="23.5" thickBot="1" x14ac:dyDescent="0.4">
      <c r="A7" s="191"/>
      <c r="B7" s="192"/>
      <c r="C7" s="197" t="s">
        <v>1</v>
      </c>
      <c r="D7" s="198" t="s">
        <v>2</v>
      </c>
      <c r="E7" s="198" t="s">
        <v>19</v>
      </c>
      <c r="F7" s="198" t="s">
        <v>3</v>
      </c>
      <c r="G7" s="199" t="s">
        <v>4</v>
      </c>
      <c r="H7" s="198" t="s">
        <v>5</v>
      </c>
      <c r="I7" s="200" t="s">
        <v>6</v>
      </c>
      <c r="J7" s="192"/>
      <c r="K7" s="191"/>
      <c r="M7" s="176">
        <v>0.04</v>
      </c>
    </row>
    <row r="8" spans="1:18" ht="20.149999999999999" customHeight="1" thickBot="1" x14ac:dyDescent="0.4">
      <c r="A8" s="191"/>
      <c r="B8" s="192"/>
      <c r="C8" s="201" t="s">
        <v>7</v>
      </c>
      <c r="D8" s="202"/>
      <c r="E8" s="203"/>
      <c r="F8" s="203"/>
      <c r="G8" s="203"/>
      <c r="H8" s="204"/>
      <c r="I8" s="205"/>
      <c r="J8" s="192"/>
      <c r="K8" s="191"/>
      <c r="M8" s="176">
        <v>0</v>
      </c>
      <c r="N8" s="2"/>
    </row>
    <row r="9" spans="1:18" ht="27" customHeight="1" thickBot="1" x14ac:dyDescent="0.4">
      <c r="A9" s="191"/>
      <c r="B9" s="192"/>
      <c r="C9" s="206" t="s">
        <v>15</v>
      </c>
      <c r="D9" s="207" t="s">
        <v>55</v>
      </c>
      <c r="E9" s="208">
        <v>1032505.09</v>
      </c>
      <c r="F9" s="250">
        <v>34.4</v>
      </c>
      <c r="G9" s="210">
        <f>E9*F9</f>
        <v>35518175.096000001</v>
      </c>
      <c r="H9" s="182"/>
      <c r="I9" s="211">
        <f>H9*E9</f>
        <v>0</v>
      </c>
      <c r="J9" s="192"/>
      <c r="K9" s="191"/>
      <c r="N9" s="1"/>
    </row>
    <row r="10" spans="1:18" ht="27" customHeight="1" thickBot="1" x14ac:dyDescent="0.4">
      <c r="A10" s="191"/>
      <c r="B10" s="192"/>
      <c r="C10" s="212" t="s">
        <v>16</v>
      </c>
      <c r="D10" s="207" t="s">
        <v>55</v>
      </c>
      <c r="E10" s="214">
        <v>189369.98</v>
      </c>
      <c r="F10" s="250">
        <v>30.7</v>
      </c>
      <c r="G10" s="210">
        <f>E10*F10</f>
        <v>5813658.3859999999</v>
      </c>
      <c r="H10" s="183"/>
      <c r="I10" s="211">
        <f>H10*E10</f>
        <v>0</v>
      </c>
      <c r="J10" s="192"/>
      <c r="K10" s="191"/>
      <c r="N10" s="1"/>
    </row>
    <row r="11" spans="1:18" ht="27" customHeight="1" thickBot="1" x14ac:dyDescent="0.4">
      <c r="A11" s="191"/>
      <c r="B11" s="192"/>
      <c r="C11" s="212" t="s">
        <v>17</v>
      </c>
      <c r="D11" s="207" t="s">
        <v>55</v>
      </c>
      <c r="E11" s="238">
        <v>275</v>
      </c>
      <c r="F11" s="250">
        <v>24.68</v>
      </c>
      <c r="G11" s="210">
        <f>E11*F11</f>
        <v>6787</v>
      </c>
      <c r="H11" s="183"/>
      <c r="I11" s="211">
        <f>H11*E11</f>
        <v>0</v>
      </c>
      <c r="J11" s="192"/>
      <c r="K11" s="191"/>
      <c r="N11" s="1"/>
    </row>
    <row r="12" spans="1:18" ht="27" customHeight="1" thickBot="1" x14ac:dyDescent="0.4">
      <c r="A12" s="191"/>
      <c r="B12" s="192"/>
      <c r="C12" s="216" t="s">
        <v>18</v>
      </c>
      <c r="D12" s="207" t="s">
        <v>55</v>
      </c>
      <c r="E12" s="239">
        <v>900</v>
      </c>
      <c r="F12" s="250">
        <v>37.020000000000003</v>
      </c>
      <c r="G12" s="210">
        <f>E12*F12</f>
        <v>33318</v>
      </c>
      <c r="H12" s="183"/>
      <c r="I12" s="211">
        <f>H12*E12</f>
        <v>0</v>
      </c>
      <c r="J12" s="192"/>
      <c r="K12" s="191"/>
      <c r="N12" s="1"/>
    </row>
    <row r="13" spans="1:18" ht="20.149999999999999" customHeight="1" thickBot="1" x14ac:dyDescent="0.4">
      <c r="A13" s="191"/>
      <c r="B13" s="192"/>
      <c r="C13" s="220"/>
      <c r="D13" s="221"/>
      <c r="E13" s="263" t="s">
        <v>8</v>
      </c>
      <c r="F13" s="264"/>
      <c r="G13" s="222">
        <f>SUM(G9:G12)</f>
        <v>41371938.482000001</v>
      </c>
      <c r="H13" s="184" t="s">
        <v>9</v>
      </c>
      <c r="I13" s="223">
        <f>I9+I10+I11+I12</f>
        <v>0</v>
      </c>
      <c r="J13" s="192"/>
      <c r="K13" s="191"/>
      <c r="N13" s="2"/>
      <c r="R13" s="2"/>
    </row>
    <row r="14" spans="1:18" ht="15" thickBot="1" x14ac:dyDescent="0.4">
      <c r="A14" s="191"/>
      <c r="B14" s="192"/>
      <c r="C14" s="220"/>
      <c r="D14" s="221"/>
      <c r="E14" s="224"/>
      <c r="F14" s="224"/>
      <c r="G14" s="225"/>
      <c r="H14" s="185"/>
      <c r="I14" s="225"/>
      <c r="J14" s="192"/>
      <c r="K14" s="191"/>
    </row>
    <row r="15" spans="1:18" ht="39.5" thickBot="1" x14ac:dyDescent="0.4">
      <c r="A15" s="191"/>
      <c r="B15" s="192"/>
      <c r="C15" s="226" t="s">
        <v>116</v>
      </c>
      <c r="D15" s="221"/>
      <c r="E15" s="227"/>
      <c r="F15" s="228" t="s">
        <v>20</v>
      </c>
      <c r="G15" s="177">
        <v>41371938.482000001</v>
      </c>
      <c r="H15" s="186" t="s">
        <v>10</v>
      </c>
      <c r="I15" s="177">
        <f>I13</f>
        <v>0</v>
      </c>
      <c r="J15" s="192"/>
      <c r="K15" s="191"/>
    </row>
    <row r="16" spans="1:18" x14ac:dyDescent="0.35">
      <c r="A16" s="191"/>
      <c r="B16" s="192"/>
      <c r="C16" s="220"/>
      <c r="D16" s="221"/>
      <c r="E16" s="265" t="s">
        <v>21</v>
      </c>
      <c r="F16" s="266"/>
      <c r="G16" s="178">
        <f>G15*4%</f>
        <v>1654877.5392800001</v>
      </c>
      <c r="H16" s="187">
        <v>0</v>
      </c>
      <c r="I16" s="178">
        <f>I15*H16</f>
        <v>0</v>
      </c>
      <c r="J16" s="192"/>
      <c r="K16" s="191"/>
    </row>
    <row r="17" spans="1:11" x14ac:dyDescent="0.35">
      <c r="A17" s="191"/>
      <c r="B17" s="192"/>
      <c r="C17" s="220"/>
      <c r="D17" s="221"/>
      <c r="E17" s="229" t="s">
        <v>11</v>
      </c>
      <c r="F17" s="230"/>
      <c r="G17" s="179">
        <f>SUM(G15:G16)</f>
        <v>43026816.021279998</v>
      </c>
      <c r="H17" s="188" t="s">
        <v>12</v>
      </c>
      <c r="I17" s="179">
        <f>I15+I16</f>
        <v>0</v>
      </c>
      <c r="J17" s="192"/>
      <c r="K17" s="191"/>
    </row>
    <row r="18" spans="1:11" x14ac:dyDescent="0.35">
      <c r="A18" s="191"/>
      <c r="B18" s="192"/>
      <c r="C18" s="220"/>
      <c r="D18" s="195"/>
      <c r="E18" s="232"/>
      <c r="F18" s="233"/>
      <c r="G18" s="180"/>
      <c r="H18" s="234"/>
      <c r="I18" s="235"/>
      <c r="J18" s="192"/>
      <c r="K18" s="191"/>
    </row>
    <row r="19" spans="1:11" x14ac:dyDescent="0.35">
      <c r="A19" s="191"/>
      <c r="B19" s="192"/>
      <c r="C19" s="220"/>
      <c r="D19" s="192" t="s">
        <v>13</v>
      </c>
      <c r="E19" s="192"/>
      <c r="F19" s="192"/>
      <c r="G19" s="181"/>
      <c r="H19" s="192"/>
      <c r="I19" s="192"/>
      <c r="J19" s="192"/>
      <c r="K19" s="191"/>
    </row>
    <row r="20" spans="1:11" x14ac:dyDescent="0.35">
      <c r="A20" s="191"/>
      <c r="B20" s="192"/>
      <c r="C20" s="220"/>
      <c r="D20" s="267" t="s">
        <v>14</v>
      </c>
      <c r="E20" s="267"/>
      <c r="F20" s="267"/>
      <c r="G20" s="267"/>
      <c r="H20" s="267"/>
      <c r="I20" s="267"/>
      <c r="J20" s="192"/>
      <c r="K20" s="191"/>
    </row>
    <row r="21" spans="1:11" x14ac:dyDescent="0.35">
      <c r="A21" s="191"/>
      <c r="B21" s="192"/>
      <c r="C21" s="220"/>
      <c r="D21" s="267"/>
      <c r="E21" s="267"/>
      <c r="F21" s="267"/>
      <c r="G21" s="267"/>
      <c r="H21" s="267"/>
      <c r="I21" s="267"/>
      <c r="J21" s="192"/>
      <c r="K21" s="191"/>
    </row>
    <row r="22" spans="1:11" x14ac:dyDescent="0.35">
      <c r="A22" s="191"/>
      <c r="B22" s="192"/>
      <c r="C22" s="220"/>
      <c r="D22" s="267"/>
      <c r="E22" s="267"/>
      <c r="F22" s="267"/>
      <c r="G22" s="267"/>
      <c r="H22" s="267"/>
      <c r="I22" s="267"/>
      <c r="J22" s="192"/>
      <c r="K22" s="191"/>
    </row>
    <row r="23" spans="1:11" x14ac:dyDescent="0.35">
      <c r="A23" s="191"/>
      <c r="B23" s="192"/>
      <c r="C23" s="220"/>
      <c r="D23" s="267"/>
      <c r="E23" s="267"/>
      <c r="F23" s="267"/>
      <c r="G23" s="267"/>
      <c r="H23" s="267"/>
      <c r="I23" s="267"/>
      <c r="J23" s="192"/>
      <c r="K23" s="191"/>
    </row>
    <row r="24" spans="1:11" x14ac:dyDescent="0.35">
      <c r="A24" s="191"/>
      <c r="B24" s="191"/>
      <c r="C24" s="191"/>
      <c r="D24" s="191"/>
      <c r="E24" s="191"/>
      <c r="F24" s="191"/>
      <c r="G24" s="191"/>
      <c r="H24" s="191"/>
      <c r="I24" s="191"/>
      <c r="J24" s="191"/>
      <c r="K24" s="191"/>
    </row>
    <row r="29" spans="1:11" x14ac:dyDescent="0.35">
      <c r="G29" s="2"/>
    </row>
  </sheetData>
  <sheetProtection algorithmName="SHA-512" hashValue="5g6AixDUzSPwE5L9y/xSxUVnXCNLjPOO+E8cJ64WmuqKh72uhplZQqleQiNkIg7iXP8d/wfxyDtC7ifeqCK7eg==" saltValue="4aXn5Tjm58DH0A4WmUsnwQ==" spinCount="100000" sheet="1" objects="1" scenarios="1"/>
  <mergeCells count="5">
    <mergeCell ref="C3:G3"/>
    <mergeCell ref="I3:J3"/>
    <mergeCell ref="E13:F13"/>
    <mergeCell ref="E16:F16"/>
    <mergeCell ref="D20:I23"/>
  </mergeCells>
  <dataValidations count="1">
    <dataValidation type="list" allowBlank="1" showInputMessage="1" showErrorMessage="1" sqref="H16" xr:uid="{1C005151-A1E0-42B0-9C5F-83074C421410}">
      <formula1>$M$7:$M$8</formula1>
    </dataValidation>
  </dataValidations>
  <pageMargins left="0.70866141732283472" right="0.70866141732283472" top="0.74803149606299213" bottom="0.74803149606299213" header="0.31496062992125984" footer="0.31496062992125984"/>
  <pageSetup paperSize="9" scale="6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B2:K72"/>
  <sheetViews>
    <sheetView showGridLines="0" topLeftCell="A56" workbookViewId="0">
      <selection activeCell="J65" sqref="J65"/>
    </sheetView>
  </sheetViews>
  <sheetFormatPr defaultColWidth="9.1796875" defaultRowHeight="14.5" x14ac:dyDescent="0.35"/>
  <cols>
    <col min="2" max="2" width="48.453125" bestFit="1" customWidth="1"/>
    <col min="3" max="3" width="7.81640625" bestFit="1" customWidth="1"/>
    <col min="4" max="6" width="18.26953125" bestFit="1" customWidth="1"/>
    <col min="7" max="7" width="19.54296875" bestFit="1" customWidth="1"/>
    <col min="8" max="8" width="15" bestFit="1" customWidth="1"/>
    <col min="9" max="9" width="11.54296875" bestFit="1" customWidth="1"/>
    <col min="10" max="11" width="15.7265625" bestFit="1" customWidth="1"/>
  </cols>
  <sheetData>
    <row r="2" spans="2:11" x14ac:dyDescent="0.35">
      <c r="H2" s="111"/>
      <c r="I2" s="111"/>
    </row>
    <row r="3" spans="2:11" x14ac:dyDescent="0.35">
      <c r="H3" s="111"/>
      <c r="I3" s="111"/>
    </row>
    <row r="4" spans="2:11" ht="16" thickBot="1" x14ac:dyDescent="0.4">
      <c r="B4" s="69" t="s">
        <v>86</v>
      </c>
      <c r="C4" s="71"/>
      <c r="D4" s="71"/>
      <c r="E4" s="71"/>
      <c r="F4" s="71"/>
      <c r="G4" s="107"/>
      <c r="H4" s="111"/>
      <c r="I4" s="111"/>
    </row>
    <row r="5" spans="2:11" ht="17.5" thickBot="1" x14ac:dyDescent="0.4">
      <c r="B5" s="86"/>
      <c r="C5" s="73" t="s">
        <v>77</v>
      </c>
      <c r="D5" s="73" t="s">
        <v>90</v>
      </c>
      <c r="E5" s="73" t="s">
        <v>52</v>
      </c>
      <c r="F5" s="73" t="s">
        <v>54</v>
      </c>
      <c r="G5" s="73" t="s">
        <v>78</v>
      </c>
      <c r="H5" s="111"/>
      <c r="I5" s="120"/>
      <c r="J5" s="36"/>
    </row>
    <row r="6" spans="2:11" ht="20.149999999999999" customHeight="1" x14ac:dyDescent="0.35">
      <c r="B6" s="74" t="s">
        <v>79</v>
      </c>
      <c r="C6" s="89"/>
      <c r="D6" s="97">
        <v>30205386.48</v>
      </c>
      <c r="E6" s="98">
        <v>31624800.440000001</v>
      </c>
      <c r="F6" s="98">
        <v>33256821.030000001</v>
      </c>
      <c r="G6" s="99">
        <f>SUM(D6:F6)</f>
        <v>95087007.950000003</v>
      </c>
      <c r="H6" s="111"/>
      <c r="I6" s="111"/>
      <c r="J6" s="72"/>
    </row>
    <row r="7" spans="2:11" ht="20.149999999999999" customHeight="1" thickBot="1" x14ac:dyDescent="0.4">
      <c r="B7" s="79" t="s">
        <v>85</v>
      </c>
      <c r="C7" s="90"/>
      <c r="D7" s="100">
        <v>1207829.55</v>
      </c>
      <c r="E7" s="101">
        <v>1266288.6299999999</v>
      </c>
      <c r="F7" s="101">
        <v>1330272.8400000001</v>
      </c>
      <c r="G7" s="102">
        <f>SUM(D7:F7)</f>
        <v>3804391.0199999996</v>
      </c>
      <c r="H7" s="111"/>
      <c r="I7" s="111"/>
      <c r="J7" s="36"/>
    </row>
    <row r="8" spans="2:11" ht="20.149999999999999" customHeight="1" thickBot="1" x14ac:dyDescent="0.4">
      <c r="B8" s="87" t="s">
        <v>80</v>
      </c>
      <c r="C8" s="91">
        <f>G8/G12</f>
        <v>0.90713610665911071</v>
      </c>
      <c r="D8" s="80">
        <f>SUM(D6:D7)</f>
        <v>31413216.030000001</v>
      </c>
      <c r="E8" s="81">
        <f>SUM(E6:E7)</f>
        <v>32891089.07</v>
      </c>
      <c r="F8" s="81">
        <f>SUM(F6:F7)</f>
        <v>34587093.870000005</v>
      </c>
      <c r="G8" s="80">
        <f>SUM(G6:G7)</f>
        <v>98891398.969999999</v>
      </c>
      <c r="H8" s="111"/>
      <c r="I8" s="111"/>
      <c r="J8" s="36"/>
      <c r="K8" s="36"/>
    </row>
    <row r="9" spans="2:11" ht="20.149999999999999" customHeight="1" x14ac:dyDescent="0.35">
      <c r="B9" s="74" t="s">
        <v>81</v>
      </c>
      <c r="C9" s="92"/>
      <c r="D9" s="103">
        <v>1256528.6499999999</v>
      </c>
      <c r="E9" s="104">
        <v>1315658.8</v>
      </c>
      <c r="F9" s="104">
        <f>F8*3.99197%+0.02</f>
        <v>1380706.4311622391</v>
      </c>
      <c r="G9" s="105">
        <v>3940430.796172271</v>
      </c>
      <c r="H9" s="111"/>
      <c r="I9" s="111"/>
      <c r="J9" s="36"/>
    </row>
    <row r="10" spans="2:11" ht="20.149999999999999" customHeight="1" thickBot="1" x14ac:dyDescent="0.4">
      <c r="B10" s="82" t="s">
        <v>82</v>
      </c>
      <c r="C10" s="93"/>
      <c r="D10" s="106">
        <v>1960184.68</v>
      </c>
      <c r="E10" s="101">
        <v>2052406.27</v>
      </c>
      <c r="F10" s="101">
        <f>(F9+F8)*6%</f>
        <v>2158068.0180697343</v>
      </c>
      <c r="G10" s="102">
        <v>6147064.1925703362</v>
      </c>
      <c r="H10" s="111"/>
      <c r="I10" s="111"/>
      <c r="J10" s="36"/>
      <c r="K10" s="36"/>
    </row>
    <row r="11" spans="2:11" ht="20.149999999999999" customHeight="1" thickBot="1" x14ac:dyDescent="0.4">
      <c r="B11" s="83" t="s">
        <v>83</v>
      </c>
      <c r="C11" s="94">
        <f>G11/G12</f>
        <v>9.2863893340889209E-2</v>
      </c>
      <c r="D11" s="81">
        <f>SUM(D9:D10)+0.01</f>
        <v>3216713.34</v>
      </c>
      <c r="E11" s="81">
        <f t="shared" ref="E11" si="0">SUM(E9:E10)</f>
        <v>3368065.0700000003</v>
      </c>
      <c r="F11" s="81">
        <f>SUM(F9:F10)</f>
        <v>3538774.4492319734</v>
      </c>
      <c r="G11" s="81">
        <f>SUM(D11:F11)</f>
        <v>10123552.859231973</v>
      </c>
      <c r="H11" s="111"/>
      <c r="I11" s="111"/>
      <c r="J11" s="36"/>
    </row>
    <row r="12" spans="2:11" ht="27" customHeight="1" thickBot="1" x14ac:dyDescent="0.4">
      <c r="B12" s="88" t="s">
        <v>84</v>
      </c>
      <c r="C12" s="95"/>
      <c r="D12" s="84">
        <f>D8+D11</f>
        <v>34629929.370000005</v>
      </c>
      <c r="E12" s="84">
        <f t="shared" ref="E12" si="1">E8+E11</f>
        <v>36259154.140000001</v>
      </c>
      <c r="F12" s="84">
        <f>F8+F11</f>
        <v>38125868.31923198</v>
      </c>
      <c r="G12" s="84">
        <f>SUM(D12:F12)</f>
        <v>109014951.82923198</v>
      </c>
      <c r="H12" s="111"/>
      <c r="I12" s="111"/>
      <c r="J12" s="36"/>
      <c r="K12" s="36"/>
    </row>
    <row r="13" spans="2:11" x14ac:dyDescent="0.35">
      <c r="E13" s="117"/>
      <c r="H13" s="111"/>
      <c r="I13" s="111"/>
      <c r="J13" s="36"/>
    </row>
    <row r="14" spans="2:11" x14ac:dyDescent="0.35">
      <c r="B14" s="133" t="s">
        <v>96</v>
      </c>
      <c r="D14" s="137">
        <f>+'Annex3bis (lot1 1er any)'!G15</f>
        <v>34629929.3587</v>
      </c>
      <c r="E14" s="138">
        <f>+'Annex4bis (lot 1 2on any)'!G13</f>
        <v>36259154.135700002</v>
      </c>
      <c r="F14" s="137">
        <f>+'Annex5bis (Lot1 3er any)'!G13</f>
        <v>38125868.317000002</v>
      </c>
      <c r="G14" s="126"/>
      <c r="H14" s="111"/>
      <c r="I14" s="111"/>
      <c r="J14" s="36"/>
    </row>
    <row r="15" spans="2:11" x14ac:dyDescent="0.35">
      <c r="B15" t="s">
        <v>97</v>
      </c>
      <c r="D15" s="136">
        <f>+D12-D14</f>
        <v>1.130000501871109E-2</v>
      </c>
      <c r="E15" s="136">
        <f t="shared" ref="E15:F15" si="2">+E12-E14</f>
        <v>4.2999982833862305E-3</v>
      </c>
      <c r="F15" s="136">
        <f t="shared" si="2"/>
        <v>2.2319778800010681E-3</v>
      </c>
      <c r="H15" s="111"/>
      <c r="I15" s="111"/>
      <c r="J15" s="36"/>
    </row>
    <row r="16" spans="2:11" x14ac:dyDescent="0.35">
      <c r="D16" s="76"/>
      <c r="H16" s="111"/>
      <c r="I16" s="111"/>
    </row>
    <row r="17" spans="2:11" ht="16" thickBot="1" x14ac:dyDescent="0.4">
      <c r="B17" s="69" t="s">
        <v>87</v>
      </c>
      <c r="C17" s="71"/>
      <c r="D17" s="71"/>
      <c r="E17" s="71"/>
      <c r="F17" s="71"/>
      <c r="G17" s="75"/>
      <c r="H17" s="111"/>
      <c r="I17" s="111"/>
    </row>
    <row r="18" spans="2:11" ht="17.5" thickBot="1" x14ac:dyDescent="0.4">
      <c r="B18" s="86"/>
      <c r="C18" s="73" t="s">
        <v>77</v>
      </c>
      <c r="D18" s="73" t="s">
        <v>90</v>
      </c>
      <c r="E18" s="73" t="s">
        <v>52</v>
      </c>
      <c r="F18" s="73" t="s">
        <v>54</v>
      </c>
      <c r="G18" s="73" t="s">
        <v>78</v>
      </c>
      <c r="I18" s="111"/>
    </row>
    <row r="19" spans="2:11" ht="20.149999999999999" customHeight="1" x14ac:dyDescent="0.35">
      <c r="B19" s="74" t="s">
        <v>79</v>
      </c>
      <c r="C19" s="89"/>
      <c r="D19" s="97">
        <v>28132725.289999999</v>
      </c>
      <c r="E19" s="98">
        <v>29371917.460000001</v>
      </c>
      <c r="F19" s="98">
        <v>30884142.9267</v>
      </c>
      <c r="G19" s="99">
        <f>SUM(D19:F19)</f>
        <v>88388785.676699996</v>
      </c>
      <c r="I19" s="111"/>
    </row>
    <row r="20" spans="2:11" ht="20.149999999999999" customHeight="1" thickBot="1" x14ac:dyDescent="0.4">
      <c r="B20" s="79" t="s">
        <v>85</v>
      </c>
      <c r="C20" s="90"/>
      <c r="D20" s="100">
        <v>1124714.83</v>
      </c>
      <c r="E20" s="101">
        <v>1179360.99</v>
      </c>
      <c r="F20" s="101">
        <v>1235556.9099999999</v>
      </c>
      <c r="G20" s="102">
        <v>3521975.7</v>
      </c>
      <c r="I20" s="111"/>
    </row>
    <row r="21" spans="2:11" ht="20.149999999999999" customHeight="1" thickBot="1" x14ac:dyDescent="0.4">
      <c r="B21" s="87" t="s">
        <v>80</v>
      </c>
      <c r="C21" s="108">
        <f>G21/G25</f>
        <v>0.90710737471592384</v>
      </c>
      <c r="D21" s="80">
        <f>SUM(D19:D20)</f>
        <v>29257440.119999997</v>
      </c>
      <c r="E21" s="80">
        <f>SUM(E19:E20)</f>
        <v>30551278.449999999</v>
      </c>
      <c r="F21" s="80">
        <f>SUM(F19:F20)</f>
        <v>32119699.8367</v>
      </c>
      <c r="G21" s="80">
        <f>SUM(D21:F21)</f>
        <v>91928418.406699985</v>
      </c>
      <c r="I21" s="111"/>
      <c r="J21" s="36"/>
    </row>
    <row r="22" spans="2:11" ht="20.149999999999999" customHeight="1" x14ac:dyDescent="0.35">
      <c r="B22" s="74" t="s">
        <v>81</v>
      </c>
      <c r="C22" s="92"/>
      <c r="D22" s="103">
        <v>1170297.6000000001</v>
      </c>
      <c r="E22" s="104">
        <v>1222051.1599999999</v>
      </c>
      <c r="F22" s="104">
        <v>1284979.19</v>
      </c>
      <c r="G22" s="105">
        <v>3660966.72</v>
      </c>
      <c r="I22" s="111"/>
      <c r="J22" s="36"/>
    </row>
    <row r="23" spans="2:11" ht="20.149999999999999" customHeight="1" thickBot="1" x14ac:dyDescent="0.4">
      <c r="B23" s="82" t="s">
        <v>82</v>
      </c>
      <c r="C23" s="93"/>
      <c r="D23" s="106">
        <v>1825664.26</v>
      </c>
      <c r="E23" s="101">
        <v>1906399.78</v>
      </c>
      <c r="F23" s="101">
        <v>2004567.54</v>
      </c>
      <c r="G23" s="102">
        <v>5714202.8300000001</v>
      </c>
      <c r="I23" s="111"/>
      <c r="K23" s="40"/>
    </row>
    <row r="24" spans="2:11" ht="20.149999999999999" customHeight="1" thickBot="1" x14ac:dyDescent="0.4">
      <c r="B24" s="83" t="s">
        <v>83</v>
      </c>
      <c r="C24" s="94">
        <f>G24/G25</f>
        <v>9.2892625284075894E-2</v>
      </c>
      <c r="D24" s="81">
        <f>SUM(D22:D23)</f>
        <v>2995961.8600000003</v>
      </c>
      <c r="E24" s="81">
        <f t="shared" ref="E24" si="3">SUM(E22:E23)</f>
        <v>3128450.94</v>
      </c>
      <c r="F24" s="81">
        <f>SUM(F22:F23)+0.01</f>
        <v>3289546.7399999998</v>
      </c>
      <c r="G24" s="81">
        <f>SUM(D24:F24)</f>
        <v>9413959.540000001</v>
      </c>
      <c r="I24" s="111"/>
      <c r="J24" s="40"/>
    </row>
    <row r="25" spans="2:11" ht="20.149999999999999" customHeight="1" thickBot="1" x14ac:dyDescent="0.4">
      <c r="B25" s="88" t="s">
        <v>84</v>
      </c>
      <c r="C25" s="95"/>
      <c r="D25" s="84">
        <f>D21+D24</f>
        <v>32253401.979999997</v>
      </c>
      <c r="E25" s="84">
        <f t="shared" ref="E25" si="4">E21+E24</f>
        <v>33679729.390000001</v>
      </c>
      <c r="F25" s="84">
        <f>F21+F24</f>
        <v>35409246.576700002</v>
      </c>
      <c r="G25" s="84">
        <f>SUM(D25:F25)</f>
        <v>101342377.94670001</v>
      </c>
      <c r="H25" s="36"/>
      <c r="I25" s="118"/>
      <c r="K25" s="36"/>
    </row>
    <row r="26" spans="2:11" x14ac:dyDescent="0.35">
      <c r="D26" s="111"/>
      <c r="E26" s="96"/>
      <c r="F26" s="118"/>
      <c r="H26" s="36"/>
      <c r="I26" s="118"/>
    </row>
    <row r="27" spans="2:11" x14ac:dyDescent="0.35">
      <c r="B27" s="132" t="s">
        <v>96</v>
      </c>
      <c r="D27" s="142">
        <f>+'Annex6bis (lot 2 1er any) '!G13</f>
        <v>32253401.984000005</v>
      </c>
      <c r="E27" s="143">
        <f>+'Annex7bis (lot2 2on any)'!G15</f>
        <v>33679729.387800001</v>
      </c>
      <c r="F27" s="142">
        <f>+'Annex8bis (lot2 3er any) '!G15</f>
        <v>35409246.576700002</v>
      </c>
      <c r="G27" s="126"/>
      <c r="H27" s="36"/>
      <c r="I27" s="118"/>
    </row>
    <row r="28" spans="2:11" x14ac:dyDescent="0.35">
      <c r="B28" s="139" t="s">
        <v>97</v>
      </c>
      <c r="D28" s="136">
        <f>+D25-D27</f>
        <v>-4.0000081062316895E-3</v>
      </c>
      <c r="E28" s="136">
        <f t="shared" ref="E28:F28" si="5">+E25-E27</f>
        <v>2.199999988079071E-3</v>
      </c>
      <c r="F28" s="136">
        <f t="shared" si="5"/>
        <v>0</v>
      </c>
      <c r="H28" s="36"/>
      <c r="I28" s="118"/>
      <c r="J28" s="36"/>
    </row>
    <row r="29" spans="2:11" x14ac:dyDescent="0.35">
      <c r="D29" s="40"/>
      <c r="E29" s="85"/>
      <c r="F29" s="40"/>
      <c r="H29" s="36"/>
      <c r="I29" s="118"/>
      <c r="J29" s="36"/>
    </row>
    <row r="30" spans="2:11" ht="16" thickBot="1" x14ac:dyDescent="0.4">
      <c r="B30" s="69" t="s">
        <v>88</v>
      </c>
      <c r="C30" s="71"/>
      <c r="D30" s="71"/>
      <c r="E30" s="71"/>
      <c r="F30" s="71"/>
      <c r="G30" s="75"/>
      <c r="H30" s="36"/>
      <c r="I30" s="111"/>
    </row>
    <row r="31" spans="2:11" ht="20.149999999999999" customHeight="1" thickBot="1" x14ac:dyDescent="0.4">
      <c r="B31" s="86"/>
      <c r="C31" s="73" t="s">
        <v>77</v>
      </c>
      <c r="D31" s="73" t="s">
        <v>90</v>
      </c>
      <c r="E31" s="73" t="s">
        <v>52</v>
      </c>
      <c r="F31" s="73" t="s">
        <v>54</v>
      </c>
      <c r="G31" s="73" t="s">
        <v>78</v>
      </c>
      <c r="H31" s="36"/>
      <c r="I31" s="111"/>
    </row>
    <row r="32" spans="2:11" ht="20.149999999999999" customHeight="1" thickBot="1" x14ac:dyDescent="0.4">
      <c r="B32" s="74" t="s">
        <v>79</v>
      </c>
      <c r="C32" s="89"/>
      <c r="D32" s="97">
        <v>29681659.370000001</v>
      </c>
      <c r="E32" s="98">
        <f>'[1]Estudi Cost (L3)'!$E$54-8198.21</f>
        <v>30798275.109999999</v>
      </c>
      <c r="F32" s="98">
        <f>'[1]Estudi Cost (L3)'!$G$54</f>
        <v>32295308.249999996</v>
      </c>
      <c r="G32" s="99">
        <f>SUM(D32:F32)</f>
        <v>92775242.730000004</v>
      </c>
      <c r="I32" s="111"/>
      <c r="J32" s="150"/>
    </row>
    <row r="33" spans="2:10" ht="20.149999999999999" customHeight="1" thickBot="1" x14ac:dyDescent="0.4">
      <c r="B33" s="79" t="s">
        <v>85</v>
      </c>
      <c r="C33" s="90"/>
      <c r="D33" s="76">
        <f>D32*4%</f>
        <v>1187266.3748000001</v>
      </c>
      <c r="E33" s="101">
        <f>'[1]Estudi Cost (L3)'!$E$55</f>
        <v>1232258.93</v>
      </c>
      <c r="F33" s="101">
        <f>'[1]Estudi Cost (L3)'!$G$55</f>
        <v>1291812.33</v>
      </c>
      <c r="G33" s="99">
        <f>SUM(D33:F33)</f>
        <v>3711337.6348000001</v>
      </c>
      <c r="I33" s="111"/>
    </row>
    <row r="34" spans="2:10" ht="20.149999999999999" customHeight="1" thickBot="1" x14ac:dyDescent="0.4">
      <c r="B34" s="87" t="s">
        <v>80</v>
      </c>
      <c r="C34" s="108">
        <f>G34/G38</f>
        <v>0.90711359858573648</v>
      </c>
      <c r="D34" s="80">
        <f>D32+D33</f>
        <v>30868925.744800001</v>
      </c>
      <c r="E34" s="80">
        <f t="shared" ref="E34" si="6">E32+E33</f>
        <v>32030534.039999999</v>
      </c>
      <c r="F34" s="80">
        <f>SUM(F32:F33)</f>
        <v>33587120.579999998</v>
      </c>
      <c r="G34" s="80">
        <f>SUM(D34:F34)</f>
        <v>96486580.364800006</v>
      </c>
      <c r="I34" s="111"/>
      <c r="J34" s="40"/>
    </row>
    <row r="35" spans="2:10" ht="20.149999999999999" customHeight="1" x14ac:dyDescent="0.35">
      <c r="B35" s="74" t="s">
        <v>81</v>
      </c>
      <c r="C35" s="92"/>
      <c r="D35" s="103">
        <f>D34*4%</f>
        <v>1234757.0297920001</v>
      </c>
      <c r="E35" s="104">
        <f>'[1]Estudi Cost (L3)'!$E$57</f>
        <v>1281549.29</v>
      </c>
      <c r="F35" s="104">
        <f>(F34*3.996857369%)</f>
        <v>1342429.3039366456</v>
      </c>
      <c r="G35" s="105">
        <f>SUM(D35:F35)</f>
        <v>3858735.623728646</v>
      </c>
      <c r="I35" s="111"/>
    </row>
    <row r="36" spans="2:10" ht="20.149999999999999" customHeight="1" thickBot="1" x14ac:dyDescent="0.4">
      <c r="B36" s="82" t="s">
        <v>82</v>
      </c>
      <c r="C36" s="93"/>
      <c r="D36" s="106">
        <f>(D34+D35)*6%</f>
        <v>1926220.9664755201</v>
      </c>
      <c r="E36" s="101">
        <f>'[1]Estudi Cost (L3)'!$E$59</f>
        <v>1999216.89</v>
      </c>
      <c r="F36" s="101">
        <f>'[1]Estudi Cost (L3)'!$G$59</f>
        <v>2095836.32</v>
      </c>
      <c r="G36" s="102">
        <f>SUM(D36:F36)</f>
        <v>6021274.1764755202</v>
      </c>
      <c r="I36" s="111"/>
    </row>
    <row r="37" spans="2:10" ht="20.149999999999999" customHeight="1" thickBot="1" x14ac:dyDescent="0.4">
      <c r="B37" s="83" t="s">
        <v>83</v>
      </c>
      <c r="C37" s="94">
        <f>G37/G38</f>
        <v>9.2886401508277983E-2</v>
      </c>
      <c r="D37" s="81">
        <f>SUM(D35:D36)</f>
        <v>3160977.9962675199</v>
      </c>
      <c r="E37" s="81">
        <f>SUM(E35:E36)</f>
        <v>3280766.1799999997</v>
      </c>
      <c r="F37" s="81">
        <f>SUM(F35:F36)</f>
        <v>3438265.6239366457</v>
      </c>
      <c r="G37" s="81">
        <f>G35+G36</f>
        <v>9880009.8002041653</v>
      </c>
      <c r="I37" s="111"/>
    </row>
    <row r="38" spans="2:10" ht="20.149999999999999" customHeight="1" thickBot="1" x14ac:dyDescent="0.4">
      <c r="B38" s="88" t="s">
        <v>84</v>
      </c>
      <c r="C38" s="95"/>
      <c r="D38" s="84">
        <f>D34+D37</f>
        <v>34029903.741067521</v>
      </c>
      <c r="E38" s="84">
        <f>E34+E37</f>
        <v>35311300.219999999</v>
      </c>
      <c r="F38" s="84">
        <f>F34+F37-0.01</f>
        <v>37025386.193936646</v>
      </c>
      <c r="G38" s="84">
        <v>106366590.15500417</v>
      </c>
      <c r="I38" s="111"/>
    </row>
    <row r="39" spans="2:10" x14ac:dyDescent="0.35">
      <c r="I39" s="111"/>
    </row>
    <row r="40" spans="2:10" x14ac:dyDescent="0.35">
      <c r="B40" s="134" t="s">
        <v>96</v>
      </c>
      <c r="D40" s="140">
        <f>+'Annex9bis (lot 3 1er any) '!G15</f>
        <v>34029903.742599994</v>
      </c>
      <c r="E40" s="141">
        <f>+'Annex10bis (lot 3 2er any)'!G15</f>
        <v>35311300.2236</v>
      </c>
      <c r="F40" s="140">
        <f>+'Annex11bis (lot 3 3er any) '!G15</f>
        <v>37025386.197899997</v>
      </c>
      <c r="G40" s="126"/>
      <c r="I40" s="111"/>
    </row>
    <row r="41" spans="2:10" x14ac:dyDescent="0.35">
      <c r="B41" s="139" t="s">
        <v>97</v>
      </c>
      <c r="D41" s="136">
        <f>+D38-D40</f>
        <v>-1.5324726700782776E-3</v>
      </c>
      <c r="E41" s="136">
        <f t="shared" ref="E41" si="7">+E38-E40</f>
        <v>-3.600001335144043E-3</v>
      </c>
      <c r="F41" s="136">
        <f t="shared" ref="F41" si="8">+F38-F40</f>
        <v>-3.9633512496948242E-3</v>
      </c>
      <c r="I41" s="111"/>
    </row>
    <row r="44" spans="2:10" ht="16" thickBot="1" x14ac:dyDescent="0.4">
      <c r="B44" s="69" t="s">
        <v>89</v>
      </c>
      <c r="C44" s="77"/>
      <c r="D44" s="77"/>
      <c r="E44" s="77"/>
      <c r="F44" s="77"/>
      <c r="G44" s="78"/>
      <c r="I44" s="111"/>
    </row>
    <row r="45" spans="2:10" ht="20.149999999999999" customHeight="1" thickBot="1" x14ac:dyDescent="0.4">
      <c r="B45" s="86"/>
      <c r="C45" s="73" t="s">
        <v>77</v>
      </c>
      <c r="D45" s="73" t="s">
        <v>90</v>
      </c>
      <c r="E45" s="73" t="s">
        <v>52</v>
      </c>
      <c r="F45" s="73" t="s">
        <v>54</v>
      </c>
      <c r="G45" s="73" t="s">
        <v>78</v>
      </c>
      <c r="I45" s="111"/>
    </row>
    <row r="46" spans="2:10" ht="20.149999999999999" customHeight="1" x14ac:dyDescent="0.35">
      <c r="B46" s="74" t="s">
        <v>79</v>
      </c>
      <c r="C46" s="89"/>
      <c r="D46" s="97">
        <f>'[1]Estudi Cost (L4)'!$C$54+5748.6</f>
        <v>33057168.079999998</v>
      </c>
      <c r="E46" s="98">
        <f>'[1]Estudi Cost (L4)'!$E$54</f>
        <v>34424920.540000007</v>
      </c>
      <c r="F46" s="98">
        <v>36084985.619999997</v>
      </c>
      <c r="G46" s="99">
        <f>D46+E46+F46</f>
        <v>103567074.24000001</v>
      </c>
      <c r="I46" s="111"/>
    </row>
    <row r="47" spans="2:10" ht="20.149999999999999" customHeight="1" thickBot="1" x14ac:dyDescent="0.4">
      <c r="B47" s="79" t="s">
        <v>85</v>
      </c>
      <c r="C47" s="90"/>
      <c r="D47" s="100">
        <f>'[1]Estudi Cost (L4)'!$C$55</f>
        <v>1322056.78</v>
      </c>
      <c r="E47" s="101">
        <v>1376996.82</v>
      </c>
      <c r="F47" s="101">
        <f>F46*4%</f>
        <v>1443399.4247999999</v>
      </c>
      <c r="G47" s="102">
        <v>4126903.4000000004</v>
      </c>
      <c r="I47" s="111"/>
    </row>
    <row r="48" spans="2:10" ht="20.149999999999999" customHeight="1" thickBot="1" x14ac:dyDescent="0.4">
      <c r="B48" s="87" t="s">
        <v>80</v>
      </c>
      <c r="C48" s="108">
        <f>G48/G52</f>
        <v>0.90714846728478749</v>
      </c>
      <c r="D48" s="80">
        <f>SUM(D46:D47)</f>
        <v>34379224.859999999</v>
      </c>
      <c r="E48" s="81">
        <f>SUM(E46:E47)</f>
        <v>35801917.360000007</v>
      </c>
      <c r="F48" s="81">
        <f>SUM(F46:F47)</f>
        <v>37528385.044799998</v>
      </c>
      <c r="G48" s="80">
        <f t="shared" ref="G48:G52" si="9">D48+E48+F48</f>
        <v>107709527.2648</v>
      </c>
      <c r="I48" s="111"/>
      <c r="J48" s="36"/>
    </row>
    <row r="49" spans="2:10" ht="20.149999999999999" customHeight="1" x14ac:dyDescent="0.35">
      <c r="B49" s="74" t="s">
        <v>81</v>
      </c>
      <c r="C49" s="92"/>
      <c r="D49" s="103">
        <f>'[1]Estudi Cost (L4)'!$C$57</f>
        <v>1374939.05</v>
      </c>
      <c r="E49" s="104">
        <v>1427488.61</v>
      </c>
      <c r="F49" s="104">
        <f>'[1]Estudi Cost (L4)'!$G$57</f>
        <v>1501388.06</v>
      </c>
      <c r="G49" s="105">
        <f t="shared" si="9"/>
        <v>4303815.7200000007</v>
      </c>
      <c r="I49" s="111"/>
      <c r="J49" s="40"/>
    </row>
    <row r="50" spans="2:10" ht="20.149999999999999" customHeight="1" thickBot="1" x14ac:dyDescent="0.4">
      <c r="B50" s="82" t="s">
        <v>82</v>
      </c>
      <c r="C50" s="93"/>
      <c r="D50" s="106">
        <f>'[1]Estudi Cost (L4)'!$C$59</f>
        <v>2144904.92</v>
      </c>
      <c r="E50" s="101">
        <v>2233764.36</v>
      </c>
      <c r="F50" s="101">
        <f>'[1]Estudi Cost (L4)'!$G$59</f>
        <v>2342165.38</v>
      </c>
      <c r="G50" s="102">
        <v>6695212.7999999998</v>
      </c>
      <c r="I50" s="111"/>
    </row>
    <row r="51" spans="2:10" ht="20.149999999999999" customHeight="1" thickBot="1" x14ac:dyDescent="0.4">
      <c r="B51" s="83" t="s">
        <v>83</v>
      </c>
      <c r="C51" s="94">
        <f>G51/G52</f>
        <v>9.2851532715212501E-2</v>
      </c>
      <c r="D51" s="81">
        <f>SUM(D49:D50)</f>
        <v>3519843.9699999997</v>
      </c>
      <c r="E51" s="81">
        <f>SUM(E49:E50)</f>
        <v>3661252.9699999997</v>
      </c>
      <c r="F51" s="81">
        <f>SUM(F49:F50)</f>
        <v>3843553.44</v>
      </c>
      <c r="G51" s="81">
        <f t="shared" si="9"/>
        <v>11024650.379999999</v>
      </c>
      <c r="I51" s="111"/>
    </row>
    <row r="52" spans="2:10" ht="20.149999999999999" customHeight="1" thickBot="1" x14ac:dyDescent="0.4">
      <c r="B52" s="88" t="s">
        <v>84</v>
      </c>
      <c r="C52" s="95"/>
      <c r="D52" s="84">
        <f>D46+D47+D49+D50</f>
        <v>37899068.829999998</v>
      </c>
      <c r="E52" s="84">
        <f>E48+E51</f>
        <v>39463170.330000006</v>
      </c>
      <c r="F52" s="84">
        <f t="shared" ref="F52" si="10">F48+F51</f>
        <v>41371938.484799996</v>
      </c>
      <c r="G52" s="84">
        <f t="shared" si="9"/>
        <v>118734177.64479999</v>
      </c>
      <c r="I52" s="111"/>
    </row>
    <row r="53" spans="2:10" x14ac:dyDescent="0.35">
      <c r="D53" s="119"/>
      <c r="E53" s="119"/>
      <c r="F53" s="119"/>
    </row>
    <row r="54" spans="2:10" x14ac:dyDescent="0.35">
      <c r="B54" s="135" t="s">
        <v>96</v>
      </c>
      <c r="D54" s="130">
        <f>+'Annex12bis (lot 4 1er any) '!G15</f>
        <v>37899068.829999998</v>
      </c>
      <c r="E54" s="131">
        <f>+'Annex13bis (lot 4 2on any) '!G15</f>
        <v>39463170.332000002</v>
      </c>
      <c r="F54" s="130">
        <f>+'Annex14bis (lot 4 3er any) '!G15</f>
        <v>41371938.482000001</v>
      </c>
      <c r="G54" s="126"/>
    </row>
    <row r="55" spans="2:10" x14ac:dyDescent="0.35">
      <c r="B55" t="s">
        <v>97</v>
      </c>
      <c r="D55" s="136">
        <f t="shared" ref="D55:F55" si="11">+D52-D54</f>
        <v>0</v>
      </c>
      <c r="E55" s="136">
        <f t="shared" si="11"/>
        <v>-1.9999966025352478E-3</v>
      </c>
      <c r="F55" s="136">
        <f t="shared" si="11"/>
        <v>2.7999952435493469E-3</v>
      </c>
    </row>
    <row r="56" spans="2:10" ht="15" thickBot="1" x14ac:dyDescent="0.4"/>
    <row r="57" spans="2:10" ht="16" thickBot="1" x14ac:dyDescent="0.4">
      <c r="B57" s="251" t="s">
        <v>91</v>
      </c>
      <c r="C57" s="252"/>
      <c r="D57" s="252"/>
      <c r="E57" s="252"/>
      <c r="F57" s="252"/>
      <c r="G57" s="253"/>
    </row>
    <row r="58" spans="2:10" ht="20.149999999999999" customHeight="1" thickBot="1" x14ac:dyDescent="0.4">
      <c r="B58" s="86"/>
      <c r="C58" s="73" t="s">
        <v>77</v>
      </c>
      <c r="D58" s="73" t="s">
        <v>90</v>
      </c>
      <c r="E58" s="73" t="s">
        <v>52</v>
      </c>
      <c r="F58" s="73" t="s">
        <v>54</v>
      </c>
      <c r="G58" s="73" t="s">
        <v>78</v>
      </c>
    </row>
    <row r="59" spans="2:10" ht="20.149999999999999" customHeight="1" x14ac:dyDescent="0.35">
      <c r="B59" s="74" t="s">
        <v>79</v>
      </c>
      <c r="C59" s="89"/>
      <c r="D59" s="97">
        <f>D6+D19+D32+D46</f>
        <v>121076939.22</v>
      </c>
      <c r="E59" s="98">
        <f t="shared" ref="E59:G59" si="12">E6+E19+E32+E46</f>
        <v>126219913.55000001</v>
      </c>
      <c r="F59" s="98">
        <f t="shared" si="12"/>
        <v>132521257.8267</v>
      </c>
      <c r="G59" s="99">
        <f t="shared" si="12"/>
        <v>379818110.59670001</v>
      </c>
    </row>
    <row r="60" spans="2:10" ht="20.149999999999999" customHeight="1" thickBot="1" x14ac:dyDescent="0.4">
      <c r="B60" s="79" t="s">
        <v>85</v>
      </c>
      <c r="C60" s="90"/>
      <c r="D60" s="100">
        <f>D7+D20+D33+D47</f>
        <v>4841867.5348000005</v>
      </c>
      <c r="E60" s="101">
        <f t="shared" ref="E60:G60" si="13">E7+E20+E33+E47</f>
        <v>5054905.37</v>
      </c>
      <c r="F60" s="101">
        <f t="shared" si="13"/>
        <v>5301041.5048000002</v>
      </c>
      <c r="G60" s="102">
        <f t="shared" si="13"/>
        <v>15164607.754800001</v>
      </c>
    </row>
    <row r="61" spans="2:10" ht="20.149999999999999" customHeight="1" thickBot="1" x14ac:dyDescent="0.4">
      <c r="B61" s="87" t="s">
        <v>80</v>
      </c>
      <c r="C61" s="108">
        <f>G61/G65</f>
        <v>0.90705103558643541</v>
      </c>
      <c r="D61" s="80">
        <f>SUM(D59:D60)</f>
        <v>125918806.75479999</v>
      </c>
      <c r="E61" s="81">
        <f t="shared" ref="E61" si="14">E8+E21+E34+E48</f>
        <v>131274818.92000002</v>
      </c>
      <c r="F61" s="81">
        <f>SUM(F59:F60)</f>
        <v>137822299.33149999</v>
      </c>
      <c r="G61" s="80">
        <f>SUM(G59:G60)</f>
        <v>394982718.35150003</v>
      </c>
    </row>
    <row r="62" spans="2:10" ht="20.149999999999999" customHeight="1" x14ac:dyDescent="0.35">
      <c r="B62" s="74" t="s">
        <v>81</v>
      </c>
      <c r="C62" s="92"/>
      <c r="D62" s="103">
        <f>D9+D22+D35+D49</f>
        <v>5036522.3297920004</v>
      </c>
      <c r="E62" s="104">
        <f t="shared" ref="E62:G62" si="15">E9+E22+E35+E49</f>
        <v>5246747.8600000003</v>
      </c>
      <c r="F62" s="104">
        <f t="shared" si="15"/>
        <v>5509502.9850988854</v>
      </c>
      <c r="G62" s="105">
        <f t="shared" si="15"/>
        <v>15763948.859900918</v>
      </c>
    </row>
    <row r="63" spans="2:10" ht="20.149999999999999" customHeight="1" thickBot="1" x14ac:dyDescent="0.4">
      <c r="B63" s="82" t="s">
        <v>82</v>
      </c>
      <c r="C63" s="93"/>
      <c r="D63" s="106">
        <f>D10+D23+D36+D50</f>
        <v>7856974.8264755197</v>
      </c>
      <c r="E63" s="101">
        <f t="shared" ref="E63:G63" si="16">E10+E23+E36+E50</f>
        <v>8191787.2999999989</v>
      </c>
      <c r="F63" s="101">
        <f t="shared" si="16"/>
        <v>8600637.258069735</v>
      </c>
      <c r="G63" s="102">
        <f t="shared" si="16"/>
        <v>24577753.999045856</v>
      </c>
    </row>
    <row r="64" spans="2:10" ht="20.149999999999999" customHeight="1" thickBot="1" x14ac:dyDescent="0.4">
      <c r="B64" s="83" t="s">
        <v>83</v>
      </c>
      <c r="C64" s="94">
        <f>G64/G65</f>
        <v>9.2641985725978704E-2</v>
      </c>
      <c r="D64" s="81">
        <f t="shared" ref="D64:D65" si="17">D11+D24+D37+D51</f>
        <v>12893497.166267518</v>
      </c>
      <c r="E64" s="81">
        <f t="shared" ref="E64" si="18">SUM(E62:E63)</f>
        <v>13438535.16</v>
      </c>
      <c r="F64" s="81">
        <f>SUM(F62:F63)</f>
        <v>14110140.24316862</v>
      </c>
      <c r="G64" s="81">
        <f>SUM(G62:G63)</f>
        <v>40341702.85894677</v>
      </c>
    </row>
    <row r="65" spans="2:8" ht="20.149999999999999" customHeight="1" thickBot="1" x14ac:dyDescent="0.4">
      <c r="B65" s="88" t="s">
        <v>84</v>
      </c>
      <c r="C65" s="95"/>
      <c r="D65" s="84">
        <f t="shared" si="17"/>
        <v>138812303.92106754</v>
      </c>
      <c r="E65" s="84">
        <f t="shared" ref="E65:F65" si="19">E12+E25+E38+E52</f>
        <v>144713354.08000001</v>
      </c>
      <c r="F65" s="84">
        <f t="shared" si="19"/>
        <v>151932439.57466865</v>
      </c>
      <c r="G65" s="84">
        <f>SUM(D65:F65)-0.01</f>
        <v>435458097.56573617</v>
      </c>
    </row>
    <row r="66" spans="2:8" x14ac:dyDescent="0.35">
      <c r="D66" s="36"/>
      <c r="E66" s="36"/>
      <c r="F66" s="36"/>
      <c r="G66" s="36"/>
      <c r="H66" s="146" t="s">
        <v>100</v>
      </c>
    </row>
    <row r="67" spans="2:8" x14ac:dyDescent="0.35">
      <c r="D67" s="36"/>
      <c r="E67" s="36"/>
      <c r="F67" s="144" t="s">
        <v>98</v>
      </c>
      <c r="G67" s="36">
        <f>+VEC!C11</f>
        <v>435458097.57480001</v>
      </c>
      <c r="H67" s="36">
        <f>+G65-G67+0.01</f>
        <v>9.3616008758544943E-4</v>
      </c>
    </row>
    <row r="68" spans="2:8" x14ac:dyDescent="0.35">
      <c r="D68" s="36"/>
      <c r="E68" s="36"/>
      <c r="F68" s="145" t="s">
        <v>99</v>
      </c>
      <c r="G68" s="36">
        <f>+PBL!H56</f>
        <v>435458097.57480001</v>
      </c>
      <c r="H68" s="36">
        <f>+G65-G68+0.01</f>
        <v>9.3616008758544943E-4</v>
      </c>
    </row>
    <row r="69" spans="2:8" x14ac:dyDescent="0.35">
      <c r="D69" s="36"/>
      <c r="E69" s="36"/>
      <c r="F69" s="36"/>
      <c r="G69" s="36"/>
    </row>
    <row r="70" spans="2:8" x14ac:dyDescent="0.35">
      <c r="D70" s="36"/>
      <c r="E70" s="36"/>
      <c r="F70" s="36"/>
      <c r="G70" s="36"/>
    </row>
    <row r="71" spans="2:8" x14ac:dyDescent="0.35">
      <c r="D71" s="36"/>
      <c r="E71" s="36"/>
      <c r="F71" s="36"/>
      <c r="G71" s="36"/>
    </row>
    <row r="72" spans="2:8" x14ac:dyDescent="0.35">
      <c r="D72" s="36"/>
      <c r="E72" s="36"/>
      <c r="F72" s="36"/>
      <c r="G72" s="36"/>
    </row>
  </sheetData>
  <mergeCells count="1">
    <mergeCell ref="B57:G57"/>
  </mergeCells>
  <pageMargins left="0.7" right="0.7" top="0.75" bottom="0.75" header="0.3" footer="0.3"/>
  <pageSetup paperSize="8" orientation="portrait" r:id="rId1"/>
  <ignoredErrors>
    <ignoredError sqref="G8 G37 E64 F61:G6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C1:N137"/>
  <sheetViews>
    <sheetView topLeftCell="A118" zoomScaleNormal="100" workbookViewId="0">
      <selection activeCell="I144" sqref="I143:I144"/>
    </sheetView>
  </sheetViews>
  <sheetFormatPr defaultColWidth="9.1796875" defaultRowHeight="14.5" x14ac:dyDescent="0.35"/>
  <cols>
    <col min="3" max="3" width="28.7265625" bestFit="1" customWidth="1"/>
    <col min="4" max="4" width="15.54296875" bestFit="1" customWidth="1"/>
    <col min="5" max="5" width="15.81640625" bestFit="1" customWidth="1"/>
    <col min="6" max="9" width="15.26953125" bestFit="1" customWidth="1"/>
    <col min="10" max="10" width="16.81640625" bestFit="1" customWidth="1"/>
    <col min="11" max="11" width="14.7265625" bestFit="1" customWidth="1"/>
    <col min="12" max="12" width="15.7265625" bestFit="1" customWidth="1"/>
  </cols>
  <sheetData>
    <row r="1" spans="3:12" x14ac:dyDescent="0.35">
      <c r="C1" t="s">
        <v>46</v>
      </c>
    </row>
    <row r="2" spans="3:12" ht="15" thickBot="1" x14ac:dyDescent="0.4"/>
    <row r="3" spans="3:12" ht="15" thickBot="1" x14ac:dyDescent="0.4">
      <c r="C3" s="254" t="s">
        <v>29</v>
      </c>
      <c r="D3" s="255"/>
      <c r="E3" s="255"/>
      <c r="F3" s="255"/>
      <c r="G3" s="255"/>
      <c r="H3" s="255"/>
      <c r="I3" s="255"/>
      <c r="J3" s="256"/>
    </row>
    <row r="4" spans="3:12" ht="15" thickBot="1" x14ac:dyDescent="0.4">
      <c r="C4" s="3" t="s">
        <v>30</v>
      </c>
      <c r="D4" s="3">
        <v>3</v>
      </c>
      <c r="E4" s="3">
        <v>9</v>
      </c>
      <c r="F4" s="3">
        <v>3</v>
      </c>
      <c r="G4" s="3">
        <v>9</v>
      </c>
      <c r="H4" s="3">
        <v>3</v>
      </c>
      <c r="I4" s="4">
        <v>9</v>
      </c>
      <c r="J4" s="4" t="s">
        <v>24</v>
      </c>
    </row>
    <row r="5" spans="3:12" ht="15" thickBot="1" x14ac:dyDescent="0.4">
      <c r="C5" s="5"/>
      <c r="D5" s="6">
        <v>2026</v>
      </c>
      <c r="E5" s="6">
        <v>2027</v>
      </c>
      <c r="F5" s="6">
        <v>2027</v>
      </c>
      <c r="G5" s="7">
        <v>2028</v>
      </c>
      <c r="H5" s="7">
        <v>2028</v>
      </c>
      <c r="I5" s="8">
        <v>2029</v>
      </c>
      <c r="J5" s="9"/>
    </row>
    <row r="6" spans="3:12" ht="15" thickBot="1" x14ac:dyDescent="0.4">
      <c r="C6" s="10"/>
      <c r="D6" s="11"/>
      <c r="E6" s="11"/>
      <c r="F6" s="11"/>
      <c r="G6" s="11"/>
      <c r="H6" s="11"/>
      <c r="I6" s="12"/>
      <c r="J6" s="12"/>
    </row>
    <row r="7" spans="3:12" ht="15" thickBot="1" x14ac:dyDescent="0.4">
      <c r="C7" s="13" t="s">
        <v>25</v>
      </c>
      <c r="D7" s="14"/>
      <c r="E7" s="14"/>
      <c r="F7" s="14"/>
      <c r="G7" s="14"/>
      <c r="H7" s="14"/>
      <c r="I7" s="15"/>
      <c r="J7" s="154"/>
    </row>
    <row r="8" spans="3:12" ht="15" thickBot="1" x14ac:dyDescent="0.4">
      <c r="C8" s="16" t="s">
        <v>37</v>
      </c>
      <c r="D8" s="161">
        <v>7591553.4635749999</v>
      </c>
      <c r="E8" s="161">
        <v>22774660.390725002</v>
      </c>
      <c r="F8" s="161">
        <v>7952472.5020500012</v>
      </c>
      <c r="G8" s="161">
        <v>23857417.506150004</v>
      </c>
      <c r="H8" s="161">
        <v>8361144.6037499998</v>
      </c>
      <c r="I8" s="161">
        <v>25083433.811250001</v>
      </c>
      <c r="J8" s="156">
        <f>SUM(D8:I8)</f>
        <v>95620682.277500018</v>
      </c>
    </row>
    <row r="9" spans="3:12" ht="15" thickBot="1" x14ac:dyDescent="0.4">
      <c r="C9" s="18" t="s">
        <v>26</v>
      </c>
      <c r="D9" s="161">
        <f t="shared" ref="D9:I9" si="0">SUM(D8)</f>
        <v>7591553.4635749999</v>
      </c>
      <c r="E9" s="161">
        <f t="shared" si="0"/>
        <v>22774660.390725002</v>
      </c>
      <c r="F9" s="161">
        <f t="shared" si="0"/>
        <v>7952472.5020500012</v>
      </c>
      <c r="G9" s="161">
        <f t="shared" si="0"/>
        <v>23857417.506150004</v>
      </c>
      <c r="H9" s="161">
        <f t="shared" si="0"/>
        <v>8361144.6037499998</v>
      </c>
      <c r="I9" s="161">
        <f t="shared" si="0"/>
        <v>25083433.811250001</v>
      </c>
      <c r="J9" s="156">
        <f>SUM(D9:I9)</f>
        <v>95620682.277500018</v>
      </c>
    </row>
    <row r="10" spans="3:12" ht="15" thickBot="1" x14ac:dyDescent="0.4">
      <c r="C10" s="20"/>
      <c r="D10" s="162"/>
      <c r="E10" s="162"/>
      <c r="F10" s="162"/>
      <c r="G10" s="162"/>
      <c r="H10" s="162"/>
      <c r="I10" s="162"/>
      <c r="J10" s="157"/>
    </row>
    <row r="11" spans="3:12" ht="15" thickBot="1" x14ac:dyDescent="0.4">
      <c r="C11" s="13" t="s">
        <v>25</v>
      </c>
      <c r="D11" s="163"/>
      <c r="E11" s="163"/>
      <c r="F11" s="163"/>
      <c r="G11" s="163"/>
      <c r="H11" s="163"/>
      <c r="I11" s="163"/>
      <c r="J11" s="157"/>
      <c r="K11" s="40"/>
      <c r="L11" s="40"/>
    </row>
    <row r="12" spans="3:12" ht="15" thickBot="1" x14ac:dyDescent="0.4">
      <c r="C12" s="16" t="s">
        <v>38</v>
      </c>
      <c r="D12" s="21">
        <v>1057195.3761</v>
      </c>
      <c r="E12" s="21">
        <v>3171586.1283</v>
      </c>
      <c r="F12" s="21">
        <v>1103563.5318750001</v>
      </c>
      <c r="G12" s="21">
        <v>3310690.5956250005</v>
      </c>
      <c r="H12" s="21">
        <v>1161579.4754999999</v>
      </c>
      <c r="I12" s="21">
        <v>3484738.4264999996</v>
      </c>
      <c r="J12" s="157">
        <f>SUM(D12:I12)</f>
        <v>13289353.533900002</v>
      </c>
    </row>
    <row r="13" spans="3:12" ht="15" thickBot="1" x14ac:dyDescent="0.4">
      <c r="C13" s="23" t="s">
        <v>26</v>
      </c>
      <c r="D13" s="24">
        <f t="shared" ref="D13:J13" si="1">SUM(D12)</f>
        <v>1057195.3761</v>
      </c>
      <c r="E13" s="24">
        <f t="shared" si="1"/>
        <v>3171586.1283</v>
      </c>
      <c r="F13" s="24">
        <f t="shared" si="1"/>
        <v>1103563.5318750001</v>
      </c>
      <c r="G13" s="24">
        <f t="shared" si="1"/>
        <v>3310690.5956250005</v>
      </c>
      <c r="H13" s="24">
        <f t="shared" si="1"/>
        <v>1161579.4754999999</v>
      </c>
      <c r="I13" s="24">
        <f t="shared" si="1"/>
        <v>3484738.4264999996</v>
      </c>
      <c r="J13" s="24">
        <f t="shared" si="1"/>
        <v>13289353.533900002</v>
      </c>
    </row>
    <row r="14" spans="3:12" ht="15" thickBot="1" x14ac:dyDescent="0.4">
      <c r="C14" s="20"/>
      <c r="D14" s="36"/>
      <c r="E14" s="36"/>
      <c r="F14" s="36"/>
      <c r="G14" s="36"/>
      <c r="H14" s="36"/>
      <c r="I14" s="36"/>
      <c r="J14" s="157"/>
    </row>
    <row r="15" spans="3:12" ht="15" thickBot="1" x14ac:dyDescent="0.4">
      <c r="C15" s="13" t="s">
        <v>25</v>
      </c>
      <c r="D15" s="163"/>
      <c r="E15" s="163"/>
      <c r="F15" s="163"/>
      <c r="G15" s="163"/>
      <c r="H15" s="163"/>
      <c r="I15" s="163"/>
      <c r="J15" s="157"/>
    </row>
    <row r="16" spans="3:12" ht="15" thickBot="1" x14ac:dyDescent="0.4">
      <c r="C16" s="16" t="s">
        <v>39</v>
      </c>
      <c r="D16" s="21">
        <v>1247.5</v>
      </c>
      <c r="E16" s="21">
        <v>3742.5</v>
      </c>
      <c r="F16" s="22">
        <v>1250.5</v>
      </c>
      <c r="G16" s="22">
        <v>3751.5</v>
      </c>
      <c r="H16" s="22">
        <v>1249</v>
      </c>
      <c r="I16" s="22">
        <v>3747</v>
      </c>
      <c r="J16" s="157">
        <v>14990</v>
      </c>
    </row>
    <row r="17" spans="3:10" ht="15" thickBot="1" x14ac:dyDescent="0.4">
      <c r="C17" s="23" t="s">
        <v>26</v>
      </c>
      <c r="D17" s="24">
        <f t="shared" ref="D17:J17" si="2">SUM(D16)</f>
        <v>1247.5</v>
      </c>
      <c r="E17" s="24">
        <f t="shared" si="2"/>
        <v>3742.5</v>
      </c>
      <c r="F17" s="24">
        <f t="shared" si="2"/>
        <v>1250.5</v>
      </c>
      <c r="G17" s="24">
        <f t="shared" si="2"/>
        <v>3751.5</v>
      </c>
      <c r="H17" s="24">
        <f t="shared" si="2"/>
        <v>1249</v>
      </c>
      <c r="I17" s="24">
        <f t="shared" si="2"/>
        <v>3747</v>
      </c>
      <c r="J17" s="156">
        <f t="shared" si="2"/>
        <v>14990</v>
      </c>
    </row>
    <row r="18" spans="3:10" ht="15" thickBot="1" x14ac:dyDescent="0.4">
      <c r="C18" s="20"/>
      <c r="D18" s="36"/>
      <c r="E18" s="36"/>
      <c r="F18" s="36"/>
      <c r="G18" s="36"/>
      <c r="H18" s="36"/>
      <c r="I18" s="36"/>
      <c r="J18" s="157"/>
    </row>
    <row r="19" spans="3:10" ht="15" thickBot="1" x14ac:dyDescent="0.4">
      <c r="C19" s="13" t="s">
        <v>25</v>
      </c>
      <c r="D19" s="163"/>
      <c r="E19" s="163"/>
      <c r="F19" s="163"/>
      <c r="G19" s="163"/>
      <c r="H19" s="163"/>
      <c r="I19" s="163"/>
      <c r="J19" s="157"/>
    </row>
    <row r="20" spans="3:10" ht="15" thickBot="1" x14ac:dyDescent="0.4">
      <c r="C20" s="16" t="s">
        <v>18</v>
      </c>
      <c r="D20" s="21">
        <v>7486</v>
      </c>
      <c r="E20" s="21">
        <v>22458</v>
      </c>
      <c r="F20" s="22">
        <v>7502</v>
      </c>
      <c r="G20" s="22">
        <v>22506</v>
      </c>
      <c r="H20" s="22">
        <v>7494</v>
      </c>
      <c r="I20" s="22">
        <v>22482</v>
      </c>
      <c r="J20" s="158">
        <v>89944</v>
      </c>
    </row>
    <row r="21" spans="3:10" ht="15" thickBot="1" x14ac:dyDescent="0.4">
      <c r="C21" s="23" t="s">
        <v>26</v>
      </c>
      <c r="D21" s="24">
        <f t="shared" ref="D21:J21" si="3">SUM(D20)</f>
        <v>7486</v>
      </c>
      <c r="E21" s="24">
        <f t="shared" si="3"/>
        <v>22458</v>
      </c>
      <c r="F21" s="24">
        <f t="shared" si="3"/>
        <v>7502</v>
      </c>
      <c r="G21" s="24">
        <f t="shared" si="3"/>
        <v>22506</v>
      </c>
      <c r="H21" s="24">
        <f t="shared" si="3"/>
        <v>7494</v>
      </c>
      <c r="I21" s="24">
        <f t="shared" si="3"/>
        <v>22482</v>
      </c>
      <c r="J21" s="24">
        <f t="shared" si="3"/>
        <v>89944</v>
      </c>
    </row>
    <row r="22" spans="3:10" x14ac:dyDescent="0.35">
      <c r="C22" s="20"/>
      <c r="D22" s="36"/>
      <c r="E22" s="36"/>
      <c r="F22" s="36"/>
      <c r="G22" s="36"/>
      <c r="H22" s="36"/>
      <c r="I22" s="36"/>
    </row>
    <row r="23" spans="3:10" ht="15" thickBot="1" x14ac:dyDescent="0.4">
      <c r="C23" s="25"/>
      <c r="D23" s="164"/>
      <c r="E23" s="164"/>
      <c r="F23" s="165"/>
      <c r="G23" s="165"/>
      <c r="H23" s="165"/>
      <c r="I23" s="166"/>
      <c r="J23" s="26"/>
    </row>
    <row r="24" spans="3:10" ht="15" thickBot="1" x14ac:dyDescent="0.4">
      <c r="C24" s="27" t="s">
        <v>27</v>
      </c>
      <c r="D24" s="28">
        <v>8657482.3399999999</v>
      </c>
      <c r="E24" s="28">
        <v>25972447.02</v>
      </c>
      <c r="F24" s="28">
        <v>9064788.5399999991</v>
      </c>
      <c r="G24" s="28">
        <v>27194365.600000001</v>
      </c>
      <c r="H24" s="28">
        <v>9531467.0800000001</v>
      </c>
      <c r="I24" s="28">
        <v>28594401.239999998</v>
      </c>
      <c r="J24" s="28">
        <f>SUM(D24:I24)</f>
        <v>109014951.81999999</v>
      </c>
    </row>
    <row r="25" spans="3:10" ht="26.25" customHeight="1" thickBot="1" x14ac:dyDescent="0.4">
      <c r="C25" s="29" t="s">
        <v>21</v>
      </c>
      <c r="D25" s="37">
        <f t="shared" ref="D25:J25" si="4">D24*4%</f>
        <v>346299.29359999998</v>
      </c>
      <c r="E25" s="37">
        <f t="shared" si="4"/>
        <v>1038897.8808</v>
      </c>
      <c r="F25" s="37">
        <f t="shared" si="4"/>
        <v>362591.5416</v>
      </c>
      <c r="G25" s="37">
        <f t="shared" si="4"/>
        <v>1087774.6240000001</v>
      </c>
      <c r="H25" s="37">
        <f t="shared" si="4"/>
        <v>381258.68320000003</v>
      </c>
      <c r="I25" s="37">
        <f t="shared" si="4"/>
        <v>1143776.0496</v>
      </c>
      <c r="J25" s="155">
        <f t="shared" si="4"/>
        <v>4360598.0728000002</v>
      </c>
    </row>
    <row r="26" spans="3:10" ht="15" thickBot="1" x14ac:dyDescent="0.4">
      <c r="C26" s="30" t="s">
        <v>28</v>
      </c>
      <c r="D26" s="31">
        <f t="shared" ref="D26:I26" si="5">SUM(D24:D25)</f>
        <v>9003781.6336000003</v>
      </c>
      <c r="E26" s="31">
        <f t="shared" si="5"/>
        <v>27011344.900800001</v>
      </c>
      <c r="F26" s="31">
        <f t="shared" si="5"/>
        <v>9427380.0815999992</v>
      </c>
      <c r="G26" s="31">
        <f t="shared" si="5"/>
        <v>28282140.224000003</v>
      </c>
      <c r="H26" s="31">
        <f t="shared" si="5"/>
        <v>9912725.7631999999</v>
      </c>
      <c r="I26" s="31">
        <f t="shared" si="5"/>
        <v>29738177.2896</v>
      </c>
      <c r="J26" s="31">
        <f t="shared" ref="J26" si="6">SUM(J24:J25)</f>
        <v>113375549.89279999</v>
      </c>
    </row>
    <row r="29" spans="3:10" x14ac:dyDescent="0.35">
      <c r="C29" t="s">
        <v>47</v>
      </c>
      <c r="I29" s="36"/>
      <c r="J29" s="36"/>
    </row>
    <row r="30" spans="3:10" ht="15" thickBot="1" x14ac:dyDescent="0.4"/>
    <row r="31" spans="3:10" ht="15" thickBot="1" x14ac:dyDescent="0.4">
      <c r="C31" s="254" t="s">
        <v>29</v>
      </c>
      <c r="D31" s="255"/>
      <c r="E31" s="255"/>
      <c r="F31" s="255"/>
      <c r="G31" s="255"/>
      <c r="H31" s="255"/>
      <c r="I31" s="255"/>
      <c r="J31" s="256"/>
    </row>
    <row r="32" spans="3:10" ht="15" thickBot="1" x14ac:dyDescent="0.4">
      <c r="C32" s="3" t="s">
        <v>30</v>
      </c>
      <c r="D32" s="3">
        <v>3</v>
      </c>
      <c r="E32" s="3">
        <v>9</v>
      </c>
      <c r="F32" s="3">
        <v>3</v>
      </c>
      <c r="G32" s="3">
        <v>9</v>
      </c>
      <c r="H32" s="3">
        <v>3</v>
      </c>
      <c r="I32" s="4">
        <v>9</v>
      </c>
      <c r="J32" s="4" t="s">
        <v>24</v>
      </c>
    </row>
    <row r="33" spans="3:12" ht="15" thickBot="1" x14ac:dyDescent="0.4">
      <c r="C33" s="5"/>
      <c r="D33" s="6">
        <v>2026</v>
      </c>
      <c r="E33" s="6">
        <v>2027</v>
      </c>
      <c r="F33" s="6">
        <v>2027</v>
      </c>
      <c r="G33" s="7">
        <v>2028</v>
      </c>
      <c r="H33" s="7">
        <v>2028</v>
      </c>
      <c r="I33" s="8">
        <v>2029</v>
      </c>
      <c r="J33" s="9"/>
    </row>
    <row r="34" spans="3:12" ht="15" thickBot="1" x14ac:dyDescent="0.4">
      <c r="C34" s="10"/>
      <c r="D34" s="11"/>
      <c r="E34" s="11"/>
      <c r="F34" s="11"/>
      <c r="G34" s="11"/>
      <c r="H34" s="11"/>
      <c r="I34" s="12"/>
      <c r="J34" s="12"/>
    </row>
    <row r="35" spans="3:12" ht="15" thickBot="1" x14ac:dyDescent="0.4">
      <c r="C35" s="13" t="s">
        <v>25</v>
      </c>
      <c r="D35" s="14"/>
      <c r="E35" s="14"/>
      <c r="F35" s="14"/>
      <c r="G35" s="14"/>
      <c r="H35" s="14"/>
      <c r="I35" s="15"/>
      <c r="J35" s="15"/>
    </row>
    <row r="36" spans="3:12" ht="15" thickBot="1" x14ac:dyDescent="0.4">
      <c r="C36" s="16" t="s">
        <v>37</v>
      </c>
      <c r="D36" s="161">
        <v>7015116.2835000008</v>
      </c>
      <c r="E36" s="167">
        <v>21045348.850500003</v>
      </c>
      <c r="F36" s="161">
        <v>7328568.5017000008</v>
      </c>
      <c r="G36" s="161">
        <v>21985705.505100001</v>
      </c>
      <c r="H36" s="167">
        <v>7702529.0545500014</v>
      </c>
      <c r="I36" s="167">
        <v>23107587.163650002</v>
      </c>
      <c r="J36" s="157">
        <f>SUM(D36:I36)</f>
        <v>88184855.358999997</v>
      </c>
      <c r="K36" s="40"/>
      <c r="L36" s="40"/>
    </row>
    <row r="37" spans="3:12" ht="15" thickBot="1" x14ac:dyDescent="0.4">
      <c r="C37" s="18" t="s">
        <v>26</v>
      </c>
      <c r="D37" s="19">
        <f t="shared" ref="D37:I37" si="7">SUM(D36)</f>
        <v>7015116.2835000008</v>
      </c>
      <c r="E37" s="19">
        <f t="shared" si="7"/>
        <v>21045348.850500003</v>
      </c>
      <c r="F37" s="19">
        <f t="shared" si="7"/>
        <v>7328568.5017000008</v>
      </c>
      <c r="G37" s="19">
        <f t="shared" si="7"/>
        <v>21985705.505100001</v>
      </c>
      <c r="H37" s="19">
        <f t="shared" si="7"/>
        <v>7702529.0545500014</v>
      </c>
      <c r="I37" s="19">
        <f t="shared" si="7"/>
        <v>23107587.163650002</v>
      </c>
      <c r="J37" s="156">
        <f>SUM(D37:I37)</f>
        <v>88184855.358999997</v>
      </c>
      <c r="K37" s="40"/>
      <c r="L37" s="40"/>
    </row>
    <row r="38" spans="3:12" ht="15" thickBot="1" x14ac:dyDescent="0.4">
      <c r="C38" s="20"/>
      <c r="D38" s="162"/>
      <c r="E38" s="162"/>
      <c r="F38" s="162"/>
      <c r="G38" s="162"/>
      <c r="H38" s="162"/>
      <c r="I38" s="162"/>
      <c r="J38" s="157"/>
      <c r="K38" s="40"/>
      <c r="L38" s="40"/>
    </row>
    <row r="39" spans="3:12" ht="15" thickBot="1" x14ac:dyDescent="0.4">
      <c r="C39" s="13" t="s">
        <v>25</v>
      </c>
      <c r="D39" s="163"/>
      <c r="E39" s="163"/>
      <c r="F39" s="163"/>
      <c r="G39" s="163"/>
      <c r="H39" s="163"/>
      <c r="I39" s="163"/>
      <c r="J39" s="157"/>
      <c r="K39" s="40"/>
      <c r="L39" s="40"/>
    </row>
    <row r="40" spans="3:12" ht="15" thickBot="1" x14ac:dyDescent="0.4">
      <c r="C40" s="16" t="s">
        <v>38</v>
      </c>
      <c r="D40" s="21">
        <v>1039533.2125000001</v>
      </c>
      <c r="E40" s="21">
        <v>3118599.6375000002</v>
      </c>
      <c r="F40" s="21">
        <v>1082676.84525</v>
      </c>
      <c r="G40" s="21">
        <v>3248030.5357500003</v>
      </c>
      <c r="H40" s="21">
        <v>1141104.589625</v>
      </c>
      <c r="I40" s="21">
        <v>3423313.7688750001</v>
      </c>
      <c r="J40" s="157">
        <f>SUM(D40:I40)</f>
        <v>13053258.589499999</v>
      </c>
    </row>
    <row r="41" spans="3:12" ht="15" thickBot="1" x14ac:dyDescent="0.4">
      <c r="C41" s="23" t="s">
        <v>26</v>
      </c>
      <c r="D41" s="24">
        <f t="shared" ref="D41:I41" si="8">SUM(D40)</f>
        <v>1039533.2125000001</v>
      </c>
      <c r="E41" s="24">
        <f t="shared" si="8"/>
        <v>3118599.6375000002</v>
      </c>
      <c r="F41" s="24">
        <f t="shared" si="8"/>
        <v>1082676.84525</v>
      </c>
      <c r="G41" s="24">
        <f t="shared" si="8"/>
        <v>3248030.5357500003</v>
      </c>
      <c r="H41" s="24">
        <f t="shared" si="8"/>
        <v>1141104.589625</v>
      </c>
      <c r="I41" s="24">
        <f t="shared" si="8"/>
        <v>3423313.7688750001</v>
      </c>
      <c r="J41" s="156">
        <f>SUM(D41:I41)</f>
        <v>13053258.589499999</v>
      </c>
    </row>
    <row r="42" spans="3:12" ht="15" thickBot="1" x14ac:dyDescent="0.4">
      <c r="C42" s="20"/>
      <c r="D42" s="36"/>
      <c r="E42" s="36"/>
      <c r="F42" s="36"/>
      <c r="G42" s="36"/>
      <c r="H42" s="36"/>
      <c r="I42" s="36"/>
      <c r="J42" s="157"/>
    </row>
    <row r="43" spans="3:12" ht="15" thickBot="1" x14ac:dyDescent="0.4">
      <c r="C43" s="13" t="s">
        <v>25</v>
      </c>
      <c r="D43" s="163"/>
      <c r="E43" s="163"/>
      <c r="F43" s="163"/>
      <c r="G43" s="163"/>
      <c r="H43" s="163"/>
      <c r="I43" s="163"/>
      <c r="J43" s="157"/>
    </row>
    <row r="44" spans="3:12" ht="15" thickBot="1" x14ac:dyDescent="0.4">
      <c r="C44" s="16" t="s">
        <v>39</v>
      </c>
      <c r="D44" s="38">
        <v>1243</v>
      </c>
      <c r="E44" s="38">
        <v>3729</v>
      </c>
      <c r="F44" s="39">
        <v>1241</v>
      </c>
      <c r="G44" s="39">
        <v>3723</v>
      </c>
      <c r="H44" s="22">
        <v>1240</v>
      </c>
      <c r="I44" s="22">
        <v>3720</v>
      </c>
      <c r="J44" s="157">
        <f>SUM(D44:I44)</f>
        <v>14896</v>
      </c>
    </row>
    <row r="45" spans="3:12" ht="15" thickBot="1" x14ac:dyDescent="0.4">
      <c r="C45" s="18" t="s">
        <v>26</v>
      </c>
      <c r="D45" s="168">
        <f t="shared" ref="D45:I45" si="9">SUM(D44)</f>
        <v>1243</v>
      </c>
      <c r="E45" s="168">
        <f t="shared" si="9"/>
        <v>3729</v>
      </c>
      <c r="F45" s="168">
        <f t="shared" si="9"/>
        <v>1241</v>
      </c>
      <c r="G45" s="168">
        <f t="shared" si="9"/>
        <v>3723</v>
      </c>
      <c r="H45" s="168">
        <f t="shared" si="9"/>
        <v>1240</v>
      </c>
      <c r="I45" s="168">
        <f t="shared" si="9"/>
        <v>3720</v>
      </c>
      <c r="J45" s="156">
        <f>SUM(D45:I45)</f>
        <v>14896</v>
      </c>
    </row>
    <row r="46" spans="3:12" ht="15" thickBot="1" x14ac:dyDescent="0.4">
      <c r="C46" s="20"/>
      <c r="D46" s="36"/>
      <c r="E46" s="36"/>
      <c r="F46" s="36"/>
      <c r="G46" s="36"/>
      <c r="H46" s="36"/>
      <c r="I46" s="36"/>
      <c r="J46" s="157"/>
    </row>
    <row r="47" spans="3:12" ht="15" thickBot="1" x14ac:dyDescent="0.4">
      <c r="C47" s="13" t="s">
        <v>25</v>
      </c>
      <c r="D47" s="163"/>
      <c r="E47" s="163"/>
      <c r="F47" s="163"/>
      <c r="G47" s="163"/>
      <c r="H47" s="163"/>
      <c r="I47" s="163"/>
      <c r="J47" s="38"/>
    </row>
    <row r="48" spans="3:12" ht="15" thickBot="1" x14ac:dyDescent="0.4">
      <c r="C48" s="16" t="s">
        <v>18</v>
      </c>
      <c r="D48" s="21">
        <v>7458</v>
      </c>
      <c r="E48" s="21">
        <v>22374</v>
      </c>
      <c r="F48" s="22">
        <v>7445.9999999999982</v>
      </c>
      <c r="G48" s="22">
        <v>22337.999999999996</v>
      </c>
      <c r="H48" s="22">
        <v>7438</v>
      </c>
      <c r="I48" s="22">
        <v>22314</v>
      </c>
      <c r="J48" s="159">
        <f>SUM(D48:I48)</f>
        <v>89368</v>
      </c>
    </row>
    <row r="49" spans="3:10" ht="15" thickBot="1" x14ac:dyDescent="0.4">
      <c r="C49" s="23" t="s">
        <v>26</v>
      </c>
      <c r="D49" s="24">
        <f t="shared" ref="D49:I49" si="10">SUM(D48)</f>
        <v>7458</v>
      </c>
      <c r="E49" s="24">
        <f t="shared" si="10"/>
        <v>22374</v>
      </c>
      <c r="F49" s="24">
        <f t="shared" si="10"/>
        <v>7445.9999999999982</v>
      </c>
      <c r="G49" s="24">
        <f t="shared" si="10"/>
        <v>22337.999999999996</v>
      </c>
      <c r="H49" s="24">
        <f t="shared" si="10"/>
        <v>7438</v>
      </c>
      <c r="I49" s="34">
        <f t="shared" si="10"/>
        <v>22314</v>
      </c>
      <c r="J49" s="160">
        <f>SUM(D49:I49)</f>
        <v>89368</v>
      </c>
    </row>
    <row r="50" spans="3:10" x14ac:dyDescent="0.35">
      <c r="C50" s="20"/>
      <c r="D50" s="36"/>
      <c r="E50" s="36"/>
      <c r="F50" s="36"/>
      <c r="G50" s="36"/>
      <c r="H50" s="36"/>
      <c r="I50" s="36"/>
      <c r="J50" s="36"/>
    </row>
    <row r="51" spans="3:10" ht="15" thickBot="1" x14ac:dyDescent="0.4">
      <c r="C51" s="25"/>
      <c r="D51" s="164"/>
      <c r="E51" s="164"/>
      <c r="F51" s="165"/>
      <c r="G51" s="165"/>
      <c r="H51" s="165"/>
      <c r="I51" s="166"/>
      <c r="J51" s="166"/>
    </row>
    <row r="52" spans="3:10" ht="15" thickBot="1" x14ac:dyDescent="0.4">
      <c r="C52" s="27" t="s">
        <v>27</v>
      </c>
      <c r="D52" s="28">
        <v>8063350.4900000002</v>
      </c>
      <c r="E52" s="28">
        <v>24190051.489999998</v>
      </c>
      <c r="F52" s="28">
        <v>8419932.3499999996</v>
      </c>
      <c r="G52" s="28">
        <v>25259797.039999999</v>
      </c>
      <c r="H52" s="28">
        <f>H36+H40+H44+H48</f>
        <v>8852311.6441750005</v>
      </c>
      <c r="I52" s="28">
        <f>I36+I40+I44+I48</f>
        <v>26556934.932525001</v>
      </c>
      <c r="J52" s="28">
        <f>SUM(D52:I52)</f>
        <v>101342377.94670001</v>
      </c>
    </row>
    <row r="53" spans="3:10" ht="15" thickBot="1" x14ac:dyDescent="0.4">
      <c r="C53" s="29" t="s">
        <v>21</v>
      </c>
      <c r="D53" s="37">
        <f t="shared" ref="D53:J53" si="11">D52*4%</f>
        <v>322534.0196</v>
      </c>
      <c r="E53" s="37">
        <f t="shared" si="11"/>
        <v>967602.05959999992</v>
      </c>
      <c r="F53" s="37">
        <f t="shared" si="11"/>
        <v>336797.29399999999</v>
      </c>
      <c r="G53" s="37">
        <f t="shared" si="11"/>
        <v>1010391.8816</v>
      </c>
      <c r="H53" s="37">
        <f t="shared" si="11"/>
        <v>354092.46576700005</v>
      </c>
      <c r="I53" s="37">
        <f t="shared" si="11"/>
        <v>1062277.3973010001</v>
      </c>
      <c r="J53" s="160">
        <f t="shared" si="11"/>
        <v>4053695.1178680002</v>
      </c>
    </row>
    <row r="54" spans="3:10" ht="15" thickBot="1" x14ac:dyDescent="0.4">
      <c r="C54" s="30" t="s">
        <v>28</v>
      </c>
      <c r="D54" s="31">
        <f t="shared" ref="D54:J54" si="12">SUM(D52:D53)</f>
        <v>8385884.5096000005</v>
      </c>
      <c r="E54" s="31">
        <f t="shared" si="12"/>
        <v>25157653.549599998</v>
      </c>
      <c r="F54" s="31">
        <f t="shared" si="12"/>
        <v>8756729.6439999994</v>
      </c>
      <c r="G54" s="31">
        <f t="shared" si="12"/>
        <v>26270188.921599999</v>
      </c>
      <c r="H54" s="31">
        <f t="shared" si="12"/>
        <v>9206404.1099420004</v>
      </c>
      <c r="I54" s="32">
        <f t="shared" si="12"/>
        <v>27619212.329826001</v>
      </c>
      <c r="J54" s="169">
        <f t="shared" si="12"/>
        <v>105396073.06456801</v>
      </c>
    </row>
    <row r="55" spans="3:10" x14ac:dyDescent="0.35">
      <c r="J55" s="1"/>
    </row>
    <row r="56" spans="3:10" x14ac:dyDescent="0.35">
      <c r="J56" s="1"/>
    </row>
    <row r="57" spans="3:10" x14ac:dyDescent="0.35">
      <c r="C57" t="s">
        <v>48</v>
      </c>
    </row>
    <row r="58" spans="3:10" ht="15" thickBot="1" x14ac:dyDescent="0.4"/>
    <row r="59" spans="3:10" ht="15" thickBot="1" x14ac:dyDescent="0.4">
      <c r="C59" s="254" t="s">
        <v>29</v>
      </c>
      <c r="D59" s="255"/>
      <c r="E59" s="255"/>
      <c r="F59" s="255"/>
      <c r="G59" s="255"/>
      <c r="H59" s="255"/>
      <c r="I59" s="255"/>
      <c r="J59" s="256"/>
    </row>
    <row r="60" spans="3:10" ht="15" thickBot="1" x14ac:dyDescent="0.4">
      <c r="C60" s="3" t="s">
        <v>30</v>
      </c>
      <c r="D60" s="3">
        <v>3</v>
      </c>
      <c r="E60" s="3">
        <v>9</v>
      </c>
      <c r="F60" s="3">
        <v>3</v>
      </c>
      <c r="G60" s="3">
        <v>9</v>
      </c>
      <c r="H60" s="3">
        <v>3</v>
      </c>
      <c r="I60" s="4">
        <v>9</v>
      </c>
      <c r="J60" s="4" t="s">
        <v>24</v>
      </c>
    </row>
    <row r="61" spans="3:10" ht="15" thickBot="1" x14ac:dyDescent="0.4">
      <c r="C61" s="5"/>
      <c r="D61" s="6">
        <v>2026</v>
      </c>
      <c r="E61" s="6">
        <v>2027</v>
      </c>
      <c r="F61" s="6">
        <v>2027</v>
      </c>
      <c r="G61" s="7">
        <v>2028</v>
      </c>
      <c r="H61" s="7">
        <v>2028</v>
      </c>
      <c r="I61" s="8">
        <v>2029</v>
      </c>
      <c r="J61" s="9"/>
    </row>
    <row r="62" spans="3:10" ht="15" thickBot="1" x14ac:dyDescent="0.4">
      <c r="C62" s="10"/>
      <c r="D62" s="11"/>
      <c r="E62" s="11"/>
      <c r="F62" s="11"/>
      <c r="G62" s="11"/>
      <c r="H62" s="11"/>
      <c r="I62" s="12"/>
      <c r="J62" s="12"/>
    </row>
    <row r="63" spans="3:10" ht="15" thickBot="1" x14ac:dyDescent="0.4">
      <c r="C63" s="13" t="s">
        <v>25</v>
      </c>
      <c r="D63" s="14"/>
      <c r="E63" s="14"/>
      <c r="F63" s="14"/>
      <c r="G63" s="14"/>
      <c r="H63" s="14"/>
      <c r="I63" s="15"/>
      <c r="J63" s="15"/>
    </row>
    <row r="64" spans="3:10" ht="15" thickBot="1" x14ac:dyDescent="0.4">
      <c r="C64" s="16" t="s">
        <v>37</v>
      </c>
      <c r="D64" s="161">
        <v>7314832.8103749994</v>
      </c>
      <c r="E64" s="161">
        <v>21944498.431125</v>
      </c>
      <c r="F64" s="161">
        <v>7594323.6874000002</v>
      </c>
      <c r="G64" s="161">
        <v>22782971.062200002</v>
      </c>
      <c r="H64" s="161">
        <v>7960359.1423749998</v>
      </c>
      <c r="I64" s="161">
        <v>23881077.427124999</v>
      </c>
      <c r="J64" s="161">
        <f>SUM(D64:I64)</f>
        <v>91478062.560600013</v>
      </c>
    </row>
    <row r="65" spans="3:14" ht="15" thickBot="1" x14ac:dyDescent="0.4">
      <c r="C65" s="18" t="s">
        <v>26</v>
      </c>
      <c r="D65" s="19">
        <f t="shared" ref="D65:J65" si="13">SUM(D64)</f>
        <v>7314832.8103749994</v>
      </c>
      <c r="E65" s="19">
        <f t="shared" si="13"/>
        <v>21944498.431125</v>
      </c>
      <c r="F65" s="19">
        <f t="shared" si="13"/>
        <v>7594323.6874000002</v>
      </c>
      <c r="G65" s="19">
        <f t="shared" si="13"/>
        <v>22782971.062200002</v>
      </c>
      <c r="H65" s="19">
        <f t="shared" si="13"/>
        <v>7960359.1423749998</v>
      </c>
      <c r="I65" s="19">
        <f t="shared" si="13"/>
        <v>23881077.427124999</v>
      </c>
      <c r="J65" s="19">
        <f t="shared" si="13"/>
        <v>91478062.560600013</v>
      </c>
    </row>
    <row r="66" spans="3:14" ht="15" thickBot="1" x14ac:dyDescent="0.4">
      <c r="C66" s="20"/>
      <c r="D66" s="162"/>
      <c r="E66" s="162"/>
      <c r="F66" s="162"/>
      <c r="G66" s="162"/>
      <c r="H66" s="162"/>
      <c r="I66" s="162"/>
      <c r="J66" s="157"/>
    </row>
    <row r="67" spans="3:14" ht="15" thickBot="1" x14ac:dyDescent="0.4">
      <c r="C67" s="13" t="s">
        <v>25</v>
      </c>
      <c r="D67" s="163"/>
      <c r="E67" s="163"/>
      <c r="F67" s="163"/>
      <c r="G67" s="163"/>
      <c r="H67" s="163"/>
      <c r="I67" s="163"/>
      <c r="J67" s="157"/>
      <c r="K67" s="111"/>
      <c r="L67" s="111"/>
    </row>
    <row r="68" spans="3:14" ht="15" thickBot="1" x14ac:dyDescent="0.4">
      <c r="C68" s="16" t="s">
        <v>38</v>
      </c>
      <c r="D68" s="21">
        <v>1183657.750275</v>
      </c>
      <c r="E68" s="21">
        <v>3550973.250825</v>
      </c>
      <c r="F68" s="21">
        <v>1224525.8684999999</v>
      </c>
      <c r="G68" s="21">
        <v>3673577.6054999996</v>
      </c>
      <c r="H68" s="21">
        <v>1287017.1571</v>
      </c>
      <c r="I68" s="21">
        <v>3861051.4712999999</v>
      </c>
      <c r="J68" s="157">
        <f>SUM(D68:I68)</f>
        <v>14780803.103499999</v>
      </c>
      <c r="K68" s="111"/>
      <c r="L68" s="111"/>
    </row>
    <row r="69" spans="3:14" ht="15" thickBot="1" x14ac:dyDescent="0.4">
      <c r="C69" s="23" t="s">
        <v>26</v>
      </c>
      <c r="D69" s="24">
        <f t="shared" ref="D69:J69" si="14">SUM(D68)</f>
        <v>1183657.750275</v>
      </c>
      <c r="E69" s="24">
        <f t="shared" si="14"/>
        <v>3550973.250825</v>
      </c>
      <c r="F69" s="24">
        <f t="shared" si="14"/>
        <v>1224525.8684999999</v>
      </c>
      <c r="G69" s="24">
        <f t="shared" si="14"/>
        <v>3673577.6054999996</v>
      </c>
      <c r="H69" s="24">
        <f t="shared" si="14"/>
        <v>1287017.1571</v>
      </c>
      <c r="I69" s="24">
        <f t="shared" si="14"/>
        <v>3861051.4712999999</v>
      </c>
      <c r="J69" s="24">
        <f t="shared" si="14"/>
        <v>14780803.103499999</v>
      </c>
      <c r="K69" s="111"/>
      <c r="L69" s="111"/>
    </row>
    <row r="70" spans="3:14" ht="15" thickBot="1" x14ac:dyDescent="0.4">
      <c r="C70" s="20"/>
      <c r="D70" s="36"/>
      <c r="E70" s="36"/>
      <c r="F70" s="36"/>
      <c r="G70" s="36"/>
      <c r="H70" s="36"/>
      <c r="I70" s="36"/>
      <c r="J70" s="157"/>
      <c r="K70" s="111"/>
      <c r="L70" s="111"/>
    </row>
    <row r="71" spans="3:14" ht="15" thickBot="1" x14ac:dyDescent="0.4">
      <c r="C71" s="13" t="s">
        <v>25</v>
      </c>
      <c r="D71" s="163"/>
      <c r="E71" s="163"/>
      <c r="F71" s="163"/>
      <c r="G71" s="163"/>
      <c r="H71" s="163"/>
      <c r="I71" s="163"/>
      <c r="J71" s="157"/>
      <c r="K71" s="111"/>
      <c r="L71" s="111"/>
      <c r="N71" s="62"/>
    </row>
    <row r="72" spans="3:14" ht="15" thickBot="1" x14ac:dyDescent="0.4">
      <c r="C72" s="16" t="s">
        <v>39</v>
      </c>
      <c r="D72" s="21">
        <v>1549.375</v>
      </c>
      <c r="E72" s="21">
        <v>4648.125</v>
      </c>
      <c r="F72" s="22">
        <v>1547.5</v>
      </c>
      <c r="G72" s="22">
        <v>4642.5</v>
      </c>
      <c r="H72" s="22">
        <v>1546.25</v>
      </c>
      <c r="I72" s="22">
        <v>4638.75</v>
      </c>
      <c r="J72" s="157">
        <f>SUM(D72:I72)</f>
        <v>18572.5</v>
      </c>
      <c r="K72" s="111"/>
      <c r="L72" s="111"/>
    </row>
    <row r="73" spans="3:14" ht="15" thickBot="1" x14ac:dyDescent="0.4">
      <c r="C73" s="23" t="s">
        <v>26</v>
      </c>
      <c r="D73" s="24">
        <f t="shared" ref="D73:I73" si="15">SUM(D72)</f>
        <v>1549.375</v>
      </c>
      <c r="E73" s="24">
        <f t="shared" si="15"/>
        <v>4648.125</v>
      </c>
      <c r="F73" s="24">
        <f t="shared" si="15"/>
        <v>1547.5</v>
      </c>
      <c r="G73" s="24">
        <f t="shared" si="15"/>
        <v>4642.5</v>
      </c>
      <c r="H73" s="24">
        <f t="shared" si="15"/>
        <v>1546.25</v>
      </c>
      <c r="I73" s="24">
        <f t="shared" si="15"/>
        <v>4638.75</v>
      </c>
      <c r="J73" s="157">
        <f>SUM(D73:I73)</f>
        <v>18572.5</v>
      </c>
      <c r="K73" s="111"/>
      <c r="L73" s="111"/>
    </row>
    <row r="74" spans="3:14" ht="15" thickBot="1" x14ac:dyDescent="0.4">
      <c r="C74" s="20"/>
      <c r="D74" s="36"/>
      <c r="E74" s="36"/>
      <c r="F74" s="36"/>
      <c r="G74" s="36"/>
      <c r="H74" s="36"/>
      <c r="I74" s="36"/>
      <c r="J74" s="156"/>
      <c r="K74" s="111"/>
      <c r="L74" s="111"/>
    </row>
    <row r="75" spans="3:14" ht="15" thickBot="1" x14ac:dyDescent="0.4">
      <c r="C75" s="13" t="s">
        <v>25</v>
      </c>
      <c r="D75" s="163"/>
      <c r="E75" s="163"/>
      <c r="F75" s="163"/>
      <c r="G75" s="163"/>
      <c r="H75" s="163"/>
      <c r="I75" s="163"/>
      <c r="J75" s="38"/>
      <c r="K75" s="111"/>
      <c r="L75" s="111"/>
    </row>
    <row r="76" spans="3:14" ht="15" thickBot="1" x14ac:dyDescent="0.4">
      <c r="C76" s="16" t="s">
        <v>18</v>
      </c>
      <c r="D76" s="21">
        <v>7436</v>
      </c>
      <c r="E76" s="21">
        <v>22308</v>
      </c>
      <c r="F76" s="22">
        <v>7428</v>
      </c>
      <c r="G76" s="22">
        <v>22284</v>
      </c>
      <c r="H76" s="22">
        <v>7424</v>
      </c>
      <c r="I76" s="110">
        <v>22272</v>
      </c>
      <c r="J76" s="160">
        <f>SUM(D76:I76)</f>
        <v>89152</v>
      </c>
      <c r="K76" s="111"/>
      <c r="L76" s="111"/>
    </row>
    <row r="77" spans="3:14" ht="15" thickBot="1" x14ac:dyDescent="0.4">
      <c r="C77" s="23" t="s">
        <v>26</v>
      </c>
      <c r="D77" s="24">
        <f t="shared" ref="D77:I77" si="16">SUM(D76)</f>
        <v>7436</v>
      </c>
      <c r="E77" s="24">
        <f t="shared" si="16"/>
        <v>22308</v>
      </c>
      <c r="F77" s="24">
        <f t="shared" si="16"/>
        <v>7428</v>
      </c>
      <c r="G77" s="24">
        <f t="shared" si="16"/>
        <v>22284</v>
      </c>
      <c r="H77" s="24">
        <f t="shared" si="16"/>
        <v>7424</v>
      </c>
      <c r="I77" s="34">
        <f t="shared" si="16"/>
        <v>22272</v>
      </c>
      <c r="J77" s="159">
        <f>SUM(D77:I77)</f>
        <v>89152</v>
      </c>
      <c r="K77" s="111"/>
      <c r="L77" s="111"/>
    </row>
    <row r="78" spans="3:14" x14ac:dyDescent="0.35">
      <c r="C78" s="20"/>
      <c r="D78" s="36"/>
      <c r="E78" s="36"/>
      <c r="F78" s="36"/>
      <c r="G78" s="36"/>
      <c r="H78" s="36"/>
      <c r="I78" s="36"/>
      <c r="J78" s="170"/>
      <c r="K78" s="111"/>
      <c r="L78" s="111"/>
    </row>
    <row r="79" spans="3:14" ht="15" thickBot="1" x14ac:dyDescent="0.4">
      <c r="C79" s="25"/>
      <c r="D79" s="164"/>
      <c r="E79" s="164"/>
      <c r="F79" s="165"/>
      <c r="G79" s="165"/>
      <c r="H79" s="165"/>
      <c r="I79" s="166"/>
      <c r="J79" s="166"/>
    </row>
    <row r="80" spans="3:14" ht="15" thickBot="1" x14ac:dyDescent="0.4">
      <c r="C80" s="27" t="s">
        <v>27</v>
      </c>
      <c r="D80" s="28">
        <f>D65+D69+D73+D77</f>
        <v>8507475.9356499985</v>
      </c>
      <c r="E80" s="28">
        <f t="shared" ref="E80:I80" si="17">E65+E69+E73+E77</f>
        <v>25522427.806949999</v>
      </c>
      <c r="F80" s="28">
        <f t="shared" si="17"/>
        <v>8827825.0559</v>
      </c>
      <c r="G80" s="28">
        <f t="shared" si="17"/>
        <v>26483475.1677</v>
      </c>
      <c r="H80" s="28">
        <f t="shared" si="17"/>
        <v>9256346.5494749993</v>
      </c>
      <c r="I80" s="28">
        <f t="shared" si="17"/>
        <v>27769039.648424998</v>
      </c>
      <c r="J80" s="28">
        <v>106366590.16</v>
      </c>
    </row>
    <row r="81" spans="3:10" ht="15" thickBot="1" x14ac:dyDescent="0.4">
      <c r="C81" s="29" t="s">
        <v>21</v>
      </c>
      <c r="D81" s="37">
        <f>D80*4%</f>
        <v>340299.03742599994</v>
      </c>
      <c r="E81" s="37">
        <f t="shared" ref="E81:J81" si="18">E80*4%</f>
        <v>1020897.112278</v>
      </c>
      <c r="F81" s="37">
        <f t="shared" si="18"/>
        <v>353113.00223600003</v>
      </c>
      <c r="G81" s="37">
        <f t="shared" si="18"/>
        <v>1059339.0067080001</v>
      </c>
      <c r="H81" s="37">
        <f t="shared" si="18"/>
        <v>370253.86197899998</v>
      </c>
      <c r="I81" s="37">
        <f t="shared" si="18"/>
        <v>1110761.5859369999</v>
      </c>
      <c r="J81" s="160">
        <f t="shared" si="18"/>
        <v>4254663.6063999999</v>
      </c>
    </row>
    <row r="82" spans="3:10" ht="15" thickBot="1" x14ac:dyDescent="0.4">
      <c r="C82" s="30" t="s">
        <v>28</v>
      </c>
      <c r="D82" s="31">
        <f>SUM(D80:D81)</f>
        <v>8847774.9730759989</v>
      </c>
      <c r="E82" s="31">
        <f t="shared" ref="E82:J82" si="19">SUM(E80:E81)</f>
        <v>26543324.919227999</v>
      </c>
      <c r="F82" s="31">
        <f t="shared" si="19"/>
        <v>9180938.0581359994</v>
      </c>
      <c r="G82" s="31">
        <f t="shared" si="19"/>
        <v>27542814.174408</v>
      </c>
      <c r="H82" s="31">
        <f t="shared" si="19"/>
        <v>9626600.4114539996</v>
      </c>
      <c r="I82" s="31">
        <f t="shared" si="19"/>
        <v>28879801.234361999</v>
      </c>
      <c r="J82" s="31">
        <f t="shared" si="19"/>
        <v>110621253.76639999</v>
      </c>
    </row>
    <row r="84" spans="3:10" x14ac:dyDescent="0.35">
      <c r="C84" t="s">
        <v>49</v>
      </c>
    </row>
    <row r="85" spans="3:10" ht="15" thickBot="1" x14ac:dyDescent="0.4"/>
    <row r="86" spans="3:10" ht="15" thickBot="1" x14ac:dyDescent="0.4">
      <c r="C86" s="254" t="s">
        <v>29</v>
      </c>
      <c r="D86" s="255"/>
      <c r="E86" s="255"/>
      <c r="F86" s="255"/>
      <c r="G86" s="255"/>
      <c r="H86" s="255"/>
      <c r="I86" s="255"/>
      <c r="J86" s="256"/>
    </row>
    <row r="87" spans="3:10" ht="15" thickBot="1" x14ac:dyDescent="0.4">
      <c r="C87" s="3" t="s">
        <v>30</v>
      </c>
      <c r="D87" s="3">
        <v>3</v>
      </c>
      <c r="E87" s="3">
        <v>9</v>
      </c>
      <c r="F87" s="3">
        <v>3</v>
      </c>
      <c r="G87" s="3">
        <v>9</v>
      </c>
      <c r="H87" s="3">
        <v>3</v>
      </c>
      <c r="I87" s="4">
        <v>9</v>
      </c>
      <c r="J87" s="4" t="s">
        <v>24</v>
      </c>
    </row>
    <row r="88" spans="3:10" ht="15" thickBot="1" x14ac:dyDescent="0.4">
      <c r="C88" s="5"/>
      <c r="D88" s="6">
        <v>2026</v>
      </c>
      <c r="E88" s="6">
        <v>2027</v>
      </c>
      <c r="F88" s="6">
        <v>2027</v>
      </c>
      <c r="G88" s="7">
        <v>2028</v>
      </c>
      <c r="H88" s="7">
        <v>2028</v>
      </c>
      <c r="I88" s="8">
        <v>2029</v>
      </c>
      <c r="J88" s="9"/>
    </row>
    <row r="89" spans="3:10" ht="15" thickBot="1" x14ac:dyDescent="0.4">
      <c r="C89" s="10"/>
      <c r="D89" s="11"/>
      <c r="E89" s="11"/>
      <c r="F89" s="11"/>
      <c r="G89" s="11"/>
      <c r="H89" s="11"/>
      <c r="I89" s="12"/>
      <c r="J89" s="12"/>
    </row>
    <row r="90" spans="3:10" ht="15" thickBot="1" x14ac:dyDescent="0.4">
      <c r="C90" s="13" t="s">
        <v>25</v>
      </c>
      <c r="D90" s="14"/>
      <c r="E90" s="14"/>
      <c r="F90" s="14"/>
      <c r="G90" s="14"/>
      <c r="H90" s="14"/>
      <c r="I90" s="15"/>
      <c r="J90" s="15"/>
    </row>
    <row r="91" spans="3:10" ht="15" thickBot="1" x14ac:dyDescent="0.4">
      <c r="C91" s="16" t="s">
        <v>37</v>
      </c>
      <c r="D91" s="161">
        <v>8132813.6299999999</v>
      </c>
      <c r="E91" s="161">
        <v>24398440.899999999</v>
      </c>
      <c r="F91" s="161">
        <v>8472615.3629999999</v>
      </c>
      <c r="G91" s="161">
        <v>25417846.088999998</v>
      </c>
      <c r="H91" s="161">
        <v>8879543.7740000002</v>
      </c>
      <c r="I91" s="161">
        <v>26638631.322000001</v>
      </c>
      <c r="J91" s="157">
        <f>SUM(D91:I91)</f>
        <v>101939891.07799999</v>
      </c>
    </row>
    <row r="92" spans="3:10" ht="15" thickBot="1" x14ac:dyDescent="0.4">
      <c r="C92" s="18" t="s">
        <v>26</v>
      </c>
      <c r="D92" s="19">
        <f t="shared" ref="D92:J92" si="20">SUM(D91)</f>
        <v>8132813.6299999999</v>
      </c>
      <c r="E92" s="19">
        <f t="shared" si="20"/>
        <v>24398440.899999999</v>
      </c>
      <c r="F92" s="161">
        <f t="shared" si="20"/>
        <v>8472615.3629999999</v>
      </c>
      <c r="G92" s="161">
        <f t="shared" si="20"/>
        <v>25417846.088999998</v>
      </c>
      <c r="H92" s="161">
        <f t="shared" si="20"/>
        <v>8879543.7740000002</v>
      </c>
      <c r="I92" s="161">
        <f t="shared" si="20"/>
        <v>26638631.322000001</v>
      </c>
      <c r="J92" s="156">
        <f t="shared" si="20"/>
        <v>101939891.07799999</v>
      </c>
    </row>
    <row r="93" spans="3:10" ht="15" thickBot="1" x14ac:dyDescent="0.4">
      <c r="C93" s="20"/>
      <c r="D93" s="162"/>
      <c r="E93" s="162"/>
      <c r="F93" s="162"/>
      <c r="G93" s="162"/>
      <c r="H93" s="162"/>
      <c r="I93" s="162"/>
      <c r="J93" s="157"/>
    </row>
    <row r="94" spans="3:10" ht="15" thickBot="1" x14ac:dyDescent="0.4">
      <c r="C94" s="13" t="s">
        <v>25</v>
      </c>
      <c r="D94" s="163"/>
      <c r="E94" s="163"/>
      <c r="F94" s="163"/>
      <c r="G94" s="163"/>
      <c r="H94" s="163"/>
      <c r="I94" s="163"/>
      <c r="J94" s="157"/>
    </row>
    <row r="95" spans="3:10" ht="15" thickBot="1" x14ac:dyDescent="0.4">
      <c r="C95" s="16" t="s">
        <v>38</v>
      </c>
      <c r="D95" s="21">
        <v>1331905.8899999999</v>
      </c>
      <c r="E95" s="21">
        <v>3995717.66</v>
      </c>
      <c r="F95" s="33">
        <v>1383143.5325</v>
      </c>
      <c r="G95" s="33">
        <v>4149430.5975000001</v>
      </c>
      <c r="H95" s="21">
        <v>1453414.5965</v>
      </c>
      <c r="I95" s="21">
        <v>4360243.7895</v>
      </c>
      <c r="J95" s="157">
        <f>SUM(D95:I95)</f>
        <v>16673856.066</v>
      </c>
    </row>
    <row r="96" spans="3:10" ht="15" thickBot="1" x14ac:dyDescent="0.4">
      <c r="C96" s="23" t="s">
        <v>26</v>
      </c>
      <c r="D96" s="24">
        <f t="shared" ref="D96:J96" si="21">SUM(D95)</f>
        <v>1331905.8899999999</v>
      </c>
      <c r="E96" s="24">
        <f t="shared" si="21"/>
        <v>3995717.66</v>
      </c>
      <c r="F96" s="21">
        <f t="shared" si="21"/>
        <v>1383143.5325</v>
      </c>
      <c r="G96" s="21">
        <f t="shared" si="21"/>
        <v>4149430.5975000001</v>
      </c>
      <c r="H96" s="21">
        <f t="shared" si="21"/>
        <v>1453414.5965</v>
      </c>
      <c r="I96" s="21">
        <f t="shared" si="21"/>
        <v>4360243.7895</v>
      </c>
      <c r="J96" s="171">
        <f t="shared" si="21"/>
        <v>16673856.066</v>
      </c>
    </row>
    <row r="97" spans="3:13" ht="15" thickBot="1" x14ac:dyDescent="0.4">
      <c r="C97" s="20"/>
      <c r="D97" s="36"/>
      <c r="E97" s="36"/>
      <c r="F97" s="36"/>
      <c r="G97" s="36"/>
      <c r="H97" s="36"/>
      <c r="I97" s="36"/>
      <c r="J97" s="157"/>
    </row>
    <row r="98" spans="3:13" ht="15" thickBot="1" x14ac:dyDescent="0.4">
      <c r="C98" s="13" t="s">
        <v>25</v>
      </c>
      <c r="D98" s="163"/>
      <c r="E98" s="163"/>
      <c r="F98" s="163"/>
      <c r="G98" s="163"/>
      <c r="H98" s="163"/>
      <c r="I98" s="163"/>
      <c r="J98" s="157"/>
    </row>
    <row r="99" spans="3:13" ht="15" thickBot="1" x14ac:dyDescent="0.4">
      <c r="C99" s="16" t="s">
        <v>39</v>
      </c>
      <c r="D99" s="21">
        <f>'Annex12bis (lot 4 1er any) '!$G$11/12*D87</f>
        <v>1700.1875</v>
      </c>
      <c r="E99" s="21">
        <f>'Annex12bis (lot 4 1er any) '!$G$11/12*E87</f>
        <v>5100.5625</v>
      </c>
      <c r="F99" s="22">
        <v>1697.4375</v>
      </c>
      <c r="G99" s="22">
        <v>5092.3125</v>
      </c>
      <c r="H99" s="22">
        <v>1696.75</v>
      </c>
      <c r="I99" s="22">
        <v>5090.25</v>
      </c>
      <c r="J99" s="157">
        <f>SUM(D99:I99)</f>
        <v>20377.5</v>
      </c>
    </row>
    <row r="100" spans="3:13" ht="15" thickBot="1" x14ac:dyDescent="0.4">
      <c r="C100" s="23" t="s">
        <v>26</v>
      </c>
      <c r="D100" s="24">
        <f t="shared" ref="D100:J100" si="22">SUM(D99)</f>
        <v>1700.1875</v>
      </c>
      <c r="E100" s="24">
        <f t="shared" si="22"/>
        <v>5100.5625</v>
      </c>
      <c r="F100" s="24">
        <f t="shared" si="22"/>
        <v>1697.4375</v>
      </c>
      <c r="G100" s="24">
        <f t="shared" si="22"/>
        <v>5092.3125</v>
      </c>
      <c r="H100" s="24">
        <f t="shared" si="22"/>
        <v>1696.75</v>
      </c>
      <c r="I100" s="24">
        <f t="shared" si="22"/>
        <v>5090.25</v>
      </c>
      <c r="J100" s="24">
        <f t="shared" si="22"/>
        <v>20377.5</v>
      </c>
    </row>
    <row r="101" spans="3:13" ht="15" thickBot="1" x14ac:dyDescent="0.4">
      <c r="C101" s="20"/>
      <c r="D101" s="36"/>
      <c r="E101" s="36"/>
      <c r="F101" s="36"/>
      <c r="G101" s="36"/>
      <c r="H101" s="36"/>
      <c r="I101" s="36"/>
      <c r="J101" s="157"/>
    </row>
    <row r="102" spans="3:13" ht="15" thickBot="1" x14ac:dyDescent="0.4">
      <c r="C102" s="13" t="s">
        <v>25</v>
      </c>
      <c r="D102" s="163"/>
      <c r="E102" s="163"/>
      <c r="F102" s="163"/>
      <c r="G102" s="163"/>
      <c r="H102" s="163"/>
      <c r="I102" s="163"/>
      <c r="J102" s="157"/>
    </row>
    <row r="103" spans="3:13" ht="15" thickBot="1" x14ac:dyDescent="0.4">
      <c r="C103" s="16" t="s">
        <v>18</v>
      </c>
      <c r="D103" s="21">
        <f>'Annex12bis (lot 4 1er any) '!$G$12/12*D87</f>
        <v>8347.5</v>
      </c>
      <c r="E103" s="21">
        <f>'Annex12bis (lot 4 1er any) '!$G$12/12*E87</f>
        <v>25042.5</v>
      </c>
      <c r="F103" s="22">
        <v>8336.25</v>
      </c>
      <c r="G103" s="22">
        <v>25008.75</v>
      </c>
      <c r="H103" s="22">
        <v>8329.5</v>
      </c>
      <c r="I103" s="22">
        <v>24988.5</v>
      </c>
      <c r="J103" s="158">
        <f>SUM(D103:I103)</f>
        <v>100053</v>
      </c>
    </row>
    <row r="104" spans="3:13" ht="15" thickBot="1" x14ac:dyDescent="0.4">
      <c r="C104" s="23" t="s">
        <v>26</v>
      </c>
      <c r="D104" s="24">
        <f t="shared" ref="D104:I104" si="23">SUM(D103)</f>
        <v>8347.5</v>
      </c>
      <c r="E104" s="24">
        <f t="shared" si="23"/>
        <v>25042.5</v>
      </c>
      <c r="F104" s="24">
        <f t="shared" si="23"/>
        <v>8336.25</v>
      </c>
      <c r="G104" s="24">
        <f t="shared" si="23"/>
        <v>25008.75</v>
      </c>
      <c r="H104" s="24">
        <f t="shared" si="23"/>
        <v>8329.5</v>
      </c>
      <c r="I104" s="24">
        <f t="shared" si="23"/>
        <v>24988.5</v>
      </c>
      <c r="J104" s="159">
        <f>SUM(D104:I104)</f>
        <v>100053</v>
      </c>
      <c r="K104" s="111"/>
      <c r="L104" s="111"/>
      <c r="M104" s="111"/>
    </row>
    <row r="105" spans="3:13" x14ac:dyDescent="0.35">
      <c r="C105" s="20"/>
      <c r="D105" s="36"/>
      <c r="E105" s="36"/>
      <c r="F105" s="36"/>
      <c r="G105" s="36"/>
      <c r="H105" s="36"/>
      <c r="I105" s="36"/>
      <c r="J105" s="36"/>
      <c r="K105" s="111"/>
      <c r="L105" s="111"/>
      <c r="M105" s="111"/>
    </row>
    <row r="106" spans="3:13" ht="15" thickBot="1" x14ac:dyDescent="0.4">
      <c r="C106" s="25"/>
      <c r="D106" s="164"/>
      <c r="E106" s="164"/>
      <c r="F106" s="165"/>
      <c r="G106" s="165"/>
      <c r="H106" s="165"/>
      <c r="I106" s="166"/>
      <c r="J106" s="166"/>
      <c r="K106" s="111"/>
      <c r="L106" s="111"/>
      <c r="M106" s="111"/>
    </row>
    <row r="107" spans="3:13" ht="15" thickBot="1" x14ac:dyDescent="0.4">
      <c r="C107" s="27" t="s">
        <v>27</v>
      </c>
      <c r="D107" s="41">
        <f t="shared" ref="D107:I107" si="24">D92+D96+D100+D104</f>
        <v>9474767.2074999996</v>
      </c>
      <c r="E107" s="41">
        <f t="shared" si="24"/>
        <v>28424301.622499999</v>
      </c>
      <c r="F107" s="41">
        <f t="shared" si="24"/>
        <v>9865792.5830000006</v>
      </c>
      <c r="G107" s="41">
        <f t="shared" si="24"/>
        <v>29597377.748999998</v>
      </c>
      <c r="H107" s="41">
        <f t="shared" si="24"/>
        <v>10342984.6205</v>
      </c>
      <c r="I107" s="41">
        <f t="shared" si="24"/>
        <v>31028953.861500002</v>
      </c>
      <c r="J107" s="41">
        <f>SUM(D107:I107)</f>
        <v>118734177.64399999</v>
      </c>
      <c r="K107" s="111"/>
      <c r="L107" s="111"/>
      <c r="M107" s="111"/>
    </row>
    <row r="108" spans="3:13" x14ac:dyDescent="0.35">
      <c r="C108" s="29" t="s">
        <v>21</v>
      </c>
      <c r="D108" s="172">
        <f>D107*4%</f>
        <v>378990.68829999998</v>
      </c>
      <c r="E108" s="172">
        <f t="shared" ref="E108:J108" si="25">E107*4%</f>
        <v>1136972.0648999999</v>
      </c>
      <c r="F108" s="172">
        <f t="shared" si="25"/>
        <v>394631.70332000003</v>
      </c>
      <c r="G108" s="172">
        <f t="shared" si="25"/>
        <v>1183895.10996</v>
      </c>
      <c r="H108" s="172">
        <f t="shared" si="25"/>
        <v>413719.38482000004</v>
      </c>
      <c r="I108" s="172">
        <f t="shared" si="25"/>
        <v>1241158.1544600001</v>
      </c>
      <c r="J108" s="158">
        <f t="shared" si="25"/>
        <v>4749367.1057599997</v>
      </c>
      <c r="K108" s="111"/>
      <c r="L108" s="111"/>
      <c r="M108" s="111"/>
    </row>
    <row r="109" spans="3:13" x14ac:dyDescent="0.35">
      <c r="D109" s="113">
        <f>SUM(D107:D108)</f>
        <v>9853757.8958000001</v>
      </c>
      <c r="E109" s="113">
        <f t="shared" ref="E109:J109" si="26">SUM(E107:E108)</f>
        <v>29561273.687399998</v>
      </c>
      <c r="F109" s="113">
        <f t="shared" si="26"/>
        <v>10260424.286320001</v>
      </c>
      <c r="G109" s="113">
        <f t="shared" si="26"/>
        <v>30781272.858959999</v>
      </c>
      <c r="H109" s="113">
        <f t="shared" si="26"/>
        <v>10756704.00532</v>
      </c>
      <c r="I109" s="113">
        <f t="shared" si="26"/>
        <v>32270112.015960004</v>
      </c>
      <c r="J109" s="113">
        <f t="shared" si="26"/>
        <v>123483544.74975999</v>
      </c>
    </row>
    <row r="112" spans="3:13" x14ac:dyDescent="0.35">
      <c r="C112" t="s">
        <v>56</v>
      </c>
    </row>
    <row r="113" spans="3:10" ht="15" thickBot="1" x14ac:dyDescent="0.4"/>
    <row r="114" spans="3:10" ht="15" thickBot="1" x14ac:dyDescent="0.4">
      <c r="C114" s="254" t="s">
        <v>29</v>
      </c>
      <c r="D114" s="255"/>
      <c r="E114" s="255"/>
      <c r="F114" s="255"/>
      <c r="G114" s="255"/>
      <c r="H114" s="255"/>
      <c r="I114" s="255"/>
      <c r="J114" s="256"/>
    </row>
    <row r="115" spans="3:10" ht="15" thickBot="1" x14ac:dyDescent="0.4">
      <c r="C115" s="3" t="s">
        <v>30</v>
      </c>
      <c r="D115" s="3">
        <v>3</v>
      </c>
      <c r="E115" s="3">
        <v>9</v>
      </c>
      <c r="F115" s="3">
        <v>3</v>
      </c>
      <c r="G115" s="3">
        <v>9</v>
      </c>
      <c r="H115" s="3">
        <v>3</v>
      </c>
      <c r="I115" s="4">
        <v>9</v>
      </c>
      <c r="J115" s="4" t="s">
        <v>24</v>
      </c>
    </row>
    <row r="116" spans="3:10" ht="15" thickBot="1" x14ac:dyDescent="0.4">
      <c r="C116" s="5"/>
      <c r="D116" s="6">
        <v>2026</v>
      </c>
      <c r="E116" s="6">
        <v>2027</v>
      </c>
      <c r="F116" s="6">
        <v>2027</v>
      </c>
      <c r="G116" s="7">
        <v>2028</v>
      </c>
      <c r="H116" s="7">
        <v>2028</v>
      </c>
      <c r="I116" s="8">
        <v>2029</v>
      </c>
      <c r="J116" s="9"/>
    </row>
    <row r="117" spans="3:10" ht="15" thickBot="1" x14ac:dyDescent="0.4">
      <c r="C117" s="10"/>
      <c r="D117" s="11"/>
      <c r="E117" s="11"/>
      <c r="F117" s="11"/>
      <c r="G117" s="11"/>
      <c r="H117" s="11"/>
      <c r="I117" s="12"/>
      <c r="J117" s="12"/>
    </row>
    <row r="118" spans="3:10" ht="15" thickBot="1" x14ac:dyDescent="0.4">
      <c r="C118" s="13" t="s">
        <v>25</v>
      </c>
      <c r="D118" s="14"/>
      <c r="E118" s="14"/>
      <c r="F118" s="14"/>
      <c r="G118" s="14"/>
      <c r="H118" s="14"/>
      <c r="I118" s="15"/>
      <c r="J118" s="15"/>
    </row>
    <row r="119" spans="3:10" ht="15" thickBot="1" x14ac:dyDescent="0.4">
      <c r="C119" s="16" t="s">
        <v>37</v>
      </c>
      <c r="D119" s="161">
        <f t="shared" ref="D119:J119" si="27">D8+D36+D64+D91</f>
        <v>30054316.187449999</v>
      </c>
      <c r="E119" s="161">
        <f t="shared" si="27"/>
        <v>90162948.572349995</v>
      </c>
      <c r="F119" s="161">
        <f t="shared" si="27"/>
        <v>31347980.05415</v>
      </c>
      <c r="G119" s="161">
        <f t="shared" si="27"/>
        <v>94043940.162450001</v>
      </c>
      <c r="H119" s="161">
        <f t="shared" si="27"/>
        <v>32903576.574675001</v>
      </c>
      <c r="I119" s="161">
        <f t="shared" si="27"/>
        <v>98710729.724025011</v>
      </c>
      <c r="J119" s="157">
        <f t="shared" si="27"/>
        <v>377223491.27510005</v>
      </c>
    </row>
    <row r="120" spans="3:10" ht="15" thickBot="1" x14ac:dyDescent="0.4">
      <c r="C120" s="18" t="s">
        <v>26</v>
      </c>
      <c r="D120" s="161">
        <f>D9+D37+D65+D92</f>
        <v>30054316.187449999</v>
      </c>
      <c r="E120" s="161">
        <f t="shared" ref="E120:J120" si="28">SUM(E119)</f>
        <v>90162948.572349995</v>
      </c>
      <c r="F120" s="161">
        <f t="shared" si="28"/>
        <v>31347980.05415</v>
      </c>
      <c r="G120" s="161">
        <f t="shared" si="28"/>
        <v>94043940.162450001</v>
      </c>
      <c r="H120" s="161">
        <f t="shared" si="28"/>
        <v>32903576.574675001</v>
      </c>
      <c r="I120" s="161">
        <f t="shared" si="28"/>
        <v>98710729.724025011</v>
      </c>
      <c r="J120" s="156">
        <f t="shared" si="28"/>
        <v>377223491.27510005</v>
      </c>
    </row>
    <row r="121" spans="3:10" ht="15" thickBot="1" x14ac:dyDescent="0.4">
      <c r="C121" s="20"/>
      <c r="D121" s="161"/>
      <c r="E121" s="161"/>
      <c r="F121" s="162"/>
      <c r="G121" s="162"/>
      <c r="H121" s="162"/>
      <c r="I121" s="162"/>
      <c r="J121" s="17"/>
    </row>
    <row r="122" spans="3:10" ht="15" thickBot="1" x14ac:dyDescent="0.4">
      <c r="C122" s="42" t="s">
        <v>25</v>
      </c>
      <c r="D122" s="173"/>
      <c r="E122" s="173"/>
      <c r="F122" s="173"/>
      <c r="G122" s="173"/>
      <c r="H122" s="173"/>
      <c r="I122" s="173"/>
      <c r="J122" s="173"/>
    </row>
    <row r="123" spans="3:10" ht="15" thickBot="1" x14ac:dyDescent="0.4">
      <c r="C123" s="16" t="s">
        <v>38</v>
      </c>
      <c r="D123" s="36"/>
      <c r="E123" s="36"/>
      <c r="F123" s="36"/>
      <c r="G123" s="36"/>
      <c r="H123" s="36"/>
      <c r="I123" s="36"/>
      <c r="J123" s="36"/>
    </row>
    <row r="124" spans="3:10" ht="15" thickBot="1" x14ac:dyDescent="0.4">
      <c r="C124" s="23" t="s">
        <v>26</v>
      </c>
      <c r="D124" s="174">
        <f t="shared" ref="D124:I125" si="29">D12+D40+D68+D95</f>
        <v>4612292.228875</v>
      </c>
      <c r="E124" s="174">
        <f t="shared" si="29"/>
        <v>13836876.676625</v>
      </c>
      <c r="F124" s="174">
        <f t="shared" si="29"/>
        <v>4793909.7781250002</v>
      </c>
      <c r="G124" s="174">
        <f t="shared" si="29"/>
        <v>14381729.334375001</v>
      </c>
      <c r="H124" s="174">
        <f t="shared" si="29"/>
        <v>5043115.8187249992</v>
      </c>
      <c r="I124" s="174">
        <f t="shared" si="29"/>
        <v>15129347.456174999</v>
      </c>
      <c r="J124" s="157">
        <f>SUM(D124:I124)</f>
        <v>57797271.292900003</v>
      </c>
    </row>
    <row r="125" spans="3:10" ht="15" thickBot="1" x14ac:dyDescent="0.4">
      <c r="C125" s="20"/>
      <c r="D125" s="174">
        <f t="shared" si="29"/>
        <v>4612292.228875</v>
      </c>
      <c r="E125" s="174">
        <f t="shared" si="29"/>
        <v>13836876.676625</v>
      </c>
      <c r="F125" s="174">
        <f t="shared" si="29"/>
        <v>4793909.7781250002</v>
      </c>
      <c r="G125" s="174">
        <f t="shared" si="29"/>
        <v>14381729.334375001</v>
      </c>
      <c r="H125" s="174">
        <f t="shared" si="29"/>
        <v>5043115.8187249992</v>
      </c>
      <c r="I125" s="174">
        <f t="shared" si="29"/>
        <v>15129347.456174999</v>
      </c>
      <c r="J125" s="156">
        <f>J13+J41+J69+J96</f>
        <v>57797271.292900003</v>
      </c>
    </row>
    <row r="126" spans="3:10" ht="15" thickBot="1" x14ac:dyDescent="0.4">
      <c r="C126" s="13" t="s">
        <v>25</v>
      </c>
      <c r="D126" s="161"/>
      <c r="E126" s="161"/>
      <c r="F126" s="163"/>
      <c r="G126" s="163"/>
      <c r="H126" s="163"/>
      <c r="I126" s="163"/>
      <c r="J126" s="17"/>
    </row>
    <row r="127" spans="3:10" ht="15" thickBot="1" x14ac:dyDescent="0.4">
      <c r="C127" s="16" t="s">
        <v>39</v>
      </c>
      <c r="D127" s="161">
        <f t="shared" ref="D127:I127" si="30">D44+D16+D72+D99</f>
        <v>5740.0625</v>
      </c>
      <c r="E127" s="161">
        <f t="shared" si="30"/>
        <v>17220.1875</v>
      </c>
      <c r="F127" s="161">
        <f t="shared" si="30"/>
        <v>5736.4375</v>
      </c>
      <c r="G127" s="161">
        <f t="shared" si="30"/>
        <v>17209.3125</v>
      </c>
      <c r="H127" s="161">
        <f t="shared" si="30"/>
        <v>5732</v>
      </c>
      <c r="I127" s="161">
        <f t="shared" si="30"/>
        <v>17196</v>
      </c>
      <c r="J127" s="157">
        <f>SUM(D127:I127)</f>
        <v>68834</v>
      </c>
    </row>
    <row r="128" spans="3:10" ht="15" thickBot="1" x14ac:dyDescent="0.4">
      <c r="C128" s="23" t="s">
        <v>26</v>
      </c>
      <c r="D128" s="175">
        <f>SUM(D127)</f>
        <v>5740.0625</v>
      </c>
      <c r="E128" s="175">
        <f t="shared" ref="E128:I128" si="31">SUM(E127)</f>
        <v>17220.1875</v>
      </c>
      <c r="F128" s="175">
        <f t="shared" si="31"/>
        <v>5736.4375</v>
      </c>
      <c r="G128" s="175">
        <f t="shared" si="31"/>
        <v>17209.3125</v>
      </c>
      <c r="H128" s="175">
        <f t="shared" si="31"/>
        <v>5732</v>
      </c>
      <c r="I128" s="175">
        <f t="shared" si="31"/>
        <v>17196</v>
      </c>
      <c r="J128" s="156">
        <f>SUM(D128:I128)</f>
        <v>68834</v>
      </c>
    </row>
    <row r="129" spans="3:10" ht="15" thickBot="1" x14ac:dyDescent="0.4">
      <c r="C129" s="20"/>
      <c r="D129" s="161"/>
      <c r="E129" s="161"/>
      <c r="F129" s="36"/>
      <c r="G129" s="36"/>
      <c r="H129" s="36"/>
      <c r="I129" s="36"/>
      <c r="J129" s="17"/>
    </row>
    <row r="130" spans="3:10" ht="15" thickBot="1" x14ac:dyDescent="0.4">
      <c r="C130" s="13" t="s">
        <v>25</v>
      </c>
      <c r="D130" s="161"/>
      <c r="E130" s="161"/>
      <c r="F130" s="163"/>
      <c r="G130" s="163"/>
      <c r="H130" s="163"/>
      <c r="I130" s="163"/>
      <c r="J130" s="17"/>
    </row>
    <row r="131" spans="3:10" ht="15" thickBot="1" x14ac:dyDescent="0.4">
      <c r="C131" s="16" t="s">
        <v>18</v>
      </c>
      <c r="D131" s="161">
        <f t="shared" ref="D131:I131" si="32">D20+D48+D76+D103</f>
        <v>30727.5</v>
      </c>
      <c r="E131" s="161">
        <f t="shared" si="32"/>
        <v>92182.5</v>
      </c>
      <c r="F131" s="161">
        <f t="shared" si="32"/>
        <v>30712.25</v>
      </c>
      <c r="G131" s="161">
        <f t="shared" si="32"/>
        <v>92136.75</v>
      </c>
      <c r="H131" s="161">
        <f t="shared" si="32"/>
        <v>30685.5</v>
      </c>
      <c r="I131" s="161">
        <f t="shared" si="32"/>
        <v>92056.5</v>
      </c>
      <c r="J131" s="157">
        <f>SUM(D131:I131)</f>
        <v>368501</v>
      </c>
    </row>
    <row r="132" spans="3:10" ht="15" thickBot="1" x14ac:dyDescent="0.4">
      <c r="C132" s="23" t="s">
        <v>26</v>
      </c>
      <c r="D132" s="175">
        <f>SUM(D131)</f>
        <v>30727.5</v>
      </c>
      <c r="E132" s="175">
        <f t="shared" ref="E132:I132" si="33">SUM(E131)</f>
        <v>92182.5</v>
      </c>
      <c r="F132" s="175">
        <f t="shared" si="33"/>
        <v>30712.25</v>
      </c>
      <c r="G132" s="175">
        <f t="shared" si="33"/>
        <v>92136.75</v>
      </c>
      <c r="H132" s="175">
        <f t="shared" si="33"/>
        <v>30685.5</v>
      </c>
      <c r="I132" s="175">
        <f t="shared" si="33"/>
        <v>92056.5</v>
      </c>
      <c r="J132" s="156">
        <f>SUM(D132:I132)</f>
        <v>368501</v>
      </c>
    </row>
    <row r="133" spans="3:10" x14ac:dyDescent="0.35">
      <c r="C133" s="20"/>
      <c r="D133" s="36"/>
      <c r="E133" s="36"/>
      <c r="F133" s="36"/>
      <c r="G133" s="36"/>
      <c r="H133" s="36"/>
      <c r="I133" s="36"/>
      <c r="J133" s="36"/>
    </row>
    <row r="134" spans="3:10" ht="15" thickBot="1" x14ac:dyDescent="0.4">
      <c r="C134" s="25"/>
      <c r="D134" s="164"/>
      <c r="E134" s="164"/>
      <c r="F134" s="165"/>
      <c r="G134" s="165"/>
      <c r="H134" s="165"/>
      <c r="I134" s="166"/>
      <c r="J134" s="166"/>
    </row>
    <row r="135" spans="3:10" ht="15" thickBot="1" x14ac:dyDescent="0.4">
      <c r="C135" s="27" t="s">
        <v>27</v>
      </c>
      <c r="D135" s="41">
        <f t="shared" ref="D135:J135" si="34">D24+D52+D80+D107</f>
        <v>34703075.97315</v>
      </c>
      <c r="E135" s="41">
        <f t="shared" si="34"/>
        <v>104109227.93945</v>
      </c>
      <c r="F135" s="41">
        <f t="shared" si="34"/>
        <v>36178338.528899997</v>
      </c>
      <c r="G135" s="41">
        <f t="shared" si="34"/>
        <v>108535015.55670001</v>
      </c>
      <c r="H135" s="41">
        <f t="shared" si="34"/>
        <v>37983109.894149996</v>
      </c>
      <c r="I135" s="41">
        <f t="shared" si="34"/>
        <v>113949329.68245</v>
      </c>
      <c r="J135" s="41">
        <f t="shared" si="34"/>
        <v>435458097.57069999</v>
      </c>
    </row>
    <row r="136" spans="3:10" ht="21.75" customHeight="1" x14ac:dyDescent="0.35">
      <c r="C136" s="29" t="s">
        <v>21</v>
      </c>
      <c r="D136" s="35">
        <f>D135*4%</f>
        <v>1388123.038926</v>
      </c>
      <c r="E136" s="35">
        <f t="shared" ref="E136:I136" si="35">E135*4%</f>
        <v>4164369.1175779998</v>
      </c>
      <c r="F136" s="35">
        <f t="shared" si="35"/>
        <v>1447133.541156</v>
      </c>
      <c r="G136" s="35">
        <f t="shared" si="35"/>
        <v>4341400.6222680006</v>
      </c>
      <c r="H136" s="35">
        <f t="shared" si="35"/>
        <v>1519324.3957659998</v>
      </c>
      <c r="I136" s="35">
        <f t="shared" si="35"/>
        <v>4557973.1872979999</v>
      </c>
      <c r="J136" s="41">
        <f>J135*4%</f>
        <v>17418323.902828</v>
      </c>
    </row>
    <row r="137" spans="3:10" ht="21" customHeight="1" x14ac:dyDescent="0.35">
      <c r="C137" t="s">
        <v>92</v>
      </c>
      <c r="D137" s="43">
        <f>D135+D136</f>
        <v>36091199.012075998</v>
      </c>
      <c r="E137" s="43">
        <f t="shared" ref="E137:I137" si="36">E135+E136</f>
        <v>108273597.057028</v>
      </c>
      <c r="F137" s="43">
        <f t="shared" si="36"/>
        <v>37625472.070055999</v>
      </c>
      <c r="G137" s="43">
        <f t="shared" si="36"/>
        <v>112876416.17896801</v>
      </c>
      <c r="H137" s="43">
        <f t="shared" si="36"/>
        <v>39502434.289915994</v>
      </c>
      <c r="I137" s="43">
        <f t="shared" si="36"/>
        <v>118507302.869748</v>
      </c>
      <c r="J137" s="43">
        <f>SUM(J135:J136)</f>
        <v>452876421.47352797</v>
      </c>
    </row>
  </sheetData>
  <mergeCells count="5">
    <mergeCell ref="C3:J3"/>
    <mergeCell ref="C31:J31"/>
    <mergeCell ref="C59:J59"/>
    <mergeCell ref="C86:J86"/>
    <mergeCell ref="C114:J114"/>
  </mergeCells>
  <pageMargins left="0.70866141732283472" right="0.70866141732283472" top="0.74803149606299213" bottom="0.74803149606299213"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S59"/>
  <sheetViews>
    <sheetView showGridLines="0" topLeftCell="A3" zoomScale="70" zoomScaleNormal="70" workbookViewId="0">
      <selection activeCell="N19" sqref="N19"/>
    </sheetView>
  </sheetViews>
  <sheetFormatPr defaultColWidth="9.1796875" defaultRowHeight="14.5" x14ac:dyDescent="0.35"/>
  <cols>
    <col min="3" max="3" width="0" hidden="1" customWidth="1"/>
    <col min="4" max="4" width="9.7265625" bestFit="1" customWidth="1"/>
    <col min="5" max="5" width="14" bestFit="1" customWidth="1"/>
    <col min="6" max="6" width="16.7265625" bestFit="1" customWidth="1"/>
    <col min="7" max="7" width="13.453125" bestFit="1" customWidth="1"/>
    <col min="8" max="8" width="27.7265625" customWidth="1"/>
    <col min="9" max="9" width="19.26953125" bestFit="1" customWidth="1"/>
    <col min="10" max="10" width="27.26953125" customWidth="1"/>
    <col min="11" max="11" width="29" customWidth="1"/>
    <col min="12" max="12" width="7.453125" customWidth="1"/>
    <col min="13" max="13" width="13" bestFit="1" customWidth="1"/>
    <col min="14" max="14" width="13.453125" bestFit="1" customWidth="1"/>
    <col min="15" max="15" width="12.54296875" bestFit="1" customWidth="1"/>
    <col min="16" max="16" width="14.26953125" bestFit="1" customWidth="1"/>
    <col min="17" max="17" width="13" bestFit="1" customWidth="1"/>
    <col min="18" max="18" width="14.26953125" bestFit="1" customWidth="1"/>
    <col min="19" max="19" width="19.1796875" bestFit="1" customWidth="1"/>
  </cols>
  <sheetData>
    <row r="2" spans="2:11" x14ac:dyDescent="0.35">
      <c r="B2" t="s">
        <v>67</v>
      </c>
    </row>
    <row r="3" spans="2:11" ht="21.5" thickBot="1" x14ac:dyDescent="0.55000000000000004">
      <c r="B3" s="57"/>
      <c r="C3" s="57"/>
      <c r="D3" s="57"/>
      <c r="E3" s="56"/>
      <c r="F3" s="56"/>
      <c r="G3" s="56"/>
      <c r="H3" s="56"/>
      <c r="I3" s="56"/>
      <c r="J3" s="56"/>
    </row>
    <row r="4" spans="2:11" ht="108" customHeight="1" thickBot="1" x14ac:dyDescent="0.4">
      <c r="B4" s="55" t="s">
        <v>66</v>
      </c>
      <c r="C4" s="53" t="s">
        <v>65</v>
      </c>
      <c r="D4" s="53" t="s">
        <v>64</v>
      </c>
      <c r="E4" s="53" t="s">
        <v>63</v>
      </c>
      <c r="F4" s="53" t="s">
        <v>62</v>
      </c>
      <c r="G4" s="53" t="s">
        <v>61</v>
      </c>
      <c r="H4" s="54" t="s">
        <v>60</v>
      </c>
      <c r="I4" s="53" t="s">
        <v>59</v>
      </c>
      <c r="J4" s="53" t="s">
        <v>58</v>
      </c>
      <c r="K4" s="53" t="s">
        <v>57</v>
      </c>
    </row>
    <row r="5" spans="2:11" ht="24" customHeight="1" thickBot="1" x14ac:dyDescent="0.4">
      <c r="B5" s="48">
        <v>2026</v>
      </c>
      <c r="C5" s="51">
        <v>185</v>
      </c>
      <c r="D5" s="51">
        <v>3</v>
      </c>
      <c r="E5" s="50" t="s">
        <v>75</v>
      </c>
      <c r="F5" s="50">
        <v>22726</v>
      </c>
      <c r="G5" s="49">
        <v>23142</v>
      </c>
      <c r="H5" s="115">
        <v>8657482.3399999999</v>
      </c>
      <c r="I5" s="46">
        <v>0.04</v>
      </c>
      <c r="J5" s="45">
        <v>346299.29</v>
      </c>
      <c r="K5" s="44">
        <f t="shared" ref="K5:K10" si="0">SUM(H5+J5)</f>
        <v>9003781.629999999</v>
      </c>
    </row>
    <row r="6" spans="2:11" ht="24" customHeight="1" thickBot="1" x14ac:dyDescent="0.4">
      <c r="B6" s="48">
        <v>2027</v>
      </c>
      <c r="C6" s="51">
        <v>700</v>
      </c>
      <c r="D6" s="51">
        <v>9</v>
      </c>
      <c r="E6" s="50" t="s">
        <v>75</v>
      </c>
      <c r="F6" s="50">
        <v>22726</v>
      </c>
      <c r="G6" s="49">
        <v>23142</v>
      </c>
      <c r="H6" s="116">
        <v>25972447.02</v>
      </c>
      <c r="I6" s="46">
        <v>0.04</v>
      </c>
      <c r="J6" s="45">
        <v>1038897.8808</v>
      </c>
      <c r="K6" s="44">
        <f t="shared" si="0"/>
        <v>27011344.900800001</v>
      </c>
    </row>
    <row r="7" spans="2:11" ht="24" customHeight="1" thickBot="1" x14ac:dyDescent="0.4">
      <c r="B7" s="48">
        <v>2027</v>
      </c>
      <c r="C7" s="48">
        <v>455</v>
      </c>
      <c r="D7" s="48">
        <v>3</v>
      </c>
      <c r="E7" s="48" t="s">
        <v>75</v>
      </c>
      <c r="F7" s="48">
        <v>22726</v>
      </c>
      <c r="G7" s="48">
        <v>23142</v>
      </c>
      <c r="H7" s="47">
        <f>'Recalcul EXECUCIÓ'!$F$24</f>
        <v>9064788.5399999991</v>
      </c>
      <c r="I7" s="46">
        <v>0.04</v>
      </c>
      <c r="J7" s="45">
        <v>362591.5416</v>
      </c>
      <c r="K7" s="44">
        <f t="shared" si="0"/>
        <v>9427380.0815999992</v>
      </c>
    </row>
    <row r="8" spans="2:11" ht="24" customHeight="1" thickBot="1" x14ac:dyDescent="0.4">
      <c r="B8" s="48">
        <v>2028</v>
      </c>
      <c r="C8" s="51">
        <v>185</v>
      </c>
      <c r="D8" s="51">
        <v>9</v>
      </c>
      <c r="E8" s="50" t="s">
        <v>75</v>
      </c>
      <c r="F8" s="50">
        <v>22726</v>
      </c>
      <c r="G8" s="49">
        <v>23142</v>
      </c>
      <c r="H8" s="52">
        <f>'Recalcul EXECUCIÓ'!$G$24</f>
        <v>27194365.600000001</v>
      </c>
      <c r="I8" s="46">
        <v>0.04</v>
      </c>
      <c r="J8" s="45">
        <v>1087774.6240000001</v>
      </c>
      <c r="K8" s="44">
        <f t="shared" si="0"/>
        <v>28282140.224000003</v>
      </c>
    </row>
    <row r="9" spans="2:11" ht="24" customHeight="1" thickBot="1" x14ac:dyDescent="0.4">
      <c r="B9" s="48">
        <v>2028</v>
      </c>
      <c r="C9" s="51">
        <v>700</v>
      </c>
      <c r="D9" s="51">
        <v>3</v>
      </c>
      <c r="E9" s="50" t="s">
        <v>75</v>
      </c>
      <c r="F9" s="50">
        <v>22726</v>
      </c>
      <c r="G9" s="49">
        <v>23142</v>
      </c>
      <c r="H9" s="47">
        <f>'Recalcul EXECUCIÓ'!$H$24</f>
        <v>9531467.0800000001</v>
      </c>
      <c r="I9" s="46">
        <v>0.04</v>
      </c>
      <c r="J9" s="45">
        <v>381258.68320000003</v>
      </c>
      <c r="K9" s="44">
        <f t="shared" si="0"/>
        <v>9912725.7631999999</v>
      </c>
    </row>
    <row r="10" spans="2:11" ht="24" customHeight="1" thickBot="1" x14ac:dyDescent="0.4">
      <c r="B10" s="48">
        <v>2029</v>
      </c>
      <c r="C10" s="48">
        <v>455</v>
      </c>
      <c r="D10" s="48">
        <v>9</v>
      </c>
      <c r="E10" s="48" t="s">
        <v>75</v>
      </c>
      <c r="F10" s="48">
        <v>22726</v>
      </c>
      <c r="G10" s="48">
        <v>23142</v>
      </c>
      <c r="H10" s="47">
        <f>'Recalcul EXECUCIÓ'!$I$24</f>
        <v>28594401.239999998</v>
      </c>
      <c r="I10" s="46">
        <v>0.04</v>
      </c>
      <c r="J10" s="45">
        <v>1143776.0496</v>
      </c>
      <c r="K10" s="44">
        <f t="shared" si="0"/>
        <v>29738177.2896</v>
      </c>
    </row>
    <row r="11" spans="2:11" ht="24" customHeight="1" x14ac:dyDescent="0.35">
      <c r="B11" s="58"/>
      <c r="C11" s="58"/>
      <c r="D11" s="58"/>
      <c r="E11" s="58"/>
      <c r="F11" s="58"/>
      <c r="G11" s="58"/>
      <c r="H11" s="59">
        <f>SUM(H5:H10)</f>
        <v>109014951.81999999</v>
      </c>
      <c r="I11" s="60"/>
      <c r="J11" s="59">
        <f>SUM(J5:J10)</f>
        <v>4360598.0691999998</v>
      </c>
      <c r="K11" s="129">
        <f>SUM(K5:K10)</f>
        <v>113375549.8892</v>
      </c>
    </row>
    <row r="12" spans="2:11" x14ac:dyDescent="0.35">
      <c r="G12" s="36"/>
    </row>
    <row r="13" spans="2:11" x14ac:dyDescent="0.35">
      <c r="G13" s="36"/>
      <c r="I13" s="36"/>
    </row>
    <row r="14" spans="2:11" ht="15" thickBot="1" x14ac:dyDescent="0.4">
      <c r="G14" s="36"/>
      <c r="I14" s="36"/>
    </row>
    <row r="15" spans="2:11" ht="21.5" thickBot="1" x14ac:dyDescent="0.4">
      <c r="B15" s="55" t="s">
        <v>66</v>
      </c>
      <c r="C15" s="53" t="s">
        <v>65</v>
      </c>
      <c r="D15" s="53" t="s">
        <v>64</v>
      </c>
      <c r="E15" s="53" t="s">
        <v>63</v>
      </c>
      <c r="F15" s="53" t="s">
        <v>62</v>
      </c>
      <c r="G15" s="53" t="s">
        <v>61</v>
      </c>
      <c r="H15" s="54" t="s">
        <v>60</v>
      </c>
      <c r="I15" s="53" t="s">
        <v>59</v>
      </c>
      <c r="J15" s="53" t="s">
        <v>58</v>
      </c>
      <c r="K15" s="53" t="s">
        <v>57</v>
      </c>
    </row>
    <row r="16" spans="2:11" ht="21.5" thickBot="1" x14ac:dyDescent="0.4">
      <c r="B16" s="48">
        <v>2026</v>
      </c>
      <c r="C16" s="51">
        <v>185</v>
      </c>
      <c r="D16" s="51">
        <v>3</v>
      </c>
      <c r="E16" s="50" t="s">
        <v>75</v>
      </c>
      <c r="F16" s="50">
        <v>22726</v>
      </c>
      <c r="G16" s="49">
        <v>23142</v>
      </c>
      <c r="H16" s="52">
        <v>8063350.4900000002</v>
      </c>
      <c r="I16" s="46">
        <v>0.04</v>
      </c>
      <c r="J16" s="45">
        <v>322534.0196</v>
      </c>
      <c r="K16" s="44">
        <f t="shared" ref="K16:K20" si="1">SUM(H16+J16)</f>
        <v>8385884.5096000005</v>
      </c>
    </row>
    <row r="17" spans="2:19" ht="21.5" thickBot="1" x14ac:dyDescent="0.4">
      <c r="B17" s="48">
        <v>2027</v>
      </c>
      <c r="C17" s="51">
        <v>700</v>
      </c>
      <c r="D17" s="51">
        <v>9</v>
      </c>
      <c r="E17" s="50" t="s">
        <v>75</v>
      </c>
      <c r="F17" s="50">
        <v>22726</v>
      </c>
      <c r="G17" s="49">
        <v>23142</v>
      </c>
      <c r="H17" s="47">
        <v>24190051.489999998</v>
      </c>
      <c r="I17" s="46">
        <v>0.04</v>
      </c>
      <c r="J17" s="45">
        <v>967602.05959999992</v>
      </c>
      <c r="K17" s="44">
        <f t="shared" si="1"/>
        <v>25157653.549599998</v>
      </c>
      <c r="M17" s="114"/>
      <c r="N17" s="114"/>
      <c r="O17" s="114"/>
      <c r="P17" s="114"/>
      <c r="Q17" s="114"/>
      <c r="R17" s="114"/>
      <c r="S17" s="40"/>
    </row>
    <row r="18" spans="2:19" ht="21.5" thickBot="1" x14ac:dyDescent="0.4">
      <c r="B18" s="48">
        <v>2027</v>
      </c>
      <c r="C18" s="48">
        <v>455</v>
      </c>
      <c r="D18" s="48">
        <v>3</v>
      </c>
      <c r="E18" s="48" t="s">
        <v>75</v>
      </c>
      <c r="F18" s="48">
        <v>22726</v>
      </c>
      <c r="G18" s="48">
        <v>23142</v>
      </c>
      <c r="H18" s="121">
        <v>8419932.3499999996</v>
      </c>
      <c r="I18" s="46">
        <v>0.04</v>
      </c>
      <c r="J18" s="45">
        <v>336797.29399999999</v>
      </c>
      <c r="K18" s="44">
        <f t="shared" si="1"/>
        <v>8756729.6439999994</v>
      </c>
      <c r="S18" s="40"/>
    </row>
    <row r="19" spans="2:19" ht="21.5" thickBot="1" x14ac:dyDescent="0.4">
      <c r="B19" s="48">
        <v>2028</v>
      </c>
      <c r="C19" s="51">
        <v>185</v>
      </c>
      <c r="D19" s="51">
        <v>9</v>
      </c>
      <c r="E19" s="50" t="s">
        <v>75</v>
      </c>
      <c r="F19" s="50">
        <v>22726</v>
      </c>
      <c r="G19" s="49">
        <v>23142</v>
      </c>
      <c r="H19" s="121">
        <v>25259797.039999999</v>
      </c>
      <c r="I19" s="46">
        <v>0.04</v>
      </c>
      <c r="J19" s="45">
        <v>1010391.8816</v>
      </c>
      <c r="K19" s="44">
        <f t="shared" si="1"/>
        <v>26270188.921599999</v>
      </c>
      <c r="S19" s="40"/>
    </row>
    <row r="20" spans="2:19" ht="21.5" thickBot="1" x14ac:dyDescent="0.4">
      <c r="B20" s="48">
        <v>2028</v>
      </c>
      <c r="C20" s="51">
        <v>700</v>
      </c>
      <c r="D20" s="51">
        <v>3</v>
      </c>
      <c r="E20" s="50" t="s">
        <v>75</v>
      </c>
      <c r="F20" s="50">
        <v>22726</v>
      </c>
      <c r="G20" s="49">
        <v>23142</v>
      </c>
      <c r="H20" s="121">
        <f>'Recalcul EXECUCIÓ'!$H$52</f>
        <v>8852311.6441750005</v>
      </c>
      <c r="I20" s="46">
        <v>0.04</v>
      </c>
      <c r="J20" s="45">
        <v>354092.46576700005</v>
      </c>
      <c r="K20" s="44">
        <f t="shared" si="1"/>
        <v>9206404.1099420004</v>
      </c>
    </row>
    <row r="21" spans="2:19" ht="21.5" thickBot="1" x14ac:dyDescent="0.4">
      <c r="B21" s="48">
        <v>2029</v>
      </c>
      <c r="C21" s="48">
        <v>455</v>
      </c>
      <c r="D21" s="48">
        <v>9</v>
      </c>
      <c r="E21" s="48" t="s">
        <v>75</v>
      </c>
      <c r="F21" s="48">
        <v>22726</v>
      </c>
      <c r="G21" s="48">
        <v>23142</v>
      </c>
      <c r="H21" s="47">
        <f>'Recalcul EXECUCIÓ'!$I$52</f>
        <v>26556934.932525001</v>
      </c>
      <c r="I21" s="46">
        <v>0.04</v>
      </c>
      <c r="J21" s="45">
        <v>1062277.3973010001</v>
      </c>
      <c r="K21" s="44">
        <f>SUM(H21+J21)</f>
        <v>27619212.329826001</v>
      </c>
    </row>
    <row r="22" spans="2:19" ht="21" x14ac:dyDescent="0.35">
      <c r="B22" s="58"/>
      <c r="C22" s="58"/>
      <c r="D22" s="58"/>
      <c r="E22" s="58"/>
      <c r="F22" s="58"/>
      <c r="G22" s="58"/>
      <c r="H22" s="59">
        <f>SUM(H16:H21)</f>
        <v>101342377.94670001</v>
      </c>
      <c r="I22" s="60"/>
      <c r="J22" s="59">
        <f>SUM(J16:J21)-0.01</f>
        <v>4053695.1078680004</v>
      </c>
      <c r="K22" s="61">
        <f>SUM(K16:K21)</f>
        <v>105396073.064568</v>
      </c>
    </row>
    <row r="24" spans="2:19" ht="15" thickBot="1" x14ac:dyDescent="0.4"/>
    <row r="25" spans="2:19" ht="21.5" thickBot="1" x14ac:dyDescent="0.4">
      <c r="B25" s="55" t="s">
        <v>66</v>
      </c>
      <c r="C25" s="53" t="s">
        <v>65</v>
      </c>
      <c r="D25" s="53" t="s">
        <v>64</v>
      </c>
      <c r="E25" s="53" t="s">
        <v>63</v>
      </c>
      <c r="F25" s="53" t="s">
        <v>62</v>
      </c>
      <c r="G25" s="53" t="s">
        <v>61</v>
      </c>
      <c r="H25" s="54" t="s">
        <v>60</v>
      </c>
      <c r="I25" s="53" t="s">
        <v>59</v>
      </c>
      <c r="J25" s="53" t="s">
        <v>58</v>
      </c>
      <c r="K25" s="53" t="s">
        <v>57</v>
      </c>
    </row>
    <row r="26" spans="2:19" ht="21.5" thickBot="1" x14ac:dyDescent="0.4">
      <c r="B26" s="48">
        <v>2026</v>
      </c>
      <c r="C26" s="51">
        <v>185</v>
      </c>
      <c r="D26" s="51">
        <v>3</v>
      </c>
      <c r="E26" s="50" t="s">
        <v>75</v>
      </c>
      <c r="F26" s="50">
        <v>22726</v>
      </c>
      <c r="G26" s="49">
        <v>23142</v>
      </c>
      <c r="H26" s="52">
        <v>8507475.9356499985</v>
      </c>
      <c r="I26" s="46">
        <v>0.04</v>
      </c>
      <c r="J26" s="45">
        <f>H26*I26</f>
        <v>340299.03742599994</v>
      </c>
      <c r="K26" s="44">
        <f t="shared" ref="K26:K31" si="2">SUM(H26+J26)</f>
        <v>8847774.9730759989</v>
      </c>
    </row>
    <row r="27" spans="2:19" ht="21.5" thickBot="1" x14ac:dyDescent="0.4">
      <c r="B27" s="48">
        <v>2027</v>
      </c>
      <c r="C27" s="51">
        <v>700</v>
      </c>
      <c r="D27" s="51">
        <v>9</v>
      </c>
      <c r="E27" s="50" t="s">
        <v>75</v>
      </c>
      <c r="F27" s="50">
        <v>22726</v>
      </c>
      <c r="G27" s="49">
        <v>23142</v>
      </c>
      <c r="H27" s="47">
        <f>'Recalcul EXECUCIÓ'!$E$80</f>
        <v>25522427.806949999</v>
      </c>
      <c r="I27" s="46">
        <v>0.04</v>
      </c>
      <c r="J27" s="45">
        <f t="shared" ref="J27:J31" si="3">H27*I27</f>
        <v>1020897.112278</v>
      </c>
      <c r="K27" s="44">
        <f t="shared" si="2"/>
        <v>26543324.919227999</v>
      </c>
    </row>
    <row r="28" spans="2:19" ht="21.5" thickBot="1" x14ac:dyDescent="0.4">
      <c r="B28" s="48">
        <v>2027</v>
      </c>
      <c r="C28" s="48">
        <v>455</v>
      </c>
      <c r="D28" s="48">
        <v>3</v>
      </c>
      <c r="E28" s="48" t="s">
        <v>75</v>
      </c>
      <c r="F28" s="48">
        <v>22726</v>
      </c>
      <c r="G28" s="48">
        <v>23142</v>
      </c>
      <c r="H28" s="47">
        <f>'Recalcul EXECUCIÓ'!$F$80</f>
        <v>8827825.0559</v>
      </c>
      <c r="I28" s="46">
        <v>0.04</v>
      </c>
      <c r="J28" s="45">
        <f t="shared" si="3"/>
        <v>353113.00223600003</v>
      </c>
      <c r="K28" s="44">
        <f t="shared" si="2"/>
        <v>9180938.0581359994</v>
      </c>
    </row>
    <row r="29" spans="2:19" ht="21.5" thickBot="1" x14ac:dyDescent="0.4">
      <c r="B29" s="48">
        <v>2028</v>
      </c>
      <c r="C29" s="51">
        <v>185</v>
      </c>
      <c r="D29" s="51">
        <v>9</v>
      </c>
      <c r="E29" s="50" t="s">
        <v>75</v>
      </c>
      <c r="F29" s="50">
        <v>22726</v>
      </c>
      <c r="G29" s="49">
        <v>23142</v>
      </c>
      <c r="H29" s="52">
        <f>'Recalcul EXECUCIÓ'!$G$80</f>
        <v>26483475.1677</v>
      </c>
      <c r="I29" s="46">
        <v>0.04</v>
      </c>
      <c r="J29" s="45">
        <f t="shared" si="3"/>
        <v>1059339.0067080001</v>
      </c>
      <c r="K29" s="44">
        <f t="shared" si="2"/>
        <v>27542814.174408</v>
      </c>
    </row>
    <row r="30" spans="2:19" ht="21.5" thickBot="1" x14ac:dyDescent="0.4">
      <c r="B30" s="48">
        <v>2028</v>
      </c>
      <c r="C30" s="51">
        <v>700</v>
      </c>
      <c r="D30" s="51">
        <v>3</v>
      </c>
      <c r="E30" s="50" t="s">
        <v>75</v>
      </c>
      <c r="F30" s="50">
        <v>22726</v>
      </c>
      <c r="G30" s="49">
        <v>23142</v>
      </c>
      <c r="H30" s="52">
        <f>'Recalcul EXECUCIÓ'!$H$80</f>
        <v>9256346.5494749993</v>
      </c>
      <c r="I30" s="46">
        <v>0.04</v>
      </c>
      <c r="J30" s="45">
        <f t="shared" si="3"/>
        <v>370253.86197899998</v>
      </c>
      <c r="K30" s="44">
        <f t="shared" si="2"/>
        <v>9626600.4114539996</v>
      </c>
    </row>
    <row r="31" spans="2:19" ht="21.5" thickBot="1" x14ac:dyDescent="0.4">
      <c r="B31" s="48">
        <v>2029</v>
      </c>
      <c r="C31" s="48">
        <v>455</v>
      </c>
      <c r="D31" s="48">
        <v>9</v>
      </c>
      <c r="E31" s="48" t="s">
        <v>75</v>
      </c>
      <c r="F31" s="48">
        <v>22726</v>
      </c>
      <c r="G31" s="48">
        <v>23142</v>
      </c>
      <c r="H31" s="52">
        <f>'Recalcul EXECUCIÓ'!$I$80</f>
        <v>27769039.648424998</v>
      </c>
      <c r="I31" s="46">
        <v>0.04</v>
      </c>
      <c r="J31" s="45">
        <f t="shared" si="3"/>
        <v>1110761.5859369999</v>
      </c>
      <c r="K31" s="44">
        <f t="shared" si="2"/>
        <v>28879801.234361999</v>
      </c>
    </row>
    <row r="32" spans="2:19" ht="21" x14ac:dyDescent="0.35">
      <c r="B32" s="58"/>
      <c r="C32" s="58"/>
      <c r="D32" s="58"/>
      <c r="E32" s="58"/>
      <c r="F32" s="58"/>
      <c r="G32" s="58"/>
      <c r="H32" s="153">
        <f>SUM(H26:H31)</f>
        <v>106366590.16409999</v>
      </c>
      <c r="I32" s="60"/>
      <c r="J32" s="59">
        <f>SUM(J26:J31)</f>
        <v>4254663.6065640002</v>
      </c>
      <c r="K32" s="61">
        <f>SUM(H32:J32)</f>
        <v>110621253.77066399</v>
      </c>
    </row>
    <row r="35" spans="2:11" ht="15" thickBot="1" x14ac:dyDescent="0.4"/>
    <row r="36" spans="2:11" ht="21.5" thickBot="1" x14ac:dyDescent="0.4">
      <c r="B36" s="55" t="s">
        <v>66</v>
      </c>
      <c r="C36" s="53" t="s">
        <v>65</v>
      </c>
      <c r="D36" s="53" t="s">
        <v>64</v>
      </c>
      <c r="E36" s="53" t="s">
        <v>63</v>
      </c>
      <c r="F36" s="53" t="s">
        <v>62</v>
      </c>
      <c r="G36" s="53" t="s">
        <v>61</v>
      </c>
      <c r="H36" s="54" t="s">
        <v>60</v>
      </c>
      <c r="I36" s="53" t="s">
        <v>59</v>
      </c>
      <c r="J36" s="53" t="s">
        <v>58</v>
      </c>
      <c r="K36" s="53" t="s">
        <v>57</v>
      </c>
    </row>
    <row r="37" spans="2:11" ht="21.5" thickBot="1" x14ac:dyDescent="0.4">
      <c r="B37" s="48">
        <v>2026</v>
      </c>
      <c r="C37" s="51">
        <v>185</v>
      </c>
      <c r="D37" s="51">
        <v>3</v>
      </c>
      <c r="E37" s="50" t="s">
        <v>75</v>
      </c>
      <c r="F37" s="50">
        <v>22726</v>
      </c>
      <c r="G37" s="49">
        <v>23142</v>
      </c>
      <c r="H37" s="52">
        <f>'Recalcul EXECUCIÓ'!$D$107</f>
        <v>9474767.2074999996</v>
      </c>
      <c r="I37" s="46">
        <v>0.04</v>
      </c>
      <c r="J37" s="45">
        <v>378990.68829999998</v>
      </c>
      <c r="K37" s="44">
        <f>H37+J37</f>
        <v>9853757.8958000001</v>
      </c>
    </row>
    <row r="38" spans="2:11" ht="21.5" thickBot="1" x14ac:dyDescent="0.4">
      <c r="B38" s="48">
        <v>2027</v>
      </c>
      <c r="C38" s="51">
        <v>700</v>
      </c>
      <c r="D38" s="51">
        <v>9</v>
      </c>
      <c r="E38" s="50" t="s">
        <v>75</v>
      </c>
      <c r="F38" s="50">
        <v>22726</v>
      </c>
      <c r="G38" s="49">
        <v>23142</v>
      </c>
      <c r="H38" s="47">
        <f>'Recalcul EXECUCIÓ'!$E$107</f>
        <v>28424301.622499999</v>
      </c>
      <c r="I38" s="46">
        <v>0.04</v>
      </c>
      <c r="J38" s="45">
        <v>1136972.0648999999</v>
      </c>
      <c r="K38" s="44">
        <f t="shared" ref="K38:K42" si="4">H38+J38</f>
        <v>29561273.687399998</v>
      </c>
    </row>
    <row r="39" spans="2:11" ht="21.5" thickBot="1" x14ac:dyDescent="0.4">
      <c r="B39" s="48">
        <v>2027</v>
      </c>
      <c r="C39" s="48">
        <v>455</v>
      </c>
      <c r="D39" s="48">
        <v>3</v>
      </c>
      <c r="E39" s="48" t="s">
        <v>75</v>
      </c>
      <c r="F39" s="48">
        <v>22726</v>
      </c>
      <c r="G39" s="48">
        <v>23142</v>
      </c>
      <c r="H39" s="47">
        <f>'Recalcul EXECUCIÓ'!$F$107</f>
        <v>9865792.5830000006</v>
      </c>
      <c r="I39" s="46">
        <v>0.04</v>
      </c>
      <c r="J39" s="45">
        <v>394631.70332000003</v>
      </c>
      <c r="K39" s="44">
        <f t="shared" si="4"/>
        <v>10260424.286320001</v>
      </c>
    </row>
    <row r="40" spans="2:11" ht="21.5" thickBot="1" x14ac:dyDescent="0.4">
      <c r="B40" s="48">
        <v>2028</v>
      </c>
      <c r="C40" s="51">
        <v>185</v>
      </c>
      <c r="D40" s="51">
        <v>9</v>
      </c>
      <c r="E40" s="50" t="s">
        <v>75</v>
      </c>
      <c r="F40" s="50">
        <v>22726</v>
      </c>
      <c r="G40" s="49">
        <v>23142</v>
      </c>
      <c r="H40" s="52">
        <f>'Recalcul EXECUCIÓ'!$G$107</f>
        <v>29597377.748999998</v>
      </c>
      <c r="I40" s="46">
        <v>0.04</v>
      </c>
      <c r="J40" s="45">
        <v>1183895.10996</v>
      </c>
      <c r="K40" s="44">
        <f t="shared" si="4"/>
        <v>30781272.858959999</v>
      </c>
    </row>
    <row r="41" spans="2:11" ht="21.5" thickBot="1" x14ac:dyDescent="0.4">
      <c r="B41" s="48">
        <v>2028</v>
      </c>
      <c r="C41" s="51">
        <v>700</v>
      </c>
      <c r="D41" s="51">
        <v>3</v>
      </c>
      <c r="E41" s="50" t="s">
        <v>75</v>
      </c>
      <c r="F41" s="50">
        <v>22726</v>
      </c>
      <c r="G41" s="49">
        <v>23142</v>
      </c>
      <c r="H41" s="47">
        <f>'Recalcul EXECUCIÓ'!$H$107</f>
        <v>10342984.6205</v>
      </c>
      <c r="I41" s="46">
        <v>0.04</v>
      </c>
      <c r="J41" s="45">
        <v>413719.38482000004</v>
      </c>
      <c r="K41" s="44">
        <f t="shared" si="4"/>
        <v>10756704.00532</v>
      </c>
    </row>
    <row r="42" spans="2:11" ht="21.5" thickBot="1" x14ac:dyDescent="0.4">
      <c r="B42" s="48">
        <v>2029</v>
      </c>
      <c r="C42" s="48">
        <v>455</v>
      </c>
      <c r="D42" s="48">
        <v>9</v>
      </c>
      <c r="E42" s="48" t="s">
        <v>75</v>
      </c>
      <c r="F42" s="48">
        <v>22726</v>
      </c>
      <c r="G42" s="48">
        <v>23142</v>
      </c>
      <c r="H42" s="47">
        <f>'Recalcul EXECUCIÓ'!$I$107</f>
        <v>31028953.861500002</v>
      </c>
      <c r="I42" s="46">
        <v>0.04</v>
      </c>
      <c r="J42" s="45">
        <v>1241158.1544600001</v>
      </c>
      <c r="K42" s="44">
        <f t="shared" si="4"/>
        <v>32270112.015960004</v>
      </c>
    </row>
    <row r="43" spans="2:11" ht="21" x14ac:dyDescent="0.35">
      <c r="B43" s="58"/>
      <c r="C43" s="58"/>
      <c r="D43" s="58"/>
      <c r="E43" s="58"/>
      <c r="F43" s="58"/>
      <c r="G43" s="58"/>
      <c r="H43" s="59">
        <f>SUM(H37:H42)</f>
        <v>118734177.64399999</v>
      </c>
      <c r="I43" s="60"/>
      <c r="J43" s="59">
        <f>SUM(J37:J42)</f>
        <v>4749367.1057599997</v>
      </c>
      <c r="K43" s="61">
        <f>SUM(K37:K42)</f>
        <v>123483544.74976</v>
      </c>
    </row>
    <row r="46" spans="2:11" x14ac:dyDescent="0.35">
      <c r="B46" s="257" t="s">
        <v>72</v>
      </c>
      <c r="C46" s="257"/>
      <c r="D46" s="257"/>
      <c r="E46" s="257"/>
      <c r="F46" s="257"/>
      <c r="G46" s="257"/>
      <c r="H46" s="257"/>
      <c r="I46" s="257"/>
      <c r="J46" s="257"/>
      <c r="K46" s="257"/>
    </row>
    <row r="48" spans="2:11" ht="15" thickBot="1" x14ac:dyDescent="0.4"/>
    <row r="49" spans="2:11" ht="21.5" thickBot="1" x14ac:dyDescent="0.4">
      <c r="B49" s="55" t="s">
        <v>66</v>
      </c>
      <c r="C49" s="53" t="s">
        <v>65</v>
      </c>
      <c r="D49" s="53" t="s">
        <v>64</v>
      </c>
      <c r="E49" s="53" t="s">
        <v>63</v>
      </c>
      <c r="F49" s="53" t="s">
        <v>62</v>
      </c>
      <c r="G49" s="53" t="s">
        <v>61</v>
      </c>
      <c r="H49" s="54" t="s">
        <v>60</v>
      </c>
      <c r="I49" s="53" t="s">
        <v>59</v>
      </c>
      <c r="J49" s="53" t="s">
        <v>58</v>
      </c>
      <c r="K49" s="53" t="s">
        <v>57</v>
      </c>
    </row>
    <row r="50" spans="2:11" ht="21.5" thickBot="1" x14ac:dyDescent="0.4">
      <c r="B50" s="48">
        <v>2026</v>
      </c>
      <c r="C50" s="51">
        <v>185</v>
      </c>
      <c r="D50" s="51">
        <v>3</v>
      </c>
      <c r="E50" s="50" t="s">
        <v>75</v>
      </c>
      <c r="F50" s="50">
        <v>22726</v>
      </c>
      <c r="G50" s="49">
        <v>23142</v>
      </c>
      <c r="H50" s="52">
        <f t="shared" ref="H50:H55" si="5">H5+H16+H26+H37</f>
        <v>34703075.97315</v>
      </c>
      <c r="I50" s="46">
        <v>0.04</v>
      </c>
      <c r="J50" s="45">
        <f>H50*I50</f>
        <v>1388123.038926</v>
      </c>
      <c r="K50" s="44">
        <v>36091199.009999998</v>
      </c>
    </row>
    <row r="51" spans="2:11" ht="21.5" thickBot="1" x14ac:dyDescent="0.4">
      <c r="B51" s="48">
        <v>2027</v>
      </c>
      <c r="C51" s="51">
        <v>700</v>
      </c>
      <c r="D51" s="51">
        <v>9</v>
      </c>
      <c r="E51" s="50" t="s">
        <v>75</v>
      </c>
      <c r="F51" s="50">
        <v>22726</v>
      </c>
      <c r="G51" s="49">
        <v>23142</v>
      </c>
      <c r="H51" s="52">
        <f t="shared" si="5"/>
        <v>104109227.93945</v>
      </c>
      <c r="I51" s="46">
        <v>0.04</v>
      </c>
      <c r="J51" s="45">
        <f t="shared" ref="J51:J55" si="6">H51*I51</f>
        <v>4164369.1175779998</v>
      </c>
      <c r="K51" s="44">
        <v>108273597.06</v>
      </c>
    </row>
    <row r="52" spans="2:11" ht="21.5" thickBot="1" x14ac:dyDescent="0.4">
      <c r="B52" s="48">
        <v>2027</v>
      </c>
      <c r="C52" s="48">
        <v>455</v>
      </c>
      <c r="D52" s="48">
        <v>3</v>
      </c>
      <c r="E52" s="48" t="s">
        <v>75</v>
      </c>
      <c r="F52" s="48">
        <v>22726</v>
      </c>
      <c r="G52" s="48">
        <v>23142</v>
      </c>
      <c r="H52" s="52">
        <f t="shared" si="5"/>
        <v>36178338.528899997</v>
      </c>
      <c r="I52" s="46">
        <v>0.04</v>
      </c>
      <c r="J52" s="45">
        <f t="shared" si="6"/>
        <v>1447133.541156</v>
      </c>
      <c r="K52" s="44">
        <v>37625472.07</v>
      </c>
    </row>
    <row r="53" spans="2:11" ht="21.5" thickBot="1" x14ac:dyDescent="0.4">
      <c r="B53" s="48">
        <v>2028</v>
      </c>
      <c r="C53" s="51">
        <v>185</v>
      </c>
      <c r="D53" s="51">
        <v>9</v>
      </c>
      <c r="E53" s="50" t="s">
        <v>75</v>
      </c>
      <c r="F53" s="50">
        <v>22726</v>
      </c>
      <c r="G53" s="49">
        <v>23142</v>
      </c>
      <c r="H53" s="52">
        <f t="shared" si="5"/>
        <v>108535015.55670001</v>
      </c>
      <c r="I53" s="46">
        <v>0.04</v>
      </c>
      <c r="J53" s="45">
        <f t="shared" si="6"/>
        <v>4341400.6222680006</v>
      </c>
      <c r="K53" s="44">
        <v>112876416.17</v>
      </c>
    </row>
    <row r="54" spans="2:11" ht="21.5" thickBot="1" x14ac:dyDescent="0.4">
      <c r="B54" s="48">
        <v>2028</v>
      </c>
      <c r="C54" s="51">
        <v>700</v>
      </c>
      <c r="D54" s="51">
        <v>3</v>
      </c>
      <c r="E54" s="50" t="s">
        <v>75</v>
      </c>
      <c r="F54" s="50">
        <v>22726</v>
      </c>
      <c r="G54" s="49">
        <v>23142</v>
      </c>
      <c r="H54" s="52">
        <f t="shared" si="5"/>
        <v>37983109.894149996</v>
      </c>
      <c r="I54" s="46">
        <v>0.04</v>
      </c>
      <c r="J54" s="45">
        <f t="shared" si="6"/>
        <v>1519324.3957659998</v>
      </c>
      <c r="K54" s="44">
        <v>39502434.289915994</v>
      </c>
    </row>
    <row r="55" spans="2:11" ht="21.5" thickBot="1" x14ac:dyDescent="0.4">
      <c r="B55" s="48">
        <v>2029</v>
      </c>
      <c r="C55" s="48">
        <v>455</v>
      </c>
      <c r="D55" s="48">
        <v>9</v>
      </c>
      <c r="E55" s="48" t="s">
        <v>75</v>
      </c>
      <c r="F55" s="48">
        <v>22726</v>
      </c>
      <c r="G55" s="48">
        <v>23142</v>
      </c>
      <c r="H55" s="52">
        <f t="shared" si="5"/>
        <v>113949329.68245</v>
      </c>
      <c r="I55" s="46">
        <v>0.04</v>
      </c>
      <c r="J55" s="45">
        <f t="shared" si="6"/>
        <v>4557973.1872979999</v>
      </c>
      <c r="K55" s="44">
        <v>118507302.869748</v>
      </c>
    </row>
    <row r="56" spans="2:11" ht="21.5" thickBot="1" x14ac:dyDescent="0.4">
      <c r="B56" s="58"/>
      <c r="C56" s="58"/>
      <c r="D56" s="58"/>
      <c r="E56" s="58"/>
      <c r="F56" s="58"/>
      <c r="G56" s="58"/>
      <c r="H56" s="59">
        <f>SUM(H50:H55)</f>
        <v>435458097.57480001</v>
      </c>
      <c r="I56" s="60"/>
      <c r="J56" s="59">
        <f>SUM(J50:J55)</f>
        <v>17418323.902991999</v>
      </c>
      <c r="K56" s="109">
        <f>SUM(K50:K55)</f>
        <v>452876421.46966398</v>
      </c>
    </row>
    <row r="59" spans="2:11" x14ac:dyDescent="0.35">
      <c r="H59" s="36"/>
    </row>
  </sheetData>
  <mergeCells count="1">
    <mergeCell ref="B46:K46"/>
  </mergeCells>
  <pageMargins left="0.7" right="0.7" top="0.75" bottom="0.75" header="0.3" footer="0.3"/>
  <ignoredErrors>
    <ignoredError sqref="E50:G55 E37 E26:E29 E30:G31 E38:G42 E16:G21 E5:G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U67"/>
  <sheetViews>
    <sheetView showGridLines="0" topLeftCell="A8" zoomScaleNormal="100" workbookViewId="0">
      <selection activeCell="G12" sqref="G12"/>
    </sheetView>
  </sheetViews>
  <sheetFormatPr defaultColWidth="9.1796875" defaultRowHeight="14.5" x14ac:dyDescent="0.35"/>
  <cols>
    <col min="2" max="2" width="20.453125" customWidth="1"/>
    <col min="3" max="3" width="21.81640625" bestFit="1" customWidth="1"/>
    <col min="4" max="5" width="21.81640625" customWidth="1"/>
    <col min="6" max="6" width="21.54296875" customWidth="1"/>
    <col min="8" max="10" width="15.81640625" bestFit="1" customWidth="1"/>
    <col min="11" max="11" width="15.453125" bestFit="1" customWidth="1"/>
    <col min="13" max="13" width="15.26953125" bestFit="1" customWidth="1"/>
    <col min="14" max="14" width="20.1796875" customWidth="1"/>
    <col min="15" max="15" width="19" customWidth="1"/>
    <col min="16" max="16" width="19.54296875" customWidth="1"/>
    <col min="17" max="17" width="11.26953125" bestFit="1" customWidth="1"/>
    <col min="20" max="20" width="15" bestFit="1" customWidth="1"/>
    <col min="21" max="21" width="14.54296875" bestFit="1" customWidth="1"/>
  </cols>
  <sheetData>
    <row r="1" spans="1:21" s="62" customFormat="1" x14ac:dyDescent="0.35">
      <c r="A1" s="62" t="s">
        <v>68</v>
      </c>
    </row>
    <row r="3" spans="1:21" x14ac:dyDescent="0.35">
      <c r="B3" s="63" t="s">
        <v>66</v>
      </c>
      <c r="C3" s="63" t="s">
        <v>69</v>
      </c>
      <c r="D3" s="63" t="s">
        <v>73</v>
      </c>
      <c r="E3" s="63" t="s">
        <v>103</v>
      </c>
      <c r="F3" s="63" t="s">
        <v>70</v>
      </c>
    </row>
    <row r="4" spans="1:21" ht="18" customHeight="1" x14ac:dyDescent="0.35">
      <c r="B4" s="64">
        <v>2026</v>
      </c>
      <c r="C4" s="65">
        <f>'Recalcul EXECUCIÓ'!$D$135</f>
        <v>34703075.97315</v>
      </c>
      <c r="D4" s="65"/>
      <c r="E4" s="65"/>
      <c r="F4" s="66">
        <f>SUM(C4:E4)</f>
        <v>34703075.97315</v>
      </c>
    </row>
    <row r="5" spans="1:21" ht="18" customHeight="1" x14ac:dyDescent="0.35">
      <c r="B5" s="64">
        <v>2027</v>
      </c>
      <c r="C5" s="65">
        <f>'Recalcul EXECUCIÓ'!E135+'Recalcul EXECUCIÓ'!F135</f>
        <v>140287566.46834999</v>
      </c>
      <c r="D5" s="65"/>
      <c r="E5" s="65"/>
      <c r="F5" s="66">
        <f t="shared" ref="F5:F10" si="0">SUM(C5:E5)</f>
        <v>140287566.46834999</v>
      </c>
    </row>
    <row r="6" spans="1:21" ht="18" customHeight="1" x14ac:dyDescent="0.35">
      <c r="B6" s="64">
        <v>2028</v>
      </c>
      <c r="C6" s="65">
        <f>'Recalcul EXECUCIÓ'!G135+'Recalcul EXECUCIÓ'!H135</f>
        <v>146518125.45085001</v>
      </c>
      <c r="D6" s="65"/>
      <c r="E6" s="65"/>
      <c r="F6" s="66">
        <f t="shared" si="0"/>
        <v>146518125.45085001</v>
      </c>
    </row>
    <row r="7" spans="1:21" ht="18" customHeight="1" x14ac:dyDescent="0.35">
      <c r="B7" s="64">
        <v>2029</v>
      </c>
      <c r="C7" s="65">
        <f>'Recalcul EXECUCIÓ'!I135</f>
        <v>113949329.68245</v>
      </c>
      <c r="D7" s="65">
        <v>40494474.459999993</v>
      </c>
      <c r="E7" s="65"/>
      <c r="F7" s="66">
        <f t="shared" si="0"/>
        <v>154443804.14244998</v>
      </c>
    </row>
    <row r="8" spans="1:21" ht="18" customHeight="1" x14ac:dyDescent="0.35">
      <c r="B8" s="64">
        <v>2030</v>
      </c>
      <c r="C8" s="65"/>
      <c r="D8" s="65">
        <v>164426153.5</v>
      </c>
      <c r="E8" s="65"/>
      <c r="F8" s="66">
        <f t="shared" si="0"/>
        <v>164426153.5</v>
      </c>
      <c r="U8" s="128"/>
    </row>
    <row r="9" spans="1:21" ht="18" customHeight="1" x14ac:dyDescent="0.35">
      <c r="B9" s="64">
        <v>2031</v>
      </c>
      <c r="C9" s="65"/>
      <c r="D9" s="65">
        <v>128828190.36000001</v>
      </c>
      <c r="E9" s="65"/>
      <c r="F9" s="66">
        <f t="shared" si="0"/>
        <v>128828190.36000001</v>
      </c>
      <c r="U9" s="128"/>
    </row>
    <row r="10" spans="1:21" ht="18" customHeight="1" x14ac:dyDescent="0.35">
      <c r="B10" s="64" t="s">
        <v>76</v>
      </c>
      <c r="C10" s="65"/>
      <c r="D10" s="65"/>
      <c r="E10" s="65">
        <f>(C11+D11)*20%</f>
        <v>153841383.17896</v>
      </c>
      <c r="F10" s="66">
        <f t="shared" si="0"/>
        <v>153841383.17896</v>
      </c>
      <c r="U10" s="128"/>
    </row>
    <row r="11" spans="1:21" ht="20.149999999999999" customHeight="1" x14ac:dyDescent="0.35">
      <c r="B11" s="67" t="s">
        <v>71</v>
      </c>
      <c r="C11" s="68">
        <f>SUM(C4:C10)</f>
        <v>435458097.57480001</v>
      </c>
      <c r="D11" s="68">
        <f>SUM(D7:D10)</f>
        <v>333748818.31999999</v>
      </c>
      <c r="E11" s="68">
        <f>SUM(E4:E10)</f>
        <v>153841383.17896</v>
      </c>
      <c r="F11" s="70">
        <f>SUM(C11:E11)</f>
        <v>923048299.07375991</v>
      </c>
      <c r="U11" s="128"/>
    </row>
    <row r="13" spans="1:21" x14ac:dyDescent="0.35">
      <c r="C13" s="40"/>
    </row>
    <row r="14" spans="1:21" x14ac:dyDescent="0.35">
      <c r="H14" s="36"/>
    </row>
    <row r="15" spans="1:21" x14ac:dyDescent="0.35">
      <c r="B15" s="258" t="s">
        <v>46</v>
      </c>
      <c r="C15" s="258"/>
      <c r="D15" s="258"/>
      <c r="E15" s="258"/>
      <c r="F15" s="258"/>
    </row>
    <row r="16" spans="1:21" x14ac:dyDescent="0.35">
      <c r="I16" s="36"/>
    </row>
    <row r="17" spans="2:21" x14ac:dyDescent="0.35">
      <c r="B17" s="63" t="s">
        <v>66</v>
      </c>
      <c r="C17" s="63" t="s">
        <v>69</v>
      </c>
      <c r="D17" s="63" t="s">
        <v>73</v>
      </c>
      <c r="E17" s="63" t="s">
        <v>74</v>
      </c>
      <c r="F17" s="63" t="s">
        <v>70</v>
      </c>
    </row>
    <row r="18" spans="2:21" x14ac:dyDescent="0.35">
      <c r="B18" s="64">
        <v>2026</v>
      </c>
      <c r="C18" s="65">
        <v>8657482.3399999999</v>
      </c>
      <c r="D18" s="65"/>
      <c r="E18" s="65"/>
      <c r="F18" s="66">
        <f>SUM(C18:E18)</f>
        <v>8657482.3399999999</v>
      </c>
    </row>
    <row r="19" spans="2:21" x14ac:dyDescent="0.35">
      <c r="B19" s="64">
        <v>2027</v>
      </c>
      <c r="C19" s="65">
        <f>PBL!H6+PBL!H7</f>
        <v>35037235.560000002</v>
      </c>
      <c r="D19" s="65"/>
      <c r="E19" s="65"/>
      <c r="F19" s="66">
        <f t="shared" ref="F19:F24" si="1">SUM(C19:E19)</f>
        <v>35037235.560000002</v>
      </c>
    </row>
    <row r="20" spans="2:21" x14ac:dyDescent="0.35">
      <c r="B20" s="64">
        <v>2028</v>
      </c>
      <c r="C20" s="65">
        <f>PBL!H8+PBL!H9</f>
        <v>36725832.68</v>
      </c>
      <c r="D20" s="65"/>
      <c r="E20" s="65"/>
      <c r="F20" s="66">
        <f t="shared" si="1"/>
        <v>36725832.68</v>
      </c>
    </row>
    <row r="21" spans="2:21" x14ac:dyDescent="0.35">
      <c r="B21" s="64">
        <v>2029</v>
      </c>
      <c r="C21" s="65">
        <v>28594401.239999998</v>
      </c>
      <c r="D21" s="65">
        <v>9999223.3199999966</v>
      </c>
      <c r="E21" s="65"/>
      <c r="F21" s="66">
        <f t="shared" si="1"/>
        <v>38593624.559999995</v>
      </c>
      <c r="M21" s="36"/>
    </row>
    <row r="22" spans="2:21" x14ac:dyDescent="0.35">
      <c r="B22" s="64">
        <v>2030</v>
      </c>
      <c r="C22" s="65"/>
      <c r="D22" s="65">
        <v>40592022.912499994</v>
      </c>
      <c r="E22" s="65"/>
      <c r="F22" s="66">
        <f t="shared" si="1"/>
        <v>40592022.912499994</v>
      </c>
      <c r="I22" s="36"/>
      <c r="M22" s="36"/>
    </row>
    <row r="23" spans="2:21" x14ac:dyDescent="0.35">
      <c r="B23" s="64">
        <v>2031</v>
      </c>
      <c r="C23" s="65"/>
      <c r="D23" s="65">
        <v>31783058.857500002</v>
      </c>
      <c r="E23" s="65"/>
      <c r="F23" s="66">
        <f t="shared" si="1"/>
        <v>31783058.857500002</v>
      </c>
      <c r="M23" s="36"/>
    </row>
    <row r="24" spans="2:21" x14ac:dyDescent="0.35">
      <c r="B24" s="64" t="s">
        <v>76</v>
      </c>
      <c r="C24" s="65"/>
      <c r="D24" s="65"/>
      <c r="E24" s="65">
        <f>(C25+D25)*20%</f>
        <v>38277851.381999999</v>
      </c>
      <c r="F24" s="66">
        <f t="shared" si="1"/>
        <v>38277851.381999999</v>
      </c>
      <c r="M24" s="36"/>
      <c r="T24" s="128"/>
      <c r="U24" s="128"/>
    </row>
    <row r="25" spans="2:21" x14ac:dyDescent="0.35">
      <c r="B25" s="67" t="s">
        <v>71</v>
      </c>
      <c r="C25" s="68">
        <f>SUM(C18:C24)</f>
        <v>109014951.82000001</v>
      </c>
      <c r="D25" s="68">
        <f>SUM(D21:D24)</f>
        <v>82374305.089999989</v>
      </c>
      <c r="E25" s="68">
        <f>SUM(E24)</f>
        <v>38277851.381999999</v>
      </c>
      <c r="F25" s="70">
        <f>SUM(F18:F24)</f>
        <v>229667108.29200003</v>
      </c>
    </row>
    <row r="26" spans="2:21" x14ac:dyDescent="0.35">
      <c r="C26" s="36"/>
    </row>
    <row r="29" spans="2:21" x14ac:dyDescent="0.35">
      <c r="B29" s="258" t="s">
        <v>47</v>
      </c>
      <c r="C29" s="258"/>
      <c r="D29" s="258"/>
      <c r="E29" s="258"/>
      <c r="F29" s="258"/>
    </row>
    <row r="31" spans="2:21" x14ac:dyDescent="0.35">
      <c r="B31" s="63" t="s">
        <v>66</v>
      </c>
      <c r="C31" s="63" t="s">
        <v>69</v>
      </c>
      <c r="D31" s="63" t="s">
        <v>73</v>
      </c>
      <c r="E31" s="63" t="s">
        <v>74</v>
      </c>
      <c r="F31" s="63" t="s">
        <v>70</v>
      </c>
      <c r="H31" s="36"/>
    </row>
    <row r="32" spans="2:21" x14ac:dyDescent="0.35">
      <c r="B32" s="64">
        <v>2026</v>
      </c>
      <c r="C32" s="65">
        <f>'Recalcul EXECUCIÓ'!D52</f>
        <v>8063350.4900000002</v>
      </c>
      <c r="D32" s="65"/>
      <c r="E32" s="65"/>
      <c r="F32" s="66">
        <f>SUM(C32:E32)</f>
        <v>8063350.4900000002</v>
      </c>
    </row>
    <row r="33" spans="2:11" x14ac:dyDescent="0.35">
      <c r="B33" s="64">
        <v>2027</v>
      </c>
      <c r="C33" s="65">
        <f>'Recalcul EXECUCIÓ'!E52+'Recalcul EXECUCIÓ'!F52</f>
        <v>32609983.839999996</v>
      </c>
      <c r="D33" s="65"/>
      <c r="E33" s="65"/>
      <c r="F33" s="66">
        <f t="shared" ref="F33:F39" si="2">SUM(C33:E33)</f>
        <v>32609983.839999996</v>
      </c>
      <c r="J33" s="36"/>
    </row>
    <row r="34" spans="2:11" x14ac:dyDescent="0.35">
      <c r="B34" s="64">
        <v>2028</v>
      </c>
      <c r="C34" s="65">
        <f>'Recalcul EXECUCIÓ'!G52+'Recalcul EXECUCIÓ'!H52</f>
        <v>34112108.684175</v>
      </c>
      <c r="D34" s="65"/>
      <c r="E34" s="65"/>
      <c r="F34" s="66">
        <f t="shared" si="2"/>
        <v>34112108.684175</v>
      </c>
    </row>
    <row r="35" spans="2:11" x14ac:dyDescent="0.35">
      <c r="B35" s="64">
        <v>2029</v>
      </c>
      <c r="C35" s="65">
        <f>'Recalcul EXECUCIÓ'!I52</f>
        <v>26556934.932525001</v>
      </c>
      <c r="D35" s="65">
        <v>9834063.9249999989</v>
      </c>
      <c r="E35" s="65"/>
      <c r="F35" s="66">
        <f t="shared" si="2"/>
        <v>36390998.857524998</v>
      </c>
      <c r="J35" s="36"/>
    </row>
    <row r="36" spans="2:11" x14ac:dyDescent="0.35">
      <c r="B36" s="64">
        <v>2030</v>
      </c>
      <c r="C36" s="65"/>
      <c r="D36" s="65">
        <v>39935195.564999998</v>
      </c>
      <c r="E36" s="65"/>
      <c r="F36" s="66">
        <f t="shared" si="2"/>
        <v>39935195.564999998</v>
      </c>
    </row>
    <row r="37" spans="2:11" x14ac:dyDescent="0.35">
      <c r="B37" s="64">
        <v>2031</v>
      </c>
      <c r="C37" s="65"/>
      <c r="D37" s="65">
        <v>31299011.369999997</v>
      </c>
      <c r="E37" s="65"/>
      <c r="F37" s="66">
        <f t="shared" si="2"/>
        <v>31299011.369999997</v>
      </c>
      <c r="J37" s="36"/>
      <c r="K37" s="36"/>
    </row>
    <row r="38" spans="2:11" x14ac:dyDescent="0.35">
      <c r="B38" s="64" t="s">
        <v>76</v>
      </c>
      <c r="C38" s="65"/>
      <c r="D38" s="65"/>
      <c r="E38" s="65">
        <f>(C39+D39)*20%</f>
        <v>36482129.76134</v>
      </c>
      <c r="F38" s="66">
        <f t="shared" si="2"/>
        <v>36482129.76134</v>
      </c>
    </row>
    <row r="39" spans="2:11" x14ac:dyDescent="0.35">
      <c r="B39" s="67" t="s">
        <v>71</v>
      </c>
      <c r="C39" s="68">
        <f>SUM(C32:C38)</f>
        <v>101342377.94670001</v>
      </c>
      <c r="D39" s="68">
        <f>SUM(D35:D38)</f>
        <v>81068270.859999985</v>
      </c>
      <c r="E39" s="68">
        <f>SUM(E38)</f>
        <v>36482129.76134</v>
      </c>
      <c r="F39" s="70">
        <f t="shared" si="2"/>
        <v>218892778.56803998</v>
      </c>
    </row>
    <row r="40" spans="2:11" x14ac:dyDescent="0.35">
      <c r="H40" s="36"/>
    </row>
    <row r="43" spans="2:11" x14ac:dyDescent="0.35">
      <c r="B43" s="258" t="s">
        <v>48</v>
      </c>
      <c r="C43" s="258"/>
      <c r="D43" s="258"/>
      <c r="E43" s="258"/>
      <c r="F43" s="258"/>
    </row>
    <row r="45" spans="2:11" x14ac:dyDescent="0.35">
      <c r="B45" s="63" t="s">
        <v>66</v>
      </c>
      <c r="C45" s="63" t="s">
        <v>69</v>
      </c>
      <c r="D45" s="63" t="s">
        <v>73</v>
      </c>
      <c r="E45" s="63" t="s">
        <v>74</v>
      </c>
      <c r="F45" s="63" t="s">
        <v>70</v>
      </c>
    </row>
    <row r="46" spans="2:11" x14ac:dyDescent="0.35">
      <c r="B46" s="64">
        <v>2026</v>
      </c>
      <c r="C46" s="65">
        <v>8507475.9356499985</v>
      </c>
      <c r="D46" s="65"/>
      <c r="E46" s="65"/>
      <c r="F46" s="66">
        <f>SUM(C46:E46)</f>
        <v>8507475.9356499985</v>
      </c>
      <c r="I46" s="36"/>
    </row>
    <row r="47" spans="2:11" x14ac:dyDescent="0.35">
      <c r="B47" s="64">
        <v>2027</v>
      </c>
      <c r="C47" s="65">
        <f>'Recalcul EXECUCIÓ'!E80+'Recalcul EXECUCIÓ'!F80</f>
        <v>34350252.862849995</v>
      </c>
      <c r="D47" s="65"/>
      <c r="E47" s="65"/>
      <c r="F47" s="66">
        <f t="shared" ref="F47:F53" si="3">SUM(C47:E47)</f>
        <v>34350252.862849995</v>
      </c>
    </row>
    <row r="48" spans="2:11" x14ac:dyDescent="0.35">
      <c r="B48" s="64">
        <v>2028</v>
      </c>
      <c r="C48" s="65">
        <f>'Recalcul EXECUCIÓ'!G80+'Recalcul EXECUCIÓ'!H80</f>
        <v>35739821.717174999</v>
      </c>
      <c r="D48" s="65"/>
      <c r="E48" s="65"/>
      <c r="F48" s="66">
        <f t="shared" si="3"/>
        <v>35739821.717174999</v>
      </c>
      <c r="K48" s="128"/>
    </row>
    <row r="49" spans="2:13" x14ac:dyDescent="0.35">
      <c r="B49" s="64">
        <v>2029</v>
      </c>
      <c r="C49" s="65">
        <f>'Recalcul EXECUCIÓ'!I80</f>
        <v>27769039.648424998</v>
      </c>
      <c r="D49" s="65">
        <v>9767664.3674999978</v>
      </c>
      <c r="E49" s="65"/>
      <c r="F49" s="66">
        <f t="shared" si="3"/>
        <v>37536704.015924998</v>
      </c>
    </row>
    <row r="50" spans="2:13" x14ac:dyDescent="0.35">
      <c r="B50" s="64">
        <v>2030</v>
      </c>
      <c r="C50" s="65"/>
      <c r="D50" s="65">
        <v>39664133.12749999</v>
      </c>
      <c r="E50" s="65"/>
      <c r="F50" s="66">
        <f t="shared" si="3"/>
        <v>39664133.12749999</v>
      </c>
    </row>
    <row r="51" spans="2:13" x14ac:dyDescent="0.35">
      <c r="B51" s="64">
        <v>2031</v>
      </c>
      <c r="C51" s="65"/>
      <c r="D51" s="65">
        <v>31083420.075000003</v>
      </c>
      <c r="E51" s="65"/>
      <c r="F51" s="66">
        <f t="shared" si="3"/>
        <v>31083420.075000003</v>
      </c>
    </row>
    <row r="52" spans="2:13" x14ac:dyDescent="0.35">
      <c r="B52" s="64" t="s">
        <v>76</v>
      </c>
      <c r="C52" s="65"/>
      <c r="D52" s="65"/>
      <c r="E52" s="65">
        <f>(C53+D53)*20%</f>
        <v>37376361.54682</v>
      </c>
      <c r="F52" s="66">
        <f t="shared" si="3"/>
        <v>37376361.54682</v>
      </c>
    </row>
    <row r="53" spans="2:13" x14ac:dyDescent="0.35">
      <c r="B53" s="67" t="s">
        <v>71</v>
      </c>
      <c r="C53" s="68">
        <f>SUM(C46:C52)</f>
        <v>106366590.16409999</v>
      </c>
      <c r="D53" s="68">
        <f>SUM(D49:D52)</f>
        <v>80515217.569999993</v>
      </c>
      <c r="E53" s="68">
        <f>SUM(E52)</f>
        <v>37376361.54682</v>
      </c>
      <c r="F53" s="70">
        <f t="shared" si="3"/>
        <v>224258169.28091997</v>
      </c>
      <c r="I53" s="36"/>
    </row>
    <row r="57" spans="2:13" x14ac:dyDescent="0.35">
      <c r="B57" s="258" t="s">
        <v>49</v>
      </c>
      <c r="C57" s="258"/>
      <c r="D57" s="258"/>
      <c r="E57" s="258"/>
      <c r="F57" s="258"/>
    </row>
    <row r="59" spans="2:13" x14ac:dyDescent="0.35">
      <c r="B59" s="63" t="s">
        <v>66</v>
      </c>
      <c r="C59" s="63" t="s">
        <v>69</v>
      </c>
      <c r="D59" s="63" t="s">
        <v>73</v>
      </c>
      <c r="E59" s="63" t="s">
        <v>74</v>
      </c>
      <c r="F59" s="63" t="s">
        <v>70</v>
      </c>
      <c r="J59" s="36"/>
    </row>
    <row r="60" spans="2:13" x14ac:dyDescent="0.35">
      <c r="B60" s="64">
        <v>2026</v>
      </c>
      <c r="C60" s="65">
        <v>9474767.2074999996</v>
      </c>
      <c r="D60" s="65"/>
      <c r="E60" s="65"/>
      <c r="F60" s="66">
        <f>SUM(C60:E60)</f>
        <v>9474767.2074999996</v>
      </c>
      <c r="M60" s="36"/>
    </row>
    <row r="61" spans="2:13" x14ac:dyDescent="0.35">
      <c r="B61" s="64">
        <v>2027</v>
      </c>
      <c r="C61" s="65">
        <f>('Recalcul EXECUCIÓ'!E107+'Recalcul EXECUCIÓ'!F107)</f>
        <v>38290094.205499999</v>
      </c>
      <c r="D61" s="65"/>
      <c r="E61" s="65"/>
      <c r="F61" s="66">
        <f t="shared" ref="F61:F67" si="4">SUM(C61:E61)</f>
        <v>38290094.205499999</v>
      </c>
    </row>
    <row r="62" spans="2:13" x14ac:dyDescent="0.35">
      <c r="B62" s="64">
        <v>2028</v>
      </c>
      <c r="C62" s="65">
        <f>('Recalcul EXECUCIÓ'!G107+'Recalcul EXECUCIÓ'!H107)</f>
        <v>39940362.369499996</v>
      </c>
      <c r="D62" s="65"/>
      <c r="E62" s="65"/>
      <c r="F62" s="66">
        <f t="shared" si="4"/>
        <v>39940362.369499996</v>
      </c>
    </row>
    <row r="63" spans="2:13" x14ac:dyDescent="0.35">
      <c r="B63" s="64">
        <v>2029</v>
      </c>
      <c r="C63" s="65">
        <f>'Recalcul EXECUCIÓ'!I107</f>
        <v>31028953.861500002</v>
      </c>
      <c r="D63" s="65">
        <v>10893522.8475</v>
      </c>
      <c r="E63" s="65"/>
      <c r="F63" s="66">
        <f t="shared" si="4"/>
        <v>41922476.709000006</v>
      </c>
    </row>
    <row r="64" spans="2:13" x14ac:dyDescent="0.35">
      <c r="B64" s="64">
        <v>2030</v>
      </c>
      <c r="C64" s="65"/>
      <c r="D64" s="65">
        <v>44234801.895000003</v>
      </c>
      <c r="E64" s="65"/>
      <c r="F64" s="66">
        <f t="shared" si="4"/>
        <v>44234801.895000003</v>
      </c>
    </row>
    <row r="65" spans="2:6" x14ac:dyDescent="0.35">
      <c r="B65" s="64">
        <v>2031</v>
      </c>
      <c r="C65" s="65"/>
      <c r="D65" s="65">
        <v>34662700.057500005</v>
      </c>
      <c r="E65" s="65"/>
      <c r="F65" s="66">
        <f t="shared" si="4"/>
        <v>34662700.057500005</v>
      </c>
    </row>
    <row r="66" spans="2:6" x14ac:dyDescent="0.35">
      <c r="B66" s="64" t="s">
        <v>76</v>
      </c>
      <c r="C66" s="65"/>
      <c r="D66" s="65"/>
      <c r="E66" s="65">
        <f>(C67+D67)*20%</f>
        <v>41705040.488800004</v>
      </c>
      <c r="F66" s="66">
        <f t="shared" si="4"/>
        <v>41705040.488800004</v>
      </c>
    </row>
    <row r="67" spans="2:6" x14ac:dyDescent="0.35">
      <c r="B67" s="67" t="s">
        <v>71</v>
      </c>
      <c r="C67" s="68">
        <f>SUM(C60:C66)</f>
        <v>118734177.64399999</v>
      </c>
      <c r="D67" s="68">
        <f>SUM(D63:D66)</f>
        <v>89791024.800000012</v>
      </c>
      <c r="E67" s="68">
        <f>SUM(E66)</f>
        <v>41705040.488800004</v>
      </c>
      <c r="F67" s="70">
        <f t="shared" si="4"/>
        <v>250230242.93279999</v>
      </c>
    </row>
  </sheetData>
  <mergeCells count="4">
    <mergeCell ref="B29:F29"/>
    <mergeCell ref="B43:F43"/>
    <mergeCell ref="B57:F57"/>
    <mergeCell ref="B15:F15"/>
  </mergeCells>
  <pageMargins left="0.7" right="0.7" top="0.75" bottom="0.75" header="0.3" footer="0.3"/>
  <pageSetup paperSize="9" orientation="portrait" r:id="rId1"/>
  <ignoredErrors>
    <ignoredError sqref="F8:F9 F4 F18:F25 F36:F37 F46:F53 F60:F67" formulaRange="1"/>
    <ignoredError sqref="D11"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R35"/>
  <sheetViews>
    <sheetView showGridLines="0" zoomScale="85" zoomScaleNormal="85" workbookViewId="0">
      <selection activeCell="H11" sqref="H11"/>
    </sheetView>
  </sheetViews>
  <sheetFormatPr defaultColWidth="9.1796875" defaultRowHeight="14.5" x14ac:dyDescent="0.35"/>
  <cols>
    <col min="3" max="3" width="44.54296875" bestFit="1" customWidth="1"/>
    <col min="4" max="4" width="28.54296875" bestFit="1" customWidth="1"/>
    <col min="5" max="5" width="22" bestFit="1" customWidth="1"/>
    <col min="6" max="6" width="13.453125" bestFit="1" customWidth="1"/>
    <col min="7" max="7" width="19.453125" customWidth="1"/>
    <col min="8" max="8" width="31" customWidth="1"/>
    <col min="9" max="9" width="22.26953125"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33</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P4" s="1"/>
    </row>
    <row r="5" spans="1:18" x14ac:dyDescent="0.35">
      <c r="A5" s="191"/>
      <c r="B5" s="192"/>
      <c r="C5" s="194" t="s">
        <v>104</v>
      </c>
      <c r="D5" s="195"/>
      <c r="E5" s="195"/>
      <c r="F5" s="195"/>
      <c r="G5" s="196"/>
      <c r="H5" s="195"/>
      <c r="I5" s="195"/>
      <c r="J5" s="192"/>
      <c r="K5" s="191"/>
    </row>
    <row r="6" spans="1:18" ht="15" thickBot="1" x14ac:dyDescent="0.4">
      <c r="A6" s="191"/>
      <c r="B6" s="192"/>
      <c r="C6" s="195"/>
      <c r="D6" s="195"/>
      <c r="E6" s="195"/>
      <c r="F6" s="195"/>
      <c r="G6" s="196"/>
      <c r="H6" s="195"/>
      <c r="I6" s="195"/>
      <c r="J6" s="192"/>
      <c r="K6" s="191"/>
      <c r="M6" s="176">
        <v>0</v>
      </c>
      <c r="P6" s="1"/>
    </row>
    <row r="7" spans="1:18" ht="15" thickBot="1" x14ac:dyDescent="0.4">
      <c r="A7" s="191"/>
      <c r="B7" s="192"/>
      <c r="C7" s="197" t="s">
        <v>1</v>
      </c>
      <c r="D7" s="198" t="s">
        <v>2</v>
      </c>
      <c r="E7" s="198" t="s">
        <v>19</v>
      </c>
      <c r="F7" s="198" t="s">
        <v>3</v>
      </c>
      <c r="G7" s="199" t="s">
        <v>4</v>
      </c>
      <c r="H7" s="198" t="s">
        <v>5</v>
      </c>
      <c r="I7" s="200" t="s">
        <v>6</v>
      </c>
      <c r="J7" s="192"/>
      <c r="K7" s="191"/>
      <c r="M7" s="176">
        <v>0.04</v>
      </c>
    </row>
    <row r="8" spans="1:18" ht="20.149999999999999" customHeight="1" thickBot="1" x14ac:dyDescent="0.4">
      <c r="A8" s="191"/>
      <c r="B8" s="192"/>
      <c r="C8" s="201" t="s">
        <v>7</v>
      </c>
      <c r="D8" s="202"/>
      <c r="E8" s="203"/>
      <c r="F8" s="203"/>
      <c r="G8" s="203"/>
      <c r="H8" s="204"/>
      <c r="I8" s="205"/>
      <c r="J8" s="192"/>
      <c r="K8" s="191"/>
      <c r="N8" s="2"/>
    </row>
    <row r="9" spans="1:18" ht="27" customHeight="1" x14ac:dyDescent="0.35">
      <c r="A9" s="191"/>
      <c r="B9" s="192"/>
      <c r="C9" s="206" t="s">
        <v>15</v>
      </c>
      <c r="D9" s="207" t="s">
        <v>31</v>
      </c>
      <c r="E9" s="189">
        <v>931764.7699999999</v>
      </c>
      <c r="F9" s="240">
        <v>32.590000000000003</v>
      </c>
      <c r="G9" s="240">
        <f>E9*F9</f>
        <v>30366213.8543</v>
      </c>
      <c r="H9" s="190"/>
      <c r="I9" s="241">
        <f>H9*E9</f>
        <v>0</v>
      </c>
      <c r="J9" s="192"/>
      <c r="K9" s="191"/>
      <c r="N9" s="1"/>
    </row>
    <row r="10" spans="1:18" ht="27" customHeight="1" x14ac:dyDescent="0.35">
      <c r="A10" s="191"/>
      <c r="B10" s="192"/>
      <c r="C10" s="212" t="s">
        <v>16</v>
      </c>
      <c r="D10" s="213" t="s">
        <v>31</v>
      </c>
      <c r="E10" s="242">
        <v>145468.92000000001</v>
      </c>
      <c r="F10" s="240">
        <v>29.07</v>
      </c>
      <c r="G10" s="240">
        <f>E10*F10</f>
        <v>4228781.5044</v>
      </c>
      <c r="H10" s="190"/>
      <c r="I10" s="241">
        <f>H10*E10</f>
        <v>0</v>
      </c>
      <c r="J10" s="192"/>
      <c r="K10" s="191"/>
      <c r="N10" s="1"/>
    </row>
    <row r="11" spans="1:18" ht="27" customHeight="1" x14ac:dyDescent="0.35">
      <c r="A11" s="191"/>
      <c r="B11" s="192"/>
      <c r="C11" s="212" t="s">
        <v>17</v>
      </c>
      <c r="D11" s="213" t="s">
        <v>31</v>
      </c>
      <c r="E11" s="242">
        <v>200</v>
      </c>
      <c r="F11" s="240">
        <v>24.95</v>
      </c>
      <c r="G11" s="240">
        <f>E11*F11</f>
        <v>4990</v>
      </c>
      <c r="H11" s="190"/>
      <c r="I11" s="241">
        <f>H11*E11</f>
        <v>0</v>
      </c>
      <c r="J11" s="192"/>
      <c r="K11" s="191"/>
      <c r="N11" s="1"/>
    </row>
    <row r="12" spans="1:18" ht="27" customHeight="1" thickBot="1" x14ac:dyDescent="0.4">
      <c r="A12" s="191"/>
      <c r="B12" s="192"/>
      <c r="C12" s="216" t="s">
        <v>18</v>
      </c>
      <c r="D12" s="217" t="s">
        <v>31</v>
      </c>
      <c r="E12" s="243">
        <v>800</v>
      </c>
      <c r="F12" s="240">
        <v>37.43</v>
      </c>
      <c r="G12" s="240">
        <f>E12*F12</f>
        <v>29944</v>
      </c>
      <c r="H12" s="190"/>
      <c r="I12" s="241">
        <f>H12*E12</f>
        <v>0</v>
      </c>
      <c r="J12" s="192"/>
      <c r="K12" s="191"/>
      <c r="N12" s="1"/>
    </row>
    <row r="13" spans="1:18" ht="26.25" customHeight="1" thickBot="1" x14ac:dyDescent="0.4">
      <c r="A13" s="191"/>
      <c r="B13" s="192"/>
      <c r="C13" s="220"/>
      <c r="D13" s="221"/>
      <c r="E13" s="263" t="s">
        <v>8</v>
      </c>
      <c r="F13" s="264"/>
      <c r="G13" s="244">
        <f>SUM(G9:G12)</f>
        <v>34629929.3587</v>
      </c>
      <c r="H13" s="184" t="s">
        <v>9</v>
      </c>
      <c r="I13" s="245">
        <f>I9+I10+I11+I12</f>
        <v>0</v>
      </c>
      <c r="J13" s="192"/>
      <c r="K13" s="191"/>
      <c r="N13" s="2"/>
      <c r="R13" s="2"/>
    </row>
    <row r="14" spans="1:18" ht="15" thickBot="1" x14ac:dyDescent="0.4">
      <c r="A14" s="191"/>
      <c r="B14" s="192"/>
      <c r="C14" s="220"/>
      <c r="D14" s="221"/>
      <c r="E14" s="224"/>
      <c r="F14" s="224"/>
      <c r="G14" s="225"/>
      <c r="H14" s="185"/>
      <c r="I14" s="225"/>
      <c r="J14" s="192"/>
      <c r="K14" s="191"/>
    </row>
    <row r="15" spans="1:18" ht="39.5" thickBot="1" x14ac:dyDescent="0.4">
      <c r="A15" s="191"/>
      <c r="B15" s="192"/>
      <c r="C15" s="226" t="s">
        <v>116</v>
      </c>
      <c r="D15" s="221"/>
      <c r="E15" s="227"/>
      <c r="F15" s="228" t="s">
        <v>20</v>
      </c>
      <c r="G15" s="246">
        <f>G13</f>
        <v>34629929.3587</v>
      </c>
      <c r="H15" s="186" t="s">
        <v>10</v>
      </c>
      <c r="I15" s="247">
        <f>I13</f>
        <v>0</v>
      </c>
      <c r="J15" s="192"/>
      <c r="K15" s="191"/>
    </row>
    <row r="16" spans="1:18" x14ac:dyDescent="0.35">
      <c r="A16" s="191"/>
      <c r="B16" s="192"/>
      <c r="C16" s="220"/>
      <c r="D16" s="221"/>
      <c r="E16" s="265" t="s">
        <v>21</v>
      </c>
      <c r="F16" s="266"/>
      <c r="G16" s="248">
        <f>G15*4%</f>
        <v>1385197.174348</v>
      </c>
      <c r="H16" s="187">
        <v>0</v>
      </c>
      <c r="I16" s="249">
        <f>I15*H16</f>
        <v>0</v>
      </c>
      <c r="J16" s="192"/>
      <c r="K16" s="191"/>
    </row>
    <row r="17" spans="1:11" x14ac:dyDescent="0.35">
      <c r="A17" s="191"/>
      <c r="B17" s="192"/>
      <c r="C17" s="220"/>
      <c r="D17" s="221"/>
      <c r="E17" s="229" t="s">
        <v>11</v>
      </c>
      <c r="F17" s="230"/>
      <c r="G17" s="179">
        <f>SUM(G15:G16)</f>
        <v>36015126.533047996</v>
      </c>
      <c r="H17" s="231" t="s">
        <v>12</v>
      </c>
      <c r="I17" s="179">
        <f>I15+I16</f>
        <v>0</v>
      </c>
      <c r="J17" s="192"/>
      <c r="K17" s="191"/>
    </row>
    <row r="18" spans="1:11" x14ac:dyDescent="0.35">
      <c r="A18" s="191"/>
      <c r="B18" s="192"/>
      <c r="C18" s="220"/>
      <c r="D18" s="195"/>
      <c r="E18" s="232"/>
      <c r="F18" s="233"/>
      <c r="G18" s="180"/>
      <c r="H18" s="234"/>
      <c r="I18" s="235"/>
      <c r="J18" s="192"/>
      <c r="K18" s="191"/>
    </row>
    <row r="19" spans="1:11" x14ac:dyDescent="0.35">
      <c r="A19" s="191"/>
      <c r="B19" s="192"/>
      <c r="C19" s="220"/>
      <c r="D19" s="192" t="s">
        <v>13</v>
      </c>
      <c r="E19" s="192"/>
      <c r="F19" s="192"/>
      <c r="G19" s="181"/>
      <c r="H19" s="192"/>
      <c r="I19" s="192"/>
      <c r="J19" s="192"/>
      <c r="K19" s="191"/>
    </row>
    <row r="20" spans="1:11" x14ac:dyDescent="0.35">
      <c r="A20" s="191"/>
      <c r="B20" s="192"/>
      <c r="C20" s="220"/>
      <c r="D20" s="267" t="s">
        <v>14</v>
      </c>
      <c r="E20" s="267"/>
      <c r="F20" s="267"/>
      <c r="G20" s="267"/>
      <c r="H20" s="267"/>
      <c r="I20" s="267"/>
      <c r="J20" s="192"/>
      <c r="K20" s="191"/>
    </row>
    <row r="21" spans="1:11" x14ac:dyDescent="0.35">
      <c r="A21" s="191"/>
      <c r="B21" s="192"/>
      <c r="C21" s="220"/>
      <c r="D21" s="267"/>
      <c r="E21" s="267"/>
      <c r="F21" s="267"/>
      <c r="G21" s="267"/>
      <c r="H21" s="267"/>
      <c r="I21" s="267"/>
      <c r="J21" s="192"/>
      <c r="K21" s="191"/>
    </row>
    <row r="22" spans="1:11" x14ac:dyDescent="0.35">
      <c r="A22" s="191"/>
      <c r="B22" s="192"/>
      <c r="C22" s="220"/>
      <c r="D22" s="267"/>
      <c r="E22" s="267"/>
      <c r="F22" s="267"/>
      <c r="G22" s="267"/>
      <c r="H22" s="267"/>
      <c r="I22" s="267"/>
      <c r="J22" s="192"/>
      <c r="K22" s="191"/>
    </row>
    <row r="23" spans="1:11" x14ac:dyDescent="0.35">
      <c r="A23" s="191"/>
      <c r="B23" s="192"/>
      <c r="C23" s="220"/>
      <c r="D23" s="267"/>
      <c r="E23" s="267"/>
      <c r="F23" s="267"/>
      <c r="G23" s="267"/>
      <c r="H23" s="267"/>
      <c r="I23" s="267"/>
      <c r="J23" s="192"/>
      <c r="K23" s="191"/>
    </row>
    <row r="24" spans="1:11" x14ac:dyDescent="0.35">
      <c r="A24" s="191"/>
      <c r="B24" s="191"/>
      <c r="C24" s="191"/>
      <c r="D24" s="191"/>
      <c r="E24" s="191"/>
      <c r="F24" s="191"/>
      <c r="G24" s="191"/>
      <c r="H24" s="191"/>
      <c r="I24" s="191"/>
      <c r="J24" s="191"/>
      <c r="K24" s="191"/>
    </row>
    <row r="29" spans="1:11" x14ac:dyDescent="0.35">
      <c r="G29" s="2"/>
    </row>
    <row r="35" spans="4:4" x14ac:dyDescent="0.35">
      <c r="D35" s="2"/>
    </row>
  </sheetData>
  <sheetProtection algorithmName="SHA-512" hashValue="nmS+fpcBmbuIIKmXEhi8uJBEAwFboDA2POAybVqxrw6XvHQIGEFZSdGW+bymQh/DRUfXuvWyQWLUwbzei8j3/Q==" saltValue="ul5hCmrPIwLsUZ/1zggzIw==" spinCount="100000" sheet="1" objects="1" scenarios="1"/>
  <mergeCells count="5">
    <mergeCell ref="C3:G3"/>
    <mergeCell ref="I3:J3"/>
    <mergeCell ref="E13:F13"/>
    <mergeCell ref="E16:F16"/>
    <mergeCell ref="D20:I23"/>
  </mergeCells>
  <dataValidations count="1">
    <dataValidation type="list" allowBlank="1" showInputMessage="1" showErrorMessage="1" sqref="H16" xr:uid="{55E38A11-616E-497C-AA9E-BD70A0775F2D}">
      <formula1>$M$6:$M$7</formula1>
    </dataValidation>
  </dataValidations>
  <pageMargins left="0.70866141732283472" right="0.70866141732283472" top="0.74803149606299213" bottom="0.74803149606299213" header="0.31496062992125984" footer="0.31496062992125984"/>
  <pageSetup paperSize="8" scale="9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R29"/>
  <sheetViews>
    <sheetView showGridLines="0" workbookViewId="0">
      <selection activeCell="I13" sqref="I13"/>
    </sheetView>
  </sheetViews>
  <sheetFormatPr defaultColWidth="9.1796875" defaultRowHeight="14.5" x14ac:dyDescent="0.35"/>
  <cols>
    <col min="3" max="3" width="44.54296875" bestFit="1" customWidth="1"/>
    <col min="4" max="4" width="28.54296875" bestFit="1" customWidth="1"/>
    <col min="5" max="5" width="10.26953125" bestFit="1" customWidth="1"/>
    <col min="6" max="6" width="12.81640625" bestFit="1" customWidth="1"/>
    <col min="7" max="7" width="18.81640625" customWidth="1"/>
    <col min="8" max="8" width="31" customWidth="1"/>
    <col min="9" max="9" width="18.81640625" bestFit="1"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32</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P4" s="1"/>
    </row>
    <row r="5" spans="1:18" x14ac:dyDescent="0.35">
      <c r="A5" s="191"/>
      <c r="B5" s="192"/>
      <c r="C5" s="194" t="s">
        <v>106</v>
      </c>
      <c r="D5" s="195"/>
      <c r="E5" s="195"/>
      <c r="F5" s="195"/>
      <c r="G5" s="196"/>
      <c r="H5" s="195"/>
      <c r="I5" s="195"/>
      <c r="J5" s="192"/>
      <c r="K5" s="191"/>
    </row>
    <row r="6" spans="1:18" ht="15" thickBot="1" x14ac:dyDescent="0.4">
      <c r="A6" s="191"/>
      <c r="B6" s="192"/>
      <c r="C6" s="195"/>
      <c r="D6" s="195"/>
      <c r="E6" s="195"/>
      <c r="F6" s="195"/>
      <c r="G6" s="196"/>
      <c r="H6" s="195"/>
      <c r="I6" s="195"/>
      <c r="J6" s="192"/>
      <c r="K6" s="191"/>
      <c r="N6" s="176"/>
      <c r="P6" s="1"/>
    </row>
    <row r="7" spans="1:18" ht="23.5" thickBot="1" x14ac:dyDescent="0.4">
      <c r="A7" s="191"/>
      <c r="B7" s="192"/>
      <c r="C7" s="197" t="s">
        <v>1</v>
      </c>
      <c r="D7" s="198" t="s">
        <v>2</v>
      </c>
      <c r="E7" s="198" t="s">
        <v>19</v>
      </c>
      <c r="F7" s="198" t="s">
        <v>3</v>
      </c>
      <c r="G7" s="199" t="s">
        <v>4</v>
      </c>
      <c r="H7" s="198" t="s">
        <v>5</v>
      </c>
      <c r="I7" s="200" t="s">
        <v>6</v>
      </c>
      <c r="J7" s="192"/>
      <c r="K7" s="191"/>
      <c r="M7" s="176">
        <v>0.04</v>
      </c>
      <c r="N7" s="176"/>
    </row>
    <row r="8" spans="1:18" ht="20.149999999999999" customHeight="1" thickBot="1" x14ac:dyDescent="0.4">
      <c r="A8" s="191"/>
      <c r="B8" s="192"/>
      <c r="C8" s="201" t="s">
        <v>7</v>
      </c>
      <c r="D8" s="202"/>
      <c r="E8" s="203"/>
      <c r="F8" s="203"/>
      <c r="G8" s="203"/>
      <c r="H8" s="204"/>
      <c r="I8" s="205"/>
      <c r="J8" s="192"/>
      <c r="K8" s="191"/>
      <c r="M8" s="176">
        <v>0</v>
      </c>
      <c r="N8" s="176"/>
    </row>
    <row r="9" spans="1:18" ht="27" customHeight="1" thickBot="1" x14ac:dyDescent="0.4">
      <c r="A9" s="191"/>
      <c r="B9" s="192"/>
      <c r="C9" s="206" t="s">
        <v>15</v>
      </c>
      <c r="D9" s="207" t="s">
        <v>35</v>
      </c>
      <c r="E9" s="208">
        <v>950400.06</v>
      </c>
      <c r="F9" s="236">
        <v>33.47</v>
      </c>
      <c r="G9" s="237">
        <f>E9*F9</f>
        <v>31809890.008200001</v>
      </c>
      <c r="H9" s="182"/>
      <c r="I9" s="211">
        <f>H9*E9</f>
        <v>0</v>
      </c>
      <c r="J9" s="192"/>
      <c r="K9" s="191"/>
      <c r="N9" s="1"/>
    </row>
    <row r="10" spans="1:18" ht="27" customHeight="1" thickBot="1" x14ac:dyDescent="0.4">
      <c r="A10" s="191"/>
      <c r="B10" s="192"/>
      <c r="C10" s="212" t="s">
        <v>16</v>
      </c>
      <c r="D10" s="213" t="s">
        <v>35</v>
      </c>
      <c r="E10" s="214">
        <v>148378.29</v>
      </c>
      <c r="F10" s="215">
        <v>29.75</v>
      </c>
      <c r="G10" s="237">
        <f t="shared" ref="G10:G12" si="0">E10*F10</f>
        <v>4414254.1275000004</v>
      </c>
      <c r="H10" s="183"/>
      <c r="I10" s="211">
        <f>H10*E10</f>
        <v>0</v>
      </c>
      <c r="J10" s="192"/>
      <c r="K10" s="191"/>
      <c r="N10" s="1"/>
    </row>
    <row r="11" spans="1:18" ht="27" customHeight="1" thickBot="1" x14ac:dyDescent="0.4">
      <c r="A11" s="191"/>
      <c r="B11" s="192"/>
      <c r="C11" s="212" t="s">
        <v>17</v>
      </c>
      <c r="D11" s="213" t="s">
        <v>35</v>
      </c>
      <c r="E11" s="238">
        <v>200</v>
      </c>
      <c r="F11" s="215">
        <v>25.01</v>
      </c>
      <c r="G11" s="237">
        <f t="shared" si="0"/>
        <v>5002</v>
      </c>
      <c r="H11" s="183"/>
      <c r="I11" s="211">
        <f>H11*E11</f>
        <v>0</v>
      </c>
      <c r="J11" s="192"/>
      <c r="K11" s="191"/>
      <c r="N11" s="1"/>
    </row>
    <row r="12" spans="1:18" ht="27" customHeight="1" thickBot="1" x14ac:dyDescent="0.4">
      <c r="A12" s="191"/>
      <c r="B12" s="192"/>
      <c r="C12" s="216" t="s">
        <v>18</v>
      </c>
      <c r="D12" s="217" t="s">
        <v>35</v>
      </c>
      <c r="E12" s="239">
        <v>800</v>
      </c>
      <c r="F12" s="219">
        <v>37.51</v>
      </c>
      <c r="G12" s="237">
        <f t="shared" si="0"/>
        <v>30008</v>
      </c>
      <c r="H12" s="183"/>
      <c r="I12" s="211">
        <f>H12*E12</f>
        <v>0</v>
      </c>
      <c r="J12" s="192"/>
      <c r="K12" s="191"/>
      <c r="N12" s="1"/>
    </row>
    <row r="13" spans="1:18" ht="20.149999999999999" customHeight="1" thickBot="1" x14ac:dyDescent="0.4">
      <c r="A13" s="191"/>
      <c r="B13" s="192"/>
      <c r="C13" s="220"/>
      <c r="D13" s="221"/>
      <c r="E13" s="263" t="s">
        <v>8</v>
      </c>
      <c r="F13" s="264"/>
      <c r="G13" s="222">
        <f>SUM(G9:G12)</f>
        <v>36259154.135700002</v>
      </c>
      <c r="H13" s="184"/>
      <c r="I13" s="223">
        <f>I9+I10+I11+I12</f>
        <v>0</v>
      </c>
      <c r="J13" s="192"/>
      <c r="K13" s="191"/>
      <c r="R13" s="2"/>
    </row>
    <row r="14" spans="1:18" ht="15" thickBot="1" x14ac:dyDescent="0.4">
      <c r="A14" s="191"/>
      <c r="B14" s="192"/>
      <c r="C14" s="220"/>
      <c r="D14" s="221"/>
      <c r="E14" s="224"/>
      <c r="F14" s="224"/>
      <c r="G14" s="225"/>
      <c r="H14" s="185"/>
      <c r="I14" s="225"/>
      <c r="J14" s="192"/>
      <c r="K14" s="191"/>
    </row>
    <row r="15" spans="1:18" ht="39.5" thickBot="1" x14ac:dyDescent="0.4">
      <c r="A15" s="191"/>
      <c r="B15" s="192"/>
      <c r="C15" s="226" t="s">
        <v>116</v>
      </c>
      <c r="D15" s="221"/>
      <c r="E15" s="227"/>
      <c r="F15" s="228" t="s">
        <v>20</v>
      </c>
      <c r="G15" s="177">
        <f>G13</f>
        <v>36259154.135700002</v>
      </c>
      <c r="H15" s="186" t="s">
        <v>10</v>
      </c>
      <c r="I15" s="177">
        <f>I13</f>
        <v>0</v>
      </c>
      <c r="J15" s="192"/>
      <c r="K15" s="191"/>
    </row>
    <row r="16" spans="1:18" x14ac:dyDescent="0.35">
      <c r="A16" s="191"/>
      <c r="B16" s="192"/>
      <c r="C16" s="220"/>
      <c r="D16" s="221"/>
      <c r="E16" s="265" t="s">
        <v>21</v>
      </c>
      <c r="F16" s="266"/>
      <c r="G16" s="178">
        <f>G15*4%</f>
        <v>1450366.165428</v>
      </c>
      <c r="H16" s="187">
        <v>0</v>
      </c>
      <c r="I16" s="178">
        <f>I15*H16</f>
        <v>0</v>
      </c>
      <c r="J16" s="192"/>
      <c r="K16" s="191"/>
    </row>
    <row r="17" spans="1:11" x14ac:dyDescent="0.35">
      <c r="A17" s="191"/>
      <c r="B17" s="192"/>
      <c r="C17" s="220"/>
      <c r="D17" s="221"/>
      <c r="E17" s="229" t="s">
        <v>11</v>
      </c>
      <c r="F17" s="230"/>
      <c r="G17" s="179">
        <f>SUM(G15:G16)</f>
        <v>37709520.301128</v>
      </c>
      <c r="H17" s="188" t="s">
        <v>12</v>
      </c>
      <c r="I17" s="179">
        <f>I15+I16</f>
        <v>0</v>
      </c>
      <c r="J17" s="192"/>
      <c r="K17" s="191"/>
    </row>
    <row r="18" spans="1:11" x14ac:dyDescent="0.35">
      <c r="A18" s="191"/>
      <c r="B18" s="192"/>
      <c r="C18" s="220"/>
      <c r="D18" s="195"/>
      <c r="E18" s="232"/>
      <c r="F18" s="233"/>
      <c r="G18" s="180"/>
      <c r="H18" s="234"/>
      <c r="I18" s="235"/>
      <c r="J18" s="192"/>
      <c r="K18" s="191"/>
    </row>
    <row r="19" spans="1:11" x14ac:dyDescent="0.35">
      <c r="A19" s="191"/>
      <c r="B19" s="192"/>
      <c r="C19" s="220"/>
      <c r="D19" s="192" t="s">
        <v>13</v>
      </c>
      <c r="E19" s="192"/>
      <c r="F19" s="192"/>
      <c r="G19" s="181"/>
      <c r="H19" s="192"/>
      <c r="I19" s="192"/>
      <c r="J19" s="192"/>
      <c r="K19" s="191"/>
    </row>
    <row r="20" spans="1:11" x14ac:dyDescent="0.35">
      <c r="A20" s="191"/>
      <c r="B20" s="192"/>
      <c r="C20" s="220"/>
      <c r="D20" s="267" t="s">
        <v>14</v>
      </c>
      <c r="E20" s="267"/>
      <c r="F20" s="267"/>
      <c r="G20" s="267"/>
      <c r="H20" s="267"/>
      <c r="I20" s="267"/>
      <c r="J20" s="192"/>
      <c r="K20" s="191"/>
    </row>
    <row r="21" spans="1:11" x14ac:dyDescent="0.35">
      <c r="A21" s="191"/>
      <c r="B21" s="192"/>
      <c r="C21" s="220"/>
      <c r="D21" s="267"/>
      <c r="E21" s="267"/>
      <c r="F21" s="267"/>
      <c r="G21" s="267"/>
      <c r="H21" s="267"/>
      <c r="I21" s="267"/>
      <c r="J21" s="192"/>
      <c r="K21" s="191"/>
    </row>
    <row r="22" spans="1:11" x14ac:dyDescent="0.35">
      <c r="A22" s="191"/>
      <c r="B22" s="192"/>
      <c r="C22" s="220"/>
      <c r="D22" s="267"/>
      <c r="E22" s="267"/>
      <c r="F22" s="267"/>
      <c r="G22" s="267"/>
      <c r="H22" s="267"/>
      <c r="I22" s="267"/>
      <c r="J22" s="192"/>
      <c r="K22" s="191"/>
    </row>
    <row r="23" spans="1:11" x14ac:dyDescent="0.35">
      <c r="A23" s="191"/>
      <c r="B23" s="192"/>
      <c r="C23" s="220"/>
      <c r="D23" s="267"/>
      <c r="E23" s="267"/>
      <c r="F23" s="267"/>
      <c r="G23" s="267"/>
      <c r="H23" s="267"/>
      <c r="I23" s="267"/>
      <c r="J23" s="192"/>
      <c r="K23" s="191"/>
    </row>
    <row r="24" spans="1:11" x14ac:dyDescent="0.35">
      <c r="A24" s="191"/>
      <c r="B24" s="191"/>
      <c r="C24" s="191"/>
      <c r="D24" s="191"/>
      <c r="E24" s="191"/>
      <c r="F24" s="191"/>
      <c r="G24" s="191"/>
      <c r="H24" s="191"/>
      <c r="I24" s="191"/>
      <c r="J24" s="191"/>
      <c r="K24" s="191"/>
    </row>
    <row r="29" spans="1:11" x14ac:dyDescent="0.35">
      <c r="G29" s="2"/>
    </row>
  </sheetData>
  <sheetProtection algorithmName="SHA-512" hashValue="/D4PsF/GXEVKdlMR9qAC2MbI2RpnDKEWCb0FB2zSMs0W/2oAKJWmJP+Zc3MjsUZhwk6Vq6zsnAnqkZTz+1i8Qw==" saltValue="h+yAedCJxVW6JAg6xUHvFg==" spinCount="100000" sheet="1" objects="1" scenarios="1"/>
  <mergeCells count="5">
    <mergeCell ref="C3:G3"/>
    <mergeCell ref="I3:J3"/>
    <mergeCell ref="E13:F13"/>
    <mergeCell ref="E16:F16"/>
    <mergeCell ref="D20:I23"/>
  </mergeCells>
  <dataValidations count="2">
    <dataValidation type="list" allowBlank="1" showInputMessage="1" showErrorMessage="1" sqref="N6:N8" xr:uid="{8876D6E3-1A22-4E1B-AE6C-4F589C683248}">
      <formula1>$N$6:$N$8</formula1>
    </dataValidation>
    <dataValidation type="list" allowBlank="1" showInputMessage="1" showErrorMessage="1" sqref="H16" xr:uid="{D1802D73-5450-4AC4-8875-696F930893F6}">
      <formula1>$M$7:$M$8</formula1>
    </dataValidation>
  </dataValidations>
  <pageMargins left="0.70866141732283472" right="0.70866141732283472" top="0.74803149606299213" bottom="0.74803149606299213" header="0.31496062992125984" footer="0.31496062992125984"/>
  <pageSetup paperSize="8" scale="9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R29"/>
  <sheetViews>
    <sheetView showGridLines="0" workbookViewId="0">
      <selection activeCell="I11" sqref="I11"/>
    </sheetView>
  </sheetViews>
  <sheetFormatPr defaultColWidth="9.1796875" defaultRowHeight="14.5" x14ac:dyDescent="0.35"/>
  <cols>
    <col min="3" max="3" width="44.54296875" bestFit="1" customWidth="1"/>
    <col min="4" max="4" width="28.54296875" bestFit="1" customWidth="1"/>
    <col min="5" max="5" width="10.26953125" bestFit="1" customWidth="1"/>
    <col min="6" max="6" width="12.81640625" bestFit="1" customWidth="1"/>
    <col min="7" max="7" width="18.81640625" customWidth="1"/>
    <col min="8" max="8" width="31" customWidth="1"/>
    <col min="9" max="9" width="18.81640625" bestFit="1"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34</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P4" s="1"/>
    </row>
    <row r="5" spans="1:18" x14ac:dyDescent="0.35">
      <c r="A5" s="191"/>
      <c r="B5" s="192"/>
      <c r="C5" s="194" t="s">
        <v>105</v>
      </c>
      <c r="D5" s="195"/>
      <c r="E5" s="195"/>
      <c r="F5" s="195"/>
      <c r="G5" s="196"/>
      <c r="H5" s="195"/>
      <c r="I5" s="195"/>
      <c r="J5" s="192"/>
      <c r="K5" s="191"/>
      <c r="M5" s="176">
        <v>0.04</v>
      </c>
    </row>
    <row r="6" spans="1:18" ht="15" thickBot="1" x14ac:dyDescent="0.4">
      <c r="A6" s="191"/>
      <c r="B6" s="192"/>
      <c r="C6" s="195"/>
      <c r="D6" s="195"/>
      <c r="E6" s="195"/>
      <c r="F6" s="195"/>
      <c r="G6" s="196"/>
      <c r="H6" s="195"/>
      <c r="I6" s="195"/>
      <c r="J6" s="192"/>
      <c r="K6" s="191"/>
      <c r="M6" s="176">
        <v>0</v>
      </c>
      <c r="P6" s="1"/>
    </row>
    <row r="7" spans="1:18" ht="23.5" thickBot="1" x14ac:dyDescent="0.4">
      <c r="A7" s="191"/>
      <c r="B7" s="192"/>
      <c r="C7" s="197" t="s">
        <v>1</v>
      </c>
      <c r="D7" s="198" t="s">
        <v>2</v>
      </c>
      <c r="E7" s="198" t="s">
        <v>19</v>
      </c>
      <c r="F7" s="198" t="s">
        <v>3</v>
      </c>
      <c r="G7" s="199" t="s">
        <v>4</v>
      </c>
      <c r="H7" s="198" t="s">
        <v>5</v>
      </c>
      <c r="I7" s="200" t="s">
        <v>6</v>
      </c>
      <c r="J7" s="192"/>
      <c r="K7" s="191"/>
    </row>
    <row r="8" spans="1:18" ht="20.149999999999999" customHeight="1" thickBot="1" x14ac:dyDescent="0.4">
      <c r="A8" s="191"/>
      <c r="B8" s="192"/>
      <c r="C8" s="201" t="s">
        <v>7</v>
      </c>
      <c r="D8" s="202"/>
      <c r="E8" s="203"/>
      <c r="F8" s="203"/>
      <c r="G8" s="203"/>
      <c r="H8" s="204"/>
      <c r="I8" s="205"/>
      <c r="J8" s="192"/>
      <c r="K8" s="191"/>
      <c r="N8" s="2"/>
    </row>
    <row r="9" spans="1:18" ht="27" customHeight="1" thickBot="1" x14ac:dyDescent="0.4">
      <c r="A9" s="191"/>
      <c r="B9" s="192"/>
      <c r="C9" s="206" t="s">
        <v>15</v>
      </c>
      <c r="D9" s="213" t="s">
        <v>36</v>
      </c>
      <c r="E9" s="208">
        <v>969408.07</v>
      </c>
      <c r="F9" s="236">
        <v>34.5</v>
      </c>
      <c r="G9" s="237">
        <f>E9*F9</f>
        <v>33444578.414999999</v>
      </c>
      <c r="H9" s="182"/>
      <c r="I9" s="211">
        <f>H9*E9</f>
        <v>0</v>
      </c>
      <c r="J9" s="192"/>
      <c r="K9" s="191"/>
      <c r="N9" s="1"/>
    </row>
    <row r="10" spans="1:18" ht="27" customHeight="1" thickBot="1" x14ac:dyDescent="0.4">
      <c r="A10" s="191"/>
      <c r="B10" s="192"/>
      <c r="C10" s="212" t="s">
        <v>16</v>
      </c>
      <c r="D10" s="213" t="s">
        <v>36</v>
      </c>
      <c r="E10" s="214">
        <v>151345.85999999999</v>
      </c>
      <c r="F10" s="215">
        <v>30.7</v>
      </c>
      <c r="G10" s="237">
        <f>E10*F10</f>
        <v>4646317.9019999998</v>
      </c>
      <c r="H10" s="183"/>
      <c r="I10" s="211">
        <f>H10*E10</f>
        <v>0</v>
      </c>
      <c r="J10" s="192"/>
      <c r="K10" s="191"/>
      <c r="N10" s="1"/>
    </row>
    <row r="11" spans="1:18" ht="27" customHeight="1" thickBot="1" x14ac:dyDescent="0.4">
      <c r="A11" s="191"/>
      <c r="B11" s="192"/>
      <c r="C11" s="212" t="s">
        <v>17</v>
      </c>
      <c r="D11" s="213" t="s">
        <v>36</v>
      </c>
      <c r="E11" s="238">
        <v>200</v>
      </c>
      <c r="F11" s="215">
        <v>24.98</v>
      </c>
      <c r="G11" s="237">
        <f>E11*F11</f>
        <v>4996</v>
      </c>
      <c r="H11" s="183"/>
      <c r="I11" s="211">
        <f>H11*E11</f>
        <v>0</v>
      </c>
      <c r="J11" s="192"/>
      <c r="K11" s="191"/>
      <c r="N11" s="1"/>
    </row>
    <row r="12" spans="1:18" ht="27" customHeight="1" thickBot="1" x14ac:dyDescent="0.4">
      <c r="A12" s="191"/>
      <c r="B12" s="192"/>
      <c r="C12" s="216" t="s">
        <v>18</v>
      </c>
      <c r="D12" s="213" t="s">
        <v>36</v>
      </c>
      <c r="E12" s="239">
        <v>800</v>
      </c>
      <c r="F12" s="219">
        <v>37.47</v>
      </c>
      <c r="G12" s="237">
        <f>E12*F12</f>
        <v>29976</v>
      </c>
      <c r="H12" s="183"/>
      <c r="I12" s="211">
        <f>H12*E12</f>
        <v>0</v>
      </c>
      <c r="J12" s="192"/>
      <c r="K12" s="191"/>
      <c r="N12" s="1"/>
    </row>
    <row r="13" spans="1:18" ht="20.149999999999999" customHeight="1" thickBot="1" x14ac:dyDescent="0.4">
      <c r="A13" s="191"/>
      <c r="B13" s="192"/>
      <c r="C13" s="220"/>
      <c r="D13" s="221"/>
      <c r="E13" s="263" t="s">
        <v>8</v>
      </c>
      <c r="F13" s="264"/>
      <c r="G13" s="222">
        <f>SUM(G9:G12)</f>
        <v>38125868.317000002</v>
      </c>
      <c r="H13" s="184" t="s">
        <v>9</v>
      </c>
      <c r="I13" s="223">
        <f>I9+I10+I11+I12</f>
        <v>0</v>
      </c>
      <c r="J13" s="192"/>
      <c r="K13" s="191"/>
      <c r="R13" s="2"/>
    </row>
    <row r="14" spans="1:18" ht="15" thickBot="1" x14ac:dyDescent="0.4">
      <c r="A14" s="191"/>
      <c r="B14" s="192"/>
      <c r="C14" s="220"/>
      <c r="D14" s="221"/>
      <c r="E14" s="224"/>
      <c r="F14" s="224"/>
      <c r="G14" s="225"/>
      <c r="H14" s="185"/>
      <c r="I14" s="225"/>
      <c r="J14" s="192"/>
      <c r="K14" s="191"/>
    </row>
    <row r="15" spans="1:18" ht="39.5" thickBot="1" x14ac:dyDescent="0.4">
      <c r="A15" s="191"/>
      <c r="B15" s="192"/>
      <c r="C15" s="226" t="s">
        <v>116</v>
      </c>
      <c r="D15" s="221"/>
      <c r="E15" s="227"/>
      <c r="F15" s="228" t="s">
        <v>20</v>
      </c>
      <c r="G15" s="177">
        <f>G13</f>
        <v>38125868.317000002</v>
      </c>
      <c r="H15" s="186" t="s">
        <v>10</v>
      </c>
      <c r="I15" s="177">
        <f>I13</f>
        <v>0</v>
      </c>
      <c r="J15" s="192"/>
      <c r="K15" s="191"/>
    </row>
    <row r="16" spans="1:18" x14ac:dyDescent="0.35">
      <c r="A16" s="191"/>
      <c r="B16" s="192"/>
      <c r="C16" s="220"/>
      <c r="D16" s="221"/>
      <c r="E16" s="265" t="s">
        <v>21</v>
      </c>
      <c r="F16" s="266"/>
      <c r="G16" s="178">
        <f>G15*4%</f>
        <v>1525034.7326800001</v>
      </c>
      <c r="H16" s="187">
        <v>0</v>
      </c>
      <c r="I16" s="178">
        <f>I15*H16</f>
        <v>0</v>
      </c>
      <c r="J16" s="192"/>
      <c r="K16" s="191"/>
    </row>
    <row r="17" spans="1:11" x14ac:dyDescent="0.35">
      <c r="A17" s="191"/>
      <c r="B17" s="192"/>
      <c r="C17" s="220"/>
      <c r="D17" s="221"/>
      <c r="E17" s="229" t="s">
        <v>11</v>
      </c>
      <c r="F17" s="230"/>
      <c r="G17" s="179">
        <f>SUM(G15:G16)</f>
        <v>39650903.049680002</v>
      </c>
      <c r="H17" s="188" t="s">
        <v>12</v>
      </c>
      <c r="I17" s="179">
        <f>I15+I16</f>
        <v>0</v>
      </c>
      <c r="J17" s="192"/>
      <c r="K17" s="191"/>
    </row>
    <row r="18" spans="1:11" x14ac:dyDescent="0.35">
      <c r="A18" s="191"/>
      <c r="B18" s="192"/>
      <c r="C18" s="220"/>
      <c r="D18" s="195"/>
      <c r="E18" s="232"/>
      <c r="F18" s="233"/>
      <c r="G18" s="180"/>
      <c r="H18" s="234"/>
      <c r="I18" s="235"/>
      <c r="J18" s="192"/>
      <c r="K18" s="191"/>
    </row>
    <row r="19" spans="1:11" x14ac:dyDescent="0.35">
      <c r="A19" s="191"/>
      <c r="B19" s="192"/>
      <c r="C19" s="220"/>
      <c r="D19" s="192" t="s">
        <v>13</v>
      </c>
      <c r="E19" s="192"/>
      <c r="F19" s="192"/>
      <c r="G19" s="181"/>
      <c r="H19" s="192"/>
      <c r="I19" s="192"/>
      <c r="J19" s="192"/>
      <c r="K19" s="191"/>
    </row>
    <row r="20" spans="1:11" x14ac:dyDescent="0.35">
      <c r="A20" s="191"/>
      <c r="B20" s="192"/>
      <c r="C20" s="220"/>
      <c r="D20" s="267" t="s">
        <v>14</v>
      </c>
      <c r="E20" s="267"/>
      <c r="F20" s="267"/>
      <c r="G20" s="267"/>
      <c r="H20" s="267"/>
      <c r="I20" s="267"/>
      <c r="J20" s="192"/>
      <c r="K20" s="191"/>
    </row>
    <row r="21" spans="1:11" x14ac:dyDescent="0.35">
      <c r="A21" s="191"/>
      <c r="B21" s="192"/>
      <c r="C21" s="220"/>
      <c r="D21" s="267"/>
      <c r="E21" s="267"/>
      <c r="F21" s="267"/>
      <c r="G21" s="267"/>
      <c r="H21" s="267"/>
      <c r="I21" s="267"/>
      <c r="J21" s="192"/>
      <c r="K21" s="191"/>
    </row>
    <row r="22" spans="1:11" x14ac:dyDescent="0.35">
      <c r="A22" s="191"/>
      <c r="B22" s="192"/>
      <c r="C22" s="220"/>
      <c r="D22" s="267"/>
      <c r="E22" s="267"/>
      <c r="F22" s="267"/>
      <c r="G22" s="267"/>
      <c r="H22" s="267"/>
      <c r="I22" s="267"/>
      <c r="J22" s="192"/>
      <c r="K22" s="191"/>
    </row>
    <row r="23" spans="1:11" x14ac:dyDescent="0.35">
      <c r="A23" s="191"/>
      <c r="B23" s="192"/>
      <c r="C23" s="220"/>
      <c r="D23" s="267"/>
      <c r="E23" s="267"/>
      <c r="F23" s="267"/>
      <c r="G23" s="267"/>
      <c r="H23" s="267"/>
      <c r="I23" s="267"/>
      <c r="J23" s="192"/>
      <c r="K23" s="191"/>
    </row>
    <row r="24" spans="1:11" x14ac:dyDescent="0.35">
      <c r="A24" s="191"/>
      <c r="B24" s="191"/>
      <c r="C24" s="191"/>
      <c r="D24" s="191"/>
      <c r="E24" s="191"/>
      <c r="F24" s="191"/>
      <c r="G24" s="191"/>
      <c r="H24" s="191"/>
      <c r="I24" s="191"/>
      <c r="J24" s="191"/>
      <c r="K24" s="191"/>
    </row>
    <row r="28" spans="1:11" x14ac:dyDescent="0.35">
      <c r="C28" s="2"/>
    </row>
    <row r="29" spans="1:11" x14ac:dyDescent="0.35">
      <c r="G29" s="2"/>
    </row>
  </sheetData>
  <sheetProtection algorithmName="SHA-512" hashValue="fkethZrsLM3713zkbnLt45erFX/Q+H4v5dXhz/jBRe8ALWa+oa9G2HIxIurMZi724JiAyyVx6kJBuxvrmSP0UQ==" saltValue="0JlwaoMsYFC4CNjgWc3Dvw==" spinCount="100000" sheet="1" objects="1" scenarios="1"/>
  <mergeCells count="5">
    <mergeCell ref="C3:G3"/>
    <mergeCell ref="I3:J3"/>
    <mergeCell ref="E13:F13"/>
    <mergeCell ref="E16:F16"/>
    <mergeCell ref="D20:I23"/>
  </mergeCells>
  <phoneticPr fontId="18" type="noConversion"/>
  <dataValidations count="1">
    <dataValidation type="list" allowBlank="1" showInputMessage="1" showErrorMessage="1" sqref="H16" xr:uid="{1F03170B-4322-4137-9A11-33F92CA04A6C}">
      <formula1>$M$5:$M$6</formula1>
    </dataValidation>
  </dataValidations>
  <pageMargins left="0.70866141732283472" right="0.70866141732283472" top="0.74803149606299213" bottom="0.74803149606299213" header="0.31496062992125984" footer="0.31496062992125984"/>
  <pageSetup paperSize="8" scale="95"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pageSetUpPr fitToPage="1"/>
  </sheetPr>
  <dimension ref="A1:R29"/>
  <sheetViews>
    <sheetView showGridLines="0" workbookViewId="0">
      <selection activeCell="H10" sqref="H10"/>
    </sheetView>
  </sheetViews>
  <sheetFormatPr defaultColWidth="9.1796875" defaultRowHeight="14.5" x14ac:dyDescent="0.35"/>
  <cols>
    <col min="3" max="3" width="44.54296875" bestFit="1" customWidth="1"/>
    <col min="4" max="4" width="28.54296875" bestFit="1" customWidth="1"/>
    <col min="5" max="5" width="20.54296875" bestFit="1" customWidth="1"/>
    <col min="6" max="6" width="12.81640625" bestFit="1" customWidth="1"/>
    <col min="7" max="7" width="18.81640625" customWidth="1"/>
    <col min="8" max="8" width="31" customWidth="1"/>
    <col min="9" max="9" width="18.81640625" bestFit="1" customWidth="1"/>
    <col min="13" max="13" width="0" hidden="1" customWidth="1"/>
    <col min="14" max="14" width="13.1796875" bestFit="1" customWidth="1"/>
    <col min="16" max="16" width="10.1796875" bestFit="1" customWidth="1"/>
    <col min="18" max="18" width="13.1796875" bestFit="1" customWidth="1"/>
  </cols>
  <sheetData>
    <row r="1" spans="1:18" x14ac:dyDescent="0.35">
      <c r="A1" s="191"/>
      <c r="B1" s="191"/>
      <c r="C1" s="191"/>
      <c r="D1" s="191"/>
      <c r="E1" s="191"/>
      <c r="F1" s="191"/>
      <c r="G1" s="191"/>
      <c r="H1" s="191"/>
      <c r="I1" s="191"/>
      <c r="J1" s="191"/>
      <c r="K1" s="191"/>
    </row>
    <row r="2" spans="1:18" ht="15" thickBot="1" x14ac:dyDescent="0.4">
      <c r="A2" s="191"/>
      <c r="B2" s="192"/>
      <c r="C2" s="192"/>
      <c r="D2" s="192"/>
      <c r="E2" s="192"/>
      <c r="F2" s="192"/>
      <c r="G2" s="192"/>
      <c r="H2" s="192"/>
      <c r="I2" s="192"/>
      <c r="J2" s="192"/>
      <c r="K2" s="191"/>
    </row>
    <row r="3" spans="1:18" ht="41.25" customHeight="1" thickBot="1" x14ac:dyDescent="0.4">
      <c r="A3" s="191"/>
      <c r="B3" s="192"/>
      <c r="C3" s="259" t="s">
        <v>40</v>
      </c>
      <c r="D3" s="260"/>
      <c r="E3" s="260"/>
      <c r="F3" s="260"/>
      <c r="G3" s="261"/>
      <c r="H3" s="193" t="s">
        <v>0</v>
      </c>
      <c r="I3" s="262" t="s">
        <v>23</v>
      </c>
      <c r="J3" s="262"/>
      <c r="K3" s="191"/>
    </row>
    <row r="4" spans="1:18" x14ac:dyDescent="0.35">
      <c r="A4" s="191"/>
      <c r="B4" s="192"/>
      <c r="C4" s="192"/>
      <c r="D4" s="192"/>
      <c r="E4" s="192"/>
      <c r="F4" s="192"/>
      <c r="G4" s="192"/>
      <c r="H4" s="192"/>
      <c r="I4" s="193" t="s">
        <v>22</v>
      </c>
      <c r="J4" s="192"/>
      <c r="K4" s="191"/>
      <c r="P4" s="1"/>
    </row>
    <row r="5" spans="1:18" x14ac:dyDescent="0.35">
      <c r="A5" s="191"/>
      <c r="B5" s="192"/>
      <c r="C5" s="194" t="s">
        <v>107</v>
      </c>
      <c r="D5" s="195"/>
      <c r="E5" s="195"/>
      <c r="F5" s="195"/>
      <c r="G5" s="196"/>
      <c r="H5" s="195"/>
      <c r="I5" s="195"/>
      <c r="J5" s="192"/>
      <c r="K5" s="191"/>
    </row>
    <row r="6" spans="1:18" ht="15" thickBot="1" x14ac:dyDescent="0.4">
      <c r="A6" s="191"/>
      <c r="B6" s="192"/>
      <c r="C6" s="195"/>
      <c r="D6" s="195"/>
      <c r="E6" s="195"/>
      <c r="F6" s="195"/>
      <c r="G6" s="196"/>
      <c r="H6" s="195"/>
      <c r="I6" s="195"/>
      <c r="J6" s="192"/>
      <c r="K6" s="191"/>
      <c r="M6" s="176">
        <v>0.04</v>
      </c>
      <c r="P6" s="1"/>
    </row>
    <row r="7" spans="1:18" ht="23.5" thickBot="1" x14ac:dyDescent="0.4">
      <c r="A7" s="191"/>
      <c r="B7" s="192"/>
      <c r="C7" s="197" t="s">
        <v>1</v>
      </c>
      <c r="D7" s="198" t="s">
        <v>2</v>
      </c>
      <c r="E7" s="198" t="s">
        <v>19</v>
      </c>
      <c r="F7" s="198" t="s">
        <v>3</v>
      </c>
      <c r="G7" s="199" t="s">
        <v>4</v>
      </c>
      <c r="H7" s="198" t="s">
        <v>5</v>
      </c>
      <c r="I7" s="200" t="s">
        <v>6</v>
      </c>
      <c r="J7" s="192"/>
      <c r="K7" s="191"/>
      <c r="M7" s="176">
        <v>0</v>
      </c>
    </row>
    <row r="8" spans="1:18" ht="20.149999999999999" customHeight="1" thickBot="1" x14ac:dyDescent="0.4">
      <c r="A8" s="191"/>
      <c r="B8" s="192"/>
      <c r="C8" s="201" t="s">
        <v>7</v>
      </c>
      <c r="D8" s="202"/>
      <c r="E8" s="203"/>
      <c r="F8" s="203"/>
      <c r="G8" s="203"/>
      <c r="H8" s="204"/>
      <c r="I8" s="205"/>
      <c r="J8" s="192"/>
      <c r="K8" s="191"/>
      <c r="M8" s="176"/>
      <c r="N8" s="2"/>
    </row>
    <row r="9" spans="1:18" ht="27" customHeight="1" thickBot="1" x14ac:dyDescent="0.4">
      <c r="A9" s="191"/>
      <c r="B9" s="192"/>
      <c r="C9" s="206" t="s">
        <v>15</v>
      </c>
      <c r="D9" s="207" t="s">
        <v>31</v>
      </c>
      <c r="E9" s="208">
        <v>848773.9</v>
      </c>
      <c r="F9" s="209">
        <v>33.06</v>
      </c>
      <c r="G9" s="210">
        <f>E9*F9</f>
        <v>28060465.134000003</v>
      </c>
      <c r="H9" s="182"/>
      <c r="I9" s="211">
        <f>H9*E9</f>
        <v>0</v>
      </c>
      <c r="J9" s="192"/>
      <c r="K9" s="191"/>
      <c r="N9" s="1"/>
    </row>
    <row r="10" spans="1:18" ht="27" customHeight="1" thickBot="1" x14ac:dyDescent="0.4">
      <c r="A10" s="191"/>
      <c r="B10" s="192"/>
      <c r="C10" s="212" t="s">
        <v>16</v>
      </c>
      <c r="D10" s="213" t="s">
        <v>31</v>
      </c>
      <c r="E10" s="214">
        <v>141385</v>
      </c>
      <c r="F10" s="215">
        <v>29.41</v>
      </c>
      <c r="G10" s="210">
        <f t="shared" ref="G10:G12" si="0">E10*F10</f>
        <v>4158132.85</v>
      </c>
      <c r="H10" s="183"/>
      <c r="I10" s="211">
        <f>H10*E10</f>
        <v>0</v>
      </c>
      <c r="J10" s="192"/>
      <c r="K10" s="191"/>
      <c r="N10" s="1"/>
    </row>
    <row r="11" spans="1:18" ht="27" customHeight="1" thickBot="1" x14ac:dyDescent="0.4">
      <c r="A11" s="191"/>
      <c r="B11" s="192"/>
      <c r="C11" s="212" t="s">
        <v>17</v>
      </c>
      <c r="D11" s="213" t="s">
        <v>31</v>
      </c>
      <c r="E11" s="214">
        <v>200</v>
      </c>
      <c r="F11" s="215">
        <v>24.86</v>
      </c>
      <c r="G11" s="210">
        <f t="shared" si="0"/>
        <v>4972</v>
      </c>
      <c r="H11" s="183"/>
      <c r="I11" s="211">
        <f>H11*E11</f>
        <v>0</v>
      </c>
      <c r="J11" s="192"/>
      <c r="K11" s="191"/>
      <c r="N11" s="1"/>
    </row>
    <row r="12" spans="1:18" ht="27" customHeight="1" thickBot="1" x14ac:dyDescent="0.4">
      <c r="A12" s="191"/>
      <c r="B12" s="192"/>
      <c r="C12" s="216" t="s">
        <v>18</v>
      </c>
      <c r="D12" s="217" t="s">
        <v>31</v>
      </c>
      <c r="E12" s="218">
        <v>800</v>
      </c>
      <c r="F12" s="219">
        <v>37.29</v>
      </c>
      <c r="G12" s="210">
        <f t="shared" si="0"/>
        <v>29832</v>
      </c>
      <c r="H12" s="183"/>
      <c r="I12" s="211">
        <f>H12*E12</f>
        <v>0</v>
      </c>
      <c r="J12" s="192"/>
      <c r="K12" s="191"/>
      <c r="N12" s="1"/>
    </row>
    <row r="13" spans="1:18" ht="20.149999999999999" customHeight="1" thickBot="1" x14ac:dyDescent="0.4">
      <c r="A13" s="191"/>
      <c r="B13" s="192"/>
      <c r="C13" s="220"/>
      <c r="D13" s="221"/>
      <c r="E13" s="263" t="s">
        <v>8</v>
      </c>
      <c r="F13" s="264"/>
      <c r="G13" s="222">
        <f>SUM(G9:G12)</f>
        <v>32253401.984000005</v>
      </c>
      <c r="H13" s="184" t="s">
        <v>9</v>
      </c>
      <c r="I13" s="223">
        <f>I9+I10+I11+I12</f>
        <v>0</v>
      </c>
      <c r="J13" s="192"/>
      <c r="K13" s="191"/>
      <c r="N13" s="2"/>
      <c r="R13" s="2"/>
    </row>
    <row r="14" spans="1:18" ht="15" thickBot="1" x14ac:dyDescent="0.4">
      <c r="A14" s="191"/>
      <c r="B14" s="192"/>
      <c r="C14" s="220"/>
      <c r="D14" s="221"/>
      <c r="E14" s="224"/>
      <c r="F14" s="224"/>
      <c r="G14" s="225"/>
      <c r="H14" s="185"/>
      <c r="I14" s="225"/>
      <c r="J14" s="192"/>
      <c r="K14" s="191"/>
    </row>
    <row r="15" spans="1:18" ht="39.5" thickBot="1" x14ac:dyDescent="0.4">
      <c r="A15" s="191"/>
      <c r="B15" s="192"/>
      <c r="C15" s="226" t="s">
        <v>116</v>
      </c>
      <c r="D15" s="221"/>
      <c r="E15" s="227"/>
      <c r="F15" s="228" t="s">
        <v>20</v>
      </c>
      <c r="G15" s="177">
        <f>G13</f>
        <v>32253401.984000005</v>
      </c>
      <c r="H15" s="186" t="s">
        <v>10</v>
      </c>
      <c r="I15" s="177">
        <f>I13</f>
        <v>0</v>
      </c>
      <c r="J15" s="192"/>
      <c r="K15" s="191"/>
    </row>
    <row r="16" spans="1:18" x14ac:dyDescent="0.35">
      <c r="A16" s="191"/>
      <c r="B16" s="192"/>
      <c r="C16" s="220"/>
      <c r="D16" s="221"/>
      <c r="E16" s="265" t="s">
        <v>21</v>
      </c>
      <c r="F16" s="266"/>
      <c r="G16" s="178">
        <f>G15*4%</f>
        <v>1290136.0793600003</v>
      </c>
      <c r="H16" s="187">
        <v>0</v>
      </c>
      <c r="I16" s="178">
        <f>I15*H16</f>
        <v>0</v>
      </c>
      <c r="J16" s="192"/>
      <c r="K16" s="191"/>
    </row>
    <row r="17" spans="1:11" x14ac:dyDescent="0.35">
      <c r="A17" s="191"/>
      <c r="B17" s="192"/>
      <c r="C17" s="220"/>
      <c r="D17" s="221"/>
      <c r="E17" s="229" t="s">
        <v>11</v>
      </c>
      <c r="F17" s="230"/>
      <c r="G17" s="179">
        <f>SUM(G15:G16)</f>
        <v>33543538.063360006</v>
      </c>
      <c r="H17" s="188" t="s">
        <v>12</v>
      </c>
      <c r="I17" s="179">
        <f>I15+I16</f>
        <v>0</v>
      </c>
      <c r="J17" s="192"/>
      <c r="K17" s="191"/>
    </row>
    <row r="18" spans="1:11" x14ac:dyDescent="0.35">
      <c r="A18" s="191"/>
      <c r="B18" s="192"/>
      <c r="C18" s="220"/>
      <c r="D18" s="195"/>
      <c r="E18" s="232"/>
      <c r="F18" s="233"/>
      <c r="G18" s="180"/>
      <c r="H18" s="234"/>
      <c r="I18" s="235"/>
      <c r="J18" s="192"/>
      <c r="K18" s="191"/>
    </row>
    <row r="19" spans="1:11" x14ac:dyDescent="0.35">
      <c r="A19" s="191"/>
      <c r="B19" s="192"/>
      <c r="C19" s="220"/>
      <c r="D19" s="192" t="s">
        <v>13</v>
      </c>
      <c r="E19" s="192"/>
      <c r="F19" s="192"/>
      <c r="G19" s="181"/>
      <c r="H19" s="192"/>
      <c r="I19" s="192"/>
      <c r="J19" s="192"/>
      <c r="K19" s="191"/>
    </row>
    <row r="20" spans="1:11" x14ac:dyDescent="0.35">
      <c r="A20" s="191"/>
      <c r="B20" s="192"/>
      <c r="C20" s="220"/>
      <c r="D20" s="267" t="s">
        <v>14</v>
      </c>
      <c r="E20" s="267"/>
      <c r="F20" s="267"/>
      <c r="G20" s="267"/>
      <c r="H20" s="267"/>
      <c r="I20" s="267"/>
      <c r="J20" s="192"/>
      <c r="K20" s="191"/>
    </row>
    <row r="21" spans="1:11" x14ac:dyDescent="0.35">
      <c r="A21" s="191"/>
      <c r="B21" s="192"/>
      <c r="C21" s="220"/>
      <c r="D21" s="267"/>
      <c r="E21" s="267"/>
      <c r="F21" s="267"/>
      <c r="G21" s="267"/>
      <c r="H21" s="267"/>
      <c r="I21" s="267"/>
      <c r="J21" s="192"/>
      <c r="K21" s="191"/>
    </row>
    <row r="22" spans="1:11" x14ac:dyDescent="0.35">
      <c r="A22" s="191"/>
      <c r="B22" s="192"/>
      <c r="C22" s="220"/>
      <c r="D22" s="267"/>
      <c r="E22" s="267"/>
      <c r="F22" s="267"/>
      <c r="G22" s="267"/>
      <c r="H22" s="267"/>
      <c r="I22" s="267"/>
      <c r="J22" s="192"/>
      <c r="K22" s="191"/>
    </row>
    <row r="23" spans="1:11" x14ac:dyDescent="0.35">
      <c r="A23" s="191"/>
      <c r="B23" s="192"/>
      <c r="C23" s="220"/>
      <c r="D23" s="267"/>
      <c r="E23" s="267"/>
      <c r="F23" s="267"/>
      <c r="G23" s="267"/>
      <c r="H23" s="267"/>
      <c r="I23" s="267"/>
      <c r="J23" s="192"/>
      <c r="K23" s="191"/>
    </row>
    <row r="24" spans="1:11" x14ac:dyDescent="0.35">
      <c r="A24" s="191"/>
      <c r="B24" s="191"/>
      <c r="C24" s="191"/>
      <c r="D24" s="191"/>
      <c r="E24" s="191"/>
      <c r="F24" s="191"/>
      <c r="G24" s="191"/>
      <c r="H24" s="191"/>
      <c r="I24" s="191"/>
      <c r="J24" s="191"/>
      <c r="K24" s="191"/>
    </row>
    <row r="28" spans="1:11" x14ac:dyDescent="0.35">
      <c r="D28" s="2"/>
    </row>
    <row r="29" spans="1:11" x14ac:dyDescent="0.35">
      <c r="G29" s="2"/>
    </row>
  </sheetData>
  <sheetProtection algorithmName="SHA-512" hashValue="NdaXsRC2AbLFy0MjlXu9mmxgIYece2pO9mT9GLHiGY5gviazMn+bb/CzCCUbDLiAyno9xioYIQxHNj4IPWthwQ==" saltValue="pmiFb/ykrbuqZMoI3Ln6Fg==" spinCount="100000" sheet="1" objects="1" scenarios="1"/>
  <mergeCells count="5">
    <mergeCell ref="C3:G3"/>
    <mergeCell ref="I3:J3"/>
    <mergeCell ref="E13:F13"/>
    <mergeCell ref="E16:F16"/>
    <mergeCell ref="D20:I23"/>
  </mergeCells>
  <dataValidations count="1">
    <dataValidation type="list" allowBlank="1" showInputMessage="1" showErrorMessage="1" sqref="H16" xr:uid="{2E713ED5-9EAA-4096-8CE2-A48130DF9D46}">
      <formula1>$M$6:$M$7</formula1>
    </dataValidation>
  </dataValidations>
  <pageMargins left="0.70866141732283472" right="0.70866141732283472" top="0.74803149606299213" bottom="0.74803149606299213" header="0.31496062992125984" footer="0.31496062992125984"/>
  <pageSetup paperSize="9" scale="61"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D4CB6CF2C7F64A9FDAFC0B3AD5BF8A" ma:contentTypeVersion="3" ma:contentTypeDescription="Crear nuevo documento." ma:contentTypeScope="" ma:versionID="e9500fc270b8e5ce73c8014e9b2f8e68">
  <xsd:schema xmlns:xsd="http://www.w3.org/2001/XMLSchema" xmlns:xs="http://www.w3.org/2001/XMLSchema" xmlns:p="http://schemas.microsoft.com/office/2006/metadata/properties" xmlns:ns3="99cede6b-94b9-4d45-8510-3ab2c43326fb" targetNamespace="http://schemas.microsoft.com/office/2006/metadata/properties" ma:root="true" ma:fieldsID="2ee49e62cb27ff9014ad6d9ef9695df1" ns3:_="">
    <xsd:import namespace="99cede6b-94b9-4d45-8510-3ab2c43326fb"/>
    <xsd:element name="properties">
      <xsd:complexType>
        <xsd:sequence>
          <xsd:element name="documentManagement">
            <xsd:complexType>
              <xsd:all>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cede6b-94b9-4d45-8510-3ab2c4332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A7E310-80E1-4CC4-88A4-80FA9C469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cede6b-94b9-4d45-8510-3ab2c43326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6798CA-79C2-434E-93F3-C3C0DF4C03E6}">
  <ds:schemaRefs>
    <ds:schemaRef ds:uri="http://purl.org/dc/dcmitype/"/>
    <ds:schemaRef ds:uri="http://schemas.microsoft.com/office/infopath/2007/PartnerControls"/>
    <ds:schemaRef ds:uri="http://purl.org/dc/elements/1.1/"/>
    <ds:schemaRef ds:uri="http://schemas.microsoft.com/office/2006/metadata/properties"/>
    <ds:schemaRef ds:uri="99cede6b-94b9-4d45-8510-3ab2c43326fb"/>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FEAC9F68-E4B5-46C3-913F-9833B748F7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17</vt:i4>
      </vt:variant>
      <vt:variant>
        <vt:lpstr>Intervals amb nom</vt:lpstr>
      </vt:variant>
      <vt:variant>
        <vt:i4>12</vt:i4>
      </vt:variant>
    </vt:vector>
  </HeadingPairs>
  <TitlesOfParts>
    <vt:vector size="29" baseType="lpstr">
      <vt:lpstr>PREUS UNITARIS</vt:lpstr>
      <vt:lpstr>CD+CI</vt:lpstr>
      <vt:lpstr>Recalcul EXECUCIÓ</vt:lpstr>
      <vt:lpstr>PBL</vt:lpstr>
      <vt:lpstr>VEC</vt:lpstr>
      <vt:lpstr>Annex3bis (lot1 1er any)</vt:lpstr>
      <vt:lpstr>Annex4bis (lot 1 2on any)</vt:lpstr>
      <vt:lpstr>Annex5bis (Lot1 3er any)</vt:lpstr>
      <vt:lpstr>Annex6bis (lot 2 1er any) </vt:lpstr>
      <vt:lpstr>Annex7bis (lot2 2on any)</vt:lpstr>
      <vt:lpstr>Annex8bis (lot2 3er any) </vt:lpstr>
      <vt:lpstr>Annex9bis (lot 3 1er any) </vt:lpstr>
      <vt:lpstr>Annex10bis (lot 3 2er any)</vt:lpstr>
      <vt:lpstr>Annex11bis (lot 3 3er any) </vt:lpstr>
      <vt:lpstr>Annex12bis (lot 4 1er any) </vt:lpstr>
      <vt:lpstr>Annex13bis (lot 4 2on any) </vt:lpstr>
      <vt:lpstr>Annex14bis (lot 4 3er any) </vt:lpstr>
      <vt:lpstr>'Annex10bis (lot 3 2er any)'!Àrea_d'impressió</vt:lpstr>
      <vt:lpstr>'Annex11bis (lot 3 3er any) '!Àrea_d'impressió</vt:lpstr>
      <vt:lpstr>'Annex12bis (lot 4 1er any) '!Àrea_d'impressió</vt:lpstr>
      <vt:lpstr>'Annex13bis (lot 4 2on any) '!Àrea_d'impressió</vt:lpstr>
      <vt:lpstr>'Annex14bis (lot 4 3er any) '!Àrea_d'impressió</vt:lpstr>
      <vt:lpstr>'Annex3bis (lot1 1er any)'!Àrea_d'impressió</vt:lpstr>
      <vt:lpstr>'Annex4bis (lot 1 2on any)'!Àrea_d'impressió</vt:lpstr>
      <vt:lpstr>'Annex5bis (Lot1 3er any)'!Àrea_d'impressió</vt:lpstr>
      <vt:lpstr>'Annex6bis (lot 2 1er any) '!Àrea_d'impressió</vt:lpstr>
      <vt:lpstr>'Annex7bis (lot2 2on any)'!Àrea_d'impressió</vt:lpstr>
      <vt:lpstr>'Annex8bis (lot2 3er any) '!Àrea_d'impressió</vt:lpstr>
      <vt:lpstr>'Annex9bis (lot 3 1er any) '!Àrea_d'impressió</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MARTIN, M CARMEN</dc:creator>
  <cp:lastModifiedBy>MUÑOZ RUIZ, ADRIAN</cp:lastModifiedBy>
  <cp:lastPrinted>2026-01-12T13:12:43Z</cp:lastPrinted>
  <dcterms:created xsi:type="dcterms:W3CDTF">2025-12-18T11:36:53Z</dcterms:created>
  <dcterms:modified xsi:type="dcterms:W3CDTF">2026-03-23T12:20:09Z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0x01010048D4CB6CF2C7F64A9FDAFC0B3AD5BF8A</vt:lpwstr>
  </property>
</Properties>
</file>